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5"/>
  <workbookPr/>
  <xr:revisionPtr revIDLastSave="0" documentId="8_{9BE52721-8585-4FBC-8737-B1DCF8637731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pH7 &amp; I.S. 0" sheetId="3" r:id="rId1"/>
    <sheet name="pH7 &amp; I.S. S" sheetId="5" r:id="rId2"/>
    <sheet name="pH7 &amp; I.S. I" sheetId="6" r:id="rId3"/>
    <sheet name="pH3 &amp; I.S. S" sheetId="1" r:id="rId4"/>
    <sheet name="pH3 &amp; I.S. I" sheetId="2" r:id="rId5"/>
    <sheet name="pH3 &amp; I.S. 0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U17" i="6"/>
  <c r="Q17" i="6"/>
  <c r="S17" i="6" s="1"/>
  <c r="U16" i="6"/>
  <c r="Q16" i="6"/>
  <c r="S16" i="6" s="1"/>
  <c r="U15" i="6"/>
  <c r="V15" i="6" s="1"/>
  <c r="Q15" i="6"/>
  <c r="F15" i="6"/>
  <c r="U14" i="6"/>
  <c r="Q14" i="6"/>
  <c r="S14" i="6" s="1"/>
  <c r="U13" i="6"/>
  <c r="Q13" i="6"/>
  <c r="S13" i="6" s="1"/>
  <c r="U12" i="6"/>
  <c r="V12" i="6" s="1"/>
  <c r="Q12" i="6"/>
  <c r="F12" i="6"/>
  <c r="U11" i="6"/>
  <c r="Q11" i="6"/>
  <c r="S11" i="6" s="1"/>
  <c r="U10" i="6"/>
  <c r="Q10" i="6"/>
  <c r="S10" i="6" s="1"/>
  <c r="U9" i="6"/>
  <c r="V9" i="6" s="1"/>
  <c r="Q9" i="6"/>
  <c r="F9" i="6"/>
  <c r="U8" i="6"/>
  <c r="Q8" i="6"/>
  <c r="S8" i="6" s="1"/>
  <c r="U7" i="6"/>
  <c r="Q7" i="6"/>
  <c r="S7" i="6" s="1"/>
  <c r="U6" i="6"/>
  <c r="V6" i="6" s="1"/>
  <c r="Q6" i="6"/>
  <c r="F6" i="6"/>
  <c r="F3" i="6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U17" i="5"/>
  <c r="Q17" i="5"/>
  <c r="S17" i="5" s="1"/>
  <c r="U16" i="5"/>
  <c r="Q16" i="5"/>
  <c r="S16" i="5" s="1"/>
  <c r="U15" i="5"/>
  <c r="V15" i="5" s="1"/>
  <c r="Q15" i="5"/>
  <c r="F15" i="5"/>
  <c r="U14" i="5"/>
  <c r="Q14" i="5"/>
  <c r="S14" i="5" s="1"/>
  <c r="U13" i="5"/>
  <c r="Q13" i="5"/>
  <c r="S13" i="5" s="1"/>
  <c r="U12" i="5"/>
  <c r="V12" i="5" s="1"/>
  <c r="Q12" i="5"/>
  <c r="F12" i="5"/>
  <c r="U11" i="5"/>
  <c r="Q11" i="5"/>
  <c r="S11" i="5" s="1"/>
  <c r="U10" i="5"/>
  <c r="Q10" i="5"/>
  <c r="S10" i="5" s="1"/>
  <c r="U9" i="5"/>
  <c r="V9" i="5" s="1"/>
  <c r="Q9" i="5"/>
  <c r="F9" i="5"/>
  <c r="U8" i="5"/>
  <c r="Q8" i="5"/>
  <c r="S8" i="5" s="1"/>
  <c r="U7" i="5"/>
  <c r="Q7" i="5"/>
  <c r="S7" i="5" s="1"/>
  <c r="U6" i="5"/>
  <c r="V6" i="5" s="1"/>
  <c r="Q6" i="5"/>
  <c r="F6" i="5"/>
  <c r="F3" i="5"/>
  <c r="U17" i="4"/>
  <c r="Q17" i="4"/>
  <c r="S17" i="4" s="1"/>
  <c r="U16" i="4"/>
  <c r="Q16" i="4"/>
  <c r="S16" i="4" s="1"/>
  <c r="U15" i="4"/>
  <c r="V15" i="4" s="1"/>
  <c r="Q15" i="4"/>
  <c r="F15" i="4"/>
  <c r="U14" i="4"/>
  <c r="Q14" i="4"/>
  <c r="S14" i="4" s="1"/>
  <c r="U13" i="4"/>
  <c r="Q13" i="4"/>
  <c r="S13" i="4" s="1"/>
  <c r="U12" i="4"/>
  <c r="V12" i="4" s="1"/>
  <c r="Q12" i="4"/>
  <c r="F12" i="4"/>
  <c r="U11" i="4"/>
  <c r="Q11" i="4"/>
  <c r="S11" i="4" s="1"/>
  <c r="U10" i="4"/>
  <c r="Q10" i="4"/>
  <c r="S10" i="4" s="1"/>
  <c r="U9" i="4"/>
  <c r="V9" i="4" s="1"/>
  <c r="Q9" i="4"/>
  <c r="F9" i="4"/>
  <c r="U8" i="4"/>
  <c r="Q8" i="4"/>
  <c r="S8" i="4" s="1"/>
  <c r="U7" i="4"/>
  <c r="Q7" i="4"/>
  <c r="S7" i="4" s="1"/>
  <c r="U6" i="4"/>
  <c r="V6" i="4" s="1"/>
  <c r="Q6" i="4"/>
  <c r="F6" i="4"/>
  <c r="F3" i="4"/>
  <c r="P15" i="3"/>
  <c r="N15" i="3"/>
  <c r="K17" i="3"/>
  <c r="I17" i="3"/>
  <c r="G17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U16" i="3"/>
  <c r="Q16" i="3"/>
  <c r="S16" i="3" s="1"/>
  <c r="U15" i="3"/>
  <c r="V15" i="3" s="1"/>
  <c r="Q15" i="3"/>
  <c r="F15" i="3"/>
  <c r="U14" i="3"/>
  <c r="Q14" i="3"/>
  <c r="S14" i="3" s="1"/>
  <c r="U13" i="3"/>
  <c r="Q13" i="3"/>
  <c r="S13" i="3" s="1"/>
  <c r="U12" i="3"/>
  <c r="V12" i="3" s="1"/>
  <c r="Q12" i="3"/>
  <c r="F12" i="3"/>
  <c r="U11" i="3"/>
  <c r="Q11" i="3"/>
  <c r="S11" i="3" s="1"/>
  <c r="U10" i="3"/>
  <c r="Q10" i="3"/>
  <c r="S10" i="3" s="1"/>
  <c r="U9" i="3"/>
  <c r="V9" i="3" s="1"/>
  <c r="Q9" i="3"/>
  <c r="F9" i="3"/>
  <c r="U8" i="3"/>
  <c r="Q8" i="3"/>
  <c r="S8" i="3" s="1"/>
  <c r="U7" i="3"/>
  <c r="Q7" i="3"/>
  <c r="S7" i="3" s="1"/>
  <c r="U6" i="3"/>
  <c r="V6" i="3" s="1"/>
  <c r="Q6" i="3"/>
  <c r="F6" i="3"/>
  <c r="F3" i="3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U17" i="2"/>
  <c r="Q17" i="2"/>
  <c r="S17" i="2" s="1"/>
  <c r="U16" i="2"/>
  <c r="Q16" i="2"/>
  <c r="S16" i="2" s="1"/>
  <c r="U15" i="2"/>
  <c r="V15" i="2" s="1"/>
  <c r="Q15" i="2"/>
  <c r="F15" i="2"/>
  <c r="U14" i="2"/>
  <c r="Q14" i="2"/>
  <c r="S14" i="2" s="1"/>
  <c r="U13" i="2"/>
  <c r="Q13" i="2"/>
  <c r="S13" i="2" s="1"/>
  <c r="U12" i="2"/>
  <c r="V12" i="2" s="1"/>
  <c r="Q12" i="2"/>
  <c r="F12" i="2"/>
  <c r="U11" i="2"/>
  <c r="Q11" i="2"/>
  <c r="S11" i="2" s="1"/>
  <c r="U10" i="2"/>
  <c r="Q10" i="2"/>
  <c r="S10" i="2" s="1"/>
  <c r="U9" i="2"/>
  <c r="V9" i="2" s="1"/>
  <c r="Q9" i="2"/>
  <c r="F9" i="2"/>
  <c r="U8" i="2"/>
  <c r="Q8" i="2"/>
  <c r="S8" i="2" s="1"/>
  <c r="U7" i="2"/>
  <c r="Q7" i="2"/>
  <c r="S7" i="2" s="1"/>
  <c r="U6" i="2"/>
  <c r="V6" i="2" s="1"/>
  <c r="Q6" i="2"/>
  <c r="F6" i="2"/>
  <c r="F3" i="2"/>
  <c r="F9" i="1"/>
  <c r="U16" i="1"/>
  <c r="W6" i="1"/>
  <c r="U13" i="1"/>
  <c r="U10" i="1"/>
  <c r="U7" i="1"/>
  <c r="S16" i="1"/>
  <c r="S13" i="1"/>
  <c r="S10" i="1"/>
  <c r="S7" i="1"/>
  <c r="Q16" i="1"/>
  <c r="Q13" i="1"/>
  <c r="Q10" i="1"/>
  <c r="Q7" i="1"/>
  <c r="O16" i="1"/>
  <c r="O13" i="1"/>
  <c r="O10" i="1"/>
  <c r="O7" i="1"/>
  <c r="M16" i="1"/>
  <c r="M13" i="1"/>
  <c r="M10" i="1"/>
  <c r="M7" i="1"/>
  <c r="K16" i="1"/>
  <c r="L15" i="1"/>
  <c r="K13" i="1"/>
  <c r="K10" i="1"/>
  <c r="K7" i="1"/>
  <c r="K3" i="1"/>
  <c r="G3" i="1"/>
  <c r="G4" i="1"/>
  <c r="G5" i="1"/>
  <c r="G6" i="1"/>
  <c r="G7" i="1"/>
  <c r="G8" i="1"/>
  <c r="G9" i="1"/>
  <c r="G10" i="1"/>
  <c r="G11" i="1"/>
  <c r="G17" i="1"/>
  <c r="G16" i="1"/>
  <c r="G15" i="1"/>
  <c r="G14" i="1"/>
  <c r="G13" i="1"/>
  <c r="I16" i="1"/>
  <c r="J15" i="1"/>
  <c r="I13" i="1"/>
  <c r="I10" i="1"/>
  <c r="I7" i="1"/>
  <c r="I3" i="1"/>
  <c r="C5" i="1"/>
  <c r="C4" i="1"/>
  <c r="C3" i="1"/>
  <c r="C8" i="1"/>
  <c r="C7" i="1"/>
  <c r="C6" i="1"/>
  <c r="C9" i="1"/>
  <c r="C10" i="1"/>
  <c r="C11" i="1"/>
  <c r="C14" i="1"/>
  <c r="C13" i="1"/>
  <c r="C12" i="1"/>
  <c r="C16" i="1"/>
  <c r="C17" i="1"/>
  <c r="C15" i="1"/>
  <c r="F6" i="1"/>
  <c r="M14" i="1"/>
  <c r="M12" i="1"/>
  <c r="U17" i="1"/>
  <c r="Q17" i="1"/>
  <c r="S17" i="1" s="1"/>
  <c r="M17" i="1"/>
  <c r="O17" i="1" s="1"/>
  <c r="I17" i="1"/>
  <c r="K17" i="1" s="1"/>
  <c r="U15" i="1"/>
  <c r="V15" i="1" s="1"/>
  <c r="Q15" i="1"/>
  <c r="M15" i="1"/>
  <c r="I15" i="1"/>
  <c r="H15" i="1"/>
  <c r="F15" i="1"/>
  <c r="U14" i="1"/>
  <c r="Q14" i="1"/>
  <c r="S14" i="1" s="1"/>
  <c r="O14" i="1"/>
  <c r="I14" i="1"/>
  <c r="K14" i="1" s="1"/>
  <c r="U12" i="1"/>
  <c r="V12" i="1" s="1"/>
  <c r="Q12" i="1"/>
  <c r="I12" i="1"/>
  <c r="G12" i="1"/>
  <c r="H12" i="1" s="1"/>
  <c r="F12" i="1"/>
  <c r="U11" i="1"/>
  <c r="Q11" i="1"/>
  <c r="S11" i="1" s="1"/>
  <c r="M11" i="1"/>
  <c r="O11" i="1" s="1"/>
  <c r="I11" i="1"/>
  <c r="K11" i="1" s="1"/>
  <c r="U9" i="1"/>
  <c r="V9" i="1" s="1"/>
  <c r="Q9" i="1"/>
  <c r="M9" i="1"/>
  <c r="I9" i="1"/>
  <c r="H9" i="1"/>
  <c r="U8" i="1"/>
  <c r="Q8" i="1"/>
  <c r="S8" i="1" s="1"/>
  <c r="M8" i="1"/>
  <c r="O8" i="1" s="1"/>
  <c r="I8" i="1"/>
  <c r="K8" i="1" s="1"/>
  <c r="U6" i="1"/>
  <c r="V6" i="1" s="1"/>
  <c r="Q6" i="1"/>
  <c r="M6" i="1"/>
  <c r="I6" i="1"/>
  <c r="H6" i="1"/>
  <c r="I5" i="1"/>
  <c r="K5" i="1" s="1"/>
  <c r="I4" i="1"/>
  <c r="K4" i="1" s="1"/>
  <c r="H3" i="1"/>
  <c r="F3" i="1"/>
  <c r="I3" i="6" l="1"/>
  <c r="G3" i="6"/>
  <c r="I4" i="6"/>
  <c r="K4" i="6" s="1"/>
  <c r="G4" i="6"/>
  <c r="I5" i="6"/>
  <c r="K5" i="6" s="1"/>
  <c r="G5" i="6"/>
  <c r="M6" i="6"/>
  <c r="I6" i="6"/>
  <c r="G6" i="6"/>
  <c r="W6" i="6"/>
  <c r="X6" i="6" s="1"/>
  <c r="S6" i="6"/>
  <c r="T6" i="6" s="1"/>
  <c r="R6" i="6"/>
  <c r="M7" i="6"/>
  <c r="O7" i="6" s="1"/>
  <c r="I7" i="6"/>
  <c r="K7" i="6" s="1"/>
  <c r="G7" i="6"/>
  <c r="M8" i="6"/>
  <c r="O8" i="6" s="1"/>
  <c r="I8" i="6"/>
  <c r="K8" i="6" s="1"/>
  <c r="G8" i="6"/>
  <c r="M9" i="6"/>
  <c r="I9" i="6"/>
  <c r="G9" i="6"/>
  <c r="W9" i="6"/>
  <c r="X9" i="6" s="1"/>
  <c r="S9" i="6"/>
  <c r="T9" i="6" s="1"/>
  <c r="R9" i="6"/>
  <c r="M10" i="6"/>
  <c r="O10" i="6" s="1"/>
  <c r="I10" i="6"/>
  <c r="K10" i="6" s="1"/>
  <c r="G10" i="6"/>
  <c r="M11" i="6"/>
  <c r="O11" i="6" s="1"/>
  <c r="I11" i="6"/>
  <c r="K11" i="6" s="1"/>
  <c r="G11" i="6"/>
  <c r="M12" i="6"/>
  <c r="I12" i="6"/>
  <c r="G12" i="6"/>
  <c r="W12" i="6"/>
  <c r="X12" i="6" s="1"/>
  <c r="S12" i="6"/>
  <c r="T12" i="6" s="1"/>
  <c r="R12" i="6"/>
  <c r="M13" i="6"/>
  <c r="O13" i="6" s="1"/>
  <c r="I13" i="6"/>
  <c r="K13" i="6" s="1"/>
  <c r="G13" i="6"/>
  <c r="M14" i="6"/>
  <c r="O14" i="6" s="1"/>
  <c r="I14" i="6"/>
  <c r="K14" i="6" s="1"/>
  <c r="G14" i="6"/>
  <c r="M15" i="6"/>
  <c r="I15" i="6"/>
  <c r="G15" i="6"/>
  <c r="W15" i="6"/>
  <c r="X15" i="6" s="1"/>
  <c r="S15" i="6"/>
  <c r="T15" i="6" s="1"/>
  <c r="R15" i="6"/>
  <c r="M16" i="6"/>
  <c r="O16" i="6" s="1"/>
  <c r="I16" i="6"/>
  <c r="K16" i="6" s="1"/>
  <c r="G16" i="6"/>
  <c r="M17" i="6"/>
  <c r="O17" i="6" s="1"/>
  <c r="I17" i="6"/>
  <c r="K17" i="6" s="1"/>
  <c r="G17" i="6"/>
  <c r="I3" i="5"/>
  <c r="G3" i="5"/>
  <c r="I4" i="5"/>
  <c r="K4" i="5" s="1"/>
  <c r="G4" i="5"/>
  <c r="I5" i="5"/>
  <c r="K5" i="5" s="1"/>
  <c r="G5" i="5"/>
  <c r="M6" i="5"/>
  <c r="I6" i="5"/>
  <c r="G6" i="5"/>
  <c r="W6" i="5"/>
  <c r="X6" i="5" s="1"/>
  <c r="S6" i="5"/>
  <c r="T6" i="5" s="1"/>
  <c r="R6" i="5"/>
  <c r="M7" i="5"/>
  <c r="O7" i="5" s="1"/>
  <c r="I7" i="5"/>
  <c r="K7" i="5" s="1"/>
  <c r="G7" i="5"/>
  <c r="M8" i="5"/>
  <c r="O8" i="5" s="1"/>
  <c r="I8" i="5"/>
  <c r="K8" i="5" s="1"/>
  <c r="G8" i="5"/>
  <c r="M9" i="5"/>
  <c r="I9" i="5"/>
  <c r="G9" i="5"/>
  <c r="W9" i="5"/>
  <c r="X9" i="5" s="1"/>
  <c r="S9" i="5"/>
  <c r="T9" i="5" s="1"/>
  <c r="R9" i="5"/>
  <c r="M10" i="5"/>
  <c r="O10" i="5" s="1"/>
  <c r="I10" i="5"/>
  <c r="K10" i="5" s="1"/>
  <c r="G10" i="5"/>
  <c r="M11" i="5"/>
  <c r="O11" i="5" s="1"/>
  <c r="I11" i="5"/>
  <c r="K11" i="5" s="1"/>
  <c r="G11" i="5"/>
  <c r="M12" i="5"/>
  <c r="I12" i="5"/>
  <c r="G12" i="5"/>
  <c r="W12" i="5"/>
  <c r="X12" i="5" s="1"/>
  <c r="S12" i="5"/>
  <c r="T12" i="5" s="1"/>
  <c r="R12" i="5"/>
  <c r="M13" i="5"/>
  <c r="O13" i="5" s="1"/>
  <c r="I13" i="5"/>
  <c r="K13" i="5" s="1"/>
  <c r="G13" i="5"/>
  <c r="M14" i="5"/>
  <c r="O14" i="5" s="1"/>
  <c r="I14" i="5"/>
  <c r="K14" i="5" s="1"/>
  <c r="G14" i="5"/>
  <c r="M15" i="5"/>
  <c r="I15" i="5"/>
  <c r="G15" i="5"/>
  <c r="W15" i="5"/>
  <c r="X15" i="5" s="1"/>
  <c r="S15" i="5"/>
  <c r="T15" i="5" s="1"/>
  <c r="R15" i="5"/>
  <c r="M16" i="5"/>
  <c r="O16" i="5" s="1"/>
  <c r="I16" i="5"/>
  <c r="K16" i="5" s="1"/>
  <c r="G16" i="5"/>
  <c r="M17" i="5"/>
  <c r="O17" i="5" s="1"/>
  <c r="I17" i="5"/>
  <c r="K17" i="5" s="1"/>
  <c r="G17" i="5"/>
  <c r="I3" i="4"/>
  <c r="G3" i="4"/>
  <c r="I4" i="4"/>
  <c r="K4" i="4" s="1"/>
  <c r="G4" i="4"/>
  <c r="I5" i="4"/>
  <c r="K5" i="4" s="1"/>
  <c r="G5" i="4"/>
  <c r="M6" i="4"/>
  <c r="I6" i="4"/>
  <c r="G6" i="4"/>
  <c r="W6" i="4"/>
  <c r="X6" i="4" s="1"/>
  <c r="S6" i="4"/>
  <c r="T6" i="4" s="1"/>
  <c r="R6" i="4"/>
  <c r="M7" i="4"/>
  <c r="O7" i="4" s="1"/>
  <c r="I7" i="4"/>
  <c r="K7" i="4" s="1"/>
  <c r="G7" i="4"/>
  <c r="M8" i="4"/>
  <c r="O8" i="4" s="1"/>
  <c r="I8" i="4"/>
  <c r="K8" i="4" s="1"/>
  <c r="G8" i="4"/>
  <c r="M9" i="4"/>
  <c r="I9" i="4"/>
  <c r="G9" i="4"/>
  <c r="W9" i="4"/>
  <c r="X9" i="4" s="1"/>
  <c r="S9" i="4"/>
  <c r="T9" i="4" s="1"/>
  <c r="R9" i="4"/>
  <c r="M10" i="4"/>
  <c r="O10" i="4" s="1"/>
  <c r="I10" i="4"/>
  <c r="K10" i="4" s="1"/>
  <c r="G10" i="4"/>
  <c r="M11" i="4"/>
  <c r="O11" i="4" s="1"/>
  <c r="I11" i="4"/>
  <c r="K11" i="4" s="1"/>
  <c r="G11" i="4"/>
  <c r="M12" i="4"/>
  <c r="I12" i="4"/>
  <c r="G12" i="4"/>
  <c r="W12" i="4"/>
  <c r="X12" i="4" s="1"/>
  <c r="S12" i="4"/>
  <c r="T12" i="4" s="1"/>
  <c r="R12" i="4"/>
  <c r="M13" i="4"/>
  <c r="O13" i="4" s="1"/>
  <c r="I13" i="4"/>
  <c r="K13" i="4" s="1"/>
  <c r="G13" i="4"/>
  <c r="M14" i="4"/>
  <c r="O14" i="4" s="1"/>
  <c r="I14" i="4"/>
  <c r="K14" i="4" s="1"/>
  <c r="G14" i="4"/>
  <c r="M15" i="4"/>
  <c r="I15" i="4"/>
  <c r="G15" i="4"/>
  <c r="W15" i="4"/>
  <c r="X15" i="4" s="1"/>
  <c r="S15" i="4"/>
  <c r="T15" i="4" s="1"/>
  <c r="R15" i="4"/>
  <c r="M16" i="4"/>
  <c r="O16" i="4" s="1"/>
  <c r="I16" i="4"/>
  <c r="K16" i="4" s="1"/>
  <c r="G16" i="4"/>
  <c r="M17" i="4"/>
  <c r="O17" i="4" s="1"/>
  <c r="I17" i="4"/>
  <c r="K17" i="4" s="1"/>
  <c r="G17" i="4"/>
  <c r="I3" i="3"/>
  <c r="G3" i="3"/>
  <c r="I4" i="3"/>
  <c r="K4" i="3" s="1"/>
  <c r="G4" i="3"/>
  <c r="I5" i="3"/>
  <c r="K5" i="3" s="1"/>
  <c r="G5" i="3"/>
  <c r="M6" i="3"/>
  <c r="I6" i="3"/>
  <c r="G6" i="3"/>
  <c r="W6" i="3"/>
  <c r="X6" i="3" s="1"/>
  <c r="S6" i="3"/>
  <c r="T6" i="3" s="1"/>
  <c r="R6" i="3"/>
  <c r="M7" i="3"/>
  <c r="O7" i="3" s="1"/>
  <c r="I7" i="3"/>
  <c r="K7" i="3" s="1"/>
  <c r="G7" i="3"/>
  <c r="M8" i="3"/>
  <c r="O8" i="3" s="1"/>
  <c r="I8" i="3"/>
  <c r="K8" i="3" s="1"/>
  <c r="G8" i="3"/>
  <c r="M9" i="3"/>
  <c r="I9" i="3"/>
  <c r="G9" i="3"/>
  <c r="W9" i="3"/>
  <c r="X9" i="3" s="1"/>
  <c r="S9" i="3"/>
  <c r="T9" i="3" s="1"/>
  <c r="R9" i="3"/>
  <c r="M10" i="3"/>
  <c r="O10" i="3" s="1"/>
  <c r="I10" i="3"/>
  <c r="K10" i="3" s="1"/>
  <c r="G10" i="3"/>
  <c r="M11" i="3"/>
  <c r="O11" i="3" s="1"/>
  <c r="I11" i="3"/>
  <c r="K11" i="3" s="1"/>
  <c r="G11" i="3"/>
  <c r="M12" i="3"/>
  <c r="I12" i="3"/>
  <c r="G12" i="3"/>
  <c r="W12" i="3"/>
  <c r="X12" i="3" s="1"/>
  <c r="S12" i="3"/>
  <c r="T12" i="3" s="1"/>
  <c r="R12" i="3"/>
  <c r="M13" i="3"/>
  <c r="O13" i="3" s="1"/>
  <c r="I13" i="3"/>
  <c r="K13" i="3" s="1"/>
  <c r="G13" i="3"/>
  <c r="M14" i="3"/>
  <c r="O14" i="3" s="1"/>
  <c r="I14" i="3"/>
  <c r="K14" i="3" s="1"/>
  <c r="G14" i="3"/>
  <c r="M15" i="3"/>
  <c r="I15" i="3"/>
  <c r="G15" i="3"/>
  <c r="W15" i="3"/>
  <c r="X15" i="3" s="1"/>
  <c r="S15" i="3"/>
  <c r="T15" i="3" s="1"/>
  <c r="R15" i="3"/>
  <c r="M16" i="3"/>
  <c r="O16" i="3" s="1"/>
  <c r="I16" i="3"/>
  <c r="K16" i="3" s="1"/>
  <c r="G16" i="3"/>
  <c r="I3" i="2"/>
  <c r="G3" i="2"/>
  <c r="I4" i="2"/>
  <c r="K4" i="2" s="1"/>
  <c r="G4" i="2"/>
  <c r="I5" i="2"/>
  <c r="K5" i="2" s="1"/>
  <c r="G5" i="2"/>
  <c r="M6" i="2"/>
  <c r="I6" i="2"/>
  <c r="G6" i="2"/>
  <c r="W6" i="2"/>
  <c r="X6" i="2" s="1"/>
  <c r="S6" i="2"/>
  <c r="T6" i="2" s="1"/>
  <c r="R6" i="2"/>
  <c r="M7" i="2"/>
  <c r="O7" i="2" s="1"/>
  <c r="I7" i="2"/>
  <c r="K7" i="2" s="1"/>
  <c r="G7" i="2"/>
  <c r="M8" i="2"/>
  <c r="O8" i="2" s="1"/>
  <c r="I8" i="2"/>
  <c r="K8" i="2" s="1"/>
  <c r="G8" i="2"/>
  <c r="M9" i="2"/>
  <c r="I9" i="2"/>
  <c r="G9" i="2"/>
  <c r="W9" i="2"/>
  <c r="X9" i="2" s="1"/>
  <c r="S9" i="2"/>
  <c r="T9" i="2" s="1"/>
  <c r="R9" i="2"/>
  <c r="M10" i="2"/>
  <c r="O10" i="2" s="1"/>
  <c r="I10" i="2"/>
  <c r="K10" i="2" s="1"/>
  <c r="G10" i="2"/>
  <c r="M11" i="2"/>
  <c r="O11" i="2" s="1"/>
  <c r="I11" i="2"/>
  <c r="K11" i="2" s="1"/>
  <c r="G11" i="2"/>
  <c r="M12" i="2"/>
  <c r="I12" i="2"/>
  <c r="G12" i="2"/>
  <c r="W12" i="2"/>
  <c r="X12" i="2" s="1"/>
  <c r="S12" i="2"/>
  <c r="T12" i="2" s="1"/>
  <c r="R12" i="2"/>
  <c r="M13" i="2"/>
  <c r="O13" i="2" s="1"/>
  <c r="I13" i="2"/>
  <c r="K13" i="2" s="1"/>
  <c r="G13" i="2"/>
  <c r="M14" i="2"/>
  <c r="O14" i="2" s="1"/>
  <c r="I14" i="2"/>
  <c r="K14" i="2" s="1"/>
  <c r="G14" i="2"/>
  <c r="M15" i="2"/>
  <c r="I15" i="2"/>
  <c r="G15" i="2"/>
  <c r="W15" i="2"/>
  <c r="X15" i="2" s="1"/>
  <c r="S15" i="2"/>
  <c r="T15" i="2" s="1"/>
  <c r="R15" i="2"/>
  <c r="M16" i="2"/>
  <c r="O16" i="2" s="1"/>
  <c r="I16" i="2"/>
  <c r="K16" i="2" s="1"/>
  <c r="G16" i="2"/>
  <c r="M17" i="2"/>
  <c r="O17" i="2" s="1"/>
  <c r="I17" i="2"/>
  <c r="K17" i="2" s="1"/>
  <c r="G17" i="2"/>
  <c r="W15" i="1"/>
  <c r="X15" i="1" s="1"/>
  <c r="K15" i="1"/>
  <c r="O15" i="1"/>
  <c r="P15" i="1" s="1"/>
  <c r="N15" i="1"/>
  <c r="S15" i="1"/>
  <c r="T15" i="1" s="1"/>
  <c r="R15" i="1"/>
  <c r="L3" i="1"/>
  <c r="J3" i="1"/>
  <c r="X6" i="1"/>
  <c r="K6" i="1"/>
  <c r="L6" i="1" s="1"/>
  <c r="J6" i="1"/>
  <c r="O6" i="1"/>
  <c r="P6" i="1" s="1"/>
  <c r="N6" i="1"/>
  <c r="S6" i="1"/>
  <c r="T6" i="1" s="1"/>
  <c r="R6" i="1"/>
  <c r="W9" i="1"/>
  <c r="X9" i="1" s="1"/>
  <c r="K9" i="1"/>
  <c r="L9" i="1" s="1"/>
  <c r="J9" i="1"/>
  <c r="O9" i="1"/>
  <c r="P9" i="1" s="1"/>
  <c r="N9" i="1"/>
  <c r="S9" i="1"/>
  <c r="T9" i="1" s="1"/>
  <c r="R9" i="1"/>
  <c r="W12" i="1"/>
  <c r="X12" i="1" s="1"/>
  <c r="K12" i="1"/>
  <c r="L12" i="1" s="1"/>
  <c r="J12" i="1"/>
  <c r="O12" i="1"/>
  <c r="P12" i="1" s="1"/>
  <c r="N12" i="1"/>
  <c r="S12" i="1"/>
  <c r="T12" i="1" s="1"/>
  <c r="R12" i="1"/>
  <c r="H15" i="6" l="1"/>
  <c r="K15" i="6"/>
  <c r="L15" i="6" s="1"/>
  <c r="J15" i="6"/>
  <c r="O15" i="6"/>
  <c r="P15" i="6" s="1"/>
  <c r="N15" i="6"/>
  <c r="H12" i="6"/>
  <c r="K12" i="6"/>
  <c r="L12" i="6" s="1"/>
  <c r="J12" i="6"/>
  <c r="O12" i="6"/>
  <c r="P12" i="6" s="1"/>
  <c r="N12" i="6"/>
  <c r="H9" i="6"/>
  <c r="K9" i="6"/>
  <c r="L9" i="6" s="1"/>
  <c r="J9" i="6"/>
  <c r="O9" i="6"/>
  <c r="P9" i="6" s="1"/>
  <c r="N9" i="6"/>
  <c r="H6" i="6"/>
  <c r="K6" i="6"/>
  <c r="L6" i="6" s="1"/>
  <c r="J6" i="6"/>
  <c r="O6" i="6"/>
  <c r="P6" i="6" s="1"/>
  <c r="N6" i="6"/>
  <c r="H3" i="6"/>
  <c r="K3" i="6"/>
  <c r="L3" i="6" s="1"/>
  <c r="J3" i="6"/>
  <c r="H15" i="5"/>
  <c r="K15" i="5"/>
  <c r="L15" i="5" s="1"/>
  <c r="J15" i="5"/>
  <c r="O15" i="5"/>
  <c r="P15" i="5" s="1"/>
  <c r="N15" i="5"/>
  <c r="H12" i="5"/>
  <c r="K12" i="5"/>
  <c r="L12" i="5" s="1"/>
  <c r="J12" i="5"/>
  <c r="O12" i="5"/>
  <c r="P12" i="5" s="1"/>
  <c r="N12" i="5"/>
  <c r="H9" i="5"/>
  <c r="K9" i="5"/>
  <c r="L9" i="5" s="1"/>
  <c r="J9" i="5"/>
  <c r="O9" i="5"/>
  <c r="P9" i="5" s="1"/>
  <c r="N9" i="5"/>
  <c r="H6" i="5"/>
  <c r="K6" i="5"/>
  <c r="L6" i="5" s="1"/>
  <c r="J6" i="5"/>
  <c r="O6" i="5"/>
  <c r="P6" i="5" s="1"/>
  <c r="N6" i="5"/>
  <c r="H3" i="5"/>
  <c r="K3" i="5"/>
  <c r="L3" i="5" s="1"/>
  <c r="J3" i="5"/>
  <c r="H15" i="4"/>
  <c r="K15" i="4"/>
  <c r="L15" i="4" s="1"/>
  <c r="J15" i="4"/>
  <c r="O15" i="4"/>
  <c r="P15" i="4" s="1"/>
  <c r="N15" i="4"/>
  <c r="H12" i="4"/>
  <c r="K12" i="4"/>
  <c r="L12" i="4" s="1"/>
  <c r="J12" i="4"/>
  <c r="O12" i="4"/>
  <c r="P12" i="4" s="1"/>
  <c r="N12" i="4"/>
  <c r="H9" i="4"/>
  <c r="K9" i="4"/>
  <c r="L9" i="4" s="1"/>
  <c r="J9" i="4"/>
  <c r="O9" i="4"/>
  <c r="P9" i="4" s="1"/>
  <c r="N9" i="4"/>
  <c r="H6" i="4"/>
  <c r="K6" i="4"/>
  <c r="L6" i="4" s="1"/>
  <c r="J6" i="4"/>
  <c r="O6" i="4"/>
  <c r="P6" i="4" s="1"/>
  <c r="N6" i="4"/>
  <c r="H3" i="4"/>
  <c r="K3" i="4"/>
  <c r="L3" i="4" s="1"/>
  <c r="J3" i="4"/>
  <c r="H15" i="3"/>
  <c r="K15" i="3"/>
  <c r="L15" i="3" s="1"/>
  <c r="J15" i="3"/>
  <c r="O15" i="3"/>
  <c r="H12" i="3"/>
  <c r="K12" i="3"/>
  <c r="L12" i="3" s="1"/>
  <c r="J12" i="3"/>
  <c r="O12" i="3"/>
  <c r="P12" i="3" s="1"/>
  <c r="N12" i="3"/>
  <c r="H9" i="3"/>
  <c r="K9" i="3"/>
  <c r="L9" i="3" s="1"/>
  <c r="J9" i="3"/>
  <c r="O9" i="3"/>
  <c r="P9" i="3" s="1"/>
  <c r="N9" i="3"/>
  <c r="H6" i="3"/>
  <c r="K6" i="3"/>
  <c r="L6" i="3" s="1"/>
  <c r="J6" i="3"/>
  <c r="O6" i="3"/>
  <c r="P6" i="3" s="1"/>
  <c r="N6" i="3"/>
  <c r="H3" i="3"/>
  <c r="K3" i="3"/>
  <c r="L3" i="3" s="1"/>
  <c r="J3" i="3"/>
  <c r="H15" i="2"/>
  <c r="K15" i="2"/>
  <c r="L15" i="2" s="1"/>
  <c r="J15" i="2"/>
  <c r="O15" i="2"/>
  <c r="P15" i="2" s="1"/>
  <c r="N15" i="2"/>
  <c r="H12" i="2"/>
  <c r="K12" i="2"/>
  <c r="L12" i="2" s="1"/>
  <c r="J12" i="2"/>
  <c r="O12" i="2"/>
  <c r="P12" i="2" s="1"/>
  <c r="N12" i="2"/>
  <c r="H9" i="2"/>
  <c r="K9" i="2"/>
  <c r="L9" i="2" s="1"/>
  <c r="J9" i="2"/>
  <c r="O9" i="2"/>
  <c r="P9" i="2" s="1"/>
  <c r="N9" i="2"/>
  <c r="H6" i="2"/>
  <c r="K6" i="2"/>
  <c r="L6" i="2" s="1"/>
  <c r="J6" i="2"/>
  <c r="O6" i="2"/>
  <c r="P6" i="2" s="1"/>
  <c r="N6" i="2"/>
  <c r="H3" i="2"/>
  <c r="K3" i="2"/>
  <c r="L3" i="2" s="1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Mårtensson</author>
  </authors>
  <commentList>
    <comment ref="D12" authorId="0" shapeId="0" xr:uid="{91E32802-FEA3-4A2E-B510-E06FA48A39E7}">
      <text>
        <t>Julia Mårtensson:
dropped gel when using the sieve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Mårtensson</author>
  </authors>
  <commentList>
    <comment ref="D11" authorId="0" shapeId="0" xr:uid="{6390BA55-8FC8-4387-8C62-2BC186198ECD}">
      <text>
        <t>Julia Mårtensson:
The gel fell out of the sieve, so this weight is less than it should be.</t>
      </text>
    </comment>
  </commentList>
</comments>
</file>

<file path=xl/sharedStrings.xml><?xml version="1.0" encoding="utf-8"?>
<sst xmlns="http://schemas.openxmlformats.org/spreadsheetml/2006/main" count="234" uniqueCount="20">
  <si>
    <t>TGM amount</t>
  </si>
  <si>
    <t>Swelling time</t>
  </si>
  <si>
    <r>
      <t xml:space="preserve">Original weight </t>
    </r>
    <r>
      <rPr>
        <b/>
        <sz val="11"/>
        <color theme="1"/>
        <rFont val="Aptos Narrow"/>
        <family val="2"/>
        <scheme val="minor"/>
      </rPr>
      <t>Wo</t>
    </r>
  </si>
  <si>
    <r>
      <t xml:space="preserve">Wet weight </t>
    </r>
    <r>
      <rPr>
        <b/>
        <sz val="11"/>
        <color theme="1"/>
        <rFont val="Aptos Narrow"/>
        <family val="2"/>
        <scheme val="minor"/>
      </rPr>
      <t>Ww</t>
    </r>
  </si>
  <si>
    <r>
      <t xml:space="preserve">Dry weight </t>
    </r>
    <r>
      <rPr>
        <b/>
        <sz val="11"/>
        <color theme="1"/>
        <rFont val="Aptos Narrow"/>
        <family val="2"/>
        <scheme val="minor"/>
      </rPr>
      <t>Wd</t>
    </r>
  </si>
  <si>
    <t>Initial dry content</t>
  </si>
  <si>
    <t>Initial water content</t>
  </si>
  <si>
    <t>Water uptake</t>
  </si>
  <si>
    <t>Final water content</t>
  </si>
  <si>
    <t>Final dry content</t>
  </si>
  <si>
    <t>Loss of dry content</t>
  </si>
  <si>
    <t>µl/10 ml</t>
  </si>
  <si>
    <t>min</t>
  </si>
  <si>
    <t>g</t>
  </si>
  <si>
    <t>Average g</t>
  </si>
  <si>
    <t>%</t>
  </si>
  <si>
    <t>Average %</t>
  </si>
  <si>
    <t>ml/g gel</t>
  </si>
  <si>
    <t>Average ml/g gel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</si>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</sst>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ck">
        <color indexed="64"/>
      </left>
      <right style="thin">
        <color rgb="FF000000"/>
      </right>
      <top/>
      <bottom style="thick">
        <color indexed="64"/>
      </bottom>
      <diagonal/>
    </border>
    <border>
      <left/>
      <right style="thin">
        <color rgb="FF000000"/>
      </right>
      <top/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0" xfId="0" applyBorder="1"/>
    <xf numFmtId="164" fontId="0" fillId="0" borderId="28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5F54-0878-45C8-829D-4DA2D435AFE2}">
  <dimension ref="A1:Z17"/>
  <sheetViews>
    <sheetView workbookViewId="0">
      <selection activeCell="V20" sqref="V20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1" max="11" width="11.7109375" customWidth="1"/>
    <col min="12" max="12" width="11.14062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 t="s">
        <v>5</v>
      </c>
      <c r="H1" s="7"/>
      <c r="I1" s="7" t="s">
        <v>6</v>
      </c>
      <c r="J1" s="7"/>
      <c r="K1" s="7"/>
      <c r="L1" s="8"/>
      <c r="M1" s="7" t="s">
        <v>7</v>
      </c>
      <c r="N1" s="7"/>
      <c r="O1" s="7"/>
      <c r="P1" s="7"/>
      <c r="Q1" s="6" t="s">
        <v>8</v>
      </c>
      <c r="R1" s="7"/>
      <c r="S1" s="7"/>
      <c r="T1" s="7"/>
      <c r="U1" s="6" t="s">
        <v>9</v>
      </c>
      <c r="V1" s="7"/>
      <c r="W1" s="6" t="s">
        <v>10</v>
      </c>
      <c r="X1" s="9"/>
    </row>
    <row r="2" spans="1:26">
      <c r="A2" s="10" t="s">
        <v>11</v>
      </c>
      <c r="B2" s="11" t="s">
        <v>12</v>
      </c>
      <c r="C2" s="12" t="s">
        <v>13</v>
      </c>
      <c r="D2" s="12" t="s">
        <v>13</v>
      </c>
      <c r="E2" s="12" t="s">
        <v>13</v>
      </c>
      <c r="F2" s="12" t="s">
        <v>14</v>
      </c>
      <c r="G2" s="13" t="s">
        <v>15</v>
      </c>
      <c r="H2" s="14" t="s">
        <v>16</v>
      </c>
      <c r="I2" s="13" t="s">
        <v>13</v>
      </c>
      <c r="J2" s="15" t="s">
        <v>14</v>
      </c>
      <c r="K2" s="14" t="s">
        <v>15</v>
      </c>
      <c r="L2" s="14" t="s">
        <v>16</v>
      </c>
      <c r="M2" s="16" t="s">
        <v>13</v>
      </c>
      <c r="N2" s="15" t="s">
        <v>14</v>
      </c>
      <c r="O2" s="14" t="s">
        <v>17</v>
      </c>
      <c r="P2" s="15" t="s">
        <v>18</v>
      </c>
      <c r="Q2" s="14" t="s">
        <v>13</v>
      </c>
      <c r="R2" s="15" t="s">
        <v>14</v>
      </c>
      <c r="S2" s="14" t="s">
        <v>15</v>
      </c>
      <c r="T2" s="14" t="s">
        <v>16</v>
      </c>
      <c r="U2" s="13" t="s">
        <v>15</v>
      </c>
      <c r="V2" s="14" t="s">
        <v>16</v>
      </c>
      <c r="W2" s="13" t="s">
        <v>13</v>
      </c>
      <c r="X2" s="17" t="s">
        <v>15</v>
      </c>
    </row>
    <row r="3" spans="1:26">
      <c r="A3" s="62">
        <v>65</v>
      </c>
      <c r="B3" s="18">
        <v>0</v>
      </c>
      <c r="C3" s="19">
        <f>1.747-0.667</f>
        <v>1.08</v>
      </c>
      <c r="D3" s="19" t="s">
        <v>19</v>
      </c>
      <c r="E3" s="19">
        <v>3.6999999999999998E-2</v>
      </c>
      <c r="F3" s="20">
        <f>AVERAGE(E3:E5)</f>
        <v>3.5000000000000003E-2</v>
      </c>
      <c r="G3" s="43">
        <f>E3*100/C3</f>
        <v>3.4259259259259256</v>
      </c>
      <c r="H3" s="39">
        <f>AVERAGE(G3:G5)</f>
        <v>3.2972162246283947</v>
      </c>
      <c r="I3" s="43">
        <f>C3-E3</f>
        <v>1.0430000000000001</v>
      </c>
      <c r="J3" s="20">
        <f>AVERAGE(I3:I5)</f>
        <v>1.0270000000000001</v>
      </c>
      <c r="K3" s="42">
        <f>I3*100/C3</f>
        <v>96.574074074074076</v>
      </c>
      <c r="L3" s="39">
        <f>AVERAGE(K3:K5)</f>
        <v>96.7027837753716</v>
      </c>
      <c r="M3" s="84">
        <v>0</v>
      </c>
      <c r="N3" s="85">
        <v>0</v>
      </c>
      <c r="O3" s="86">
        <v>0</v>
      </c>
      <c r="P3" s="85">
        <v>0</v>
      </c>
      <c r="Q3" s="86"/>
      <c r="R3" s="87"/>
      <c r="S3" s="86"/>
      <c r="T3" s="86"/>
      <c r="U3" s="88"/>
      <c r="V3" s="86"/>
      <c r="W3" s="88"/>
      <c r="X3" s="89"/>
    </row>
    <row r="4" spans="1:26">
      <c r="A4" s="63"/>
      <c r="B4" s="18"/>
      <c r="C4" s="19">
        <f>1.627-0.611</f>
        <v>1.016</v>
      </c>
      <c r="D4" s="19" t="s">
        <v>19</v>
      </c>
      <c r="E4" s="19">
        <v>3.4000000000000002E-2</v>
      </c>
      <c r="F4" s="20"/>
      <c r="G4" s="43">
        <f>E4*100/C4</f>
        <v>3.3464566929133861</v>
      </c>
      <c r="H4" s="39"/>
      <c r="I4" s="43">
        <f t="shared" ref="I4:I17" si="0">C4-E4</f>
        <v>0.98199999999999998</v>
      </c>
      <c r="J4" s="20"/>
      <c r="K4" s="42">
        <f t="shared" ref="K4:K17" si="1">I4*100/C4</f>
        <v>96.653543307086622</v>
      </c>
      <c r="L4" s="39"/>
      <c r="M4" s="84">
        <v>0</v>
      </c>
      <c r="N4" s="85"/>
      <c r="O4" s="86">
        <v>0</v>
      </c>
      <c r="P4" s="85"/>
      <c r="Q4" s="86"/>
      <c r="R4" s="87"/>
      <c r="S4" s="86"/>
      <c r="T4" s="86"/>
      <c r="U4" s="88"/>
      <c r="V4" s="86"/>
      <c r="W4" s="88"/>
      <c r="X4" s="89"/>
    </row>
    <row r="5" spans="1:26">
      <c r="A5" s="63"/>
      <c r="B5" s="23"/>
      <c r="C5" s="24">
        <f>1.72-0.63</f>
        <v>1.0899999999999999</v>
      </c>
      <c r="D5" s="24" t="s">
        <v>19</v>
      </c>
      <c r="E5" s="24">
        <v>3.4000000000000002E-2</v>
      </c>
      <c r="F5" s="20"/>
      <c r="G5" s="72">
        <f>E5*100/C5</f>
        <v>3.1192660550458724</v>
      </c>
      <c r="H5" s="82"/>
      <c r="I5" s="72">
        <f t="shared" si="0"/>
        <v>1.0559999999999998</v>
      </c>
      <c r="J5" s="25"/>
      <c r="K5" s="90">
        <f t="shared" si="1"/>
        <v>96.880733944954116</v>
      </c>
      <c r="L5" s="82"/>
      <c r="M5" s="91">
        <v>0</v>
      </c>
      <c r="N5" s="92"/>
      <c r="O5" s="93">
        <v>0</v>
      </c>
      <c r="P5" s="92"/>
      <c r="Q5" s="93"/>
      <c r="R5" s="94"/>
      <c r="S5" s="93"/>
      <c r="T5" s="93"/>
      <c r="U5" s="95"/>
      <c r="V5" s="93"/>
      <c r="W5" s="95"/>
      <c r="X5" s="89"/>
    </row>
    <row r="6" spans="1:26">
      <c r="A6" s="63"/>
      <c r="B6" s="28">
        <v>15</v>
      </c>
      <c r="C6" s="29">
        <f>1.621-0.633</f>
        <v>0.98799999999999999</v>
      </c>
      <c r="D6" s="47">
        <v>1.2769999999999999</v>
      </c>
      <c r="E6" s="29">
        <v>3.1E-2</v>
      </c>
      <c r="F6" s="67">
        <f>AVERAGE(E6:E8)</f>
        <v>3.1666666666666669E-2</v>
      </c>
      <c r="G6" s="73">
        <f>E6*100/C6</f>
        <v>3.1376518218623484</v>
      </c>
      <c r="H6" s="81">
        <f>AVERAGE(G6:G8)</f>
        <v>3.142045673751467</v>
      </c>
      <c r="I6" s="73">
        <f t="shared" si="0"/>
        <v>0.95699999999999996</v>
      </c>
      <c r="J6" s="30">
        <f>AVERAGE(I6:I8)</f>
        <v>0.97633333333333328</v>
      </c>
      <c r="K6" s="80">
        <f t="shared" si="1"/>
        <v>96.862348178137651</v>
      </c>
      <c r="L6" s="81">
        <f>AVERAGE(K6:K8)</f>
        <v>96.857954326248546</v>
      </c>
      <c r="M6" s="96">
        <f>D6-C6</f>
        <v>0.28899999999999992</v>
      </c>
      <c r="N6" s="30">
        <f>AVERAGE(M6:M8)</f>
        <v>0.21299999999999994</v>
      </c>
      <c r="O6" s="80">
        <f>M6/C6</f>
        <v>0.29251012145748978</v>
      </c>
      <c r="P6" s="30">
        <f>AVERAGE(O6:O8)</f>
        <v>0.21232874996609974</v>
      </c>
      <c r="Q6" s="80">
        <f>D6-E6</f>
        <v>1.246</v>
      </c>
      <c r="R6" s="30">
        <f>AVERAGE(Q6:Q8)</f>
        <v>1.1893333333333334</v>
      </c>
      <c r="S6" s="80">
        <f>Q6*100/D6</f>
        <v>97.572435395458101</v>
      </c>
      <c r="T6" s="81">
        <f>AVERAGE(S6,S8)</f>
        <v>97.440731586617943</v>
      </c>
      <c r="U6" s="73">
        <f t="shared" ref="U6:U17" si="2">E6*100/D6</f>
        <v>2.4275646045418955</v>
      </c>
      <c r="V6" s="81">
        <f>AVERAGE(U6,U8)</f>
        <v>2.5592684133820587</v>
      </c>
      <c r="W6" s="33">
        <f>F6-$F$3</f>
        <v>-3.333333333333334E-3</v>
      </c>
      <c r="X6" s="97">
        <f>-W6*100/$F$3</f>
        <v>9.5238095238095237</v>
      </c>
    </row>
    <row r="7" spans="1:26">
      <c r="A7" s="63"/>
      <c r="B7" s="46"/>
      <c r="C7" s="47">
        <f>1.633-0.622</f>
        <v>1.0110000000000001</v>
      </c>
      <c r="D7" s="47">
        <v>1.234</v>
      </c>
      <c r="E7" s="47">
        <v>3.3000000000000002E-2</v>
      </c>
      <c r="F7" s="48"/>
      <c r="G7" s="78">
        <f>E7*100/C7</f>
        <v>3.2640949554896141</v>
      </c>
      <c r="H7" s="48"/>
      <c r="I7" s="78">
        <f t="shared" si="0"/>
        <v>0.97800000000000009</v>
      </c>
      <c r="J7" s="48"/>
      <c r="K7" s="78">
        <f t="shared" si="1"/>
        <v>96.735905044510389</v>
      </c>
      <c r="L7" s="48"/>
      <c r="M7" s="98">
        <f>D7-C7</f>
        <v>0.22299999999999986</v>
      </c>
      <c r="N7" s="48"/>
      <c r="O7" s="78">
        <f>M7/C7</f>
        <v>0.22057368941641922</v>
      </c>
      <c r="P7" s="48"/>
      <c r="Q7" s="78">
        <f>D7-E7</f>
        <v>1.2010000000000001</v>
      </c>
      <c r="R7" s="48"/>
      <c r="S7" s="78">
        <f>Q7*100/D7</f>
        <v>97.325769854132915</v>
      </c>
      <c r="T7" s="48"/>
      <c r="U7" s="78">
        <f t="shared" si="2"/>
        <v>2.674230145867099</v>
      </c>
      <c r="V7" s="48"/>
      <c r="W7" s="34"/>
      <c r="X7" s="99"/>
    </row>
    <row r="8" spans="1:26">
      <c r="A8" s="63"/>
      <c r="B8" s="23"/>
      <c r="C8" s="24">
        <f>1.651-0.626</f>
        <v>1.0249999999999999</v>
      </c>
      <c r="D8" s="24">
        <v>1.1519999999999999</v>
      </c>
      <c r="E8" s="24">
        <v>3.1E-2</v>
      </c>
      <c r="F8" s="68"/>
      <c r="G8" s="72">
        <f>E8*100/C8</f>
        <v>3.0243902439024395</v>
      </c>
      <c r="H8" s="82"/>
      <c r="I8" s="72">
        <f t="shared" si="0"/>
        <v>0.99399999999999988</v>
      </c>
      <c r="J8" s="25"/>
      <c r="K8" s="90">
        <f t="shared" si="1"/>
        <v>96.975609756097555</v>
      </c>
      <c r="L8" s="82"/>
      <c r="M8" s="100">
        <f t="shared" ref="M8:M17" si="3">D8-C8</f>
        <v>0.127</v>
      </c>
      <c r="N8" s="25"/>
      <c r="O8" s="90">
        <f t="shared" ref="O8:O17" si="4">M8/C8</f>
        <v>0.12390243902439026</v>
      </c>
      <c r="P8" s="25"/>
      <c r="Q8" s="90">
        <f t="shared" ref="Q8:Q17" si="5">D8-E8</f>
        <v>1.121</v>
      </c>
      <c r="R8" s="25"/>
      <c r="S8" s="90">
        <f t="shared" ref="S8:S17" si="6">Q8*100/D8</f>
        <v>97.309027777777786</v>
      </c>
      <c r="T8" s="82"/>
      <c r="U8" s="72">
        <f t="shared" si="2"/>
        <v>2.6909722222222223</v>
      </c>
      <c r="V8" s="82"/>
      <c r="W8" s="101"/>
      <c r="X8" s="102"/>
    </row>
    <row r="9" spans="1:26">
      <c r="A9" s="63"/>
      <c r="B9" s="28">
        <v>30</v>
      </c>
      <c r="C9" s="19">
        <f>1.6-0.61</f>
        <v>0.9900000000000001</v>
      </c>
      <c r="D9" s="50">
        <v>1.4390000000000001</v>
      </c>
      <c r="E9" s="19">
        <v>3.1E-2</v>
      </c>
      <c r="F9" s="20">
        <f>AVERAGE(E9:E11)</f>
        <v>3.2333333333333332E-2</v>
      </c>
      <c r="G9" s="43">
        <f>E9*100/C9</f>
        <v>3.131313131313131</v>
      </c>
      <c r="H9" s="81">
        <f t="shared" ref="H9" si="7">AVERAGE(G9:G11)</f>
        <v>3.2168108712246894</v>
      </c>
      <c r="I9" s="43">
        <f t="shared" si="0"/>
        <v>0.95900000000000007</v>
      </c>
      <c r="J9" s="30">
        <f t="shared" ref="J9" si="8">AVERAGE(I9:I11)</f>
        <v>0.97266666666666668</v>
      </c>
      <c r="K9" s="42">
        <f t="shared" si="1"/>
        <v>96.868686868686865</v>
      </c>
      <c r="L9" s="81">
        <f>AVERAGE(K9:K11)</f>
        <v>96.783189128775305</v>
      </c>
      <c r="M9" s="96">
        <f t="shared" si="3"/>
        <v>0.44899999999999995</v>
      </c>
      <c r="N9" s="30">
        <f t="shared" ref="N9" si="9">AVERAGE(M9:M11)</f>
        <v>0.39200000000000007</v>
      </c>
      <c r="O9" s="42">
        <f t="shared" si="4"/>
        <v>0.45353535353535346</v>
      </c>
      <c r="P9" s="20">
        <f t="shared" ref="P9" si="10">AVERAGE(O9:O11)</f>
        <v>0.3907932165736106</v>
      </c>
      <c r="Q9" s="42">
        <f t="shared" si="5"/>
        <v>1.4080000000000001</v>
      </c>
      <c r="R9" s="20">
        <f t="shared" ref="R9" si="11">AVERAGE(Q9:Q11)</f>
        <v>1.3646666666666667</v>
      </c>
      <c r="S9" s="42">
        <f t="shared" si="6"/>
        <v>97.845726198749134</v>
      </c>
      <c r="T9" s="39">
        <f t="shared" ref="T9" si="12">AVERAGE(S9,S11)</f>
        <v>97.731500478376802</v>
      </c>
      <c r="U9" s="43">
        <f t="shared" si="2"/>
        <v>2.1542738012508686</v>
      </c>
      <c r="V9" s="39">
        <f t="shared" ref="V9" si="13">AVERAGE(U9,U11)</f>
        <v>2.2684995216232009</v>
      </c>
      <c r="W9" s="34">
        <f t="shared" ref="W9" si="14">F9-$F$3</f>
        <v>-2.6666666666666713E-3</v>
      </c>
      <c r="X9" s="103">
        <f t="shared" ref="X9" si="15">-W9*100/$F$3</f>
        <v>7.6190476190476328</v>
      </c>
    </row>
    <row r="10" spans="1:26">
      <c r="A10" s="63"/>
      <c r="B10" s="46"/>
      <c r="C10" s="19">
        <f>1.677-0.631</f>
        <v>1.046</v>
      </c>
      <c r="D10" s="47">
        <v>1.409</v>
      </c>
      <c r="E10" s="19">
        <v>3.4000000000000002E-2</v>
      </c>
      <c r="F10" s="20"/>
      <c r="G10" s="43">
        <f>E10*100/C10</f>
        <v>3.2504780114722753</v>
      </c>
      <c r="H10" s="48"/>
      <c r="I10" s="43">
        <f t="shared" si="0"/>
        <v>1.012</v>
      </c>
      <c r="J10" s="20"/>
      <c r="K10" s="42">
        <f t="shared" si="1"/>
        <v>96.749521988527718</v>
      </c>
      <c r="L10" s="48"/>
      <c r="M10" s="98">
        <f>D10-C10</f>
        <v>0.36299999999999999</v>
      </c>
      <c r="N10" s="20"/>
      <c r="O10" s="42">
        <f t="shared" si="4"/>
        <v>0.3470363288718929</v>
      </c>
      <c r="P10" s="20"/>
      <c r="Q10" s="42">
        <f t="shared" si="5"/>
        <v>1.375</v>
      </c>
      <c r="R10" s="20"/>
      <c r="S10" s="42">
        <f t="shared" si="6"/>
        <v>97.586941092973731</v>
      </c>
      <c r="T10" s="39"/>
      <c r="U10" s="43">
        <f t="shared" si="2"/>
        <v>2.4130589070262598</v>
      </c>
      <c r="V10" s="39"/>
      <c r="W10" s="34"/>
      <c r="X10" s="104"/>
    </row>
    <row r="11" spans="1:26">
      <c r="A11" s="63"/>
      <c r="B11" s="46"/>
      <c r="C11" s="19">
        <f>1.632-0.653</f>
        <v>0.97899999999999987</v>
      </c>
      <c r="D11" s="53">
        <v>1.343</v>
      </c>
      <c r="E11" s="19">
        <v>3.2000000000000001E-2</v>
      </c>
      <c r="F11" s="20"/>
      <c r="G11" s="43">
        <f>E11*100/C11</f>
        <v>3.2686414708886624</v>
      </c>
      <c r="H11" s="48"/>
      <c r="I11" s="43">
        <f t="shared" si="0"/>
        <v>0.94699999999999984</v>
      </c>
      <c r="J11" s="20"/>
      <c r="K11" s="42">
        <f t="shared" si="1"/>
        <v>96.731358529111333</v>
      </c>
      <c r="L11" s="48"/>
      <c r="M11" s="98">
        <f t="shared" si="3"/>
        <v>0.3640000000000001</v>
      </c>
      <c r="N11" s="20"/>
      <c r="O11" s="42">
        <f t="shared" si="4"/>
        <v>0.37180796731358545</v>
      </c>
      <c r="P11" s="20"/>
      <c r="Q11" s="42">
        <f t="shared" si="5"/>
        <v>1.3109999999999999</v>
      </c>
      <c r="R11" s="20"/>
      <c r="S11" s="42">
        <f t="shared" si="6"/>
        <v>97.61727475800447</v>
      </c>
      <c r="T11" s="39"/>
      <c r="U11" s="43">
        <f t="shared" si="2"/>
        <v>2.3827252419955327</v>
      </c>
      <c r="V11" s="39"/>
      <c r="W11" s="34"/>
      <c r="X11" s="104"/>
      <c r="Y11" s="55"/>
      <c r="Z11" s="55"/>
    </row>
    <row r="12" spans="1:26">
      <c r="A12" s="63"/>
      <c r="B12" s="60">
        <v>60</v>
      </c>
      <c r="C12" s="50">
        <f>1.71-0.646</f>
        <v>1.0640000000000001</v>
      </c>
      <c r="D12" s="115">
        <v>1.5409999999999999</v>
      </c>
      <c r="E12" s="50">
        <v>2.9000000000000001E-2</v>
      </c>
      <c r="F12" s="56">
        <f>AVERAGE(E12:E14)</f>
        <v>2.8333333333333335E-2</v>
      </c>
      <c r="G12" s="74">
        <f t="shared" ref="G12:G22" si="16">E12*100/C12</f>
        <v>2.7255639097744364</v>
      </c>
      <c r="H12" s="56">
        <f>AVERAGE(G12:G14)</f>
        <v>2.7446259449740098</v>
      </c>
      <c r="I12" s="74">
        <f t="shared" si="0"/>
        <v>1.0350000000000001</v>
      </c>
      <c r="J12" s="56">
        <f>AVERAGE(I12:I14)</f>
        <v>1.0043333333333333</v>
      </c>
      <c r="K12" s="74">
        <f t="shared" si="1"/>
        <v>97.274436090225578</v>
      </c>
      <c r="L12" s="81">
        <f>AVERAGE(K12:K14)</f>
        <v>97.255374055025982</v>
      </c>
      <c r="M12" s="96">
        <f t="shared" si="3"/>
        <v>0.47699999999999987</v>
      </c>
      <c r="N12" s="56">
        <f>AVERAGE(M12:M14)</f>
        <v>0.57833333333333325</v>
      </c>
      <c r="O12" s="74">
        <f t="shared" si="4"/>
        <v>0.4483082706766916</v>
      </c>
      <c r="P12" s="56">
        <f>AVERAGE(O12:O14)</f>
        <v>0.56241842555258847</v>
      </c>
      <c r="Q12" s="74">
        <f t="shared" si="5"/>
        <v>1.512</v>
      </c>
      <c r="R12" s="56">
        <f>AVERAGE(Q12:Q14)</f>
        <v>1.5826666666666667</v>
      </c>
      <c r="S12" s="74">
        <f t="shared" si="6"/>
        <v>98.118105126541209</v>
      </c>
      <c r="T12" s="56">
        <f>AVERAGE(S12,S14)</f>
        <v>98.196452440042009</v>
      </c>
      <c r="U12" s="74">
        <f t="shared" si="2"/>
        <v>1.8818948734587932</v>
      </c>
      <c r="V12" s="56">
        <f>AVERAGE(U12,U14)</f>
        <v>1.8035475599579858</v>
      </c>
      <c r="W12" s="51">
        <f t="shared" ref="W12" si="17">F12-$F$3</f>
        <v>-6.666666666666668E-3</v>
      </c>
      <c r="X12" s="105">
        <f t="shared" ref="X12" si="18">-W12*100/$F$3</f>
        <v>19.047619047619047</v>
      </c>
      <c r="Y12" s="55"/>
      <c r="Z12" s="55"/>
    </row>
    <row r="13" spans="1:26">
      <c r="A13" s="63"/>
      <c r="B13" s="46"/>
      <c r="C13" s="47">
        <f>1.653-0.655</f>
        <v>0.998</v>
      </c>
      <c r="D13" s="19">
        <v>1.669</v>
      </c>
      <c r="E13" s="47">
        <v>2.8000000000000001E-2</v>
      </c>
      <c r="F13" s="48"/>
      <c r="G13" s="78">
        <f>E13*100/C13</f>
        <v>2.8056112224448899</v>
      </c>
      <c r="H13" s="48"/>
      <c r="I13" s="78">
        <f t="shared" si="0"/>
        <v>0.97</v>
      </c>
      <c r="J13" s="48"/>
      <c r="K13" s="78">
        <f t="shared" si="1"/>
        <v>97.194388777555105</v>
      </c>
      <c r="L13" s="48"/>
      <c r="M13" s="98">
        <f>D13-C13</f>
        <v>0.67100000000000004</v>
      </c>
      <c r="N13" s="48"/>
      <c r="O13" s="78">
        <f t="shared" si="4"/>
        <v>0.67234468937875758</v>
      </c>
      <c r="P13" s="48"/>
      <c r="Q13" s="78">
        <f t="shared" si="5"/>
        <v>1.641</v>
      </c>
      <c r="R13" s="48"/>
      <c r="S13" s="78">
        <f t="shared" si="6"/>
        <v>98.322348711803471</v>
      </c>
      <c r="T13" s="48"/>
      <c r="U13" s="78">
        <f t="shared" si="2"/>
        <v>1.6776512881965251</v>
      </c>
      <c r="V13" s="66"/>
      <c r="W13" s="48"/>
      <c r="X13" s="104"/>
      <c r="Y13" s="55"/>
      <c r="Z13" s="55"/>
    </row>
    <row r="14" spans="1:26">
      <c r="A14" s="63"/>
      <c r="B14" s="61"/>
      <c r="C14" s="53">
        <f>1.707-0.671</f>
        <v>1.036</v>
      </c>
      <c r="D14" s="19">
        <v>1.623</v>
      </c>
      <c r="E14" s="53">
        <v>2.8000000000000001E-2</v>
      </c>
      <c r="F14" s="54"/>
      <c r="G14" s="114">
        <f>E14*100/C14</f>
        <v>2.7027027027027031</v>
      </c>
      <c r="H14" s="57"/>
      <c r="I14" s="75">
        <f t="shared" si="0"/>
        <v>1.008</v>
      </c>
      <c r="J14" s="57"/>
      <c r="K14" s="75">
        <f t="shared" si="1"/>
        <v>97.297297297297291</v>
      </c>
      <c r="L14" s="82"/>
      <c r="M14" s="98">
        <f t="shared" si="3"/>
        <v>0.58699999999999997</v>
      </c>
      <c r="N14" s="57"/>
      <c r="O14" s="75">
        <f t="shared" si="4"/>
        <v>0.56660231660231652</v>
      </c>
      <c r="P14" s="57"/>
      <c r="Q14" s="75">
        <f t="shared" si="5"/>
        <v>1.595</v>
      </c>
      <c r="R14" s="57"/>
      <c r="S14" s="75">
        <f t="shared" si="6"/>
        <v>98.274799753542823</v>
      </c>
      <c r="T14" s="57"/>
      <c r="U14" s="75">
        <f t="shared" si="2"/>
        <v>1.7252002464571783</v>
      </c>
      <c r="V14" s="57"/>
      <c r="W14" s="54"/>
      <c r="X14" s="106"/>
      <c r="Y14" s="55"/>
      <c r="Z14" s="55"/>
    </row>
    <row r="15" spans="1:26">
      <c r="A15" s="63"/>
      <c r="B15" s="46">
        <v>180</v>
      </c>
      <c r="C15" s="47">
        <f>1.591-0.622</f>
        <v>0.96899999999999997</v>
      </c>
      <c r="D15" s="29">
        <v>2.17</v>
      </c>
      <c r="E15" s="47">
        <v>2.4E-2</v>
      </c>
      <c r="F15" s="20">
        <f>AVERAGE(E15:E17)</f>
        <v>2.1000000000000001E-2</v>
      </c>
      <c r="G15" s="43">
        <f>E15*100/C15</f>
        <v>2.4767801857585141</v>
      </c>
      <c r="H15" s="48">
        <f>AVERAGE(G15:G17)</f>
        <v>2.0453402146092254</v>
      </c>
      <c r="I15" s="43">
        <f t="shared" si="0"/>
        <v>0.94499999999999995</v>
      </c>
      <c r="J15" s="20">
        <f>AVERAGE(I15:I17)</f>
        <v>1.0116666666666667</v>
      </c>
      <c r="K15" s="65">
        <f t="shared" si="1"/>
        <v>97.523219814241486</v>
      </c>
      <c r="L15" s="48">
        <f>AVERAGE(K15:K17)</f>
        <v>97.954659785390774</v>
      </c>
      <c r="M15" s="107">
        <f t="shared" si="3"/>
        <v>1.2010000000000001</v>
      </c>
      <c r="N15" s="20">
        <f>AVERAGE(M15:M16)</f>
        <v>0.77450000000000008</v>
      </c>
      <c r="O15" s="65">
        <f t="shared" si="4"/>
        <v>1.239422084623323</v>
      </c>
      <c r="P15" s="20">
        <f>AVERAGE(O15:O16)</f>
        <v>0.78432788242519047</v>
      </c>
      <c r="Q15" s="65">
        <f t="shared" si="5"/>
        <v>2.1459999999999999</v>
      </c>
      <c r="R15" s="20">
        <f>AVERAGE(Q15:Q17)</f>
        <v>1.7675000000000001</v>
      </c>
      <c r="S15" s="65">
        <f t="shared" si="6"/>
        <v>98.894009216589865</v>
      </c>
      <c r="T15" s="48">
        <f>AVERAGE(S15,S17)</f>
        <v>98.894009216589865</v>
      </c>
      <c r="U15" s="43">
        <f t="shared" si="2"/>
        <v>1.1059907834101383</v>
      </c>
      <c r="V15" s="48">
        <f>AVERAGE(U15,U17)</f>
        <v>1.1059907834101383</v>
      </c>
      <c r="W15" s="34">
        <f t="shared" ref="W15" si="19">F15-$F$3</f>
        <v>-1.4000000000000002E-2</v>
      </c>
      <c r="X15" s="99">
        <f t="shared" ref="X15" si="20">-W15*100/$F$3</f>
        <v>40</v>
      </c>
      <c r="Z15" s="55"/>
    </row>
    <row r="16" spans="1:26">
      <c r="A16" s="63"/>
      <c r="B16" s="46"/>
      <c r="C16" s="47">
        <f>1.692-0.635</f>
        <v>1.0569999999999999</v>
      </c>
      <c r="D16" s="47">
        <v>1.405</v>
      </c>
      <c r="E16" s="47">
        <v>1.6E-2</v>
      </c>
      <c r="F16" s="20"/>
      <c r="G16" s="43">
        <f>E16*100/C16</f>
        <v>1.513718070009461</v>
      </c>
      <c r="H16" s="48"/>
      <c r="I16" s="43">
        <f t="shared" si="0"/>
        <v>1.0409999999999999</v>
      </c>
      <c r="J16" s="20"/>
      <c r="K16" s="65">
        <f t="shared" si="1"/>
        <v>98.48628192999054</v>
      </c>
      <c r="L16" s="48"/>
      <c r="M16" s="98">
        <f>D16-C16</f>
        <v>0.34800000000000009</v>
      </c>
      <c r="N16" s="20"/>
      <c r="O16" s="65">
        <f t="shared" si="4"/>
        <v>0.32923368022705779</v>
      </c>
      <c r="P16" s="48"/>
      <c r="Q16" s="78">
        <f t="shared" si="5"/>
        <v>1.389</v>
      </c>
      <c r="R16" s="20"/>
      <c r="S16" s="65">
        <f t="shared" si="6"/>
        <v>98.861209964412808</v>
      </c>
      <c r="T16" s="48"/>
      <c r="U16" s="43">
        <f t="shared" si="2"/>
        <v>1.1387900355871887</v>
      </c>
      <c r="V16" s="48"/>
      <c r="W16" s="34"/>
      <c r="X16" s="99"/>
      <c r="Z16" s="55"/>
    </row>
    <row r="17" spans="1:24">
      <c r="A17" s="64"/>
      <c r="B17" s="35"/>
      <c r="C17" s="14">
        <f>1.792-0.72</f>
        <v>1.0720000000000001</v>
      </c>
      <c r="D17" s="14" t="s">
        <v>19</v>
      </c>
      <c r="E17" s="14">
        <v>2.3E-2</v>
      </c>
      <c r="F17" s="36"/>
      <c r="G17" s="44">
        <f>E17*100/C17</f>
        <v>2.1455223880597014</v>
      </c>
      <c r="H17" s="40"/>
      <c r="I17" s="44">
        <f>C17-E17</f>
        <v>1.0490000000000002</v>
      </c>
      <c r="J17" s="36"/>
      <c r="K17" s="45">
        <f>I17*100/C17</f>
        <v>97.854477611940311</v>
      </c>
      <c r="L17" s="40"/>
      <c r="M17" s="108" t="s">
        <v>19</v>
      </c>
      <c r="N17" s="36"/>
      <c r="O17" s="45" t="s">
        <v>19</v>
      </c>
      <c r="P17" s="36"/>
      <c r="Q17" s="45" t="s">
        <v>19</v>
      </c>
      <c r="R17" s="36"/>
      <c r="S17" s="45" t="s">
        <v>19</v>
      </c>
      <c r="T17" s="40"/>
      <c r="U17" s="44" t="s">
        <v>19</v>
      </c>
      <c r="V17" s="40"/>
      <c r="W17" s="41"/>
      <c r="X17" s="109"/>
    </row>
  </sheetData>
  <mergeCells count="63">
    <mergeCell ref="R15:R17"/>
    <mergeCell ref="T15:T17"/>
    <mergeCell ref="V15:V17"/>
    <mergeCell ref="W15:W17"/>
    <mergeCell ref="X15:X17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R6:R8"/>
    <mergeCell ref="T6:T8"/>
    <mergeCell ref="V6:V8"/>
    <mergeCell ref="W6:W8"/>
    <mergeCell ref="X6:X8"/>
    <mergeCell ref="B9:B11"/>
    <mergeCell ref="F9:F11"/>
    <mergeCell ref="H9:H11"/>
    <mergeCell ref="J9:J11"/>
    <mergeCell ref="L9:L11"/>
    <mergeCell ref="F6:F8"/>
    <mergeCell ref="H6:H8"/>
    <mergeCell ref="J6:J8"/>
    <mergeCell ref="L6:L8"/>
    <mergeCell ref="N6:N8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DEF0-CFE7-49E6-BE92-31AADA05D206}">
  <dimension ref="A1:Z17"/>
  <sheetViews>
    <sheetView workbookViewId="0">
      <selection activeCell="F24" sqref="F24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 t="s">
        <v>5</v>
      </c>
      <c r="H1" s="7"/>
      <c r="I1" s="7" t="s">
        <v>6</v>
      </c>
      <c r="J1" s="7"/>
      <c r="K1" s="7"/>
      <c r="L1" s="8"/>
      <c r="M1" s="7" t="s">
        <v>7</v>
      </c>
      <c r="N1" s="7"/>
      <c r="O1" s="7"/>
      <c r="P1" s="7"/>
      <c r="Q1" s="6" t="s">
        <v>8</v>
      </c>
      <c r="R1" s="7"/>
      <c r="S1" s="7"/>
      <c r="T1" s="7"/>
      <c r="U1" s="6" t="s">
        <v>9</v>
      </c>
      <c r="V1" s="7"/>
      <c r="W1" s="6" t="s">
        <v>10</v>
      </c>
      <c r="X1" s="9"/>
    </row>
    <row r="2" spans="1:26">
      <c r="A2" s="10" t="s">
        <v>11</v>
      </c>
      <c r="B2" s="11" t="s">
        <v>12</v>
      </c>
      <c r="C2" s="12" t="s">
        <v>13</v>
      </c>
      <c r="D2" s="12" t="s">
        <v>13</v>
      </c>
      <c r="E2" s="12" t="s">
        <v>13</v>
      </c>
      <c r="F2" s="12" t="s">
        <v>14</v>
      </c>
      <c r="G2" s="13" t="s">
        <v>15</v>
      </c>
      <c r="H2" s="14" t="s">
        <v>16</v>
      </c>
      <c r="I2" s="13" t="s">
        <v>13</v>
      </c>
      <c r="J2" s="15" t="s">
        <v>14</v>
      </c>
      <c r="K2" s="14" t="s">
        <v>15</v>
      </c>
      <c r="L2" s="14" t="s">
        <v>16</v>
      </c>
      <c r="M2" s="16" t="s">
        <v>13</v>
      </c>
      <c r="N2" s="15" t="s">
        <v>14</v>
      </c>
      <c r="O2" s="14" t="s">
        <v>17</v>
      </c>
      <c r="P2" s="15" t="s">
        <v>18</v>
      </c>
      <c r="Q2" s="14" t="s">
        <v>13</v>
      </c>
      <c r="R2" s="15" t="s">
        <v>14</v>
      </c>
      <c r="S2" s="14" t="s">
        <v>15</v>
      </c>
      <c r="T2" s="14" t="s">
        <v>16</v>
      </c>
      <c r="U2" s="13" t="s">
        <v>15</v>
      </c>
      <c r="V2" s="14" t="s">
        <v>16</v>
      </c>
      <c r="W2" s="13" t="s">
        <v>13</v>
      </c>
      <c r="X2" s="17" t="s">
        <v>15</v>
      </c>
    </row>
    <row r="3" spans="1:26">
      <c r="A3" s="62">
        <v>65</v>
      </c>
      <c r="B3" s="18">
        <v>0</v>
      </c>
      <c r="C3" s="19">
        <f>1.599-0.581</f>
        <v>1.018</v>
      </c>
      <c r="D3" s="19" t="s">
        <v>19</v>
      </c>
      <c r="E3" s="19">
        <v>3.7999999999999999E-2</v>
      </c>
      <c r="F3" s="20">
        <f>AVERAGE(E3:E5)</f>
        <v>3.6333333333333336E-2</v>
      </c>
      <c r="G3" s="21">
        <f>E3*100/C3</f>
        <v>3.7328094302554025</v>
      </c>
      <c r="H3" s="22">
        <f>AVERAGE(G3:G5)</f>
        <v>3.5798521722469281</v>
      </c>
      <c r="I3" s="43">
        <f>C3-E3</f>
        <v>0.98</v>
      </c>
      <c r="J3" s="20">
        <f>AVERAGE(I3:I5)</f>
        <v>0.97866666666666668</v>
      </c>
      <c r="K3" s="83">
        <f>I3*100/C3</f>
        <v>96.267190569744599</v>
      </c>
      <c r="L3" s="39">
        <f>AVERAGE(K3:K5)</f>
        <v>96.42014782775307</v>
      </c>
      <c r="M3" s="84">
        <v>0</v>
      </c>
      <c r="N3" s="85">
        <v>0</v>
      </c>
      <c r="O3" s="86">
        <v>0</v>
      </c>
      <c r="P3" s="85">
        <v>0</v>
      </c>
      <c r="Q3" s="86"/>
      <c r="R3" s="87"/>
      <c r="S3" s="86"/>
      <c r="T3" s="86"/>
      <c r="U3" s="88"/>
      <c r="V3" s="86"/>
      <c r="W3" s="88"/>
      <c r="X3" s="89"/>
    </row>
    <row r="4" spans="1:26">
      <c r="A4" s="63"/>
      <c r="B4" s="18"/>
      <c r="C4" s="19">
        <f>1.633-0.611</f>
        <v>1.022</v>
      </c>
      <c r="D4" s="19" t="s">
        <v>19</v>
      </c>
      <c r="E4" s="19">
        <v>3.5000000000000003E-2</v>
      </c>
      <c r="F4" s="20"/>
      <c r="G4" s="21">
        <f>E4*100/C4</f>
        <v>3.4246575342465757</v>
      </c>
      <c r="H4" s="22"/>
      <c r="I4" s="43">
        <f t="shared" ref="I4:I17" si="0">C4-E4</f>
        <v>0.98699999999999999</v>
      </c>
      <c r="J4" s="20"/>
      <c r="K4" s="83">
        <f t="shared" ref="K4:K17" si="1">I4*100/C4</f>
        <v>96.575342465753423</v>
      </c>
      <c r="L4" s="39"/>
      <c r="M4" s="84">
        <v>0</v>
      </c>
      <c r="N4" s="85"/>
      <c r="O4" s="86">
        <v>0</v>
      </c>
      <c r="P4" s="85"/>
      <c r="Q4" s="86"/>
      <c r="R4" s="87"/>
      <c r="S4" s="86"/>
      <c r="T4" s="86"/>
      <c r="U4" s="88"/>
      <c r="V4" s="86"/>
      <c r="W4" s="88"/>
      <c r="X4" s="89"/>
    </row>
    <row r="5" spans="1:26">
      <c r="A5" s="63"/>
      <c r="B5" s="23"/>
      <c r="C5" s="24">
        <f>1.708-0.703</f>
        <v>1.0049999999999999</v>
      </c>
      <c r="D5" s="24" t="s">
        <v>19</v>
      </c>
      <c r="E5" s="24">
        <v>3.5999999999999997E-2</v>
      </c>
      <c r="F5" s="20"/>
      <c r="G5" s="26">
        <f>E5*100/C5</f>
        <v>3.5820895522388061</v>
      </c>
      <c r="H5" s="27"/>
      <c r="I5" s="72">
        <f t="shared" si="0"/>
        <v>0.96899999999999986</v>
      </c>
      <c r="J5" s="25"/>
      <c r="K5" s="110">
        <f t="shared" si="1"/>
        <v>96.417910447761201</v>
      </c>
      <c r="L5" s="82"/>
      <c r="M5" s="91">
        <v>0</v>
      </c>
      <c r="N5" s="92"/>
      <c r="O5" s="93">
        <v>0</v>
      </c>
      <c r="P5" s="92"/>
      <c r="Q5" s="93"/>
      <c r="R5" s="94"/>
      <c r="S5" s="93"/>
      <c r="T5" s="93"/>
      <c r="U5" s="95"/>
      <c r="V5" s="93"/>
      <c r="W5" s="95"/>
      <c r="X5" s="89"/>
    </row>
    <row r="6" spans="1:26">
      <c r="A6" s="63"/>
      <c r="B6" s="28">
        <v>15</v>
      </c>
      <c r="C6" s="29">
        <f>1.634-0.637</f>
        <v>0.99699999999999989</v>
      </c>
      <c r="D6" s="47">
        <v>1.052</v>
      </c>
      <c r="E6" s="29">
        <v>3.5000000000000003E-2</v>
      </c>
      <c r="F6" s="67">
        <f>AVERAGE(E6:E8)</f>
        <v>3.4333333333333334E-2</v>
      </c>
      <c r="G6" s="31">
        <f>E6*100/C6</f>
        <v>3.5105315947843541</v>
      </c>
      <c r="H6" s="32">
        <f>AVERAGE(G6:G8)</f>
        <v>3.4324006954247075</v>
      </c>
      <c r="I6" s="73">
        <f t="shared" si="0"/>
        <v>0.96199999999999986</v>
      </c>
      <c r="J6" s="30">
        <f>AVERAGE(I6:I8)</f>
        <v>0.96600000000000008</v>
      </c>
      <c r="K6" s="79">
        <f t="shared" si="1"/>
        <v>96.489468405215646</v>
      </c>
      <c r="L6" s="81">
        <f>AVERAGE(K6:K8)</f>
        <v>96.567599304575296</v>
      </c>
      <c r="M6" s="96">
        <f>D6-C6</f>
        <v>5.500000000000016E-2</v>
      </c>
      <c r="N6" s="30">
        <f>AVERAGE(M6:M8)</f>
        <v>8.1666666666666665E-2</v>
      </c>
      <c r="O6" s="80">
        <f>M6/C6</f>
        <v>5.5165496489468571E-2</v>
      </c>
      <c r="P6" s="30">
        <f>AVERAGE(O6:O8)</f>
        <v>8.1645495068746757E-2</v>
      </c>
      <c r="Q6" s="80">
        <f>D6-E6</f>
        <v>1.0170000000000001</v>
      </c>
      <c r="R6" s="30">
        <f>AVERAGE(Q6:Q8)</f>
        <v>1.0476666666666665</v>
      </c>
      <c r="S6" s="80">
        <f>Q6*100/D6</f>
        <v>96.673003802281386</v>
      </c>
      <c r="T6" s="81">
        <f>AVERAGE(S6,S8)</f>
        <v>96.795250767867799</v>
      </c>
      <c r="U6" s="73">
        <f t="shared" ref="U6:U17" si="2">E6*100/D6</f>
        <v>3.3269961977186315</v>
      </c>
      <c r="V6" s="81">
        <f>AVERAGE(U6,U8)</f>
        <v>3.2047492321322082</v>
      </c>
      <c r="W6" s="33">
        <f>F6-$F$3</f>
        <v>-2.0000000000000018E-3</v>
      </c>
      <c r="X6" s="97">
        <f>-W6*100/$F$3</f>
        <v>5.5045871559633071</v>
      </c>
    </row>
    <row r="7" spans="1:26">
      <c r="A7" s="63"/>
      <c r="B7" s="46"/>
      <c r="C7" s="47">
        <f>1.669-0.661</f>
        <v>1.008</v>
      </c>
      <c r="D7" s="47">
        <v>1.091</v>
      </c>
      <c r="E7" s="47">
        <v>3.4000000000000002E-2</v>
      </c>
      <c r="F7" s="48"/>
      <c r="G7" s="76">
        <f>E7*100/C7</f>
        <v>3.3730158730158735</v>
      </c>
      <c r="H7" s="49"/>
      <c r="I7" s="78">
        <f t="shared" si="0"/>
        <v>0.97399999999999998</v>
      </c>
      <c r="J7" s="48"/>
      <c r="K7" s="111">
        <f t="shared" si="1"/>
        <v>96.626984126984112</v>
      </c>
      <c r="L7" s="48"/>
      <c r="M7" s="98">
        <f>D7-C7</f>
        <v>8.2999999999999963E-2</v>
      </c>
      <c r="N7" s="48"/>
      <c r="O7" s="78">
        <f>M7/C7</f>
        <v>8.2341269841269799E-2</v>
      </c>
      <c r="P7" s="48"/>
      <c r="Q7" s="78">
        <f>D7-E7</f>
        <v>1.0569999999999999</v>
      </c>
      <c r="R7" s="48"/>
      <c r="S7" s="78">
        <f>Q7*100/D7</f>
        <v>96.883593033913826</v>
      </c>
      <c r="T7" s="48"/>
      <c r="U7" s="78">
        <f t="shared" si="2"/>
        <v>3.11640696608616</v>
      </c>
      <c r="V7" s="48"/>
      <c r="W7" s="34"/>
      <c r="X7" s="99"/>
    </row>
    <row r="8" spans="1:26">
      <c r="A8" s="63"/>
      <c r="B8" s="23"/>
      <c r="C8" s="24">
        <f>1.588-0.592</f>
        <v>0.99600000000000011</v>
      </c>
      <c r="D8" s="24">
        <v>1.103</v>
      </c>
      <c r="E8" s="24">
        <v>3.4000000000000002E-2</v>
      </c>
      <c r="F8" s="68"/>
      <c r="G8" s="26">
        <f>E8*100/C8</f>
        <v>3.4136546184738954</v>
      </c>
      <c r="H8" s="27"/>
      <c r="I8" s="72">
        <f t="shared" si="0"/>
        <v>0.96200000000000008</v>
      </c>
      <c r="J8" s="25"/>
      <c r="K8" s="110">
        <f t="shared" si="1"/>
        <v>96.586345381526101</v>
      </c>
      <c r="L8" s="82"/>
      <c r="M8" s="100">
        <f t="shared" ref="M8:M17" si="3">D8-C8</f>
        <v>0.10699999999999987</v>
      </c>
      <c r="N8" s="25"/>
      <c r="O8" s="90">
        <f t="shared" ref="O8:O17" si="4">M8/C8</f>
        <v>0.10742971887550187</v>
      </c>
      <c r="P8" s="25"/>
      <c r="Q8" s="90">
        <f t="shared" ref="Q8:Q17" si="5">D8-E8</f>
        <v>1.069</v>
      </c>
      <c r="R8" s="25"/>
      <c r="S8" s="90">
        <f t="shared" ref="S8:S17" si="6">Q8*100/D8</f>
        <v>96.917497733454212</v>
      </c>
      <c r="T8" s="82"/>
      <c r="U8" s="72">
        <f t="shared" si="2"/>
        <v>3.0825022665457844</v>
      </c>
      <c r="V8" s="82"/>
      <c r="W8" s="101"/>
      <c r="X8" s="102"/>
    </row>
    <row r="9" spans="1:26">
      <c r="A9" s="63"/>
      <c r="B9" s="28">
        <v>30</v>
      </c>
      <c r="C9" s="19">
        <f>1.633-0.643</f>
        <v>0.99</v>
      </c>
      <c r="D9" s="50">
        <v>1.143</v>
      </c>
      <c r="E9" s="19">
        <v>3.2000000000000001E-2</v>
      </c>
      <c r="F9" s="20">
        <f>AVERAGE(E9:E11)</f>
        <v>3.1666666666666669E-2</v>
      </c>
      <c r="G9" s="21">
        <f>E9*100/C9</f>
        <v>3.2323232323232327</v>
      </c>
      <c r="H9" s="32">
        <f t="shared" ref="H9" si="7">AVERAGE(G9:G11)</f>
        <v>3.1788119288119288</v>
      </c>
      <c r="I9" s="43">
        <f t="shared" si="0"/>
        <v>0.95799999999999996</v>
      </c>
      <c r="J9" s="30">
        <f t="shared" ref="J9" si="8">AVERAGE(I9:I11)</f>
        <v>0.96433333333333326</v>
      </c>
      <c r="K9" s="83">
        <f t="shared" si="1"/>
        <v>96.767676767676761</v>
      </c>
      <c r="L9" s="81">
        <f>AVERAGE(K9:K11)</f>
        <v>96.821188071188075</v>
      </c>
      <c r="M9" s="96">
        <f t="shared" si="3"/>
        <v>0.15300000000000002</v>
      </c>
      <c r="N9" s="30">
        <f t="shared" ref="N9" si="9">AVERAGE(M9:M11)</f>
        <v>0.12766666666666668</v>
      </c>
      <c r="O9" s="42">
        <f t="shared" si="4"/>
        <v>0.15454545454545457</v>
      </c>
      <c r="P9" s="20">
        <f t="shared" ref="P9" si="10">AVERAGE(O9:O11)</f>
        <v>0.12840307840307838</v>
      </c>
      <c r="Q9" s="42">
        <f t="shared" si="5"/>
        <v>1.111</v>
      </c>
      <c r="R9" s="20">
        <f t="shared" ref="R9" si="11">AVERAGE(Q9:Q11)</f>
        <v>1.0919999999999999</v>
      </c>
      <c r="S9" s="42">
        <f t="shared" si="6"/>
        <v>97.200349956255465</v>
      </c>
      <c r="T9" s="39">
        <f t="shared" ref="T9" si="12">AVERAGE(S9,S11)</f>
        <v>97.10017497812774</v>
      </c>
      <c r="U9" s="43">
        <f t="shared" si="2"/>
        <v>2.7996500437445322</v>
      </c>
      <c r="V9" s="39">
        <f t="shared" ref="V9" si="13">AVERAGE(U9,U11)</f>
        <v>2.8998250218722661</v>
      </c>
      <c r="W9" s="34">
        <f t="shared" ref="W9" si="14">F9-$F$3</f>
        <v>-4.6666666666666662E-3</v>
      </c>
      <c r="X9" s="103">
        <f t="shared" ref="X9" si="15">-W9*100/$F$3</f>
        <v>12.844036697247704</v>
      </c>
    </row>
    <row r="10" spans="1:26">
      <c r="A10" s="63"/>
      <c r="B10" s="46"/>
      <c r="C10" s="19">
        <f>1.641-0.651</f>
        <v>0.99</v>
      </c>
      <c r="D10" s="47">
        <v>1.1279999999999999</v>
      </c>
      <c r="E10" s="19">
        <v>0.03</v>
      </c>
      <c r="F10" s="20"/>
      <c r="G10" s="21">
        <f>E10*100/C10</f>
        <v>3.0303030303030303</v>
      </c>
      <c r="H10" s="49"/>
      <c r="I10" s="43">
        <f t="shared" si="0"/>
        <v>0.96</v>
      </c>
      <c r="J10" s="20"/>
      <c r="K10" s="83">
        <f t="shared" si="1"/>
        <v>96.969696969696969</v>
      </c>
      <c r="L10" s="48"/>
      <c r="M10" s="98">
        <f>D10-C10</f>
        <v>0.1379999999999999</v>
      </c>
      <c r="N10" s="20"/>
      <c r="O10" s="42">
        <f t="shared" si="4"/>
        <v>0.13939393939393929</v>
      </c>
      <c r="P10" s="20"/>
      <c r="Q10" s="42">
        <f t="shared" si="5"/>
        <v>1.0979999999999999</v>
      </c>
      <c r="R10" s="20"/>
      <c r="S10" s="42">
        <f t="shared" si="6"/>
        <v>97.340425531914889</v>
      </c>
      <c r="T10" s="39"/>
      <c r="U10" s="43">
        <f t="shared" si="2"/>
        <v>2.6595744680851068</v>
      </c>
      <c r="V10" s="39"/>
      <c r="W10" s="34"/>
      <c r="X10" s="104"/>
    </row>
    <row r="11" spans="1:26">
      <c r="A11" s="63"/>
      <c r="B11" s="46"/>
      <c r="C11" s="19">
        <f>1.644-0.636</f>
        <v>1.008</v>
      </c>
      <c r="D11" s="53">
        <v>1.1000000000000001</v>
      </c>
      <c r="E11" s="19">
        <v>3.3000000000000002E-2</v>
      </c>
      <c r="F11" s="20"/>
      <c r="G11" s="21">
        <f>E11*100/C11</f>
        <v>3.2738095238095242</v>
      </c>
      <c r="H11" s="49"/>
      <c r="I11" s="43">
        <f t="shared" si="0"/>
        <v>0.97499999999999998</v>
      </c>
      <c r="J11" s="20"/>
      <c r="K11" s="83">
        <f t="shared" si="1"/>
        <v>96.726190476190482</v>
      </c>
      <c r="L11" s="48"/>
      <c r="M11" s="98">
        <f t="shared" si="3"/>
        <v>9.2000000000000082E-2</v>
      </c>
      <c r="N11" s="20"/>
      <c r="O11" s="42">
        <f t="shared" si="4"/>
        <v>9.1269841269841348E-2</v>
      </c>
      <c r="P11" s="20"/>
      <c r="Q11" s="42">
        <f t="shared" si="5"/>
        <v>1.0670000000000002</v>
      </c>
      <c r="R11" s="20"/>
      <c r="S11" s="42">
        <f t="shared" si="6"/>
        <v>97.000000000000014</v>
      </c>
      <c r="T11" s="39"/>
      <c r="U11" s="43">
        <f t="shared" si="2"/>
        <v>3</v>
      </c>
      <c r="V11" s="39"/>
      <c r="W11" s="34"/>
      <c r="X11" s="104"/>
      <c r="Y11" s="55"/>
      <c r="Z11" s="55"/>
    </row>
    <row r="12" spans="1:26">
      <c r="A12" s="63"/>
      <c r="B12" s="60">
        <v>60</v>
      </c>
      <c r="C12" s="50">
        <f>1.719-0.699</f>
        <v>1.02</v>
      </c>
      <c r="D12" s="19">
        <v>1.081</v>
      </c>
      <c r="E12" s="50">
        <v>2.8000000000000001E-2</v>
      </c>
      <c r="F12" s="56">
        <f>AVERAGE(E12:E14)</f>
        <v>2.9333333333333333E-2</v>
      </c>
      <c r="G12" s="52">
        <f t="shared" ref="G12:G22" si="16">E12*100/C12</f>
        <v>2.7450980392156863</v>
      </c>
      <c r="H12" s="58">
        <f>AVERAGE(G12:G14)</f>
        <v>2.9257072546949261</v>
      </c>
      <c r="I12" s="74">
        <f t="shared" si="0"/>
        <v>0.99199999999999999</v>
      </c>
      <c r="J12" s="56">
        <f>AVERAGE(I12:I14)</f>
        <v>0.97400000000000009</v>
      </c>
      <c r="K12" s="69">
        <f t="shared" si="1"/>
        <v>97.254901960784309</v>
      </c>
      <c r="L12" s="81">
        <f>AVERAGE(K12:K14)</f>
        <v>97.074292745305073</v>
      </c>
      <c r="M12" s="96">
        <f t="shared" si="3"/>
        <v>6.0999999999999943E-2</v>
      </c>
      <c r="N12" s="56">
        <f>AVERAGE(M12:M14)</f>
        <v>5.1666666666666604E-2</v>
      </c>
      <c r="O12" s="74">
        <f t="shared" si="4"/>
        <v>5.9803921568627391E-2</v>
      </c>
      <c r="P12" s="56">
        <f>AVERAGE(O12:O14)</f>
        <v>5.1506520842655092E-2</v>
      </c>
      <c r="Q12" s="74">
        <f t="shared" si="5"/>
        <v>1.0529999999999999</v>
      </c>
      <c r="R12" s="56">
        <f>AVERAGE(Q12:Q14)</f>
        <v>1.0256666666666667</v>
      </c>
      <c r="S12" s="74">
        <f t="shared" si="6"/>
        <v>97.409805735430155</v>
      </c>
      <c r="T12" s="56">
        <f>AVERAGE(S12,S14)</f>
        <v>97.175709169846684</v>
      </c>
      <c r="U12" s="74">
        <f t="shared" si="2"/>
        <v>2.5901942645698433</v>
      </c>
      <c r="V12" s="56">
        <f>AVERAGE(U12,U14)</f>
        <v>2.8242908301533185</v>
      </c>
      <c r="W12" s="51">
        <f t="shared" ref="W12" si="17">F12-$F$3</f>
        <v>-7.0000000000000027E-3</v>
      </c>
      <c r="X12" s="105">
        <f t="shared" ref="X12" si="18">-W12*100/$F$3</f>
        <v>19.266055045871568</v>
      </c>
      <c r="Y12" s="55"/>
      <c r="Z12" s="55"/>
    </row>
    <row r="13" spans="1:26">
      <c r="A13" s="63"/>
      <c r="B13" s="46"/>
      <c r="C13" s="47">
        <f>1.647-0.649</f>
        <v>0.998</v>
      </c>
      <c r="D13" s="19">
        <v>1.0049999999999999</v>
      </c>
      <c r="E13" s="47">
        <v>2.7E-2</v>
      </c>
      <c r="F13" s="48"/>
      <c r="G13" s="76">
        <f>E13*100/C13</f>
        <v>2.7054108216432868</v>
      </c>
      <c r="H13" s="49"/>
      <c r="I13" s="78">
        <f t="shared" si="0"/>
        <v>0.97099999999999997</v>
      </c>
      <c r="J13" s="48"/>
      <c r="K13" s="111">
        <f t="shared" si="1"/>
        <v>97.294589178356702</v>
      </c>
      <c r="L13" s="48"/>
      <c r="M13" s="98">
        <f>D13-C13</f>
        <v>6.9999999999998952E-3</v>
      </c>
      <c r="N13" s="48"/>
      <c r="O13" s="78">
        <f t="shared" si="4"/>
        <v>7.0140280561121196E-3</v>
      </c>
      <c r="P13" s="48"/>
      <c r="Q13" s="78">
        <f t="shared" si="5"/>
        <v>0.97799999999999987</v>
      </c>
      <c r="R13" s="48"/>
      <c r="S13" s="78">
        <f t="shared" si="6"/>
        <v>97.31343283582089</v>
      </c>
      <c r="T13" s="48"/>
      <c r="U13" s="78">
        <f t="shared" si="2"/>
        <v>2.6865671641791051</v>
      </c>
      <c r="V13" s="66"/>
      <c r="W13" s="48"/>
      <c r="X13" s="104"/>
      <c r="Y13" s="55"/>
      <c r="Z13" s="55"/>
    </row>
    <row r="14" spans="1:26">
      <c r="A14" s="63"/>
      <c r="B14" s="61"/>
      <c r="C14" s="53">
        <f>1.661-0.669</f>
        <v>0.99199999999999999</v>
      </c>
      <c r="D14" s="19">
        <v>1.079</v>
      </c>
      <c r="E14" s="53">
        <v>3.3000000000000002E-2</v>
      </c>
      <c r="F14" s="54"/>
      <c r="G14" s="77">
        <f>E14*100/C14</f>
        <v>3.3266129032258069</v>
      </c>
      <c r="H14" s="59"/>
      <c r="I14" s="75">
        <f t="shared" si="0"/>
        <v>0.95899999999999996</v>
      </c>
      <c r="J14" s="57"/>
      <c r="K14" s="71">
        <f t="shared" si="1"/>
        <v>96.673387096774192</v>
      </c>
      <c r="L14" s="82"/>
      <c r="M14" s="98">
        <f t="shared" si="3"/>
        <v>8.6999999999999966E-2</v>
      </c>
      <c r="N14" s="57"/>
      <c r="O14" s="75">
        <f t="shared" si="4"/>
        <v>8.770161290322577E-2</v>
      </c>
      <c r="P14" s="57"/>
      <c r="Q14" s="75">
        <f t="shared" si="5"/>
        <v>1.046</v>
      </c>
      <c r="R14" s="57"/>
      <c r="S14" s="75">
        <f t="shared" si="6"/>
        <v>96.941612604263213</v>
      </c>
      <c r="T14" s="57"/>
      <c r="U14" s="75">
        <f t="shared" si="2"/>
        <v>3.0583873957367937</v>
      </c>
      <c r="V14" s="57"/>
      <c r="W14" s="54"/>
      <c r="X14" s="106"/>
      <c r="Y14" s="55"/>
      <c r="Z14" s="55"/>
    </row>
    <row r="15" spans="1:26">
      <c r="A15" s="63"/>
      <c r="B15" s="46">
        <v>180</v>
      </c>
      <c r="C15" s="47">
        <f>1.69-0.683</f>
        <v>1.0069999999999999</v>
      </c>
      <c r="D15" s="29">
        <v>1.1870000000000001</v>
      </c>
      <c r="E15" s="47">
        <v>2.3E-2</v>
      </c>
      <c r="F15" s="20">
        <f>AVERAGE(E15:E17)</f>
        <v>2.5999999999999999E-2</v>
      </c>
      <c r="G15" s="21">
        <f>E15*100/C15</f>
        <v>2.2840119165839128</v>
      </c>
      <c r="H15" s="49">
        <f>AVERAGE(G15:G17)</f>
        <v>2.5760265400781703</v>
      </c>
      <c r="I15" s="43">
        <f t="shared" si="0"/>
        <v>0.98399999999999987</v>
      </c>
      <c r="J15" s="20">
        <f>AVERAGE(I15:I17)</f>
        <v>0.98333333333333339</v>
      </c>
      <c r="K15" s="70">
        <f t="shared" si="1"/>
        <v>97.715988083416093</v>
      </c>
      <c r="L15" s="48">
        <f>AVERAGE(K15:K17)</f>
        <v>97.423973459921811</v>
      </c>
      <c r="M15" s="107">
        <f t="shared" si="3"/>
        <v>0.18000000000000016</v>
      </c>
      <c r="N15" s="20">
        <f>AVERAGE(M15:M17)</f>
        <v>0.20533333333333328</v>
      </c>
      <c r="O15" s="65">
        <f t="shared" si="4"/>
        <v>0.17874875868917595</v>
      </c>
      <c r="P15" s="20">
        <f>AVERAGE(O15:O17)</f>
        <v>0.20317209058313809</v>
      </c>
      <c r="Q15" s="65">
        <f t="shared" si="5"/>
        <v>1.1640000000000001</v>
      </c>
      <c r="R15" s="20">
        <f>AVERAGE(Q15:Q17)</f>
        <v>1.1886666666666665</v>
      </c>
      <c r="S15" s="65">
        <f t="shared" si="6"/>
        <v>98.062342038753172</v>
      </c>
      <c r="T15" s="48">
        <f>AVERAGE(S15,S17)</f>
        <v>97.840694828900396</v>
      </c>
      <c r="U15" s="43">
        <f t="shared" si="2"/>
        <v>1.9376579612468405</v>
      </c>
      <c r="V15" s="48">
        <f>AVERAGE(U15,U17)</f>
        <v>2.1593051710996107</v>
      </c>
      <c r="W15" s="34">
        <f t="shared" ref="W15" si="19">F15-$F$3</f>
        <v>-1.0333333333333337E-2</v>
      </c>
      <c r="X15" s="99">
        <f t="shared" ref="X15" si="20">-W15*100/$F$3</f>
        <v>28.440366972477072</v>
      </c>
      <c r="Z15" s="55"/>
    </row>
    <row r="16" spans="1:26">
      <c r="A16" s="63"/>
      <c r="B16" s="46"/>
      <c r="C16" s="47">
        <f>1.721-0.702</f>
        <v>1.0190000000000001</v>
      </c>
      <c r="D16" s="47">
        <v>1.2809999999999999</v>
      </c>
      <c r="E16" s="47">
        <v>2.7E-2</v>
      </c>
      <c r="F16" s="20"/>
      <c r="G16" s="21">
        <f>E16*100/C16</f>
        <v>2.649656526005888</v>
      </c>
      <c r="H16" s="49"/>
      <c r="I16" s="43">
        <f t="shared" si="0"/>
        <v>0.9920000000000001</v>
      </c>
      <c r="J16" s="20"/>
      <c r="K16" s="70">
        <f t="shared" si="1"/>
        <v>97.350343473994116</v>
      </c>
      <c r="L16" s="48"/>
      <c r="M16" s="98">
        <f>D16-C16</f>
        <v>0.26199999999999979</v>
      </c>
      <c r="N16" s="20"/>
      <c r="O16" s="65">
        <f t="shared" si="4"/>
        <v>0.25711481844945999</v>
      </c>
      <c r="P16" s="48"/>
      <c r="Q16" s="78">
        <f t="shared" si="5"/>
        <v>1.254</v>
      </c>
      <c r="R16" s="20"/>
      <c r="S16" s="65">
        <f t="shared" si="6"/>
        <v>97.892271662763477</v>
      </c>
      <c r="T16" s="48"/>
      <c r="U16" s="43">
        <f t="shared" si="2"/>
        <v>2.1077283372365341</v>
      </c>
      <c r="V16" s="48"/>
      <c r="W16" s="34"/>
      <c r="X16" s="99"/>
      <c r="Z16" s="55"/>
    </row>
    <row r="17" spans="1:24">
      <c r="A17" s="64"/>
      <c r="B17" s="35"/>
      <c r="C17" s="14">
        <f>1.657-0.655</f>
        <v>1.002</v>
      </c>
      <c r="D17" s="14">
        <v>1.1759999999999999</v>
      </c>
      <c r="E17" s="14">
        <v>2.8000000000000001E-2</v>
      </c>
      <c r="F17" s="36"/>
      <c r="G17" s="37">
        <f>E17*100/C17</f>
        <v>2.7944111776447107</v>
      </c>
      <c r="H17" s="38"/>
      <c r="I17" s="44">
        <f t="shared" si="0"/>
        <v>0.97399999999999998</v>
      </c>
      <c r="J17" s="36"/>
      <c r="K17" s="112">
        <f t="shared" si="1"/>
        <v>97.205588822355281</v>
      </c>
      <c r="L17" s="40"/>
      <c r="M17" s="108">
        <f t="shared" si="3"/>
        <v>0.17399999999999993</v>
      </c>
      <c r="N17" s="36"/>
      <c r="O17" s="45">
        <f t="shared" si="4"/>
        <v>0.17365269461077837</v>
      </c>
      <c r="P17" s="36"/>
      <c r="Q17" s="45">
        <f t="shared" si="5"/>
        <v>1.1479999999999999</v>
      </c>
      <c r="R17" s="36"/>
      <c r="S17" s="45">
        <f t="shared" si="6"/>
        <v>97.61904761904762</v>
      </c>
      <c r="T17" s="40"/>
      <c r="U17" s="44">
        <f t="shared" si="2"/>
        <v>2.3809523809523814</v>
      </c>
      <c r="V17" s="40"/>
      <c r="W17" s="41"/>
      <c r="X17" s="109"/>
    </row>
  </sheetData>
  <mergeCells count="63">
    <mergeCell ref="R15:R17"/>
    <mergeCell ref="T15:T17"/>
    <mergeCell ref="V15:V17"/>
    <mergeCell ref="W15:W17"/>
    <mergeCell ref="X15:X17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R6:R8"/>
    <mergeCell ref="T6:T8"/>
    <mergeCell ref="V6:V8"/>
    <mergeCell ref="W6:W8"/>
    <mergeCell ref="X6:X8"/>
    <mergeCell ref="B9:B11"/>
    <mergeCell ref="F9:F11"/>
    <mergeCell ref="H9:H11"/>
    <mergeCell ref="J9:J11"/>
    <mergeCell ref="L9:L11"/>
    <mergeCell ref="F6:F8"/>
    <mergeCell ref="H6:H8"/>
    <mergeCell ref="J6:J8"/>
    <mergeCell ref="L6:L8"/>
    <mergeCell ref="N6:N8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5F04-B45E-49B6-973E-0E246096C007}">
  <dimension ref="A1:Z17"/>
  <sheetViews>
    <sheetView workbookViewId="0">
      <selection activeCell="F15" sqref="F15:F17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 t="s">
        <v>5</v>
      </c>
      <c r="H1" s="7"/>
      <c r="I1" s="7" t="s">
        <v>6</v>
      </c>
      <c r="J1" s="7"/>
      <c r="K1" s="7"/>
      <c r="L1" s="8"/>
      <c r="M1" s="7" t="s">
        <v>7</v>
      </c>
      <c r="N1" s="7"/>
      <c r="O1" s="7"/>
      <c r="P1" s="7"/>
      <c r="Q1" s="6" t="s">
        <v>8</v>
      </c>
      <c r="R1" s="7"/>
      <c r="S1" s="7"/>
      <c r="T1" s="7"/>
      <c r="U1" s="6" t="s">
        <v>9</v>
      </c>
      <c r="V1" s="7"/>
      <c r="W1" s="6" t="s">
        <v>10</v>
      </c>
      <c r="X1" s="9"/>
    </row>
    <row r="2" spans="1:26">
      <c r="A2" s="10" t="s">
        <v>11</v>
      </c>
      <c r="B2" s="11" t="s">
        <v>12</v>
      </c>
      <c r="C2" s="12" t="s">
        <v>13</v>
      </c>
      <c r="D2" s="12" t="s">
        <v>13</v>
      </c>
      <c r="E2" s="12" t="s">
        <v>13</v>
      </c>
      <c r="F2" s="12" t="s">
        <v>14</v>
      </c>
      <c r="G2" s="13" t="s">
        <v>15</v>
      </c>
      <c r="H2" s="14" t="s">
        <v>16</v>
      </c>
      <c r="I2" s="13" t="s">
        <v>13</v>
      </c>
      <c r="J2" s="15" t="s">
        <v>14</v>
      </c>
      <c r="K2" s="14" t="s">
        <v>15</v>
      </c>
      <c r="L2" s="14" t="s">
        <v>16</v>
      </c>
      <c r="M2" s="16" t="s">
        <v>13</v>
      </c>
      <c r="N2" s="15" t="s">
        <v>14</v>
      </c>
      <c r="O2" s="14" t="s">
        <v>17</v>
      </c>
      <c r="P2" s="15" t="s">
        <v>18</v>
      </c>
      <c r="Q2" s="14" t="s">
        <v>13</v>
      </c>
      <c r="R2" s="15" t="s">
        <v>14</v>
      </c>
      <c r="S2" s="14" t="s">
        <v>15</v>
      </c>
      <c r="T2" s="14" t="s">
        <v>16</v>
      </c>
      <c r="U2" s="13" t="s">
        <v>15</v>
      </c>
      <c r="V2" s="14" t="s">
        <v>16</v>
      </c>
      <c r="W2" s="13" t="s">
        <v>13</v>
      </c>
      <c r="X2" s="17" t="s">
        <v>15</v>
      </c>
    </row>
    <row r="3" spans="1:26">
      <c r="A3" s="62">
        <v>65</v>
      </c>
      <c r="B3" s="18">
        <v>0</v>
      </c>
      <c r="C3" s="19">
        <f>1.056-0.691</f>
        <v>0.3650000000000001</v>
      </c>
      <c r="D3" s="19" t="s">
        <v>19</v>
      </c>
      <c r="E3" s="19">
        <v>4.2999999999999997E-2</v>
      </c>
      <c r="F3" s="20">
        <f>AVERAGE(E3:E5)</f>
        <v>4.2666666666666665E-2</v>
      </c>
      <c r="G3" s="21">
        <f>E3*100/C3</f>
        <v>11.780821917808215</v>
      </c>
      <c r="H3" s="22">
        <f>AVERAGE(G3:G5)</f>
        <v>10.093969248465891</v>
      </c>
      <c r="I3" s="43">
        <f>C3-E3</f>
        <v>0.32200000000000012</v>
      </c>
      <c r="J3" s="20">
        <f>AVERAGE(I3:I5)</f>
        <v>0.38600000000000012</v>
      </c>
      <c r="K3" s="83">
        <f>I3*100/C3</f>
        <v>88.219178082191789</v>
      </c>
      <c r="L3" s="39">
        <f>AVERAGE(K3:K5)</f>
        <v>89.906030751534104</v>
      </c>
      <c r="M3" s="84">
        <v>0</v>
      </c>
      <c r="N3" s="85">
        <v>0</v>
      </c>
      <c r="O3" s="86">
        <v>0</v>
      </c>
      <c r="P3" s="85">
        <v>0</v>
      </c>
      <c r="Q3" s="86"/>
      <c r="R3" s="87"/>
      <c r="S3" s="86"/>
      <c r="T3" s="86"/>
      <c r="U3" s="88"/>
      <c r="V3" s="86"/>
      <c r="W3" s="88"/>
      <c r="X3" s="89"/>
    </row>
    <row r="4" spans="1:26">
      <c r="A4" s="63"/>
      <c r="B4" s="18"/>
      <c r="C4" s="19">
        <f>1.074-0.598</f>
        <v>0.47600000000000009</v>
      </c>
      <c r="D4" s="19" t="s">
        <v>19</v>
      </c>
      <c r="E4" s="19">
        <v>4.1000000000000002E-2</v>
      </c>
      <c r="F4" s="20"/>
      <c r="G4" s="21">
        <f>E4*100/C4</f>
        <v>8.6134453781512601</v>
      </c>
      <c r="H4" s="22"/>
      <c r="I4" s="43">
        <f t="shared" ref="I4:I17" si="0">C4-E4</f>
        <v>0.43500000000000011</v>
      </c>
      <c r="J4" s="20"/>
      <c r="K4" s="83">
        <f t="shared" ref="K4:K17" si="1">I4*100/C4</f>
        <v>91.386554621848745</v>
      </c>
      <c r="L4" s="39"/>
      <c r="M4" s="84">
        <v>0</v>
      </c>
      <c r="N4" s="85"/>
      <c r="O4" s="86">
        <v>0</v>
      </c>
      <c r="P4" s="85"/>
      <c r="Q4" s="86"/>
      <c r="R4" s="87"/>
      <c r="S4" s="86"/>
      <c r="T4" s="86"/>
      <c r="U4" s="88"/>
      <c r="V4" s="86"/>
      <c r="W4" s="88"/>
      <c r="X4" s="89"/>
    </row>
    <row r="5" spans="1:26">
      <c r="A5" s="63"/>
      <c r="B5" s="23"/>
      <c r="C5" s="24">
        <f>1.104-0.659</f>
        <v>0.44500000000000006</v>
      </c>
      <c r="D5" s="24" t="s">
        <v>19</v>
      </c>
      <c r="E5" s="24">
        <v>4.3999999999999997E-2</v>
      </c>
      <c r="F5" s="20"/>
      <c r="G5" s="26">
        <f>E5*100/C5</f>
        <v>9.8876404494381998</v>
      </c>
      <c r="H5" s="27"/>
      <c r="I5" s="72">
        <f t="shared" si="0"/>
        <v>0.40100000000000008</v>
      </c>
      <c r="J5" s="25"/>
      <c r="K5" s="110">
        <f t="shared" si="1"/>
        <v>90.112359550561806</v>
      </c>
      <c r="L5" s="82"/>
      <c r="M5" s="91">
        <v>0</v>
      </c>
      <c r="N5" s="92"/>
      <c r="O5" s="93">
        <v>0</v>
      </c>
      <c r="P5" s="92"/>
      <c r="Q5" s="93"/>
      <c r="R5" s="94"/>
      <c r="S5" s="93"/>
      <c r="T5" s="93"/>
      <c r="U5" s="95"/>
      <c r="V5" s="93"/>
      <c r="W5" s="95"/>
      <c r="X5" s="89"/>
    </row>
    <row r="6" spans="1:26">
      <c r="A6" s="63"/>
      <c r="B6" s="28">
        <v>15</v>
      </c>
      <c r="C6" s="29">
        <f>1.078-0.649</f>
        <v>0.42900000000000005</v>
      </c>
      <c r="D6" s="65">
        <v>1.137</v>
      </c>
      <c r="E6" s="29">
        <v>3.7999999999999999E-2</v>
      </c>
      <c r="F6" s="67">
        <f>AVERAGE(E6:E8)</f>
        <v>4.0333333333333332E-2</v>
      </c>
      <c r="G6" s="31">
        <f>E6*100/C6</f>
        <v>8.8578088578088572</v>
      </c>
      <c r="H6" s="32">
        <f>AVERAGE(G6:G8)</f>
        <v>9.2253241484255941</v>
      </c>
      <c r="I6" s="73">
        <f t="shared" si="0"/>
        <v>0.39100000000000007</v>
      </c>
      <c r="J6" s="30">
        <f>AVERAGE(I6:I8)</f>
        <v>0.39666666666666672</v>
      </c>
      <c r="K6" s="79">
        <f t="shared" si="1"/>
        <v>91.142191142191152</v>
      </c>
      <c r="L6" s="81">
        <f>AVERAGE(K6:K8)</f>
        <v>90.774675851574401</v>
      </c>
      <c r="M6" s="96">
        <f>D6-C6</f>
        <v>0.70799999999999996</v>
      </c>
      <c r="N6" s="30">
        <f>AVERAGE(M6:M8)</f>
        <v>0.70733333333333326</v>
      </c>
      <c r="O6" s="80">
        <f>M6/C6</f>
        <v>1.65034965034965</v>
      </c>
      <c r="P6" s="30">
        <f>AVERAGE(O6:O8)</f>
        <v>1.6190587215129959</v>
      </c>
      <c r="Q6" s="80">
        <f>D6-E6</f>
        <v>1.099</v>
      </c>
      <c r="R6" s="30">
        <f>AVERAGE(Q6:Q8)</f>
        <v>1.1039999999999999</v>
      </c>
      <c r="S6" s="80">
        <f>Q6*100/D6</f>
        <v>96.657871591908517</v>
      </c>
      <c r="T6" s="81">
        <f>AVERAGE(S6,S8)</f>
        <v>96.426280928697622</v>
      </c>
      <c r="U6" s="73">
        <f t="shared" ref="U6:U17" si="2">E6*100/D6</f>
        <v>3.3421284080914684</v>
      </c>
      <c r="V6" s="81">
        <f>AVERAGE(U6,U8)</f>
        <v>3.5737190713023717</v>
      </c>
      <c r="W6" s="33">
        <f>F6-$F$3</f>
        <v>-2.3333333333333331E-3</v>
      </c>
      <c r="X6" s="97">
        <f>-W6*100/$F$3</f>
        <v>5.46875</v>
      </c>
    </row>
    <row r="7" spans="1:26">
      <c r="A7" s="63"/>
      <c r="B7" s="46"/>
      <c r="C7" s="47">
        <f>1.076-0.637</f>
        <v>0.43900000000000006</v>
      </c>
      <c r="D7" s="65">
        <v>1.1659999999999999</v>
      </c>
      <c r="E7" s="47">
        <v>0.04</v>
      </c>
      <c r="F7" s="48"/>
      <c r="G7" s="76">
        <f>E7*100/C7</f>
        <v>9.1116173120728909</v>
      </c>
      <c r="H7" s="49"/>
      <c r="I7" s="78">
        <f t="shared" si="0"/>
        <v>0.39900000000000008</v>
      </c>
      <c r="J7" s="48"/>
      <c r="K7" s="111">
        <f t="shared" si="1"/>
        <v>90.888382687927106</v>
      </c>
      <c r="L7" s="48"/>
      <c r="M7" s="98">
        <f>D7-C7</f>
        <v>0.72699999999999987</v>
      </c>
      <c r="N7" s="48"/>
      <c r="O7" s="78">
        <f>M7/C7</f>
        <v>1.6560364464692479</v>
      </c>
      <c r="P7" s="48"/>
      <c r="Q7" s="78">
        <f>D7-E7</f>
        <v>1.1259999999999999</v>
      </c>
      <c r="R7" s="48"/>
      <c r="S7" s="78">
        <f>Q7*100/D7</f>
        <v>96.56946826758147</v>
      </c>
      <c r="T7" s="48"/>
      <c r="U7" s="78">
        <f t="shared" si="2"/>
        <v>3.4305317324185252</v>
      </c>
      <c r="V7" s="48"/>
      <c r="W7" s="34"/>
      <c r="X7" s="99"/>
    </row>
    <row r="8" spans="1:26">
      <c r="A8" s="63"/>
      <c r="B8" s="23"/>
      <c r="C8" s="24">
        <f>1.066-0.623</f>
        <v>0.44300000000000006</v>
      </c>
      <c r="D8" s="90">
        <v>1.1299999999999999</v>
      </c>
      <c r="E8" s="24">
        <v>4.2999999999999997E-2</v>
      </c>
      <c r="F8" s="68"/>
      <c r="G8" s="26">
        <f>E8*100/C8</f>
        <v>9.7065462753950325</v>
      </c>
      <c r="H8" s="27"/>
      <c r="I8" s="72">
        <f t="shared" si="0"/>
        <v>0.40000000000000008</v>
      </c>
      <c r="J8" s="25"/>
      <c r="K8" s="110">
        <f t="shared" si="1"/>
        <v>90.293453724604973</v>
      </c>
      <c r="L8" s="82"/>
      <c r="M8" s="100">
        <f t="shared" ref="M8:M17" si="3">D8-C8</f>
        <v>0.68699999999999983</v>
      </c>
      <c r="N8" s="25"/>
      <c r="O8" s="90">
        <f t="shared" ref="O8:O17" si="4">M8/C8</f>
        <v>1.5507900677200896</v>
      </c>
      <c r="P8" s="25"/>
      <c r="Q8" s="90">
        <f t="shared" ref="Q8:Q17" si="5">D8-E8</f>
        <v>1.087</v>
      </c>
      <c r="R8" s="25"/>
      <c r="S8" s="90">
        <f t="shared" ref="S8:S17" si="6">Q8*100/D8</f>
        <v>96.194690265486742</v>
      </c>
      <c r="T8" s="82"/>
      <c r="U8" s="72">
        <f t="shared" si="2"/>
        <v>3.8053097345132745</v>
      </c>
      <c r="V8" s="82"/>
      <c r="W8" s="101"/>
      <c r="X8" s="102"/>
    </row>
    <row r="9" spans="1:26">
      <c r="A9" s="63"/>
      <c r="B9" s="28">
        <v>30</v>
      </c>
      <c r="C9" s="19">
        <f>1.09-0.654</f>
        <v>0.43600000000000005</v>
      </c>
      <c r="D9" s="74">
        <v>1.194</v>
      </c>
      <c r="E9" s="19">
        <v>4.2999999999999997E-2</v>
      </c>
      <c r="F9" s="20">
        <f>AVERAGE(E9:E11)</f>
        <v>4.1000000000000002E-2</v>
      </c>
      <c r="G9" s="21">
        <f>E9*100/C9</f>
        <v>9.8623853211009163</v>
      </c>
      <c r="H9" s="32">
        <f t="shared" ref="H9" si="7">AVERAGE(G9:G11)</f>
        <v>9.466558030000181</v>
      </c>
      <c r="I9" s="43">
        <f t="shared" si="0"/>
        <v>0.39300000000000007</v>
      </c>
      <c r="J9" s="30">
        <f t="shared" ref="J9" si="8">AVERAGE(I9:I11)</f>
        <v>0.39700000000000002</v>
      </c>
      <c r="K9" s="83">
        <f t="shared" si="1"/>
        <v>90.137614678899084</v>
      </c>
      <c r="L9" s="81">
        <f>AVERAGE(K9:K11)</f>
        <v>90.533441969999828</v>
      </c>
      <c r="M9" s="96">
        <f t="shared" si="3"/>
        <v>0.7579999999999999</v>
      </c>
      <c r="N9" s="30">
        <f t="shared" ref="N9" si="9">AVERAGE(M9:M11)</f>
        <v>0.79166666666666652</v>
      </c>
      <c r="O9" s="42">
        <f t="shared" si="4"/>
        <v>1.7385321100917426</v>
      </c>
      <c r="P9" s="20">
        <f t="shared" ref="P9" si="10">AVERAGE(O9:O11)</f>
        <v>1.8219451522114734</v>
      </c>
      <c r="Q9" s="42">
        <f t="shared" si="5"/>
        <v>1.151</v>
      </c>
      <c r="R9" s="20">
        <f t="shared" ref="R9" si="11">AVERAGE(Q9:Q11)</f>
        <v>1.1886666666666665</v>
      </c>
      <c r="S9" s="42">
        <f t="shared" si="6"/>
        <v>96.398659966499167</v>
      </c>
      <c r="T9" s="39">
        <f t="shared" ref="T9" si="12">AVERAGE(S9,S11)</f>
        <v>96.716440249409288</v>
      </c>
      <c r="U9" s="43">
        <f t="shared" si="2"/>
        <v>3.6013400335008376</v>
      </c>
      <c r="V9" s="39">
        <f t="shared" ref="V9" si="13">AVERAGE(U9,U11)</f>
        <v>3.2835597505907232</v>
      </c>
      <c r="W9" s="34">
        <f t="shared" ref="W9" si="14">F9-$F$3</f>
        <v>-1.6666666666666635E-3</v>
      </c>
      <c r="X9" s="103">
        <f t="shared" ref="X9" si="15">-W9*100/$F$3</f>
        <v>3.9062499999999929</v>
      </c>
    </row>
    <row r="10" spans="1:26">
      <c r="A10" s="63"/>
      <c r="B10" s="46"/>
      <c r="C10" s="19">
        <f>1.087-0.7</f>
        <v>0.38700000000000001</v>
      </c>
      <c r="D10" s="65">
        <v>1.18</v>
      </c>
      <c r="E10" s="19">
        <v>4.1000000000000002E-2</v>
      </c>
      <c r="F10" s="20"/>
      <c r="G10" s="21">
        <f>E10*100/C10</f>
        <v>10.594315245478038</v>
      </c>
      <c r="H10" s="49"/>
      <c r="I10" s="43">
        <f t="shared" si="0"/>
        <v>0.34600000000000003</v>
      </c>
      <c r="J10" s="20"/>
      <c r="K10" s="83">
        <f t="shared" si="1"/>
        <v>89.405684754521971</v>
      </c>
      <c r="L10" s="48"/>
      <c r="M10" s="98">
        <f>D10-C10</f>
        <v>0.79299999999999993</v>
      </c>
      <c r="N10" s="20"/>
      <c r="O10" s="42">
        <f t="shared" si="4"/>
        <v>2.0490956072351421</v>
      </c>
      <c r="P10" s="20"/>
      <c r="Q10" s="42">
        <f t="shared" si="5"/>
        <v>1.139</v>
      </c>
      <c r="R10" s="20"/>
      <c r="S10" s="42">
        <f t="shared" si="6"/>
        <v>96.525423728813564</v>
      </c>
      <c r="T10" s="39"/>
      <c r="U10" s="43">
        <f t="shared" si="2"/>
        <v>3.4745762711864412</v>
      </c>
      <c r="V10" s="39"/>
      <c r="W10" s="34"/>
      <c r="X10" s="104"/>
    </row>
    <row r="11" spans="1:26">
      <c r="A11" s="63"/>
      <c r="B11" s="46"/>
      <c r="C11" s="19">
        <f>1.123-0.632</f>
        <v>0.49099999999999999</v>
      </c>
      <c r="D11" s="75">
        <v>1.3149999999999999</v>
      </c>
      <c r="E11" s="19">
        <v>3.9E-2</v>
      </c>
      <c r="F11" s="20"/>
      <c r="G11" s="21">
        <f>E11*100/C11</f>
        <v>7.9429735234215881</v>
      </c>
      <c r="H11" s="49"/>
      <c r="I11" s="43">
        <f t="shared" si="0"/>
        <v>0.45200000000000001</v>
      </c>
      <c r="J11" s="20"/>
      <c r="K11" s="83">
        <f t="shared" si="1"/>
        <v>92.057026476578415</v>
      </c>
      <c r="L11" s="48"/>
      <c r="M11" s="98">
        <f t="shared" si="3"/>
        <v>0.82399999999999995</v>
      </c>
      <c r="N11" s="20"/>
      <c r="O11" s="42">
        <f t="shared" si="4"/>
        <v>1.6782077393075356</v>
      </c>
      <c r="P11" s="20"/>
      <c r="Q11" s="42">
        <f t="shared" si="5"/>
        <v>1.276</v>
      </c>
      <c r="R11" s="20"/>
      <c r="S11" s="42">
        <f t="shared" si="6"/>
        <v>97.034220532319395</v>
      </c>
      <c r="T11" s="39"/>
      <c r="U11" s="43">
        <f t="shared" si="2"/>
        <v>2.9657794676806084</v>
      </c>
      <c r="V11" s="39"/>
      <c r="W11" s="34"/>
      <c r="X11" s="104"/>
      <c r="Y11" s="55"/>
      <c r="Z11" s="55"/>
    </row>
    <row r="12" spans="1:26">
      <c r="A12" s="63"/>
      <c r="B12" s="60">
        <v>60</v>
      </c>
      <c r="C12" s="50">
        <f>1.093-0.636</f>
        <v>0.45699999999999996</v>
      </c>
      <c r="D12" s="42">
        <v>1.236</v>
      </c>
      <c r="E12" s="50">
        <v>4.1000000000000002E-2</v>
      </c>
      <c r="F12" s="56">
        <f>AVERAGE(E12:E14)</f>
        <v>4.0666666666666663E-2</v>
      </c>
      <c r="G12" s="52">
        <f t="shared" ref="G12:G22" si="16">E12*100/C12</f>
        <v>8.9715536105032836</v>
      </c>
      <c r="H12" s="58">
        <f>AVERAGE(G12:G14)</f>
        <v>9.0909556794895661</v>
      </c>
      <c r="I12" s="74">
        <f t="shared" si="0"/>
        <v>0.41599999999999998</v>
      </c>
      <c r="J12" s="56">
        <f>AVERAGE(I12:I14)</f>
        <v>0.40700000000000003</v>
      </c>
      <c r="K12" s="69">
        <f t="shared" si="1"/>
        <v>91.028446389496722</v>
      </c>
      <c r="L12" s="81">
        <f>AVERAGE(K12:K14)</f>
        <v>90.909044320510432</v>
      </c>
      <c r="M12" s="96">
        <f t="shared" si="3"/>
        <v>0.77900000000000003</v>
      </c>
      <c r="N12" s="56">
        <f>AVERAGE(M12:M14)</f>
        <v>0.79400000000000004</v>
      </c>
      <c r="O12" s="74">
        <f t="shared" si="4"/>
        <v>1.7045951859956239</v>
      </c>
      <c r="P12" s="56">
        <f>AVERAGE(O12:O14)</f>
        <v>1.7758043125560006</v>
      </c>
      <c r="Q12" s="74">
        <f t="shared" si="5"/>
        <v>1.1950000000000001</v>
      </c>
      <c r="R12" s="56">
        <f>AVERAGE(Q12:Q14)</f>
        <v>1.2010000000000003</v>
      </c>
      <c r="S12" s="74">
        <f t="shared" si="6"/>
        <v>96.682847896440137</v>
      </c>
      <c r="T12" s="56">
        <f>AVERAGE(S12,S14)</f>
        <v>96.704043756526772</v>
      </c>
      <c r="U12" s="74">
        <f t="shared" si="2"/>
        <v>3.317152103559871</v>
      </c>
      <c r="V12" s="56">
        <f>AVERAGE(U12,U14)</f>
        <v>3.2959562434732264</v>
      </c>
      <c r="W12" s="51">
        <f t="shared" ref="W12" si="17">F12-$F$3</f>
        <v>-2.0000000000000018E-3</v>
      </c>
      <c r="X12" s="105">
        <f t="shared" ref="X12" si="18">-W12*100/$F$3</f>
        <v>4.6875000000000044</v>
      </c>
      <c r="Y12" s="55"/>
      <c r="Z12" s="55"/>
    </row>
    <row r="13" spans="1:26">
      <c r="A13" s="63"/>
      <c r="B13" s="46"/>
      <c r="C13" s="47">
        <f>1.094-0.64</f>
        <v>0.45400000000000007</v>
      </c>
      <c r="D13" s="42">
        <v>1.2370000000000001</v>
      </c>
      <c r="E13" s="47">
        <v>0.04</v>
      </c>
      <c r="F13" s="48"/>
      <c r="G13" s="76">
        <f>E13*100/C13</f>
        <v>8.8105726872246688</v>
      </c>
      <c r="H13" s="49"/>
      <c r="I13" s="78">
        <f t="shared" si="0"/>
        <v>0.41400000000000009</v>
      </c>
      <c r="J13" s="48"/>
      <c r="K13" s="111">
        <f t="shared" si="1"/>
        <v>91.189427312775322</v>
      </c>
      <c r="L13" s="48"/>
      <c r="M13" s="98">
        <f>D13-C13</f>
        <v>0.78300000000000003</v>
      </c>
      <c r="N13" s="48"/>
      <c r="O13" s="78">
        <f t="shared" si="4"/>
        <v>1.7246696035242288</v>
      </c>
      <c r="P13" s="48"/>
      <c r="Q13" s="78">
        <f t="shared" si="5"/>
        <v>1.1970000000000001</v>
      </c>
      <c r="R13" s="48"/>
      <c r="S13" s="78">
        <f t="shared" si="6"/>
        <v>96.7663702506063</v>
      </c>
      <c r="T13" s="48"/>
      <c r="U13" s="78">
        <f t="shared" si="2"/>
        <v>3.2336297493936943</v>
      </c>
      <c r="V13" s="66"/>
      <c r="W13" s="48"/>
      <c r="X13" s="104"/>
      <c r="Y13" s="55"/>
      <c r="Z13" s="55"/>
    </row>
    <row r="14" spans="1:26">
      <c r="A14" s="63"/>
      <c r="B14" s="61"/>
      <c r="C14" s="53">
        <f>1.091-0.659</f>
        <v>0.43199999999999994</v>
      </c>
      <c r="D14" s="42">
        <v>1.252</v>
      </c>
      <c r="E14" s="53">
        <v>4.1000000000000002E-2</v>
      </c>
      <c r="F14" s="54"/>
      <c r="G14" s="77">
        <f>E14*100/C14</f>
        <v>9.490740740740744</v>
      </c>
      <c r="H14" s="59"/>
      <c r="I14" s="75">
        <f t="shared" si="0"/>
        <v>0.39099999999999996</v>
      </c>
      <c r="J14" s="57"/>
      <c r="K14" s="71">
        <f t="shared" si="1"/>
        <v>90.509259259259252</v>
      </c>
      <c r="L14" s="82"/>
      <c r="M14" s="98">
        <f t="shared" si="3"/>
        <v>0.82000000000000006</v>
      </c>
      <c r="N14" s="57"/>
      <c r="O14" s="75">
        <f t="shared" si="4"/>
        <v>1.8981481481481486</v>
      </c>
      <c r="P14" s="57"/>
      <c r="Q14" s="75">
        <f t="shared" si="5"/>
        <v>1.2110000000000001</v>
      </c>
      <c r="R14" s="57"/>
      <c r="S14" s="75">
        <f t="shared" si="6"/>
        <v>96.725239616613422</v>
      </c>
      <c r="T14" s="57"/>
      <c r="U14" s="75">
        <f t="shared" si="2"/>
        <v>3.2747603833865817</v>
      </c>
      <c r="V14" s="57"/>
      <c r="W14" s="54"/>
      <c r="X14" s="106"/>
      <c r="Y14" s="55"/>
      <c r="Z14" s="55"/>
    </row>
    <row r="15" spans="1:26">
      <c r="A15" s="63"/>
      <c r="B15" s="46">
        <v>180</v>
      </c>
      <c r="C15" s="47">
        <f>1.083-0.637</f>
        <v>0.44599999999999995</v>
      </c>
      <c r="D15" s="80">
        <v>1.2</v>
      </c>
      <c r="E15" s="47">
        <v>3.2000000000000001E-2</v>
      </c>
      <c r="F15" s="20">
        <f>AVERAGE(E15:E17)</f>
        <v>3.6666666666666674E-2</v>
      </c>
      <c r="G15" s="21">
        <f>E15*100/C15</f>
        <v>7.1748878923766828</v>
      </c>
      <c r="H15" s="49">
        <f>AVERAGE(G15:G17)</f>
        <v>8.7149153494683507</v>
      </c>
      <c r="I15" s="43">
        <f t="shared" si="0"/>
        <v>0.41399999999999992</v>
      </c>
      <c r="J15" s="20">
        <f>AVERAGE(I15:I17)</f>
        <v>0.38633333333333336</v>
      </c>
      <c r="K15" s="70">
        <f t="shared" si="1"/>
        <v>92.825112107623312</v>
      </c>
      <c r="L15" s="48">
        <f>AVERAGE(K15:K17)</f>
        <v>91.285084650531644</v>
      </c>
      <c r="M15" s="107">
        <f t="shared" si="3"/>
        <v>0.754</v>
      </c>
      <c r="N15" s="20">
        <f>AVERAGE(M15:M17)</f>
        <v>0.86033333333333328</v>
      </c>
      <c r="O15" s="65">
        <f t="shared" si="4"/>
        <v>1.6905829596412558</v>
      </c>
      <c r="P15" s="20">
        <f>AVERAGE(O15:O17)</f>
        <v>2.0431178817401503</v>
      </c>
      <c r="Q15" s="65">
        <f t="shared" si="5"/>
        <v>1.1679999999999999</v>
      </c>
      <c r="R15" s="20">
        <f>AVERAGE(Q15:Q17)</f>
        <v>1.2466666666666668</v>
      </c>
      <c r="S15" s="65">
        <f t="shared" si="6"/>
        <v>97.333333333333329</v>
      </c>
      <c r="T15" s="48">
        <f>AVERAGE(S15,S17)</f>
        <v>97.143229166666657</v>
      </c>
      <c r="U15" s="43">
        <f t="shared" si="2"/>
        <v>2.666666666666667</v>
      </c>
      <c r="V15" s="48">
        <f>AVERAGE(U15,U17)</f>
        <v>2.8567708333333335</v>
      </c>
      <c r="W15" s="34">
        <f t="shared" ref="W15" si="19">F15-$F$3</f>
        <v>-5.9999999999999915E-3</v>
      </c>
      <c r="X15" s="99">
        <f t="shared" ref="X15" si="20">-W15*100/$F$3</f>
        <v>14.062499999999982</v>
      </c>
      <c r="Z15" s="55"/>
    </row>
    <row r="16" spans="1:26">
      <c r="A16" s="63"/>
      <c r="B16" s="46"/>
      <c r="C16" s="47">
        <f>1.084-0.661</f>
        <v>0.42300000000000004</v>
      </c>
      <c r="D16" s="65">
        <v>1.37</v>
      </c>
      <c r="E16" s="47">
        <v>3.9E-2</v>
      </c>
      <c r="F16" s="20"/>
      <c r="G16" s="21">
        <f>E16*100/C16</f>
        <v>9.2198581560283674</v>
      </c>
      <c r="H16" s="49"/>
      <c r="I16" s="43">
        <f t="shared" si="0"/>
        <v>0.38400000000000006</v>
      </c>
      <c r="J16" s="20"/>
      <c r="K16" s="70">
        <f t="shared" si="1"/>
        <v>90.780141843971634</v>
      </c>
      <c r="L16" s="48"/>
      <c r="M16" s="98">
        <f>D16-C16</f>
        <v>0.94700000000000006</v>
      </c>
      <c r="N16" s="20"/>
      <c r="O16" s="65">
        <f t="shared" si="4"/>
        <v>2.2387706855791962</v>
      </c>
      <c r="P16" s="48"/>
      <c r="Q16" s="78">
        <f t="shared" si="5"/>
        <v>1.3310000000000002</v>
      </c>
      <c r="R16" s="20"/>
      <c r="S16" s="65">
        <f t="shared" si="6"/>
        <v>97.153284671532859</v>
      </c>
      <c r="T16" s="48"/>
      <c r="U16" s="43">
        <f t="shared" si="2"/>
        <v>2.8467153284671531</v>
      </c>
      <c r="V16" s="48"/>
      <c r="W16" s="34"/>
      <c r="X16" s="99"/>
      <c r="Z16" s="55"/>
    </row>
    <row r="17" spans="1:24">
      <c r="A17" s="64"/>
      <c r="B17" s="35"/>
      <c r="C17" s="45">
        <f>1.086-0.686</f>
        <v>0.4</v>
      </c>
      <c r="D17" s="45">
        <v>1.28</v>
      </c>
      <c r="E17" s="14">
        <v>3.9E-2</v>
      </c>
      <c r="F17" s="36"/>
      <c r="G17" s="37">
        <f>E17*100/C17</f>
        <v>9.75</v>
      </c>
      <c r="H17" s="38"/>
      <c r="I17" s="44">
        <f t="shared" si="0"/>
        <v>0.36100000000000004</v>
      </c>
      <c r="J17" s="36"/>
      <c r="K17" s="112">
        <f t="shared" si="1"/>
        <v>90.25</v>
      </c>
      <c r="L17" s="40"/>
      <c r="M17" s="108">
        <f t="shared" si="3"/>
        <v>0.88</v>
      </c>
      <c r="N17" s="36"/>
      <c r="O17" s="45">
        <f t="shared" si="4"/>
        <v>2.1999999999999997</v>
      </c>
      <c r="P17" s="36"/>
      <c r="Q17" s="45">
        <f t="shared" si="5"/>
        <v>1.2410000000000001</v>
      </c>
      <c r="R17" s="36"/>
      <c r="S17" s="45">
        <f t="shared" si="6"/>
        <v>96.953125</v>
      </c>
      <c r="T17" s="40"/>
      <c r="U17" s="44">
        <f t="shared" si="2"/>
        <v>3.046875</v>
      </c>
      <c r="V17" s="40"/>
      <c r="W17" s="41"/>
      <c r="X17" s="109"/>
    </row>
  </sheetData>
  <mergeCells count="63">
    <mergeCell ref="R15:R17"/>
    <mergeCell ref="T15:T17"/>
    <mergeCell ref="V15:V17"/>
    <mergeCell ref="W15:W17"/>
    <mergeCell ref="X15:X17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R6:R8"/>
    <mergeCell ref="T6:T8"/>
    <mergeCell ref="V6:V8"/>
    <mergeCell ref="W6:W8"/>
    <mergeCell ref="X6:X8"/>
    <mergeCell ref="B9:B11"/>
    <mergeCell ref="F9:F11"/>
    <mergeCell ref="H9:H11"/>
    <mergeCell ref="J9:J11"/>
    <mergeCell ref="L9:L11"/>
    <mergeCell ref="F6:F8"/>
    <mergeCell ref="H6:H8"/>
    <mergeCell ref="J6:J8"/>
    <mergeCell ref="L6:L8"/>
    <mergeCell ref="N6:N8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workbookViewId="0">
      <selection activeCell="B28" sqref="B28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 t="s">
        <v>5</v>
      </c>
      <c r="H1" s="7"/>
      <c r="I1" s="7" t="s">
        <v>6</v>
      </c>
      <c r="J1" s="7"/>
      <c r="K1" s="7"/>
      <c r="L1" s="8"/>
      <c r="M1" s="7" t="s">
        <v>7</v>
      </c>
      <c r="N1" s="7"/>
      <c r="O1" s="7"/>
      <c r="P1" s="7"/>
      <c r="Q1" s="6" t="s">
        <v>8</v>
      </c>
      <c r="R1" s="7"/>
      <c r="S1" s="7"/>
      <c r="T1" s="7"/>
      <c r="U1" s="6" t="s">
        <v>9</v>
      </c>
      <c r="V1" s="7"/>
      <c r="W1" s="6" t="s">
        <v>10</v>
      </c>
      <c r="X1" s="9"/>
    </row>
    <row r="2" spans="1:26">
      <c r="A2" s="10" t="s">
        <v>11</v>
      </c>
      <c r="B2" s="11" t="s">
        <v>12</v>
      </c>
      <c r="C2" s="12" t="s">
        <v>13</v>
      </c>
      <c r="D2" s="12" t="s">
        <v>13</v>
      </c>
      <c r="E2" s="12" t="s">
        <v>13</v>
      </c>
      <c r="F2" s="12" t="s">
        <v>14</v>
      </c>
      <c r="G2" s="13" t="s">
        <v>15</v>
      </c>
      <c r="H2" s="14" t="s">
        <v>16</v>
      </c>
      <c r="I2" s="13" t="s">
        <v>13</v>
      </c>
      <c r="J2" s="15" t="s">
        <v>14</v>
      </c>
      <c r="K2" s="14" t="s">
        <v>15</v>
      </c>
      <c r="L2" s="14" t="s">
        <v>16</v>
      </c>
      <c r="M2" s="16" t="s">
        <v>13</v>
      </c>
      <c r="N2" s="15" t="s">
        <v>14</v>
      </c>
      <c r="O2" s="14" t="s">
        <v>17</v>
      </c>
      <c r="P2" s="15" t="s">
        <v>18</v>
      </c>
      <c r="Q2" s="14" t="s">
        <v>13</v>
      </c>
      <c r="R2" s="15" t="s">
        <v>14</v>
      </c>
      <c r="S2" s="14" t="s">
        <v>15</v>
      </c>
      <c r="T2" s="14" t="s">
        <v>16</v>
      </c>
      <c r="U2" s="13" t="s">
        <v>15</v>
      </c>
      <c r="V2" s="14" t="s">
        <v>16</v>
      </c>
      <c r="W2" s="13" t="s">
        <v>13</v>
      </c>
      <c r="X2" s="17" t="s">
        <v>15</v>
      </c>
    </row>
    <row r="3" spans="1:26">
      <c r="A3" s="62">
        <v>65</v>
      </c>
      <c r="B3" s="18">
        <v>0</v>
      </c>
      <c r="C3" s="19">
        <f>0.989-0.658</f>
        <v>0.33099999999999996</v>
      </c>
      <c r="D3" s="19" t="s">
        <v>19</v>
      </c>
      <c r="E3" s="19">
        <v>4.3999999999999997E-2</v>
      </c>
      <c r="F3" s="20">
        <f>AVERAGE(E3:E5)</f>
        <v>4.3666666666666666E-2</v>
      </c>
      <c r="G3" s="21">
        <f>E3*100/C3</f>
        <v>13.293051359516616</v>
      </c>
      <c r="H3" s="22">
        <f>AVERAGE(G3:G5)</f>
        <v>13.248146494785388</v>
      </c>
      <c r="I3" s="43">
        <f>C3-E3</f>
        <v>0.28699999999999998</v>
      </c>
      <c r="J3" s="20">
        <f>AVERAGE(I3:I5)</f>
        <v>0.28800000000000003</v>
      </c>
      <c r="K3" s="83">
        <f>I3*100/C3</f>
        <v>86.70694864048339</v>
      </c>
      <c r="L3" s="39">
        <f>AVERAGE(K3:K5)</f>
        <v>86.751853505214626</v>
      </c>
      <c r="M3" s="84">
        <v>0</v>
      </c>
      <c r="N3" s="85">
        <v>0</v>
      </c>
      <c r="O3" s="86">
        <v>0</v>
      </c>
      <c r="P3" s="85">
        <v>0</v>
      </c>
      <c r="Q3" s="86"/>
      <c r="R3" s="87"/>
      <c r="S3" s="86"/>
      <c r="T3" s="86"/>
      <c r="U3" s="88"/>
      <c r="V3" s="86"/>
      <c r="W3" s="88"/>
      <c r="X3" s="89"/>
    </row>
    <row r="4" spans="1:26">
      <c r="A4" s="63"/>
      <c r="B4" s="18"/>
      <c r="C4" s="19">
        <f>0.995-0.697</f>
        <v>0.29800000000000004</v>
      </c>
      <c r="D4" s="19" t="s">
        <v>19</v>
      </c>
      <c r="E4" s="19">
        <v>4.2999999999999997E-2</v>
      </c>
      <c r="F4" s="20"/>
      <c r="G4" s="21">
        <f>E4*100/C4</f>
        <v>14.429530201342279</v>
      </c>
      <c r="H4" s="22"/>
      <c r="I4" s="43">
        <f t="shared" ref="I4:I14" si="0">C4-E4</f>
        <v>0.25500000000000006</v>
      </c>
      <c r="J4" s="20"/>
      <c r="K4" s="83">
        <f t="shared" ref="K4:K14" si="1">I4*100/C4</f>
        <v>85.570469798657726</v>
      </c>
      <c r="L4" s="39"/>
      <c r="M4" s="84">
        <v>0</v>
      </c>
      <c r="N4" s="85"/>
      <c r="O4" s="86">
        <v>0</v>
      </c>
      <c r="P4" s="85"/>
      <c r="Q4" s="86"/>
      <c r="R4" s="87"/>
      <c r="S4" s="86"/>
      <c r="T4" s="86"/>
      <c r="U4" s="88"/>
      <c r="V4" s="86"/>
      <c r="W4" s="88"/>
      <c r="X4" s="89"/>
    </row>
    <row r="5" spans="1:26">
      <c r="A5" s="63"/>
      <c r="B5" s="23"/>
      <c r="C5" s="24">
        <f>0.984-0.618</f>
        <v>0.36599999999999999</v>
      </c>
      <c r="D5" s="24" t="s">
        <v>19</v>
      </c>
      <c r="E5" s="24">
        <v>4.3999999999999997E-2</v>
      </c>
      <c r="F5" s="20"/>
      <c r="G5" s="26">
        <f>E5*100/C5</f>
        <v>12.021857923497267</v>
      </c>
      <c r="H5" s="27"/>
      <c r="I5" s="72">
        <f t="shared" si="0"/>
        <v>0.32200000000000001</v>
      </c>
      <c r="J5" s="25"/>
      <c r="K5" s="110">
        <f t="shared" si="1"/>
        <v>87.978142076502735</v>
      </c>
      <c r="L5" s="82"/>
      <c r="M5" s="91">
        <v>0</v>
      </c>
      <c r="N5" s="92"/>
      <c r="O5" s="93">
        <v>0</v>
      </c>
      <c r="P5" s="92"/>
      <c r="Q5" s="93"/>
      <c r="R5" s="94"/>
      <c r="S5" s="93"/>
      <c r="T5" s="93"/>
      <c r="U5" s="95"/>
      <c r="V5" s="93"/>
      <c r="W5" s="95"/>
      <c r="X5" s="89"/>
    </row>
    <row r="6" spans="1:26">
      <c r="A6" s="63"/>
      <c r="B6" s="28">
        <v>15</v>
      </c>
      <c r="C6" s="29">
        <f>1.06-0.649</f>
        <v>0.41100000000000003</v>
      </c>
      <c r="D6" s="47">
        <v>1.1830000000000001</v>
      </c>
      <c r="E6" s="29">
        <v>3.9E-2</v>
      </c>
      <c r="F6" s="67">
        <f>AVERAGE(E6:E8)</f>
        <v>3.7666666666666661E-2</v>
      </c>
      <c r="G6" s="31">
        <f>E6*100/C6</f>
        <v>9.4890510948905096</v>
      </c>
      <c r="H6" s="32">
        <f>AVERAGE(G6:G8)</f>
        <v>9.7234960059022484</v>
      </c>
      <c r="I6" s="73">
        <f t="shared" si="0"/>
        <v>0.37200000000000005</v>
      </c>
      <c r="J6" s="30">
        <f>AVERAGE(I6:I8)</f>
        <v>0.35099999999999998</v>
      </c>
      <c r="K6" s="79">
        <f t="shared" si="1"/>
        <v>90.510948905109487</v>
      </c>
      <c r="L6" s="81">
        <f>AVERAGE(K6:K8)</f>
        <v>90.276503994097752</v>
      </c>
      <c r="M6" s="96">
        <f>D6-C6</f>
        <v>0.77200000000000002</v>
      </c>
      <c r="N6" s="30">
        <f>AVERAGE(M6:M8)</f>
        <v>0.73566666666666658</v>
      </c>
      <c r="O6" s="80">
        <f>M6/C6</f>
        <v>1.8783454987834549</v>
      </c>
      <c r="P6" s="30">
        <f>AVERAGE(O6:O8)</f>
        <v>1.9053826782872847</v>
      </c>
      <c r="Q6" s="80">
        <f>D6-E6</f>
        <v>1.1440000000000001</v>
      </c>
      <c r="R6" s="30">
        <f>AVERAGE(Q6:Q8)</f>
        <v>1.0866666666666667</v>
      </c>
      <c r="S6" s="80">
        <f>Q6*100/D6</f>
        <v>96.703296703296701</v>
      </c>
      <c r="T6" s="81">
        <f>AVERAGE(S6,S8)</f>
        <v>96.613313493459884</v>
      </c>
      <c r="U6" s="73">
        <f t="shared" ref="U6:U14" si="2">E6*100/D6</f>
        <v>3.2967032967032965</v>
      </c>
      <c r="V6" s="81">
        <f>AVERAGE(U6,U8)</f>
        <v>3.3866865065401202</v>
      </c>
      <c r="W6" s="33">
        <f>F6-$F$3</f>
        <v>-6.0000000000000053E-3</v>
      </c>
      <c r="X6" s="97">
        <f>-W6*100/$F$3</f>
        <v>13.740458015267189</v>
      </c>
    </row>
    <row r="7" spans="1:26">
      <c r="A7" s="63"/>
      <c r="B7" s="46"/>
      <c r="C7" s="47">
        <f>1.023-0.675</f>
        <v>0.34799999999999986</v>
      </c>
      <c r="D7" s="47">
        <v>1.097</v>
      </c>
      <c r="E7" s="47">
        <v>3.5999999999999997E-2</v>
      </c>
      <c r="F7" s="48"/>
      <c r="G7" s="76">
        <f>E7*100/C7</f>
        <v>10.3448275862069</v>
      </c>
      <c r="H7" s="49"/>
      <c r="I7" s="78">
        <f t="shared" si="0"/>
        <v>0.31199999999999989</v>
      </c>
      <c r="J7" s="48"/>
      <c r="K7" s="111">
        <f t="shared" si="1"/>
        <v>89.65517241379311</v>
      </c>
      <c r="L7" s="48"/>
      <c r="M7" s="98">
        <f>D7-C7</f>
        <v>0.74900000000000011</v>
      </c>
      <c r="N7" s="48"/>
      <c r="O7" s="78">
        <f>M7/C7</f>
        <v>2.1522988505747138</v>
      </c>
      <c r="P7" s="48"/>
      <c r="Q7" s="78">
        <f>D7-E7</f>
        <v>1.0609999999999999</v>
      </c>
      <c r="R7" s="48"/>
      <c r="S7" s="78">
        <f>Q7*100/D7</f>
        <v>96.718322698267997</v>
      </c>
      <c r="T7" s="48"/>
      <c r="U7" s="78">
        <f t="shared" si="2"/>
        <v>3.281677301731996</v>
      </c>
      <c r="V7" s="48"/>
      <c r="W7" s="34"/>
      <c r="X7" s="99"/>
    </row>
    <row r="8" spans="1:26">
      <c r="A8" s="63"/>
      <c r="B8" s="23"/>
      <c r="C8" s="24">
        <f>1.016-0.609</f>
        <v>0.40700000000000003</v>
      </c>
      <c r="D8" s="24">
        <v>1.093</v>
      </c>
      <c r="E8" s="24">
        <v>3.7999999999999999E-2</v>
      </c>
      <c r="F8" s="68"/>
      <c r="G8" s="26">
        <f>E8*100/C8</f>
        <v>9.3366093366093352</v>
      </c>
      <c r="H8" s="27"/>
      <c r="I8" s="72">
        <f t="shared" si="0"/>
        <v>0.36900000000000005</v>
      </c>
      <c r="J8" s="25"/>
      <c r="K8" s="110">
        <f t="shared" si="1"/>
        <v>90.663390663390672</v>
      </c>
      <c r="L8" s="82"/>
      <c r="M8" s="100">
        <f t="shared" ref="M8:M14" si="3">D8-C8</f>
        <v>0.68599999999999994</v>
      </c>
      <c r="N8" s="25"/>
      <c r="O8" s="90">
        <f t="shared" ref="O8:O14" si="4">M8/C8</f>
        <v>1.6855036855036853</v>
      </c>
      <c r="P8" s="25"/>
      <c r="Q8" s="90">
        <f t="shared" ref="Q8:Q14" si="5">D8-E8</f>
        <v>1.0549999999999999</v>
      </c>
      <c r="R8" s="25"/>
      <c r="S8" s="90">
        <f t="shared" ref="S8:S14" si="6">Q8*100/D8</f>
        <v>96.523330283623054</v>
      </c>
      <c r="T8" s="82"/>
      <c r="U8" s="72">
        <f t="shared" si="2"/>
        <v>3.4766697163769442</v>
      </c>
      <c r="V8" s="82"/>
      <c r="W8" s="101"/>
      <c r="X8" s="102"/>
    </row>
    <row r="9" spans="1:26">
      <c r="A9" s="63"/>
      <c r="B9" s="28">
        <v>30</v>
      </c>
      <c r="C9" s="19">
        <f>0.981-0.63</f>
        <v>0.35099999999999998</v>
      </c>
      <c r="D9" s="50">
        <v>1.123</v>
      </c>
      <c r="E9" s="19">
        <v>3.5999999999999997E-2</v>
      </c>
      <c r="F9" s="20">
        <f>AVERAGE(E9:E11)</f>
        <v>3.7333333333333329E-2</v>
      </c>
      <c r="G9" s="21">
        <f>E9*100/C9</f>
        <v>10.256410256410255</v>
      </c>
      <c r="H9" s="32">
        <f t="shared" ref="H9" si="7">AVERAGE(G9:G11)</f>
        <v>9.6241729727968277</v>
      </c>
      <c r="I9" s="43">
        <f t="shared" si="0"/>
        <v>0.315</v>
      </c>
      <c r="J9" s="30">
        <f t="shared" ref="J9" si="8">AVERAGE(I9:I11)</f>
        <v>0.35333333333333328</v>
      </c>
      <c r="K9" s="83">
        <f t="shared" si="1"/>
        <v>89.743589743589752</v>
      </c>
      <c r="L9" s="81">
        <f>AVERAGE(K9:K11)</f>
        <v>90.375827027203187</v>
      </c>
      <c r="M9" s="96">
        <f t="shared" si="3"/>
        <v>0.77200000000000002</v>
      </c>
      <c r="N9" s="30">
        <f t="shared" ref="N9" si="9">AVERAGE(M9:M11)</f>
        <v>0.77033333333333331</v>
      </c>
      <c r="O9" s="42">
        <f t="shared" si="4"/>
        <v>2.1994301994301995</v>
      </c>
      <c r="P9" s="20">
        <f t="shared" ref="P9" si="10">AVERAGE(O9:O11)</f>
        <v>1.9875280060295355</v>
      </c>
      <c r="Q9" s="42">
        <f t="shared" si="5"/>
        <v>1.087</v>
      </c>
      <c r="R9" s="20">
        <f t="shared" ref="R9" si="11">AVERAGE(Q9:Q11)</f>
        <v>1.1236666666666668</v>
      </c>
      <c r="S9" s="42">
        <f t="shared" si="6"/>
        <v>96.79430097951915</v>
      </c>
      <c r="T9" s="39">
        <f t="shared" ref="T9" si="12">AVERAGE(S9,S11)</f>
        <v>96.864424723396695</v>
      </c>
      <c r="U9" s="43">
        <f t="shared" si="2"/>
        <v>3.2056990204808544</v>
      </c>
      <c r="V9" s="39">
        <f t="shared" ref="V9" si="13">AVERAGE(U9,U11)</f>
        <v>3.1355752766033103</v>
      </c>
      <c r="W9" s="34">
        <f t="shared" ref="W9" si="14">F9-$F$3</f>
        <v>-6.3333333333333366E-3</v>
      </c>
      <c r="X9" s="103">
        <f t="shared" ref="X9" si="15">-W9*100/$F$3</f>
        <v>14.503816793893137</v>
      </c>
    </row>
    <row r="10" spans="1:26">
      <c r="A10" s="63"/>
      <c r="B10" s="46"/>
      <c r="C10" s="19">
        <f>1.005-0.62</f>
        <v>0.3849999999999999</v>
      </c>
      <c r="D10" s="47">
        <v>1.153</v>
      </c>
      <c r="E10" s="19">
        <v>3.9E-2</v>
      </c>
      <c r="F10" s="20"/>
      <c r="G10" s="21">
        <f>E10*100/C10</f>
        <v>10.129870129870133</v>
      </c>
      <c r="H10" s="49"/>
      <c r="I10" s="43">
        <f t="shared" si="0"/>
        <v>0.34599999999999992</v>
      </c>
      <c r="J10" s="20"/>
      <c r="K10" s="83">
        <f t="shared" si="1"/>
        <v>89.870129870129873</v>
      </c>
      <c r="L10" s="48"/>
      <c r="M10" s="98">
        <f>D10-C10</f>
        <v>0.76800000000000013</v>
      </c>
      <c r="N10" s="20"/>
      <c r="O10" s="42">
        <f t="shared" si="4"/>
        <v>1.9948051948051957</v>
      </c>
      <c r="P10" s="20"/>
      <c r="Q10" s="42">
        <f t="shared" si="5"/>
        <v>1.1140000000000001</v>
      </c>
      <c r="R10" s="20"/>
      <c r="S10" s="42">
        <f t="shared" si="6"/>
        <v>96.617519514310501</v>
      </c>
      <c r="T10" s="39"/>
      <c r="U10" s="43">
        <f t="shared" si="2"/>
        <v>3.3824804856895057</v>
      </c>
      <c r="V10" s="39"/>
      <c r="W10" s="34"/>
      <c r="X10" s="104"/>
    </row>
    <row r="11" spans="1:26">
      <c r="A11" s="63"/>
      <c r="B11" s="46"/>
      <c r="C11" s="19">
        <f>1.089-0.653</f>
        <v>0.43599999999999994</v>
      </c>
      <c r="D11" s="53">
        <v>1.2070000000000001</v>
      </c>
      <c r="E11" s="19">
        <v>3.6999999999999998E-2</v>
      </c>
      <c r="F11" s="20"/>
      <c r="G11" s="21">
        <f>E11*100/C11</f>
        <v>8.486238532110093</v>
      </c>
      <c r="H11" s="49"/>
      <c r="I11" s="43">
        <f t="shared" si="0"/>
        <v>0.39899999999999997</v>
      </c>
      <c r="J11" s="20"/>
      <c r="K11" s="83">
        <f t="shared" si="1"/>
        <v>91.513761467889921</v>
      </c>
      <c r="L11" s="48"/>
      <c r="M11" s="98">
        <f t="shared" si="3"/>
        <v>0.77100000000000013</v>
      </c>
      <c r="N11" s="20"/>
      <c r="O11" s="42">
        <f t="shared" si="4"/>
        <v>1.7683486238532116</v>
      </c>
      <c r="P11" s="20"/>
      <c r="Q11" s="42">
        <f t="shared" si="5"/>
        <v>1.1700000000000002</v>
      </c>
      <c r="R11" s="20"/>
      <c r="S11" s="42">
        <f t="shared" si="6"/>
        <v>96.93454846727424</v>
      </c>
      <c r="T11" s="39"/>
      <c r="U11" s="43">
        <f t="shared" si="2"/>
        <v>3.0654515327257661</v>
      </c>
      <c r="V11" s="39"/>
      <c r="W11" s="34"/>
      <c r="X11" s="104"/>
      <c r="Y11" s="55"/>
      <c r="Z11" s="55"/>
    </row>
    <row r="12" spans="1:26">
      <c r="A12" s="63"/>
      <c r="B12" s="60">
        <v>60</v>
      </c>
      <c r="C12" s="50">
        <f>1.055-0.63</f>
        <v>0.42499999999999993</v>
      </c>
      <c r="D12" s="19">
        <v>1.1930000000000001</v>
      </c>
      <c r="E12" s="50">
        <v>3.7999999999999999E-2</v>
      </c>
      <c r="F12" s="56">
        <f>AVERAGE(E12:E14)</f>
        <v>3.7666666666666661E-2</v>
      </c>
      <c r="G12" s="52">
        <f t="shared" ref="G4:G14" si="16">E12*100/C12</f>
        <v>8.9411764705882355</v>
      </c>
      <c r="H12" s="58">
        <f>AVERAGE(G12:G14)</f>
        <v>9.3188751467430713</v>
      </c>
      <c r="I12" s="74">
        <f t="shared" si="0"/>
        <v>0.38699999999999996</v>
      </c>
      <c r="J12" s="56">
        <f>AVERAGE(I12:I14)</f>
        <v>0.36766666666666664</v>
      </c>
      <c r="K12" s="69">
        <f t="shared" si="1"/>
        <v>91.058823529411768</v>
      </c>
      <c r="L12" s="81">
        <f>AVERAGE(K12:K14)</f>
        <v>90.681124853256918</v>
      </c>
      <c r="M12" s="96">
        <f t="shared" si="3"/>
        <v>0.76800000000000013</v>
      </c>
      <c r="N12" s="56">
        <f>AVERAGE(M12:M14)</f>
        <v>0.7320000000000001</v>
      </c>
      <c r="O12" s="74">
        <f t="shared" si="4"/>
        <v>1.8070588235294123</v>
      </c>
      <c r="P12" s="56">
        <f>AVERAGE(O12:O14)</f>
        <v>1.8069405837116073</v>
      </c>
      <c r="Q12" s="74">
        <f t="shared" si="5"/>
        <v>1.155</v>
      </c>
      <c r="R12" s="56">
        <f>AVERAGE(Q12:Q14)</f>
        <v>1.0996666666666668</v>
      </c>
      <c r="S12" s="74">
        <f t="shared" si="6"/>
        <v>96.814752724224633</v>
      </c>
      <c r="T12" s="56">
        <f>AVERAGE(S12,S14)</f>
        <v>96.652158145793535</v>
      </c>
      <c r="U12" s="74">
        <f t="shared" si="2"/>
        <v>3.1852472757753558</v>
      </c>
      <c r="V12" s="56">
        <f>AVERAGE(U12,U14)</f>
        <v>3.3478418542064632</v>
      </c>
      <c r="W12" s="51">
        <f t="shared" ref="W12" si="17">F12-$F$3</f>
        <v>-6.0000000000000053E-3</v>
      </c>
      <c r="X12" s="105">
        <f t="shared" ref="X12" si="18">-W12*100/$F$3</f>
        <v>13.740458015267189</v>
      </c>
      <c r="Y12" s="55"/>
      <c r="Z12" s="55"/>
    </row>
    <row r="13" spans="1:26">
      <c r="A13" s="63"/>
      <c r="B13" s="46"/>
      <c r="C13" s="47">
        <f>1.051-0.632</f>
        <v>0.41899999999999993</v>
      </c>
      <c r="D13" s="19">
        <v>1.165</v>
      </c>
      <c r="E13" s="47">
        <v>3.7999999999999999E-2</v>
      </c>
      <c r="F13" s="48"/>
      <c r="G13" s="76">
        <f>E13*100/C13</f>
        <v>9.0692124105011942</v>
      </c>
      <c r="H13" s="49"/>
      <c r="I13" s="78">
        <f t="shared" si="0"/>
        <v>0.38099999999999995</v>
      </c>
      <c r="J13" s="48"/>
      <c r="K13" s="111">
        <f t="shared" si="1"/>
        <v>90.930787589498806</v>
      </c>
      <c r="L13" s="48"/>
      <c r="M13" s="98">
        <f>D13-C13</f>
        <v>0.74600000000000011</v>
      </c>
      <c r="N13" s="48"/>
      <c r="O13" s="78">
        <f t="shared" si="4"/>
        <v>1.7804295942720769</v>
      </c>
      <c r="P13" s="48"/>
      <c r="Q13" s="78">
        <f t="shared" si="5"/>
        <v>1.127</v>
      </c>
      <c r="R13" s="48"/>
      <c r="S13" s="78">
        <f t="shared" si="6"/>
        <v>96.738197424892704</v>
      </c>
      <c r="T13" s="48"/>
      <c r="U13" s="78">
        <f t="shared" si="2"/>
        <v>3.2618025751072959</v>
      </c>
      <c r="V13" s="66"/>
      <c r="W13" s="48"/>
      <c r="X13" s="104"/>
      <c r="Y13" s="55"/>
      <c r="Z13" s="55"/>
    </row>
    <row r="14" spans="1:26">
      <c r="A14" s="63"/>
      <c r="B14" s="61"/>
      <c r="C14" s="53">
        <f>1.046-0.674</f>
        <v>0.372</v>
      </c>
      <c r="D14" s="19">
        <v>1.054</v>
      </c>
      <c r="E14" s="53">
        <v>3.6999999999999998E-2</v>
      </c>
      <c r="F14" s="54"/>
      <c r="G14" s="77">
        <f>E14*100/C14</f>
        <v>9.9462365591397841</v>
      </c>
      <c r="H14" s="59"/>
      <c r="I14" s="75">
        <f t="shared" si="0"/>
        <v>0.33500000000000002</v>
      </c>
      <c r="J14" s="57"/>
      <c r="K14" s="71">
        <f t="shared" si="1"/>
        <v>90.053763440860209</v>
      </c>
      <c r="L14" s="82"/>
      <c r="M14" s="98">
        <f t="shared" si="3"/>
        <v>0.68200000000000005</v>
      </c>
      <c r="N14" s="57"/>
      <c r="O14" s="75">
        <f t="shared" si="4"/>
        <v>1.8333333333333335</v>
      </c>
      <c r="P14" s="57"/>
      <c r="Q14" s="75">
        <f t="shared" si="5"/>
        <v>1.0170000000000001</v>
      </c>
      <c r="R14" s="57"/>
      <c r="S14" s="75">
        <f t="shared" si="6"/>
        <v>96.489563567362438</v>
      </c>
      <c r="T14" s="57"/>
      <c r="U14" s="75">
        <f t="shared" si="2"/>
        <v>3.5104364326375705</v>
      </c>
      <c r="V14" s="57"/>
      <c r="W14" s="54"/>
      <c r="X14" s="106"/>
      <c r="Y14" s="55"/>
      <c r="Z14" s="55"/>
    </row>
    <row r="15" spans="1:26">
      <c r="A15" s="63"/>
      <c r="B15" s="46">
        <v>180</v>
      </c>
      <c r="C15" s="47">
        <f>1.091-0.638</f>
        <v>0.45299999999999996</v>
      </c>
      <c r="D15" s="29">
        <v>1.3720000000000001</v>
      </c>
      <c r="E15" s="47">
        <v>3.1E-2</v>
      </c>
      <c r="F15" s="20">
        <f>AVERAGE(E15:E17)</f>
        <v>2.8999999999999998E-2</v>
      </c>
      <c r="G15" s="21">
        <f>E15*100/C15</f>
        <v>6.8432671081677716</v>
      </c>
      <c r="H15" s="49">
        <f>AVERAGE(G15:G17)</f>
        <v>6.5108493065593818</v>
      </c>
      <c r="I15" s="43">
        <f t="shared" ref="I15:I17" si="19">C15-E15</f>
        <v>0.42199999999999993</v>
      </c>
      <c r="J15" s="20">
        <f>AVERAGE(I15:I17)</f>
        <v>0.41366666666666657</v>
      </c>
      <c r="K15" s="70">
        <f t="shared" ref="K15:K17" si="20">I15*100/C15</f>
        <v>93.156732891832235</v>
      </c>
      <c r="L15" s="48">
        <f>AVERAGE(K15:K17)</f>
        <v>93.489150693440607</v>
      </c>
      <c r="M15" s="107">
        <f t="shared" ref="M15:M17" si="21">D15-C15</f>
        <v>0.91900000000000015</v>
      </c>
      <c r="N15" s="20">
        <f>AVERAGE(M15:M17)</f>
        <v>0.82166666666666677</v>
      </c>
      <c r="O15" s="65">
        <f t="shared" ref="O15:O17" si="22">M15/C15</f>
        <v>2.0286975717439297</v>
      </c>
      <c r="P15" s="20">
        <f>AVERAGE(O15:O17)</f>
        <v>1.8449863007981948</v>
      </c>
      <c r="Q15" s="65">
        <f t="shared" ref="Q15:Q17" si="23">D15-E15</f>
        <v>1.3410000000000002</v>
      </c>
      <c r="R15" s="20">
        <f>AVERAGE(Q15:Q17)</f>
        <v>1.2353333333333334</v>
      </c>
      <c r="S15" s="65">
        <f t="shared" ref="S15:S17" si="24">Q15*100/D15</f>
        <v>97.740524781341122</v>
      </c>
      <c r="T15" s="48">
        <f>AVERAGE(S15,S17)</f>
        <v>97.806432603436519</v>
      </c>
      <c r="U15" s="43">
        <f t="shared" ref="U15:U17" si="25">E15*100/D15</f>
        <v>2.259475218658892</v>
      </c>
      <c r="V15" s="48">
        <f>AVERAGE(U15,U17)</f>
        <v>2.1935673965634885</v>
      </c>
      <c r="W15" s="34">
        <f t="shared" ref="W15" si="26">F15-$F$3</f>
        <v>-1.4666666666666668E-2</v>
      </c>
      <c r="X15" s="99">
        <f t="shared" ref="X15" si="27">-W15*100/$F$3</f>
        <v>33.587786259541986</v>
      </c>
      <c r="Z15" s="55"/>
    </row>
    <row r="16" spans="1:26">
      <c r="A16" s="63"/>
      <c r="B16" s="46"/>
      <c r="C16" s="47">
        <f>1.091-0.63</f>
        <v>0.46099999999999997</v>
      </c>
      <c r="D16" s="47">
        <v>1.387</v>
      </c>
      <c r="E16" s="47">
        <v>3.4000000000000002E-2</v>
      </c>
      <c r="F16" s="20"/>
      <c r="G16" s="21">
        <f>E16*100/C16</f>
        <v>7.3752711496746217</v>
      </c>
      <c r="H16" s="49"/>
      <c r="I16" s="43">
        <f t="shared" si="19"/>
        <v>0.42699999999999994</v>
      </c>
      <c r="J16" s="20"/>
      <c r="K16" s="70">
        <f t="shared" si="20"/>
        <v>92.624728850325383</v>
      </c>
      <c r="L16" s="48"/>
      <c r="M16" s="98">
        <f>D16-C16</f>
        <v>0.92600000000000005</v>
      </c>
      <c r="N16" s="20"/>
      <c r="O16" s="65">
        <f t="shared" si="22"/>
        <v>2.0086767895878528</v>
      </c>
      <c r="P16" s="48"/>
      <c r="Q16" s="78">
        <f t="shared" si="23"/>
        <v>1.353</v>
      </c>
      <c r="R16" s="20"/>
      <c r="S16" s="65">
        <f t="shared" si="24"/>
        <v>97.54866618601298</v>
      </c>
      <c r="T16" s="48"/>
      <c r="U16" s="43">
        <f t="shared" si="25"/>
        <v>2.4513338139870227</v>
      </c>
      <c r="V16" s="48"/>
      <c r="W16" s="34"/>
      <c r="X16" s="99"/>
      <c r="Z16" s="55"/>
    </row>
    <row r="17" spans="1:24">
      <c r="A17" s="64"/>
      <c r="B17" s="35"/>
      <c r="C17" s="14">
        <f>1.081-0.667</f>
        <v>0.41399999999999992</v>
      </c>
      <c r="D17" s="14">
        <v>1.034</v>
      </c>
      <c r="E17" s="14">
        <v>2.1999999999999999E-2</v>
      </c>
      <c r="F17" s="36"/>
      <c r="G17" s="37">
        <f>E17*100/C17</f>
        <v>5.3140096618357493</v>
      </c>
      <c r="H17" s="38"/>
      <c r="I17" s="44">
        <f t="shared" si="19"/>
        <v>0.3919999999999999</v>
      </c>
      <c r="J17" s="36"/>
      <c r="K17" s="112">
        <f t="shared" si="20"/>
        <v>94.685990338164245</v>
      </c>
      <c r="L17" s="40"/>
      <c r="M17" s="108">
        <f t="shared" si="21"/>
        <v>0.62000000000000011</v>
      </c>
      <c r="N17" s="36"/>
      <c r="O17" s="45">
        <f t="shared" si="22"/>
        <v>1.4975845410628024</v>
      </c>
      <c r="P17" s="36"/>
      <c r="Q17" s="45">
        <f t="shared" si="23"/>
        <v>1.012</v>
      </c>
      <c r="R17" s="36"/>
      <c r="S17" s="45">
        <f t="shared" si="24"/>
        <v>97.872340425531917</v>
      </c>
      <c r="T17" s="40"/>
      <c r="U17" s="44">
        <f t="shared" si="25"/>
        <v>2.1276595744680846</v>
      </c>
      <c r="V17" s="40"/>
      <c r="W17" s="41"/>
      <c r="X17" s="109"/>
    </row>
  </sheetData>
  <mergeCells count="63">
    <mergeCell ref="A3:A17"/>
    <mergeCell ref="B15:B17"/>
    <mergeCell ref="W15:W17"/>
    <mergeCell ref="X15:X17"/>
    <mergeCell ref="R15:R17"/>
    <mergeCell ref="T15:T17"/>
    <mergeCell ref="V15:V17"/>
    <mergeCell ref="V12:V14"/>
    <mergeCell ref="W12:W14"/>
    <mergeCell ref="X12:X14"/>
    <mergeCell ref="F15:F17"/>
    <mergeCell ref="H15:H17"/>
    <mergeCell ref="J15:J17"/>
    <mergeCell ref="L15:L17"/>
    <mergeCell ref="N15:N17"/>
    <mergeCell ref="P15:P17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R6:R8"/>
    <mergeCell ref="T6:T8"/>
    <mergeCell ref="V6:V8"/>
    <mergeCell ref="W6:W8"/>
    <mergeCell ref="X6:X8"/>
    <mergeCell ref="B9:B11"/>
    <mergeCell ref="F9:F11"/>
    <mergeCell ref="H9:H11"/>
    <mergeCell ref="J9:J11"/>
    <mergeCell ref="L9:L11"/>
    <mergeCell ref="F6:F8"/>
    <mergeCell ref="H6:H8"/>
    <mergeCell ref="J6:J8"/>
    <mergeCell ref="L6:L8"/>
    <mergeCell ref="N6:N8"/>
    <mergeCell ref="P6:P8"/>
    <mergeCell ref="W1:X1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2AA7-CBD7-428F-9E9B-78DB0C0C4B96}">
  <dimension ref="A1:Z17"/>
  <sheetViews>
    <sheetView workbookViewId="0">
      <selection activeCell="S25" sqref="S25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1" max="11" width="11.7109375" customWidth="1"/>
    <col min="12" max="12" width="11.14062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 t="s">
        <v>5</v>
      </c>
      <c r="H1" s="7"/>
      <c r="I1" s="7" t="s">
        <v>6</v>
      </c>
      <c r="J1" s="7"/>
      <c r="K1" s="7"/>
      <c r="L1" s="8"/>
      <c r="M1" s="7" t="s">
        <v>7</v>
      </c>
      <c r="N1" s="7"/>
      <c r="O1" s="7"/>
      <c r="P1" s="7"/>
      <c r="Q1" s="6" t="s">
        <v>8</v>
      </c>
      <c r="R1" s="7"/>
      <c r="S1" s="7"/>
      <c r="T1" s="7"/>
      <c r="U1" s="6" t="s">
        <v>9</v>
      </c>
      <c r="V1" s="7"/>
      <c r="W1" s="6" t="s">
        <v>10</v>
      </c>
      <c r="X1" s="9"/>
    </row>
    <row r="2" spans="1:26">
      <c r="A2" s="10" t="s">
        <v>11</v>
      </c>
      <c r="B2" s="11" t="s">
        <v>12</v>
      </c>
      <c r="C2" s="12" t="s">
        <v>13</v>
      </c>
      <c r="D2" s="12" t="s">
        <v>13</v>
      </c>
      <c r="E2" s="12" t="s">
        <v>13</v>
      </c>
      <c r="F2" s="12" t="s">
        <v>14</v>
      </c>
      <c r="G2" s="13" t="s">
        <v>15</v>
      </c>
      <c r="H2" s="14" t="s">
        <v>16</v>
      </c>
      <c r="I2" s="13" t="s">
        <v>13</v>
      </c>
      <c r="J2" s="15" t="s">
        <v>14</v>
      </c>
      <c r="K2" s="14" t="s">
        <v>15</v>
      </c>
      <c r="L2" s="14" t="s">
        <v>16</v>
      </c>
      <c r="M2" s="16" t="s">
        <v>13</v>
      </c>
      <c r="N2" s="15" t="s">
        <v>14</v>
      </c>
      <c r="O2" s="14" t="s">
        <v>17</v>
      </c>
      <c r="P2" s="15" t="s">
        <v>18</v>
      </c>
      <c r="Q2" s="14" t="s">
        <v>13</v>
      </c>
      <c r="R2" s="15" t="s">
        <v>14</v>
      </c>
      <c r="S2" s="14" t="s">
        <v>15</v>
      </c>
      <c r="T2" s="14" t="s">
        <v>16</v>
      </c>
      <c r="U2" s="13" t="s">
        <v>15</v>
      </c>
      <c r="V2" s="14" t="s">
        <v>16</v>
      </c>
      <c r="W2" s="13" t="s">
        <v>13</v>
      </c>
      <c r="X2" s="17" t="s">
        <v>15</v>
      </c>
    </row>
    <row r="3" spans="1:26">
      <c r="A3" s="62">
        <v>65</v>
      </c>
      <c r="B3" s="18">
        <v>0</v>
      </c>
      <c r="C3" s="19">
        <f>1.011-0.662</f>
        <v>0.34899999999999987</v>
      </c>
      <c r="D3" s="19" t="s">
        <v>19</v>
      </c>
      <c r="E3" s="19">
        <v>4.2000000000000003E-2</v>
      </c>
      <c r="F3" s="20">
        <f>AVERAGE(E3:E5)</f>
        <v>4.1333333333333333E-2</v>
      </c>
      <c r="G3" s="43">
        <f>E3*100/C3</f>
        <v>12.034383954154732</v>
      </c>
      <c r="H3" s="39">
        <f>AVERAGE(G3:G5)</f>
        <v>11.312405027445992</v>
      </c>
      <c r="I3" s="43">
        <f>C3-E3</f>
        <v>0.30699999999999988</v>
      </c>
      <c r="J3" s="20">
        <f>AVERAGE(I3:I5)</f>
        <v>0.32533333333333325</v>
      </c>
      <c r="K3" s="42">
        <f>I3*100/C3</f>
        <v>87.96561604584528</v>
      </c>
      <c r="L3" s="39">
        <f>AVERAGE(K3:K5)</f>
        <v>88.68759497255401</v>
      </c>
      <c r="M3" s="84">
        <v>0</v>
      </c>
      <c r="N3" s="85">
        <v>0</v>
      </c>
      <c r="O3" s="86">
        <v>0</v>
      </c>
      <c r="P3" s="85">
        <v>0</v>
      </c>
      <c r="Q3" s="86"/>
      <c r="R3" s="87"/>
      <c r="S3" s="86"/>
      <c r="T3" s="86"/>
      <c r="U3" s="88"/>
      <c r="V3" s="86"/>
      <c r="W3" s="88"/>
      <c r="X3" s="89"/>
    </row>
    <row r="4" spans="1:26">
      <c r="A4" s="63"/>
      <c r="B4" s="18"/>
      <c r="C4" s="19">
        <f>1.024-0.669</f>
        <v>0.35499999999999998</v>
      </c>
      <c r="D4" s="19" t="s">
        <v>19</v>
      </c>
      <c r="E4" s="19">
        <v>4.1000000000000002E-2</v>
      </c>
      <c r="F4" s="20"/>
      <c r="G4" s="43">
        <f>E4*100/C4</f>
        <v>11.54929577464789</v>
      </c>
      <c r="H4" s="39"/>
      <c r="I4" s="43">
        <f t="shared" ref="I4:I17" si="0">C4-E4</f>
        <v>0.314</v>
      </c>
      <c r="J4" s="20"/>
      <c r="K4" s="42">
        <f t="shared" ref="K4:K17" si="1">I4*100/C4</f>
        <v>88.450704225352112</v>
      </c>
      <c r="L4" s="39"/>
      <c r="M4" s="84">
        <v>0</v>
      </c>
      <c r="N4" s="85"/>
      <c r="O4" s="86">
        <v>0</v>
      </c>
      <c r="P4" s="85"/>
      <c r="Q4" s="86"/>
      <c r="R4" s="87"/>
      <c r="S4" s="86"/>
      <c r="T4" s="86"/>
      <c r="U4" s="88"/>
      <c r="V4" s="86"/>
      <c r="W4" s="88"/>
      <c r="X4" s="89"/>
    </row>
    <row r="5" spans="1:26">
      <c r="A5" s="63"/>
      <c r="B5" s="23"/>
      <c r="C5" s="24">
        <f>1.029-0.633</f>
        <v>0.39599999999999991</v>
      </c>
      <c r="D5" s="24" t="s">
        <v>19</v>
      </c>
      <c r="E5" s="24">
        <v>4.1000000000000002E-2</v>
      </c>
      <c r="F5" s="20"/>
      <c r="G5" s="72">
        <f>E5*100/C5</f>
        <v>10.353535353535356</v>
      </c>
      <c r="H5" s="82"/>
      <c r="I5" s="72">
        <f t="shared" si="0"/>
        <v>0.35499999999999993</v>
      </c>
      <c r="J5" s="25"/>
      <c r="K5" s="90">
        <f t="shared" si="1"/>
        <v>89.646464646464651</v>
      </c>
      <c r="L5" s="82"/>
      <c r="M5" s="91">
        <v>0</v>
      </c>
      <c r="N5" s="92"/>
      <c r="O5" s="93">
        <v>0</v>
      </c>
      <c r="P5" s="92"/>
      <c r="Q5" s="93"/>
      <c r="R5" s="94"/>
      <c r="S5" s="93"/>
      <c r="T5" s="93"/>
      <c r="U5" s="95"/>
      <c r="V5" s="93"/>
      <c r="W5" s="95"/>
      <c r="X5" s="89"/>
    </row>
    <row r="6" spans="1:26">
      <c r="A6" s="63"/>
      <c r="B6" s="28">
        <v>15</v>
      </c>
      <c r="C6" s="29">
        <f>1.07-0.595</f>
        <v>0.47500000000000009</v>
      </c>
      <c r="D6" s="47">
        <v>1.157</v>
      </c>
      <c r="E6" s="29">
        <v>4.1000000000000002E-2</v>
      </c>
      <c r="F6" s="67">
        <f>AVERAGE(E6:E8)</f>
        <v>4.0666666666666663E-2</v>
      </c>
      <c r="G6" s="73">
        <f>E6*100/C6</f>
        <v>8.6315789473684212</v>
      </c>
      <c r="H6" s="81">
        <f>AVERAGE(G6:G8)</f>
        <v>8.8556084840504496</v>
      </c>
      <c r="I6" s="73">
        <f t="shared" si="0"/>
        <v>0.43400000000000011</v>
      </c>
      <c r="J6" s="30">
        <f>AVERAGE(I6:I8)</f>
        <v>0.41866666666666674</v>
      </c>
      <c r="K6" s="80">
        <f t="shared" si="1"/>
        <v>91.368421052631589</v>
      </c>
      <c r="L6" s="81">
        <f>AVERAGE(K6:K8)</f>
        <v>91.144391515949565</v>
      </c>
      <c r="M6" s="96">
        <f>D6-C6</f>
        <v>0.68199999999999994</v>
      </c>
      <c r="N6" s="30">
        <f>AVERAGE(M6:M8)</f>
        <v>0.70033333333333336</v>
      </c>
      <c r="O6" s="80">
        <f>M6/C6</f>
        <v>1.4357894736842101</v>
      </c>
      <c r="P6" s="30">
        <f>AVERAGE(O6:O8)</f>
        <v>1.5262295547551732</v>
      </c>
      <c r="Q6" s="80">
        <f>D6-E6</f>
        <v>1.1160000000000001</v>
      </c>
      <c r="R6" s="30">
        <f>AVERAGE(Q6:Q8)</f>
        <v>1.119</v>
      </c>
      <c r="S6" s="80">
        <f>Q6*100/D6</f>
        <v>96.456352636127917</v>
      </c>
      <c r="T6" s="81">
        <f>AVERAGE(S6,S8)</f>
        <v>96.633348731857069</v>
      </c>
      <c r="U6" s="73">
        <f t="shared" ref="U6:U17" si="2">E6*100/D6</f>
        <v>3.5436473638720836</v>
      </c>
      <c r="V6" s="81">
        <f>AVERAGE(U6,U8)</f>
        <v>3.3666512681429381</v>
      </c>
      <c r="W6" s="33">
        <f>F6-$F$3</f>
        <v>-6.6666666666666957E-4</v>
      </c>
      <c r="X6" s="97">
        <f>-W6*100/$F$3</f>
        <v>1.6129032258064586</v>
      </c>
    </row>
    <row r="7" spans="1:26">
      <c r="A7" s="63"/>
      <c r="B7" s="46"/>
      <c r="C7" s="47">
        <f>1.095-0.642</f>
        <v>0.45299999999999996</v>
      </c>
      <c r="D7" s="47">
        <v>1.1619999999999999</v>
      </c>
      <c r="E7" s="47">
        <v>4.3999999999999997E-2</v>
      </c>
      <c r="F7" s="48"/>
      <c r="G7" s="78">
        <f>E7*100/C7</f>
        <v>9.7130242825607063</v>
      </c>
      <c r="H7" s="48"/>
      <c r="I7" s="78">
        <f t="shared" si="0"/>
        <v>0.40899999999999997</v>
      </c>
      <c r="J7" s="48"/>
      <c r="K7" s="78">
        <f t="shared" si="1"/>
        <v>90.286975717439304</v>
      </c>
      <c r="L7" s="48"/>
      <c r="M7" s="98">
        <f>D7-C7</f>
        <v>0.70899999999999996</v>
      </c>
      <c r="N7" s="48"/>
      <c r="O7" s="78">
        <f>M7/C7</f>
        <v>1.565121412803532</v>
      </c>
      <c r="P7" s="48"/>
      <c r="Q7" s="78">
        <f>D7-E7</f>
        <v>1.1179999999999999</v>
      </c>
      <c r="R7" s="48"/>
      <c r="S7" s="78">
        <f>Q7*100/D7</f>
        <v>96.213425129087767</v>
      </c>
      <c r="T7" s="48"/>
      <c r="U7" s="78">
        <f t="shared" si="2"/>
        <v>3.78657487091222</v>
      </c>
      <c r="V7" s="48"/>
      <c r="W7" s="34"/>
      <c r="X7" s="99"/>
    </row>
    <row r="8" spans="1:26">
      <c r="A8" s="63"/>
      <c r="B8" s="23"/>
      <c r="C8" s="24">
        <f>1.078-0.628</f>
        <v>0.45000000000000007</v>
      </c>
      <c r="D8" s="24">
        <v>1.1599999999999999</v>
      </c>
      <c r="E8" s="24">
        <v>3.6999999999999998E-2</v>
      </c>
      <c r="F8" s="68"/>
      <c r="G8" s="72">
        <f>E8*100/C8</f>
        <v>8.2222222222222197</v>
      </c>
      <c r="H8" s="82"/>
      <c r="I8" s="72">
        <f t="shared" si="0"/>
        <v>0.41300000000000009</v>
      </c>
      <c r="J8" s="25"/>
      <c r="K8" s="90">
        <f t="shared" si="1"/>
        <v>91.777777777777786</v>
      </c>
      <c r="L8" s="82"/>
      <c r="M8" s="100">
        <f t="shared" ref="M8:M17" si="3">D8-C8</f>
        <v>0.70999999999999985</v>
      </c>
      <c r="N8" s="25"/>
      <c r="O8" s="90">
        <f t="shared" ref="O8:O17" si="4">M8/C8</f>
        <v>1.5777777777777773</v>
      </c>
      <c r="P8" s="25"/>
      <c r="Q8" s="90">
        <f t="shared" ref="Q8:Q17" si="5">D8-E8</f>
        <v>1.123</v>
      </c>
      <c r="R8" s="25"/>
      <c r="S8" s="90">
        <f t="shared" ref="S8:S17" si="6">Q8*100/D8</f>
        <v>96.810344827586206</v>
      </c>
      <c r="T8" s="82"/>
      <c r="U8" s="72">
        <f t="shared" si="2"/>
        <v>3.1896551724137931</v>
      </c>
      <c r="V8" s="82"/>
      <c r="W8" s="101"/>
      <c r="X8" s="102"/>
    </row>
    <row r="9" spans="1:26">
      <c r="A9" s="63"/>
      <c r="B9" s="28">
        <v>30</v>
      </c>
      <c r="C9" s="19">
        <f>1.077-0.684</f>
        <v>0.3929999999999999</v>
      </c>
      <c r="D9" s="50">
        <v>1.036</v>
      </c>
      <c r="E9" s="19">
        <v>3.1E-2</v>
      </c>
      <c r="F9" s="20">
        <f>AVERAGE(E9:E11)</f>
        <v>3.9333333333333331E-2</v>
      </c>
      <c r="G9" s="43">
        <f>E9*100/C9</f>
        <v>7.8880407124681957</v>
      </c>
      <c r="H9" s="81">
        <f t="shared" ref="H9" si="7">AVERAGE(G9:G11)</f>
        <v>10.022509297318459</v>
      </c>
      <c r="I9" s="43">
        <f t="shared" si="0"/>
        <v>0.36199999999999988</v>
      </c>
      <c r="J9" s="30">
        <f t="shared" ref="J9" si="8">AVERAGE(I9:I11)</f>
        <v>0.35366666666666663</v>
      </c>
      <c r="K9" s="42">
        <f t="shared" si="1"/>
        <v>92.111959287531803</v>
      </c>
      <c r="L9" s="81">
        <f>AVERAGE(K9:K11)</f>
        <v>89.97749070268155</v>
      </c>
      <c r="M9" s="96">
        <f t="shared" si="3"/>
        <v>0.64300000000000013</v>
      </c>
      <c r="N9" s="30">
        <f t="shared" ref="N9" si="9">AVERAGE(M9:M11)</f>
        <v>0.7456666666666667</v>
      </c>
      <c r="O9" s="42">
        <f t="shared" si="4"/>
        <v>1.6361323155216292</v>
      </c>
      <c r="P9" s="20">
        <f t="shared" ref="P9" si="10">AVERAGE(O9:O11)</f>
        <v>1.897786140915912</v>
      </c>
      <c r="Q9" s="42">
        <f t="shared" si="5"/>
        <v>1.0050000000000001</v>
      </c>
      <c r="R9" s="20">
        <f t="shared" ref="R9" si="11">AVERAGE(Q9:Q11)</f>
        <v>1.0993333333333333</v>
      </c>
      <c r="S9" s="42">
        <f t="shared" si="6"/>
        <v>97.007722007722023</v>
      </c>
      <c r="T9" s="39">
        <f t="shared" ref="T9" si="12">AVERAGE(S9,S11)</f>
        <v>97.089979255789032</v>
      </c>
      <c r="U9" s="43">
        <f t="shared" si="2"/>
        <v>2.9922779922779923</v>
      </c>
      <c r="V9" s="39">
        <f t="shared" ref="V9" si="13">AVERAGE(U9,U11)</f>
        <v>2.9100207442109758</v>
      </c>
      <c r="W9" s="34">
        <f t="shared" ref="W9" si="14">F9-$F$3</f>
        <v>-2.0000000000000018E-3</v>
      </c>
      <c r="X9" s="103">
        <f t="shared" ref="X9" si="15">-W9*100/$F$3</f>
        <v>4.8387096774193594</v>
      </c>
    </row>
    <row r="10" spans="1:26">
      <c r="A10" s="63"/>
      <c r="B10" s="46"/>
      <c r="C10" s="19">
        <f>1.096-0.706</f>
        <v>0.39000000000000012</v>
      </c>
      <c r="D10" s="47">
        <v>1.2130000000000001</v>
      </c>
      <c r="E10" s="19">
        <v>5.3999999999999999E-2</v>
      </c>
      <c r="F10" s="20"/>
      <c r="G10" s="43">
        <f>E10*100/C10</f>
        <v>13.846153846153843</v>
      </c>
      <c r="H10" s="48"/>
      <c r="I10" s="43">
        <f t="shared" si="0"/>
        <v>0.33600000000000013</v>
      </c>
      <c r="J10" s="20"/>
      <c r="K10" s="42">
        <f t="shared" si="1"/>
        <v>86.15384615384616</v>
      </c>
      <c r="L10" s="48"/>
      <c r="M10" s="98">
        <f>D10-C10</f>
        <v>0.82299999999999995</v>
      </c>
      <c r="N10" s="20"/>
      <c r="O10" s="42">
        <f t="shared" si="4"/>
        <v>2.1102564102564094</v>
      </c>
      <c r="P10" s="20"/>
      <c r="Q10" s="42">
        <f t="shared" si="5"/>
        <v>1.159</v>
      </c>
      <c r="R10" s="20"/>
      <c r="S10" s="42">
        <f t="shared" si="6"/>
        <v>95.5482275350371</v>
      </c>
      <c r="T10" s="39"/>
      <c r="U10" s="43">
        <f t="shared" si="2"/>
        <v>4.451772464962902</v>
      </c>
      <c r="V10" s="39"/>
      <c r="W10" s="34"/>
      <c r="X10" s="104"/>
    </row>
    <row r="11" spans="1:26">
      <c r="A11" s="63"/>
      <c r="B11" s="46"/>
      <c r="C11" s="19">
        <f>1.075-0.679</f>
        <v>0.39599999999999991</v>
      </c>
      <c r="D11" s="53">
        <v>1.167</v>
      </c>
      <c r="E11" s="19">
        <v>3.3000000000000002E-2</v>
      </c>
      <c r="F11" s="20"/>
      <c r="G11" s="43">
        <f>E11*100/C11</f>
        <v>8.3333333333333357</v>
      </c>
      <c r="H11" s="48"/>
      <c r="I11" s="43">
        <f t="shared" si="0"/>
        <v>0.36299999999999988</v>
      </c>
      <c r="J11" s="20"/>
      <c r="K11" s="42">
        <f t="shared" si="1"/>
        <v>91.666666666666657</v>
      </c>
      <c r="L11" s="48"/>
      <c r="M11" s="98">
        <f t="shared" si="3"/>
        <v>0.77100000000000013</v>
      </c>
      <c r="N11" s="20"/>
      <c r="O11" s="42">
        <f t="shared" si="4"/>
        <v>1.9469696969696977</v>
      </c>
      <c r="P11" s="20"/>
      <c r="Q11" s="42">
        <f t="shared" si="5"/>
        <v>1.1340000000000001</v>
      </c>
      <c r="R11" s="20"/>
      <c r="S11" s="42">
        <f t="shared" si="6"/>
        <v>97.172236503856041</v>
      </c>
      <c r="T11" s="39"/>
      <c r="U11" s="43">
        <f t="shared" si="2"/>
        <v>2.8277634961439588</v>
      </c>
      <c r="V11" s="39"/>
      <c r="W11" s="34"/>
      <c r="X11" s="104"/>
      <c r="Y11" s="55"/>
      <c r="Z11" s="55"/>
    </row>
    <row r="12" spans="1:26">
      <c r="A12" s="63"/>
      <c r="B12" s="60">
        <v>60</v>
      </c>
      <c r="C12" s="50">
        <f>0.97-0.617</f>
        <v>0.35299999999999998</v>
      </c>
      <c r="D12" s="113">
        <v>0.84</v>
      </c>
      <c r="E12" s="50">
        <v>2.1000000000000001E-2</v>
      </c>
      <c r="F12" s="56">
        <f>AVERAGE(E12:E14)</f>
        <v>3.7333333333333329E-2</v>
      </c>
      <c r="G12" s="74">
        <f t="shared" ref="G12:G22" si="16">E12*100/C12</f>
        <v>5.9490084985835701</v>
      </c>
      <c r="H12" s="56">
        <f>AVERAGE(G12:G14)</f>
        <v>9.0919384829483754</v>
      </c>
      <c r="I12" s="74">
        <f t="shared" si="0"/>
        <v>0.33199999999999996</v>
      </c>
      <c r="J12" s="56">
        <f>AVERAGE(I12:I14)</f>
        <v>0.36233333333333334</v>
      </c>
      <c r="K12" s="74">
        <f t="shared" si="1"/>
        <v>94.050991501416419</v>
      </c>
      <c r="L12" s="81">
        <f>AVERAGE(K12:K14)</f>
        <v>90.908061517051621</v>
      </c>
      <c r="M12" s="96">
        <f t="shared" si="3"/>
        <v>0.48699999999999999</v>
      </c>
      <c r="N12" s="56">
        <f>AVERAGE(M12:M14)</f>
        <v>0.70566666666666666</v>
      </c>
      <c r="O12" s="74">
        <f t="shared" si="4"/>
        <v>1.3796033994334278</v>
      </c>
      <c r="P12" s="56">
        <f>AVERAGE(O12:O14)</f>
        <v>1.745711043266537</v>
      </c>
      <c r="Q12" s="74">
        <f t="shared" si="5"/>
        <v>0.81899999999999995</v>
      </c>
      <c r="R12" s="56">
        <f>AVERAGE(Q12:Q14)</f>
        <v>1.0679999999999998</v>
      </c>
      <c r="S12" s="74">
        <f t="shared" si="6"/>
        <v>97.5</v>
      </c>
      <c r="T12" s="56">
        <f>AVERAGE(S12,S14)</f>
        <v>97.228444632290788</v>
      </c>
      <c r="U12" s="74">
        <f t="shared" si="2"/>
        <v>2.5</v>
      </c>
      <c r="V12" s="56">
        <f>AVERAGE(U12,U14)</f>
        <v>2.7715553677092135</v>
      </c>
      <c r="W12" s="51">
        <f t="shared" ref="W12" si="17">F12-$F$3</f>
        <v>-4.0000000000000036E-3</v>
      </c>
      <c r="X12" s="105">
        <f t="shared" ref="X12" si="18">-W12*100/$F$3</f>
        <v>9.6774193548387188</v>
      </c>
      <c r="Y12" s="55"/>
      <c r="Z12" s="55"/>
    </row>
    <row r="13" spans="1:26">
      <c r="A13" s="63"/>
      <c r="B13" s="46"/>
      <c r="C13" s="47">
        <f>1.092-0.645</f>
        <v>0.44700000000000006</v>
      </c>
      <c r="D13" s="19">
        <v>1.2929999999999999</v>
      </c>
      <c r="E13" s="47">
        <v>5.5E-2</v>
      </c>
      <c r="F13" s="48"/>
      <c r="G13" s="78">
        <f>E13*100/C13</f>
        <v>12.304250559284114</v>
      </c>
      <c r="H13" s="48"/>
      <c r="I13" s="78">
        <f t="shared" si="0"/>
        <v>0.39200000000000007</v>
      </c>
      <c r="J13" s="48"/>
      <c r="K13" s="78">
        <f t="shared" si="1"/>
        <v>87.6957494407159</v>
      </c>
      <c r="L13" s="48"/>
      <c r="M13" s="98">
        <f>D13-C13</f>
        <v>0.84599999999999986</v>
      </c>
      <c r="N13" s="48"/>
      <c r="O13" s="78">
        <f t="shared" si="4"/>
        <v>1.892617449664429</v>
      </c>
      <c r="P13" s="48"/>
      <c r="Q13" s="78">
        <f t="shared" si="5"/>
        <v>1.238</v>
      </c>
      <c r="R13" s="48"/>
      <c r="S13" s="78">
        <f t="shared" si="6"/>
        <v>95.746326372776494</v>
      </c>
      <c r="T13" s="48"/>
      <c r="U13" s="78">
        <f t="shared" si="2"/>
        <v>4.2536736272235114</v>
      </c>
      <c r="V13" s="66"/>
      <c r="W13" s="48"/>
      <c r="X13" s="104"/>
      <c r="Y13" s="55"/>
      <c r="Z13" s="55"/>
    </row>
    <row r="14" spans="1:26">
      <c r="A14" s="63"/>
      <c r="B14" s="61"/>
      <c r="C14" s="53">
        <f>1.072-0.673</f>
        <v>0.39900000000000002</v>
      </c>
      <c r="D14" s="19">
        <v>1.1830000000000001</v>
      </c>
      <c r="E14" s="53">
        <v>3.5999999999999997E-2</v>
      </c>
      <c r="F14" s="54"/>
      <c r="G14" s="114">
        <f>E14*100/C14</f>
        <v>9.0225563909774422</v>
      </c>
      <c r="H14" s="57"/>
      <c r="I14" s="75">
        <f t="shared" si="0"/>
        <v>0.36300000000000004</v>
      </c>
      <c r="J14" s="57"/>
      <c r="K14" s="75">
        <f t="shared" si="1"/>
        <v>90.977443609022558</v>
      </c>
      <c r="L14" s="82"/>
      <c r="M14" s="98">
        <f t="shared" si="3"/>
        <v>0.78400000000000003</v>
      </c>
      <c r="N14" s="57"/>
      <c r="O14" s="75">
        <f t="shared" si="4"/>
        <v>1.9649122807017543</v>
      </c>
      <c r="P14" s="57"/>
      <c r="Q14" s="75">
        <f t="shared" si="5"/>
        <v>1.147</v>
      </c>
      <c r="R14" s="57"/>
      <c r="S14" s="75">
        <f t="shared" si="6"/>
        <v>96.956889264581577</v>
      </c>
      <c r="T14" s="57"/>
      <c r="U14" s="75">
        <f t="shared" si="2"/>
        <v>3.0431107354184275</v>
      </c>
      <c r="V14" s="57"/>
      <c r="W14" s="54"/>
      <c r="X14" s="106"/>
      <c r="Y14" s="55"/>
      <c r="Z14" s="55"/>
    </row>
    <row r="15" spans="1:26">
      <c r="A15" s="63"/>
      <c r="B15" s="46">
        <v>180</v>
      </c>
      <c r="C15" s="47">
        <f>1.135-0.668</f>
        <v>0.46699999999999997</v>
      </c>
      <c r="D15" s="29">
        <v>1.3819999999999999</v>
      </c>
      <c r="E15" s="47">
        <v>5.3999999999999999E-2</v>
      </c>
      <c r="F15" s="20">
        <f>AVERAGE(E15:E17)</f>
        <v>5.4333333333333338E-2</v>
      </c>
      <c r="G15" s="43">
        <f>E15*100/C15</f>
        <v>11.563169164882229</v>
      </c>
      <c r="H15" s="48">
        <f>AVERAGE(G15:G17)</f>
        <v>11.574353587932739</v>
      </c>
      <c r="I15" s="43">
        <f t="shared" si="0"/>
        <v>0.41299999999999998</v>
      </c>
      <c r="J15" s="20">
        <f>AVERAGE(I15:I17)</f>
        <v>0.41533333333333333</v>
      </c>
      <c r="K15" s="65">
        <f t="shared" si="1"/>
        <v>88.436830835117775</v>
      </c>
      <c r="L15" s="48">
        <f>AVERAGE(K15:K17)</f>
        <v>88.425646412067252</v>
      </c>
      <c r="M15" s="107">
        <f t="shared" si="3"/>
        <v>0.91499999999999992</v>
      </c>
      <c r="N15" s="20">
        <f>AVERAGE(M15:M17)</f>
        <v>0.89400000000000002</v>
      </c>
      <c r="O15" s="65">
        <f t="shared" si="4"/>
        <v>1.9593147751605995</v>
      </c>
      <c r="P15" s="20">
        <f>AVERAGE(O15:O17)</f>
        <v>1.9056523505277878</v>
      </c>
      <c r="Q15" s="65">
        <f t="shared" si="5"/>
        <v>1.3279999999999998</v>
      </c>
      <c r="R15" s="20">
        <f>AVERAGE(Q15:Q17)</f>
        <v>1.3093333333333332</v>
      </c>
      <c r="S15" s="65">
        <f t="shared" si="6"/>
        <v>96.092619392185227</v>
      </c>
      <c r="T15" s="48">
        <f>AVERAGE(S15,S17)</f>
        <v>96.04781799171856</v>
      </c>
      <c r="U15" s="43">
        <f t="shared" si="2"/>
        <v>3.9073806078147619</v>
      </c>
      <c r="V15" s="48">
        <f>AVERAGE(U15,U17)</f>
        <v>3.9521820082814383</v>
      </c>
      <c r="W15" s="34">
        <f t="shared" ref="W15" si="19">F15-$F$3</f>
        <v>1.3000000000000005E-2</v>
      </c>
      <c r="X15" s="99">
        <f t="shared" ref="X15" si="20">-W15*100/$F$3</f>
        <v>-31.451612903225818</v>
      </c>
      <c r="Z15" s="55"/>
    </row>
    <row r="16" spans="1:26">
      <c r="A16" s="63"/>
      <c r="B16" s="46"/>
      <c r="C16" s="47">
        <f>1.129-0.637</f>
        <v>0.49199999999999999</v>
      </c>
      <c r="D16" s="47">
        <v>1.383</v>
      </c>
      <c r="E16" s="47">
        <v>5.6000000000000001E-2</v>
      </c>
      <c r="F16" s="20"/>
      <c r="G16" s="43">
        <f>E16*100/C16</f>
        <v>11.382113821138212</v>
      </c>
      <c r="H16" s="48"/>
      <c r="I16" s="43">
        <f t="shared" si="0"/>
        <v>0.436</v>
      </c>
      <c r="J16" s="20"/>
      <c r="K16" s="65">
        <f t="shared" si="1"/>
        <v>88.617886178861795</v>
      </c>
      <c r="L16" s="48"/>
      <c r="M16" s="98">
        <f>D16-C16</f>
        <v>0.89100000000000001</v>
      </c>
      <c r="N16" s="20"/>
      <c r="O16" s="65">
        <f t="shared" si="4"/>
        <v>1.8109756097560976</v>
      </c>
      <c r="P16" s="48"/>
      <c r="Q16" s="78">
        <f t="shared" si="5"/>
        <v>1.327</v>
      </c>
      <c r="R16" s="20"/>
      <c r="S16" s="65">
        <f t="shared" si="6"/>
        <v>95.950831525668832</v>
      </c>
      <c r="T16" s="48"/>
      <c r="U16" s="43">
        <f t="shared" si="2"/>
        <v>4.0491684743311644</v>
      </c>
      <c r="V16" s="48"/>
      <c r="W16" s="34"/>
      <c r="X16" s="99"/>
      <c r="Z16" s="55"/>
    </row>
    <row r="17" spans="1:24">
      <c r="A17" s="64"/>
      <c r="B17" s="35"/>
      <c r="C17" s="14">
        <f>1.12-0.67</f>
        <v>0.45000000000000007</v>
      </c>
      <c r="D17" s="14">
        <v>1.3260000000000001</v>
      </c>
      <c r="E17" s="14">
        <v>5.2999999999999999E-2</v>
      </c>
      <c r="F17" s="36"/>
      <c r="G17" s="44">
        <f>E17*100/C17</f>
        <v>11.777777777777775</v>
      </c>
      <c r="H17" s="40"/>
      <c r="I17" s="44">
        <f t="shared" si="0"/>
        <v>0.39700000000000008</v>
      </c>
      <c r="J17" s="36"/>
      <c r="K17" s="45">
        <f t="shared" si="1"/>
        <v>88.222222222222229</v>
      </c>
      <c r="L17" s="40"/>
      <c r="M17" s="108">
        <f t="shared" si="3"/>
        <v>0.876</v>
      </c>
      <c r="N17" s="36"/>
      <c r="O17" s="45">
        <f t="shared" si="4"/>
        <v>1.9466666666666663</v>
      </c>
      <c r="P17" s="36"/>
      <c r="Q17" s="45">
        <f t="shared" si="5"/>
        <v>1.2730000000000001</v>
      </c>
      <c r="R17" s="36"/>
      <c r="S17" s="45">
        <f t="shared" si="6"/>
        <v>96.003016591251892</v>
      </c>
      <c r="T17" s="40"/>
      <c r="U17" s="44">
        <f t="shared" si="2"/>
        <v>3.9969834087481142</v>
      </c>
      <c r="V17" s="40"/>
      <c r="W17" s="41"/>
      <c r="X17" s="109"/>
    </row>
  </sheetData>
  <mergeCells count="63">
    <mergeCell ref="R15:R17"/>
    <mergeCell ref="T15:T17"/>
    <mergeCell ref="V15:V17"/>
    <mergeCell ref="W15:W17"/>
    <mergeCell ref="X15:X17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R6:R8"/>
    <mergeCell ref="T6:T8"/>
    <mergeCell ref="V6:V8"/>
    <mergeCell ref="W6:W8"/>
    <mergeCell ref="X6:X8"/>
    <mergeCell ref="B9:B11"/>
    <mergeCell ref="F9:F11"/>
    <mergeCell ref="H9:H11"/>
    <mergeCell ref="J9:J11"/>
    <mergeCell ref="L9:L11"/>
    <mergeCell ref="F6:F8"/>
    <mergeCell ref="H6:H8"/>
    <mergeCell ref="J6:J8"/>
    <mergeCell ref="L6:L8"/>
    <mergeCell ref="N6:N8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5D11-4F20-40D1-97B4-73C8375CFDDA}">
  <dimension ref="A1:Z17"/>
  <sheetViews>
    <sheetView tabSelected="1" workbookViewId="0">
      <selection activeCell="E18" sqref="E18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 t="s">
        <v>5</v>
      </c>
      <c r="H1" s="7"/>
      <c r="I1" s="7" t="s">
        <v>6</v>
      </c>
      <c r="J1" s="7"/>
      <c r="K1" s="7"/>
      <c r="L1" s="8"/>
      <c r="M1" s="7" t="s">
        <v>7</v>
      </c>
      <c r="N1" s="7"/>
      <c r="O1" s="7"/>
      <c r="P1" s="7"/>
      <c r="Q1" s="6" t="s">
        <v>8</v>
      </c>
      <c r="R1" s="7"/>
      <c r="S1" s="7"/>
      <c r="T1" s="7"/>
      <c r="U1" s="6" t="s">
        <v>9</v>
      </c>
      <c r="V1" s="7"/>
      <c r="W1" s="6" t="s">
        <v>10</v>
      </c>
      <c r="X1" s="9"/>
    </row>
    <row r="2" spans="1:26">
      <c r="A2" s="10" t="s">
        <v>11</v>
      </c>
      <c r="B2" s="11" t="s">
        <v>12</v>
      </c>
      <c r="C2" s="12" t="s">
        <v>13</v>
      </c>
      <c r="D2" s="12" t="s">
        <v>13</v>
      </c>
      <c r="E2" s="12" t="s">
        <v>13</v>
      </c>
      <c r="F2" s="12" t="s">
        <v>14</v>
      </c>
      <c r="G2" s="13" t="s">
        <v>15</v>
      </c>
      <c r="H2" s="14" t="s">
        <v>16</v>
      </c>
      <c r="I2" s="13" t="s">
        <v>13</v>
      </c>
      <c r="J2" s="15" t="s">
        <v>14</v>
      </c>
      <c r="K2" s="14" t="s">
        <v>15</v>
      </c>
      <c r="L2" s="14" t="s">
        <v>16</v>
      </c>
      <c r="M2" s="16" t="s">
        <v>13</v>
      </c>
      <c r="N2" s="15" t="s">
        <v>14</v>
      </c>
      <c r="O2" s="14" t="s">
        <v>17</v>
      </c>
      <c r="P2" s="15" t="s">
        <v>18</v>
      </c>
      <c r="Q2" s="14" t="s">
        <v>13</v>
      </c>
      <c r="R2" s="15" t="s">
        <v>14</v>
      </c>
      <c r="S2" s="14" t="s">
        <v>15</v>
      </c>
      <c r="T2" s="14" t="s">
        <v>16</v>
      </c>
      <c r="U2" s="13" t="s">
        <v>15</v>
      </c>
      <c r="V2" s="14" t="s">
        <v>16</v>
      </c>
      <c r="W2" s="13" t="s">
        <v>13</v>
      </c>
      <c r="X2" s="17" t="s">
        <v>15</v>
      </c>
    </row>
    <row r="3" spans="1:26">
      <c r="A3" s="62">
        <v>65</v>
      </c>
      <c r="B3" s="18">
        <v>0</v>
      </c>
      <c r="C3" s="19">
        <f>1.026-0.65</f>
        <v>0.376</v>
      </c>
      <c r="D3" s="19" t="s">
        <v>19</v>
      </c>
      <c r="E3" s="19">
        <v>3.9E-2</v>
      </c>
      <c r="F3" s="20">
        <f>AVERAGE(E3:E5)</f>
        <v>3.9666666666666663E-2</v>
      </c>
      <c r="G3" s="21">
        <f>E3*100/C3</f>
        <v>10.372340425531915</v>
      </c>
      <c r="H3" s="22">
        <f>AVERAGE(G3:G5)</f>
        <v>9.6311330872231746</v>
      </c>
      <c r="I3" s="43">
        <f>C3-E3</f>
        <v>0.33700000000000002</v>
      </c>
      <c r="J3" s="20">
        <f>AVERAGE(I3:I5)</f>
        <v>0.37366666666666665</v>
      </c>
      <c r="K3" s="83">
        <f>I3*100/C3</f>
        <v>89.627659574468098</v>
      </c>
      <c r="L3" s="39">
        <f>AVERAGE(K3:K5)</f>
        <v>90.368866912776824</v>
      </c>
      <c r="M3" s="84">
        <v>0</v>
      </c>
      <c r="N3" s="85">
        <v>0</v>
      </c>
      <c r="O3" s="86">
        <v>0</v>
      </c>
      <c r="P3" s="85">
        <v>0</v>
      </c>
      <c r="Q3" s="86"/>
      <c r="R3" s="87"/>
      <c r="S3" s="86"/>
      <c r="T3" s="86"/>
      <c r="U3" s="88"/>
      <c r="V3" s="86"/>
      <c r="W3" s="88"/>
      <c r="X3" s="89"/>
    </row>
    <row r="4" spans="1:26">
      <c r="A4" s="63"/>
      <c r="B4" s="18"/>
      <c r="C4" s="19">
        <f>1.075-0.641</f>
        <v>0.43399999999999994</v>
      </c>
      <c r="D4" s="19" t="s">
        <v>19</v>
      </c>
      <c r="E4" s="19">
        <v>3.9E-2</v>
      </c>
      <c r="F4" s="20"/>
      <c r="G4" s="21">
        <f>E4*100/C4</f>
        <v>8.9861751152073737</v>
      </c>
      <c r="H4" s="22"/>
      <c r="I4" s="43">
        <f t="shared" ref="I4:I17" si="0">C4-E4</f>
        <v>0.39499999999999996</v>
      </c>
      <c r="J4" s="20"/>
      <c r="K4" s="83">
        <f t="shared" ref="K4:K17" si="1">I4*100/C4</f>
        <v>91.013824884792626</v>
      </c>
      <c r="L4" s="39"/>
      <c r="M4" s="84">
        <v>0</v>
      </c>
      <c r="N4" s="85"/>
      <c r="O4" s="86">
        <v>0</v>
      </c>
      <c r="P4" s="85"/>
      <c r="Q4" s="86"/>
      <c r="R4" s="87"/>
      <c r="S4" s="86"/>
      <c r="T4" s="86"/>
      <c r="U4" s="88"/>
      <c r="V4" s="86"/>
      <c r="W4" s="88"/>
      <c r="X4" s="89"/>
    </row>
    <row r="5" spans="1:26">
      <c r="A5" s="63"/>
      <c r="B5" s="23"/>
      <c r="C5" s="24">
        <f>1.073-0.643</f>
        <v>0.42999999999999994</v>
      </c>
      <c r="D5" s="24" t="s">
        <v>19</v>
      </c>
      <c r="E5" s="24">
        <v>4.1000000000000002E-2</v>
      </c>
      <c r="F5" s="20"/>
      <c r="G5" s="26">
        <f>E5*100/C5</f>
        <v>9.5348837209302353</v>
      </c>
      <c r="H5" s="27"/>
      <c r="I5" s="72">
        <f t="shared" si="0"/>
        <v>0.38899999999999996</v>
      </c>
      <c r="J5" s="25"/>
      <c r="K5" s="110">
        <f t="shared" si="1"/>
        <v>90.465116279069775</v>
      </c>
      <c r="L5" s="82"/>
      <c r="M5" s="91">
        <v>0</v>
      </c>
      <c r="N5" s="92"/>
      <c r="O5" s="93">
        <v>0</v>
      </c>
      <c r="P5" s="92"/>
      <c r="Q5" s="93"/>
      <c r="R5" s="94"/>
      <c r="S5" s="93"/>
      <c r="T5" s="93"/>
      <c r="U5" s="95"/>
      <c r="V5" s="93"/>
      <c r="W5" s="95"/>
      <c r="X5" s="89"/>
    </row>
    <row r="6" spans="1:26">
      <c r="A6" s="63"/>
      <c r="B6" s="28">
        <v>15</v>
      </c>
      <c r="C6" s="29">
        <f>1.063-0.646</f>
        <v>0.41699999999999993</v>
      </c>
      <c r="D6" s="47">
        <v>1.373</v>
      </c>
      <c r="E6" s="29">
        <v>2.7E-2</v>
      </c>
      <c r="F6" s="67">
        <f>AVERAGE(E6:E8)</f>
        <v>3.0333333333333334E-2</v>
      </c>
      <c r="G6" s="31">
        <f>E6*100/C6</f>
        <v>6.4748201438848936</v>
      </c>
      <c r="H6" s="32">
        <f>AVERAGE(G6:G8)</f>
        <v>7.9573722546409771</v>
      </c>
      <c r="I6" s="73">
        <f t="shared" si="0"/>
        <v>0.3899999999999999</v>
      </c>
      <c r="J6" s="30">
        <f>AVERAGE(I6:I8)</f>
        <v>0.35433333333333322</v>
      </c>
      <c r="K6" s="79">
        <f t="shared" si="1"/>
        <v>93.525179856115102</v>
      </c>
      <c r="L6" s="81">
        <f>AVERAGE(K6:K8)</f>
        <v>92.042627745359027</v>
      </c>
      <c r="M6" s="96">
        <f>D6-C6</f>
        <v>0.95600000000000007</v>
      </c>
      <c r="N6" s="30">
        <f>AVERAGE(M6:M8)</f>
        <v>1.0176666666666667</v>
      </c>
      <c r="O6" s="80">
        <f>M6/C6</f>
        <v>2.2925659472422066</v>
      </c>
      <c r="P6" s="30">
        <f>AVERAGE(O6:O8)</f>
        <v>2.6618095567914128</v>
      </c>
      <c r="Q6" s="80">
        <f>D6-E6</f>
        <v>1.3460000000000001</v>
      </c>
      <c r="R6" s="30">
        <f>AVERAGE(Q6:Q8)</f>
        <v>1.3720000000000001</v>
      </c>
      <c r="S6" s="80">
        <f>Q6*100/D6</f>
        <v>98.03350327749456</v>
      </c>
      <c r="T6" s="81">
        <f>AVERAGE(S6,S8)</f>
        <v>97.942600564596205</v>
      </c>
      <c r="U6" s="73">
        <f t="shared" ref="U6:U17" si="2">E6*100/D6</f>
        <v>1.9664967225054626</v>
      </c>
      <c r="V6" s="81">
        <f>AVERAGE(U6,U8)</f>
        <v>2.0573994354038057</v>
      </c>
      <c r="W6" s="33">
        <f>F6-$F$3</f>
        <v>-9.3333333333333289E-3</v>
      </c>
      <c r="X6" s="97">
        <f>-W6*100/$F$3</f>
        <v>23.529411764705873</v>
      </c>
    </row>
    <row r="7" spans="1:26">
      <c r="A7" s="63"/>
      <c r="B7" s="46"/>
      <c r="C7" s="47">
        <f>1.037-0.679</f>
        <v>0.35799999999999987</v>
      </c>
      <c r="D7" s="47">
        <v>1.391</v>
      </c>
      <c r="E7" s="47">
        <v>3.3000000000000002E-2</v>
      </c>
      <c r="F7" s="48"/>
      <c r="G7" s="76">
        <f>E7*100/C7</f>
        <v>9.2178770949720708</v>
      </c>
      <c r="H7" s="49"/>
      <c r="I7" s="78">
        <f t="shared" si="0"/>
        <v>0.32499999999999984</v>
      </c>
      <c r="J7" s="48"/>
      <c r="K7" s="111">
        <f t="shared" si="1"/>
        <v>90.782122905027919</v>
      </c>
      <c r="L7" s="48"/>
      <c r="M7" s="98">
        <f>D7-C7</f>
        <v>1.0330000000000001</v>
      </c>
      <c r="N7" s="48"/>
      <c r="O7" s="78">
        <f>M7/C7</f>
        <v>2.8854748603351967</v>
      </c>
      <c r="P7" s="48"/>
      <c r="Q7" s="78">
        <f>D7-E7</f>
        <v>1.3580000000000001</v>
      </c>
      <c r="R7" s="48"/>
      <c r="S7" s="78">
        <f>Q7*100/D7</f>
        <v>97.627606038821</v>
      </c>
      <c r="T7" s="48"/>
      <c r="U7" s="78">
        <f t="shared" si="2"/>
        <v>2.3723939611790081</v>
      </c>
      <c r="V7" s="48"/>
      <c r="W7" s="34"/>
      <c r="X7" s="99"/>
    </row>
    <row r="8" spans="1:26">
      <c r="A8" s="63"/>
      <c r="B8" s="23"/>
      <c r="C8" s="24">
        <f>1.041-0.662</f>
        <v>0.37899999999999989</v>
      </c>
      <c r="D8" s="24">
        <v>1.4430000000000001</v>
      </c>
      <c r="E8" s="24">
        <v>3.1E-2</v>
      </c>
      <c r="F8" s="68"/>
      <c r="G8" s="26">
        <f>E8*100/C8</f>
        <v>8.1794195250659651</v>
      </c>
      <c r="H8" s="27"/>
      <c r="I8" s="72">
        <f t="shared" si="0"/>
        <v>0.34799999999999986</v>
      </c>
      <c r="J8" s="25"/>
      <c r="K8" s="110">
        <f t="shared" si="1"/>
        <v>91.820580474934019</v>
      </c>
      <c r="L8" s="82"/>
      <c r="M8" s="100">
        <f t="shared" ref="M8:M17" si="3">D8-C8</f>
        <v>1.0640000000000001</v>
      </c>
      <c r="N8" s="25"/>
      <c r="O8" s="90">
        <f t="shared" ref="O8:O17" si="4">M8/C8</f>
        <v>2.8073878627968347</v>
      </c>
      <c r="P8" s="25"/>
      <c r="Q8" s="90">
        <f t="shared" ref="Q8:Q17" si="5">D8-E8</f>
        <v>1.4120000000000001</v>
      </c>
      <c r="R8" s="25"/>
      <c r="S8" s="90">
        <f t="shared" ref="S8:S17" si="6">Q8*100/D8</f>
        <v>97.851697851697864</v>
      </c>
      <c r="T8" s="82"/>
      <c r="U8" s="72">
        <f t="shared" si="2"/>
        <v>2.1483021483021485</v>
      </c>
      <c r="V8" s="82"/>
      <c r="W8" s="101"/>
      <c r="X8" s="102"/>
    </row>
    <row r="9" spans="1:26">
      <c r="A9" s="63"/>
      <c r="B9" s="28">
        <v>30</v>
      </c>
      <c r="C9" s="19">
        <f>1.027-0.625</f>
        <v>0.40199999999999991</v>
      </c>
      <c r="D9" s="50">
        <v>1.546</v>
      </c>
      <c r="E9" s="19">
        <v>2.5999999999999999E-2</v>
      </c>
      <c r="F9" s="20">
        <f>AVERAGE(E9:E11)</f>
        <v>2.5666666666666667E-2</v>
      </c>
      <c r="G9" s="21">
        <f>E9*100/C9</f>
        <v>6.4676616915422898</v>
      </c>
      <c r="H9" s="32">
        <f t="shared" ref="H9" si="7">AVERAGE(G9:G11)</f>
        <v>6.0977021234896762</v>
      </c>
      <c r="I9" s="43">
        <f t="shared" si="0"/>
        <v>0.37599999999999989</v>
      </c>
      <c r="J9" s="30">
        <f t="shared" ref="J9" si="8">AVERAGE(I9:I11)</f>
        <v>0.39566666666666661</v>
      </c>
      <c r="K9" s="83">
        <f t="shared" si="1"/>
        <v>93.532338308457696</v>
      </c>
      <c r="L9" s="81">
        <f>AVERAGE(K9:K11)</f>
        <v>93.902297876510318</v>
      </c>
      <c r="M9" s="96">
        <f t="shared" si="3"/>
        <v>1.1440000000000001</v>
      </c>
      <c r="N9" s="30">
        <f t="shared" ref="N9" si="9">AVERAGE(M9:M11)</f>
        <v>0.98299999999999998</v>
      </c>
      <c r="O9" s="42">
        <f t="shared" si="4"/>
        <v>2.8457711442786078</v>
      </c>
      <c r="P9" s="20">
        <f t="shared" ref="P9" si="10">AVERAGE(O9:O11)</f>
        <v>2.3428221169301717</v>
      </c>
      <c r="Q9" s="42">
        <f t="shared" si="5"/>
        <v>1.52</v>
      </c>
      <c r="R9" s="20">
        <f t="shared" ref="R9" si="11">AVERAGE(Q9:Q11)</f>
        <v>1.3786666666666667</v>
      </c>
      <c r="S9" s="42">
        <f t="shared" si="6"/>
        <v>98.318240620957312</v>
      </c>
      <c r="T9" s="39">
        <f t="shared" ref="T9" si="12">AVERAGE(S9,S11)</f>
        <v>98.169447332853878</v>
      </c>
      <c r="U9" s="43">
        <f t="shared" si="2"/>
        <v>1.6817593790426908</v>
      </c>
      <c r="V9" s="39">
        <f t="shared" ref="V9" si="13">AVERAGE(U9,U11)</f>
        <v>1.8305526671461303</v>
      </c>
      <c r="W9" s="34">
        <f t="shared" ref="W9" si="14">F9-$F$3</f>
        <v>-1.3999999999999995E-2</v>
      </c>
      <c r="X9" s="103">
        <f t="shared" ref="X9" si="15">-W9*100/$F$3</f>
        <v>35.294117647058812</v>
      </c>
    </row>
    <row r="10" spans="1:26">
      <c r="A10" s="63"/>
      <c r="B10" s="46"/>
      <c r="C10" s="19">
        <f>1.054-0.62</f>
        <v>0.43400000000000005</v>
      </c>
      <c r="D10" s="47">
        <v>1.5049999999999999</v>
      </c>
      <c r="E10" s="19">
        <v>2.8000000000000001E-2</v>
      </c>
      <c r="F10" s="20"/>
      <c r="G10" s="21">
        <f>E10*100/C10</f>
        <v>6.4516129032258061</v>
      </c>
      <c r="H10" s="49"/>
      <c r="I10" s="43">
        <f t="shared" si="0"/>
        <v>0.40600000000000003</v>
      </c>
      <c r="J10" s="20"/>
      <c r="K10" s="83">
        <f t="shared" si="1"/>
        <v>93.548387096774192</v>
      </c>
      <c r="L10" s="48"/>
      <c r="M10" s="98">
        <f>D10-C10</f>
        <v>1.0709999999999997</v>
      </c>
      <c r="N10" s="20"/>
      <c r="O10" s="42">
        <f t="shared" si="4"/>
        <v>2.4677419354838701</v>
      </c>
      <c r="P10" s="20"/>
      <c r="Q10" s="42">
        <f t="shared" si="5"/>
        <v>1.4769999999999999</v>
      </c>
      <c r="R10" s="20"/>
      <c r="S10" s="42">
        <f t="shared" si="6"/>
        <v>98.139534883720927</v>
      </c>
      <c r="T10" s="39"/>
      <c r="U10" s="43">
        <f t="shared" si="2"/>
        <v>1.8604651162790702</v>
      </c>
      <c r="V10" s="39"/>
      <c r="W10" s="34"/>
      <c r="X10" s="104"/>
    </row>
    <row r="11" spans="1:26">
      <c r="A11" s="63"/>
      <c r="B11" s="46"/>
      <c r="C11" s="19">
        <f>1.007-0.579</f>
        <v>0.42799999999999994</v>
      </c>
      <c r="D11" s="53">
        <v>1.1619999999999999</v>
      </c>
      <c r="E11" s="19">
        <v>2.3E-2</v>
      </c>
      <c r="F11" s="20"/>
      <c r="G11" s="21">
        <f>E11*100/C11</f>
        <v>5.3738317757009346</v>
      </c>
      <c r="H11" s="49"/>
      <c r="I11" s="43">
        <f t="shared" si="0"/>
        <v>0.40499999999999992</v>
      </c>
      <c r="J11" s="20"/>
      <c r="K11" s="83">
        <f t="shared" si="1"/>
        <v>94.626168224299064</v>
      </c>
      <c r="L11" s="48"/>
      <c r="M11" s="98">
        <f t="shared" si="3"/>
        <v>0.73399999999999999</v>
      </c>
      <c r="N11" s="20"/>
      <c r="O11" s="42">
        <f t="shared" si="4"/>
        <v>1.7149532710280375</v>
      </c>
      <c r="P11" s="20"/>
      <c r="Q11" s="42">
        <f t="shared" si="5"/>
        <v>1.139</v>
      </c>
      <c r="R11" s="20"/>
      <c r="S11" s="42">
        <f t="shared" si="6"/>
        <v>98.020654044750444</v>
      </c>
      <c r="T11" s="39"/>
      <c r="U11" s="43">
        <f t="shared" si="2"/>
        <v>1.9793459552495696</v>
      </c>
      <c r="V11" s="39"/>
      <c r="W11" s="34"/>
      <c r="X11" s="104"/>
      <c r="Y11" s="55"/>
      <c r="Z11" s="55"/>
    </row>
    <row r="12" spans="1:26">
      <c r="A12" s="63"/>
      <c r="B12" s="60">
        <v>60</v>
      </c>
      <c r="C12" s="50">
        <f>1.033-0.669</f>
        <v>0.36399999999999988</v>
      </c>
      <c r="D12" s="19">
        <v>2.0499999999999998</v>
      </c>
      <c r="E12" s="50">
        <v>2.5000000000000001E-2</v>
      </c>
      <c r="F12" s="56">
        <f>AVERAGE(E12:E14)</f>
        <v>2.4000000000000004E-2</v>
      </c>
      <c r="G12" s="52">
        <f t="shared" ref="G12:G22" si="16">E12*100/C12</f>
        <v>6.8681318681318704</v>
      </c>
      <c r="H12" s="58">
        <f>AVERAGE(G12:G14)</f>
        <v>5.9299670977454717</v>
      </c>
      <c r="I12" s="74">
        <f t="shared" si="0"/>
        <v>0.33899999999999986</v>
      </c>
      <c r="J12" s="56">
        <f>AVERAGE(I12:I14)</f>
        <v>0.3839999999999999</v>
      </c>
      <c r="K12" s="69">
        <f t="shared" si="1"/>
        <v>93.131868131868117</v>
      </c>
      <c r="L12" s="81">
        <f>AVERAGE(K12:K14)</f>
        <v>94.070032902254525</v>
      </c>
      <c r="M12" s="96">
        <f t="shared" si="3"/>
        <v>1.6859999999999999</v>
      </c>
      <c r="N12" s="56">
        <f>AVERAGE(M12:M14)</f>
        <v>1.4080000000000001</v>
      </c>
      <c r="O12" s="74">
        <f t="shared" si="4"/>
        <v>4.6318681318681332</v>
      </c>
      <c r="P12" s="56">
        <f>AVERAGE(O12:O14)</f>
        <v>3.5175239445895277</v>
      </c>
      <c r="Q12" s="74">
        <f t="shared" si="5"/>
        <v>2.0249999999999999</v>
      </c>
      <c r="R12" s="56">
        <f>AVERAGE(Q12:Q14)</f>
        <v>1.7919999999999998</v>
      </c>
      <c r="S12" s="74">
        <f t="shared" si="6"/>
        <v>98.780487804878064</v>
      </c>
      <c r="T12" s="56">
        <f>AVERAGE(S12,S14)</f>
        <v>98.815531258760871</v>
      </c>
      <c r="U12" s="74">
        <f t="shared" si="2"/>
        <v>1.2195121951219514</v>
      </c>
      <c r="V12" s="56">
        <f>AVERAGE(U12,U14)</f>
        <v>1.1844687412391366</v>
      </c>
      <c r="W12" s="51">
        <f t="shared" ref="W12" si="17">F12-$F$3</f>
        <v>-1.5666666666666659E-2</v>
      </c>
      <c r="X12" s="105">
        <f t="shared" ref="X12" si="18">-W12*100/$F$3</f>
        <v>39.495798319327712</v>
      </c>
      <c r="Y12" s="55"/>
      <c r="Z12" s="55"/>
    </row>
    <row r="13" spans="1:26">
      <c r="A13" s="63"/>
      <c r="B13" s="46"/>
      <c r="C13" s="47">
        <f>1.035-0.598</f>
        <v>0.43699999999999994</v>
      </c>
      <c r="D13" s="19">
        <v>1.484</v>
      </c>
      <c r="E13" s="47">
        <v>2.5000000000000001E-2</v>
      </c>
      <c r="F13" s="48"/>
      <c r="G13" s="76">
        <f>E13*100/C13</f>
        <v>5.720823798627003</v>
      </c>
      <c r="H13" s="49"/>
      <c r="I13" s="78">
        <f t="shared" si="0"/>
        <v>0.41199999999999992</v>
      </c>
      <c r="J13" s="48"/>
      <c r="K13" s="111">
        <f t="shared" si="1"/>
        <v>94.279176201372991</v>
      </c>
      <c r="L13" s="48"/>
      <c r="M13" s="98">
        <f>D13-C13</f>
        <v>1.0470000000000002</v>
      </c>
      <c r="N13" s="48"/>
      <c r="O13" s="78">
        <f t="shared" si="4"/>
        <v>2.3958810068649892</v>
      </c>
      <c r="P13" s="48"/>
      <c r="Q13" s="78">
        <f t="shared" si="5"/>
        <v>1.4590000000000001</v>
      </c>
      <c r="R13" s="48"/>
      <c r="S13" s="78">
        <f t="shared" si="6"/>
        <v>98.315363881401623</v>
      </c>
      <c r="T13" s="48"/>
      <c r="U13" s="78">
        <f t="shared" si="2"/>
        <v>1.6846361185983827</v>
      </c>
      <c r="V13" s="66"/>
      <c r="W13" s="48"/>
      <c r="X13" s="104"/>
      <c r="Y13" s="55"/>
      <c r="Z13" s="55"/>
    </row>
    <row r="14" spans="1:26">
      <c r="A14" s="63"/>
      <c r="B14" s="61"/>
      <c r="C14" s="53">
        <f>1.026-0.603</f>
        <v>0.42300000000000004</v>
      </c>
      <c r="D14" s="19">
        <v>1.9139999999999999</v>
      </c>
      <c r="E14" s="53">
        <v>2.1999999999999999E-2</v>
      </c>
      <c r="F14" s="54"/>
      <c r="G14" s="77">
        <f>E14*100/C14</f>
        <v>5.20094562647754</v>
      </c>
      <c r="H14" s="59"/>
      <c r="I14" s="75">
        <f t="shared" si="0"/>
        <v>0.40100000000000002</v>
      </c>
      <c r="J14" s="57"/>
      <c r="K14" s="71">
        <f t="shared" si="1"/>
        <v>94.799054373522452</v>
      </c>
      <c r="L14" s="82"/>
      <c r="M14" s="98">
        <f t="shared" si="3"/>
        <v>1.4909999999999999</v>
      </c>
      <c r="N14" s="57"/>
      <c r="O14" s="75">
        <f t="shared" si="4"/>
        <v>3.5248226950354602</v>
      </c>
      <c r="P14" s="57"/>
      <c r="Q14" s="75">
        <f t="shared" si="5"/>
        <v>1.8919999999999999</v>
      </c>
      <c r="R14" s="57"/>
      <c r="S14" s="75">
        <f t="shared" si="6"/>
        <v>98.850574712643677</v>
      </c>
      <c r="T14" s="57"/>
      <c r="U14" s="75">
        <f t="shared" si="2"/>
        <v>1.1494252873563218</v>
      </c>
      <c r="V14" s="57"/>
      <c r="W14" s="54"/>
      <c r="X14" s="106"/>
      <c r="Y14" s="55"/>
      <c r="Z14" s="55"/>
    </row>
    <row r="15" spans="1:26">
      <c r="A15" s="63"/>
      <c r="B15" s="46">
        <v>180</v>
      </c>
      <c r="C15" s="47">
        <f>1.037-0.655</f>
        <v>0.3819999999999999</v>
      </c>
      <c r="D15" s="29">
        <v>1.0820000000000001</v>
      </c>
      <c r="E15" s="47">
        <v>0.01</v>
      </c>
      <c r="F15" s="20">
        <f>AVERAGE(E15:E17)</f>
        <v>1.1333333333333334E-2</v>
      </c>
      <c r="G15" s="21">
        <f>E15*100/C15</f>
        <v>2.6178010471204196</v>
      </c>
      <c r="H15" s="49">
        <f>AVERAGE(G15:G17)</f>
        <v>2.8998305169738252</v>
      </c>
      <c r="I15" s="43">
        <f t="shared" si="0"/>
        <v>0.37199999999999989</v>
      </c>
      <c r="J15" s="20">
        <f>AVERAGE(I15:I17)</f>
        <v>0.37866666666666665</v>
      </c>
      <c r="K15" s="70">
        <f t="shared" si="1"/>
        <v>97.382198952879577</v>
      </c>
      <c r="L15" s="48">
        <f>AVERAGE(K15:K17)</f>
        <v>97.100169483026164</v>
      </c>
      <c r="M15" s="107">
        <f t="shared" si="3"/>
        <v>0.70000000000000018</v>
      </c>
      <c r="N15" s="20">
        <f>AVERAGE(M15:M17)</f>
        <v>0.95199999999999996</v>
      </c>
      <c r="O15" s="65">
        <f t="shared" si="4"/>
        <v>1.8324607329842941</v>
      </c>
      <c r="P15" s="20">
        <f>AVERAGE(O15:O17)</f>
        <v>2.4246243073783922</v>
      </c>
      <c r="Q15" s="65">
        <f t="shared" si="5"/>
        <v>1.0720000000000001</v>
      </c>
      <c r="R15" s="20">
        <f>AVERAGE(Q15:Q17)</f>
        <v>1.3306666666666667</v>
      </c>
      <c r="S15" s="65">
        <f t="shared" si="6"/>
        <v>99.075785582255079</v>
      </c>
      <c r="T15" s="48">
        <f>AVERAGE(S15,S17)</f>
        <v>99.201677613413807</v>
      </c>
      <c r="U15" s="43">
        <f t="shared" si="2"/>
        <v>0.92421441774491675</v>
      </c>
      <c r="V15" s="48">
        <f>AVERAGE(U15,U17)</f>
        <v>0.79832238658619525</v>
      </c>
      <c r="W15" s="34">
        <f t="shared" ref="W15" si="19">F15-$F$3</f>
        <v>-2.8333333333333328E-2</v>
      </c>
      <c r="X15" s="99">
        <f t="shared" ref="X15" si="20">-W15*100/$F$3</f>
        <v>71.428571428571431</v>
      </c>
      <c r="Z15" s="55"/>
    </row>
    <row r="16" spans="1:26">
      <c r="A16" s="63"/>
      <c r="B16" s="46"/>
      <c r="C16" s="47">
        <f>1.07-0.68</f>
        <v>0.39</v>
      </c>
      <c r="D16" s="47">
        <v>0.86199999999999999</v>
      </c>
      <c r="E16" s="47">
        <v>0.01</v>
      </c>
      <c r="F16" s="20"/>
      <c r="G16" s="21">
        <f>E16*100/C16</f>
        <v>2.5641025641025639</v>
      </c>
      <c r="H16" s="49"/>
      <c r="I16" s="43">
        <f t="shared" si="0"/>
        <v>0.38</v>
      </c>
      <c r="J16" s="20"/>
      <c r="K16" s="70">
        <f t="shared" si="1"/>
        <v>97.435897435897431</v>
      </c>
      <c r="L16" s="48"/>
      <c r="M16" s="98">
        <f>D16-C16</f>
        <v>0.47199999999999998</v>
      </c>
      <c r="N16" s="20"/>
      <c r="O16" s="65">
        <f t="shared" si="4"/>
        <v>1.2102564102564102</v>
      </c>
      <c r="P16" s="48"/>
      <c r="Q16" s="78">
        <f t="shared" si="5"/>
        <v>0.85199999999999998</v>
      </c>
      <c r="R16" s="20"/>
      <c r="S16" s="65">
        <f t="shared" si="6"/>
        <v>98.83990719257541</v>
      </c>
      <c r="T16" s="48"/>
      <c r="U16" s="43">
        <f t="shared" si="2"/>
        <v>1.160092807424594</v>
      </c>
      <c r="V16" s="48"/>
      <c r="W16" s="34"/>
      <c r="X16" s="99"/>
      <c r="Z16" s="55"/>
    </row>
    <row r="17" spans="1:24">
      <c r="A17" s="64"/>
      <c r="B17" s="35"/>
      <c r="C17" s="14">
        <f>1.028-0.63</f>
        <v>0.39800000000000002</v>
      </c>
      <c r="D17" s="14">
        <v>2.0819999999999999</v>
      </c>
      <c r="E17" s="14">
        <v>1.4E-2</v>
      </c>
      <c r="F17" s="36"/>
      <c r="G17" s="37">
        <f>E17*100/C17</f>
        <v>3.5175879396984926</v>
      </c>
      <c r="H17" s="38"/>
      <c r="I17" s="44">
        <f t="shared" si="0"/>
        <v>0.38400000000000001</v>
      </c>
      <c r="J17" s="36"/>
      <c r="K17" s="112">
        <f t="shared" si="1"/>
        <v>96.482412060301499</v>
      </c>
      <c r="L17" s="40"/>
      <c r="M17" s="108">
        <f t="shared" si="3"/>
        <v>1.6839999999999997</v>
      </c>
      <c r="N17" s="36"/>
      <c r="O17" s="45">
        <f t="shared" si="4"/>
        <v>4.2311557788944718</v>
      </c>
      <c r="P17" s="36"/>
      <c r="Q17" s="45">
        <f t="shared" si="5"/>
        <v>2.0680000000000001</v>
      </c>
      <c r="R17" s="36"/>
      <c r="S17" s="45">
        <f t="shared" si="6"/>
        <v>99.327569644572534</v>
      </c>
      <c r="T17" s="40"/>
      <c r="U17" s="44">
        <f t="shared" si="2"/>
        <v>0.67243035542747365</v>
      </c>
      <c r="V17" s="40"/>
      <c r="W17" s="41"/>
      <c r="X17" s="109"/>
    </row>
  </sheetData>
  <mergeCells count="63">
    <mergeCell ref="R15:R17"/>
    <mergeCell ref="T15:T17"/>
    <mergeCell ref="V15:V17"/>
    <mergeCell ref="W15:W17"/>
    <mergeCell ref="X15:X17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R6:R8"/>
    <mergeCell ref="T6:T8"/>
    <mergeCell ref="V6:V8"/>
    <mergeCell ref="W6:W8"/>
    <mergeCell ref="X6:X8"/>
    <mergeCell ref="B9:B11"/>
    <mergeCell ref="F9:F11"/>
    <mergeCell ref="H9:H11"/>
    <mergeCell ref="J9:J11"/>
    <mergeCell ref="L9:L11"/>
    <mergeCell ref="F6:F8"/>
    <mergeCell ref="H6:H8"/>
    <mergeCell ref="J6:J8"/>
    <mergeCell ref="L6:L8"/>
    <mergeCell ref="N6:N8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2024-08-12T07:03:38Z</dcterms:created>
  <dcterms:modified xsi:type="dcterms:W3CDTF">2024-08-12T10:08:35Z</dcterms:modified>
  <cp:category/>
  <cp:contentStatus/>
</cp:coreProperties>
</file>