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natha\OneDrive - Gonzaga University\Documents\Homework\physL\"/>
    </mc:Choice>
  </mc:AlternateContent>
  <xr:revisionPtr revIDLastSave="0" documentId="13_ncr:1_{D8060B36-B7C0-4B3A-AB7E-7B82198CCD5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I15" i="1" s="1"/>
  <c r="A14" i="1"/>
  <c r="K18" i="1"/>
  <c r="I14" i="1"/>
  <c r="J14" i="1" s="1"/>
  <c r="I16" i="1"/>
  <c r="I17" i="1"/>
  <c r="I18" i="1"/>
  <c r="I19" i="1"/>
  <c r="I20" i="1"/>
  <c r="I21" i="1"/>
  <c r="F21" i="1"/>
  <c r="E21" i="1"/>
  <c r="E14" i="1"/>
  <c r="A16" i="1"/>
  <c r="A19" i="1"/>
  <c r="A17" i="1"/>
  <c r="V9" i="1"/>
  <c r="V10" i="1"/>
  <c r="V11" i="1"/>
  <c r="V12" i="1"/>
  <c r="V13" i="1"/>
  <c r="V14" i="1"/>
  <c r="V15" i="1"/>
  <c r="V8" i="1"/>
  <c r="U14" i="1"/>
  <c r="U15" i="1"/>
  <c r="U8" i="1"/>
  <c r="T9" i="1"/>
  <c r="U9" i="1" s="1"/>
  <c r="T10" i="1"/>
  <c r="U10" i="1" s="1"/>
  <c r="T11" i="1"/>
  <c r="U11" i="1" s="1"/>
  <c r="T12" i="1"/>
  <c r="U12" i="1" s="1"/>
  <c r="T13" i="1"/>
  <c r="U13" i="1" s="1"/>
  <c r="T14" i="1"/>
  <c r="T15" i="1"/>
  <c r="T8" i="1"/>
  <c r="G14" i="1"/>
  <c r="A21" i="1"/>
  <c r="A20" i="1"/>
  <c r="J19" i="1"/>
  <c r="A18" i="1"/>
  <c r="F14" i="1"/>
  <c r="K14" i="1" s="1"/>
  <c r="E15" i="1"/>
  <c r="G15" i="1" s="1"/>
  <c r="E16" i="1"/>
  <c r="G16" i="1" s="1"/>
  <c r="E17" i="1"/>
  <c r="G17" i="1" s="1"/>
  <c r="F17" i="1" s="1"/>
  <c r="E18" i="1"/>
  <c r="G18" i="1" s="1"/>
  <c r="E19" i="1"/>
  <c r="G19" i="1" s="1"/>
  <c r="E20" i="1"/>
  <c r="G20" i="1" s="1"/>
  <c r="G21" i="1"/>
  <c r="B9" i="1"/>
  <c r="J15" i="1" l="1"/>
  <c r="F18" i="1"/>
  <c r="F20" i="1"/>
  <c r="I8" i="1"/>
  <c r="K17" i="1" s="1"/>
  <c r="J20" i="1"/>
  <c r="J18" i="1"/>
  <c r="F15" i="1"/>
  <c r="K15" i="1" s="1"/>
  <c r="J17" i="1"/>
  <c r="J16" i="1"/>
  <c r="J21" i="1"/>
  <c r="F19" i="1"/>
  <c r="K19" i="1" s="1"/>
  <c r="F16" i="1"/>
  <c r="K20" i="1"/>
  <c r="K16" i="1"/>
  <c r="R19" i="1" a="1"/>
  <c r="R19" i="1" s="1"/>
  <c r="K21" i="1" l="1"/>
  <c r="S19" i="1"/>
  <c r="R20" i="1"/>
  <c r="R21" i="1" s="1"/>
  <c r="N5" i="1" a="1"/>
  <c r="N5" i="1" s="1"/>
  <c r="S20" i="1"/>
  <c r="S21" i="1" s="1"/>
  <c r="O5" i="1" l="1"/>
  <c r="N6" i="1"/>
  <c r="N7" i="1" s="1"/>
  <c r="O6" i="1"/>
  <c r="O7" i="1" s="1"/>
</calcChain>
</file>

<file path=xl/sharedStrings.xml><?xml version="1.0" encoding="utf-8"?>
<sst xmlns="http://schemas.openxmlformats.org/spreadsheetml/2006/main" count="50" uniqueCount="44">
  <si>
    <t>Cart-UP</t>
  </si>
  <si>
    <t>Cart-DOWN</t>
  </si>
  <si>
    <t>trial 1 (s)</t>
  </si>
  <si>
    <t>sin θ</t>
  </si>
  <si>
    <t>trial 2 (s)</t>
  </si>
  <si>
    <t>trial 3 (s)</t>
  </si>
  <si>
    <t>reading error (s)</t>
  </si>
  <si>
    <t>reading error (m)</t>
  </si>
  <si>
    <t>reading error (g)</t>
  </si>
  <si>
    <t>s (cm)</t>
  </si>
  <si>
    <r>
      <t>mass</t>
    </r>
    <r>
      <rPr>
        <vertAlign val="subscript"/>
        <sz val="11"/>
        <color rgb="FF000000"/>
        <rFont val="Calibri"/>
        <family val="2"/>
      </rPr>
      <t>cart-blue</t>
    </r>
    <r>
      <rPr>
        <sz val="11"/>
        <color rgb="FF000000"/>
        <rFont val="Calibri"/>
        <family val="2"/>
      </rPr>
      <t xml:space="preserve"> (g)</t>
    </r>
  </si>
  <si>
    <r>
      <t>mass</t>
    </r>
    <r>
      <rPr>
        <vertAlign val="subscript"/>
        <sz val="11"/>
        <color rgb="FF000000"/>
        <rFont val="Calibri"/>
        <family val="2"/>
      </rPr>
      <t>cart-red</t>
    </r>
    <r>
      <rPr>
        <sz val="11"/>
        <color rgb="FF000000"/>
        <rFont val="Calibri"/>
        <family val="2"/>
      </rPr>
      <t xml:space="preserve"> (g)</t>
    </r>
  </si>
  <si>
    <r>
      <t>mass</t>
    </r>
    <r>
      <rPr>
        <vertAlign val="subscript"/>
        <sz val="11"/>
        <color rgb="FF000000"/>
        <rFont val="Calibri"/>
        <family val="2"/>
      </rPr>
      <t>hanger</t>
    </r>
    <r>
      <rPr>
        <sz val="11"/>
        <color rgb="FF000000"/>
        <rFont val="Calibri"/>
        <family val="2"/>
      </rPr>
      <t xml:space="preserve"> (g)</t>
    </r>
  </si>
  <si>
    <r>
      <t>diameter</t>
    </r>
    <r>
      <rPr>
        <vertAlign val="subscript"/>
        <sz val="11"/>
        <color rgb="FF000000"/>
        <rFont val="Calibri"/>
        <family val="2"/>
      </rPr>
      <t>pipe</t>
    </r>
    <r>
      <rPr>
        <sz val="11"/>
        <color rgb="FF000000"/>
        <rFont val="Calibri"/>
        <family val="2"/>
      </rPr>
      <t xml:space="preserve"> (cm)</t>
    </r>
  </si>
  <si>
    <r>
      <t>pos</t>
    </r>
    <r>
      <rPr>
        <vertAlign val="subscript"/>
        <sz val="11"/>
        <color rgb="FF000000"/>
        <rFont val="Calibri"/>
        <family val="2"/>
      </rPr>
      <t xml:space="preserve">final </t>
    </r>
    <r>
      <rPr>
        <sz val="11"/>
        <color rgb="FF000000"/>
        <rFont val="Calibri"/>
        <family val="2"/>
      </rPr>
      <t>(cm)</t>
    </r>
  </si>
  <si>
    <r>
      <t>mass</t>
    </r>
    <r>
      <rPr>
        <vertAlign val="subscript"/>
        <sz val="11"/>
        <color rgb="FF000000"/>
        <rFont val="Calibri"/>
        <family val="2"/>
      </rPr>
      <t xml:space="preserve">pulley </t>
    </r>
    <r>
      <rPr>
        <sz val="11"/>
        <color rgb="FF000000"/>
        <rFont val="Calibri"/>
        <family val="2"/>
      </rPr>
      <t>(kg)</t>
    </r>
  </si>
  <si>
    <r>
      <t>T</t>
    </r>
    <r>
      <rPr>
        <vertAlign val="subscript"/>
        <sz val="11"/>
        <color rgb="FF000000"/>
        <rFont val="Calibri"/>
        <family val="2"/>
      </rPr>
      <t>avg</t>
    </r>
    <r>
      <rPr>
        <sz val="11"/>
        <color rgb="FF000000"/>
        <rFont val="Calibri"/>
        <family val="2"/>
      </rPr>
      <t xml:space="preserve"> (s)</t>
    </r>
  </si>
  <si>
    <r>
      <t>K-up</t>
    </r>
    <r>
      <rPr>
        <vertAlign val="subscript"/>
        <sz val="11"/>
        <color rgb="FF000000"/>
        <rFont val="Calibri"/>
        <family val="2"/>
      </rPr>
      <t>final</t>
    </r>
    <r>
      <rPr>
        <sz val="11"/>
        <color rgb="FF000000"/>
        <rFont val="Calibri"/>
        <family val="2"/>
      </rPr>
      <t xml:space="preserve"> (J)</t>
    </r>
  </si>
  <si>
    <t>reading error (θ)</t>
  </si>
  <si>
    <r>
      <t>pos</t>
    </r>
    <r>
      <rPr>
        <vertAlign val="subscript"/>
        <sz val="11"/>
        <color rgb="FF000000"/>
        <rFont val="Calibri"/>
        <family val="2"/>
      </rPr>
      <t xml:space="preserve">initial </t>
    </r>
    <r>
      <rPr>
        <sz val="11"/>
        <color rgb="FF000000"/>
        <rFont val="Calibri"/>
        <family val="2"/>
      </rPr>
      <t>(cm)</t>
    </r>
  </si>
  <si>
    <r>
      <t>pos</t>
    </r>
    <r>
      <rPr>
        <vertAlign val="subscript"/>
        <sz val="11"/>
        <color rgb="FF000000"/>
        <rFont val="Calibri"/>
        <family val="2"/>
      </rPr>
      <t>final</t>
    </r>
    <r>
      <rPr>
        <sz val="11"/>
        <color rgb="FF000000"/>
        <rFont val="Calibri"/>
        <family val="2"/>
      </rPr>
      <t xml:space="preserve"> (cm)</t>
    </r>
  </si>
  <si>
    <r>
      <t>pos</t>
    </r>
    <r>
      <rPr>
        <vertAlign val="subscript"/>
        <sz val="11"/>
        <color rgb="FF000000"/>
        <rFont val="Calibri"/>
        <family val="2"/>
      </rPr>
      <t>initial</t>
    </r>
    <r>
      <rPr>
        <sz val="11"/>
        <color rgb="FF000000"/>
        <rFont val="Calibri"/>
        <family val="2"/>
      </rPr>
      <t xml:space="preserve"> (cm)</t>
    </r>
  </si>
  <si>
    <r>
      <t>V</t>
    </r>
    <r>
      <rPr>
        <vertAlign val="subscript"/>
        <sz val="11"/>
        <color theme="1"/>
        <rFont val="Calibri"/>
        <family val="2"/>
      </rPr>
      <t>final-up</t>
    </r>
    <r>
      <rPr>
        <sz val="11"/>
        <color theme="1"/>
        <rFont val="Calibri"/>
        <family val="2"/>
      </rPr>
      <t xml:space="preserve"> (m/s)</t>
    </r>
  </si>
  <si>
    <r>
      <t>U</t>
    </r>
    <r>
      <rPr>
        <vertAlign val="subscript"/>
        <sz val="11"/>
        <color theme="1"/>
        <rFont val="Calibri"/>
        <family val="2"/>
      </rPr>
      <t>cart-initial</t>
    </r>
    <r>
      <rPr>
        <sz val="11"/>
        <color theme="1"/>
        <rFont val="Calibri"/>
        <family val="2"/>
      </rPr>
      <t xml:space="preserve"> (J)</t>
    </r>
  </si>
  <si>
    <r>
      <t>U</t>
    </r>
    <r>
      <rPr>
        <vertAlign val="subscript"/>
        <sz val="11"/>
        <color theme="1"/>
        <rFont val="Calibri"/>
        <family val="2"/>
      </rPr>
      <t>cart-final</t>
    </r>
    <r>
      <rPr>
        <sz val="11"/>
        <color theme="1"/>
        <rFont val="Calibri"/>
        <family val="2"/>
      </rPr>
      <t xml:space="preserve"> (J)</t>
    </r>
  </si>
  <si>
    <r>
      <t>U</t>
    </r>
    <r>
      <rPr>
        <vertAlign val="subscript"/>
        <sz val="11"/>
        <color theme="1"/>
        <rFont val="Calibri"/>
        <family val="2"/>
      </rPr>
      <t>hanger-initial</t>
    </r>
    <r>
      <rPr>
        <sz val="11"/>
        <color theme="1"/>
        <rFont val="Calibri"/>
        <family val="2"/>
      </rPr>
      <t xml:space="preserve"> (J)</t>
    </r>
  </si>
  <si>
    <r>
      <t>U</t>
    </r>
    <r>
      <rPr>
        <vertAlign val="subscript"/>
        <sz val="11"/>
        <color theme="1"/>
        <rFont val="Calibri"/>
        <family val="2"/>
      </rPr>
      <t>hanger-final</t>
    </r>
    <r>
      <rPr>
        <sz val="11"/>
        <color theme="1"/>
        <rFont val="Calibri"/>
        <family val="2"/>
      </rPr>
      <t xml:space="preserve"> (J)</t>
    </r>
  </si>
  <si>
    <t>AE</t>
  </si>
  <si>
    <t>SE</t>
  </si>
  <si>
    <t>slope (J)</t>
  </si>
  <si>
    <t>y-int (J)</t>
  </si>
  <si>
    <t>mean</t>
  </si>
  <si>
    <r>
      <t>E</t>
    </r>
    <r>
      <rPr>
        <vertAlign val="subscript"/>
        <sz val="11"/>
        <color theme="1"/>
        <rFont val="Calibri"/>
        <family val="2"/>
      </rPr>
      <t>initial</t>
    </r>
    <r>
      <rPr>
        <sz val="11"/>
        <color theme="1"/>
        <rFont val="Calibri"/>
        <family val="2"/>
      </rPr>
      <t xml:space="preserve"> (J)</t>
    </r>
  </si>
  <si>
    <r>
      <t>E</t>
    </r>
    <r>
      <rPr>
        <vertAlign val="subscript"/>
        <sz val="11"/>
        <color theme="1"/>
        <rFont val="Calibri"/>
        <family val="2"/>
      </rPr>
      <t xml:space="preserve">final </t>
    </r>
    <r>
      <rPr>
        <sz val="11"/>
        <color theme="1"/>
        <rFont val="Calibri"/>
        <family val="2"/>
      </rPr>
      <t>(J)</t>
    </r>
  </si>
  <si>
    <r>
      <t>μ</t>
    </r>
    <r>
      <rPr>
        <vertAlign val="subscript"/>
        <sz val="11"/>
        <color theme="1"/>
        <rFont val="Calibri"/>
        <family val="2"/>
      </rPr>
      <t>eff</t>
    </r>
  </si>
  <si>
    <r>
      <t>V</t>
    </r>
    <r>
      <rPr>
        <vertAlign val="subscript"/>
        <sz val="11"/>
        <color theme="1"/>
        <rFont val="Calibri"/>
        <family val="2"/>
      </rPr>
      <t>final</t>
    </r>
    <r>
      <rPr>
        <sz val="11"/>
        <color theme="1"/>
        <rFont val="Calibri"/>
        <family val="2"/>
      </rPr>
      <t xml:space="preserve"> (m/s)</t>
    </r>
  </si>
  <si>
    <t>∆K (J)</t>
  </si>
  <si>
    <r>
      <t>W</t>
    </r>
    <r>
      <rPr>
        <vertAlign val="subscript"/>
        <sz val="11"/>
        <color theme="1"/>
        <rFont val="Calibri"/>
        <family val="2"/>
      </rPr>
      <t>grav-cart</t>
    </r>
    <r>
      <rPr>
        <sz val="11"/>
        <color theme="1"/>
        <rFont val="Calibri"/>
        <family val="2"/>
      </rPr>
      <t xml:space="preserve"> (J)</t>
    </r>
  </si>
  <si>
    <t>y-int(J)</t>
  </si>
  <si>
    <r>
      <t>W</t>
    </r>
    <r>
      <rPr>
        <vertAlign val="subscript"/>
        <sz val="11"/>
        <color theme="1"/>
        <rFont val="Calibri"/>
        <family val="2"/>
      </rPr>
      <t>fric</t>
    </r>
    <r>
      <rPr>
        <sz val="11"/>
        <color theme="1"/>
        <rFont val="Calibri"/>
        <family val="2"/>
      </rPr>
      <t xml:space="preserve"> (J)</t>
    </r>
  </si>
  <si>
    <t>sets 1, 2, 3, 4, 5, 6, 7, 8</t>
  </si>
  <si>
    <t>constants</t>
  </si>
  <si>
    <r>
      <t>Equation of line: E</t>
    </r>
    <r>
      <rPr>
        <vertAlign val="subscript"/>
        <sz val="11"/>
        <color theme="1"/>
        <rFont val="Calibri"/>
        <family val="2"/>
      </rPr>
      <t>final</t>
    </r>
    <r>
      <rPr>
        <sz val="11"/>
        <color theme="1"/>
        <rFont val="Calibri"/>
        <family val="2"/>
      </rPr>
      <t xml:space="preserve"> = E</t>
    </r>
    <r>
      <rPr>
        <vertAlign val="subscript"/>
        <sz val="11"/>
        <color theme="1"/>
        <rFont val="Calibri"/>
        <family val="2"/>
      </rPr>
      <t>initial</t>
    </r>
    <r>
      <rPr>
        <sz val="11"/>
        <color theme="1"/>
        <rFont val="Calibri"/>
        <family val="2"/>
      </rPr>
      <t xml:space="preserve"> + W</t>
    </r>
  </si>
  <si>
    <r>
      <t>Equation of line: W</t>
    </r>
    <r>
      <rPr>
        <vertAlign val="subscript"/>
        <sz val="11"/>
        <color theme="1"/>
        <rFont val="Calibri"/>
        <family val="2"/>
      </rPr>
      <t>grav</t>
    </r>
    <r>
      <rPr>
        <sz val="11"/>
        <color theme="1"/>
        <rFont val="Calibri"/>
        <family val="2"/>
      </rPr>
      <t xml:space="preserve"> = ∆K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</si>
</sst>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vertAlign val="subscript"/>
      <sz val="11"/>
      <color rgb="FF000000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2" fillId="0" borderId="0" xfId="0" applyFont="1"/>
    <xf numFmtId="0" fontId="2" fillId="0" borderId="3" xfId="0" applyFont="1" applyBorder="1"/>
    <xf numFmtId="0" fontId="2" fillId="0" borderId="7" xfId="0" applyFont="1" applyBorder="1"/>
    <xf numFmtId="164" fontId="2" fillId="0" borderId="2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4" xfId="0" applyFont="1" applyBorder="1"/>
    <xf numFmtId="0" fontId="1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1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E</a:t>
            </a:r>
            <a:r>
              <a:rPr lang="en-US" sz="1800" baseline="-25000"/>
              <a:t>final</a:t>
            </a:r>
            <a:r>
              <a:rPr lang="en-US" sz="1800" baseline="0"/>
              <a:t> (J)</a:t>
            </a:r>
            <a:r>
              <a:rPr lang="en-US" sz="1800" baseline="-25000"/>
              <a:t> </a:t>
            </a:r>
            <a:r>
              <a:rPr lang="en-US" sz="1800" baseline="0"/>
              <a:t>vs E</a:t>
            </a:r>
            <a:r>
              <a:rPr lang="en-US" sz="1800" baseline="-25000"/>
              <a:t>initial</a:t>
            </a:r>
            <a:r>
              <a:rPr lang="en-US" sz="1800" baseline="0"/>
              <a:t> (J)</a:t>
            </a:r>
            <a:endParaRPr lang="en-US" sz="1800"/>
          </a:p>
        </c:rich>
      </c:tx>
      <c:layout>
        <c:manualLayout>
          <c:xMode val="edge"/>
          <c:yMode val="edge"/>
          <c:x val="0.33241439877049589"/>
          <c:y val="2.19378427787934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4672315200143707"/>
                  <c:y val="9.87441880551037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/>
                      <a:t>E</a:t>
                    </a:r>
                    <a:r>
                      <a:rPr lang="en-US" sz="1100" baseline="-25000"/>
                      <a:t>final</a:t>
                    </a:r>
                    <a:r>
                      <a:rPr lang="en-US" sz="1100" baseline="0"/>
                      <a:t> = E</a:t>
                    </a:r>
                    <a:r>
                      <a:rPr lang="en-US" sz="1100" baseline="-25000"/>
                      <a:t>initial</a:t>
                    </a:r>
                    <a:r>
                      <a:rPr lang="en-US" sz="1100" baseline="0"/>
                      <a:t> + W</a:t>
                    </a:r>
                    <a:endParaRPr lang="en-US" sz="11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Sheet1!$J$14:$J$21</c:f>
              <c:numCache>
                <c:formatCode>General</c:formatCode>
                <c:ptCount val="8"/>
                <c:pt idx="0">
                  <c:v>0.77251199399999992</c:v>
                </c:pt>
                <c:pt idx="1">
                  <c:v>1.1154695939999999</c:v>
                </c:pt>
                <c:pt idx="2">
                  <c:v>1.458427194</c:v>
                </c:pt>
                <c:pt idx="3">
                  <c:v>1.8013847939999998</c:v>
                </c:pt>
                <c:pt idx="4">
                  <c:v>2.1443423939999997</c:v>
                </c:pt>
                <c:pt idx="5">
                  <c:v>2.4872999939999998</c:v>
                </c:pt>
                <c:pt idx="6">
                  <c:v>2.8302575939999999</c:v>
                </c:pt>
                <c:pt idx="7">
                  <c:v>3.0017363939999995</c:v>
                </c:pt>
              </c:numCache>
            </c:numRef>
          </c:xVal>
          <c:yVal>
            <c:numRef>
              <c:f>Sheet1!$K$14:$K$21</c:f>
              <c:numCache>
                <c:formatCode>General</c:formatCode>
                <c:ptCount val="8"/>
                <c:pt idx="0">
                  <c:v>0.74814308056969359</c:v>
                </c:pt>
                <c:pt idx="1">
                  <c:v>1.0903266898524491</c:v>
                </c:pt>
                <c:pt idx="2">
                  <c:v>1.4256481675500055</c:v>
                </c:pt>
                <c:pt idx="3">
                  <c:v>1.7923518018620475</c:v>
                </c:pt>
                <c:pt idx="4">
                  <c:v>2.1510348378116326</c:v>
                </c:pt>
                <c:pt idx="5">
                  <c:v>2.4993055904164478</c:v>
                </c:pt>
                <c:pt idx="6">
                  <c:v>2.8616429547564595</c:v>
                </c:pt>
                <c:pt idx="7">
                  <c:v>3.0599813348934588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AD-483F-976B-C2014165A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909775"/>
        <c:axId val="127903535"/>
      </c:scatterChart>
      <c:valAx>
        <c:axId val="127909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E</a:t>
                </a:r>
                <a:r>
                  <a:rPr lang="en-US" sz="1800" b="0" i="0" baseline="-25000">
                    <a:effectLst/>
                  </a:rPr>
                  <a:t>initial</a:t>
                </a:r>
                <a:r>
                  <a:rPr lang="en-US" sz="1800" b="0" i="0" baseline="0">
                    <a:effectLst/>
                  </a:rPr>
                  <a:t> (J)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03535"/>
        <c:crosses val="autoZero"/>
        <c:crossBetween val="midCat"/>
      </c:valAx>
      <c:valAx>
        <c:axId val="12790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u="none" strike="noStrike" baseline="0">
                    <a:effectLst/>
                  </a:rPr>
                  <a:t>E</a:t>
                </a:r>
                <a:r>
                  <a:rPr lang="en-US" sz="1600" b="0" i="0" u="none" strike="noStrike" baseline="-25000">
                    <a:effectLst/>
                  </a:rPr>
                  <a:t>final </a:t>
                </a:r>
                <a:r>
                  <a:rPr lang="en-US" sz="1600" b="0" i="0" u="none" strike="noStrike" baseline="0">
                    <a:effectLst/>
                  </a:rPr>
                  <a:t>(J)</a:t>
                </a:r>
                <a:r>
                  <a:rPr lang="en-US" sz="1600" b="0" i="0" u="none" strike="noStrike" baseline="-25000">
                    <a:effectLst/>
                  </a:rPr>
                  <a:t> 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09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Wgrav (J) vs ∆K (J)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5675718684770703"/>
                  <c:y val="-0.1151301115241635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W</a:t>
                    </a:r>
                    <a:r>
                      <a:rPr lang="en-US" sz="1200" baseline="-25000"/>
                      <a:t>grav</a:t>
                    </a:r>
                    <a:r>
                      <a:rPr lang="en-US" sz="1200" baseline="0"/>
                      <a:t> = </a:t>
                    </a:r>
                    <a:r>
                      <a:rPr lang="en-US" sz="1200" b="0" i="0" u="none" strike="noStrike" baseline="0">
                        <a:effectLst/>
                      </a:rPr>
                      <a:t>∆</a:t>
                    </a:r>
                    <a:r>
                      <a:rPr lang="en-US" sz="1200" baseline="0"/>
                      <a:t>K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Sheet1!$U$8:$U$15</c:f>
              <c:numCache>
                <c:formatCode>General</c:formatCode>
                <c:ptCount val="8"/>
                <c:pt idx="0">
                  <c:v>0.10952933372091164</c:v>
                </c:pt>
                <c:pt idx="1">
                  <c:v>0.25460654198075777</c:v>
                </c:pt>
                <c:pt idx="2">
                  <c:v>0.40205860384525038</c:v>
                </c:pt>
                <c:pt idx="3">
                  <c:v>0.55130460549276494</c:v>
                </c:pt>
                <c:pt idx="4">
                  <c:v>0.73633135824160068</c:v>
                </c:pt>
                <c:pt idx="5">
                  <c:v>0.84383404215976354</c:v>
                </c:pt>
                <c:pt idx="6">
                  <c:v>0.99033300781250033</c:v>
                </c:pt>
                <c:pt idx="7">
                  <c:v>1.1436592364669191</c:v>
                </c:pt>
              </c:numCache>
            </c:numRef>
          </c:xVal>
          <c:yVal>
            <c:numRef>
              <c:f>Sheet1!$V$8:$V$15</c:f>
              <c:numCache>
                <c:formatCode>General</c:formatCode>
                <c:ptCount val="8"/>
                <c:pt idx="0">
                  <c:v>0.10676909700000001</c:v>
                </c:pt>
                <c:pt idx="1">
                  <c:v>0.24912789299999999</c:v>
                </c:pt>
                <c:pt idx="2">
                  <c:v>0.39148668900000011</c:v>
                </c:pt>
                <c:pt idx="3">
                  <c:v>0.53384548500000006</c:v>
                </c:pt>
                <c:pt idx="4">
                  <c:v>0.71179398000000016</c:v>
                </c:pt>
                <c:pt idx="5">
                  <c:v>0.81856307700000019</c:v>
                </c:pt>
                <c:pt idx="6">
                  <c:v>0.96092187300000009</c:v>
                </c:pt>
                <c:pt idx="7">
                  <c:v>1.1032806690000001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29-4E0F-B607-077F0C3F7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46111"/>
        <c:axId val="1955144863"/>
      </c:scatterChart>
      <c:valAx>
        <c:axId val="1955146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44863"/>
        <c:crosses val="autoZero"/>
        <c:crossBetween val="midCat"/>
      </c:valAx>
      <c:valAx>
        <c:axId val="195514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514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24</xdr:row>
      <xdr:rowOff>12700</xdr:rowOff>
    </xdr:from>
    <xdr:to>
      <xdr:col>15</xdr:col>
      <xdr:colOff>342900</xdr:colOff>
      <xdr:row>42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D4E6C7-1840-4879-9E48-34C0D8E9D6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57150</xdr:colOff>
      <xdr:row>8</xdr:row>
      <xdr:rowOff>47625</xdr:rowOff>
    </xdr:from>
    <xdr:to>
      <xdr:col>14</xdr:col>
      <xdr:colOff>457200</xdr:colOff>
      <xdr:row>14</xdr:row>
      <xdr:rowOff>98425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5E55654-5EC9-42AE-A761-E6FE6353F492}"/>
            </a:ext>
          </a:extLst>
        </xdr:cNvPr>
        <xdr:cNvSpPr txBox="1"/>
      </xdr:nvSpPr>
      <xdr:spPr>
        <a:xfrm>
          <a:off x="8972550" y="1762125"/>
          <a:ext cx="1638300" cy="127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slope (J)</a:t>
          </a:r>
        </a:p>
        <a:p>
          <a:r>
            <a:rPr lang="en-US" sz="1100"/>
            <a:t>Result: 1.04 +/- .01</a:t>
          </a:r>
        </a:p>
        <a:p>
          <a:r>
            <a:rPr lang="en-US" sz="1100"/>
            <a:t>Range: 1.03 to 1.05</a:t>
          </a:r>
        </a:p>
        <a:p>
          <a:r>
            <a:rPr lang="en-US" sz="1100"/>
            <a:t>Expected: 1</a:t>
          </a:r>
        </a:p>
        <a:p>
          <a:r>
            <a:rPr lang="en-US" sz="1100"/>
            <a:t>Agree: No</a:t>
          </a:r>
        </a:p>
      </xdr:txBody>
    </xdr:sp>
    <xdr:clientData/>
  </xdr:twoCellAnchor>
  <xdr:twoCellAnchor>
    <xdr:from>
      <xdr:col>12</xdr:col>
      <xdr:colOff>66675</xdr:colOff>
      <xdr:row>15</xdr:row>
      <xdr:rowOff>107950</xdr:rowOff>
    </xdr:from>
    <xdr:to>
      <xdr:col>14</xdr:col>
      <xdr:colOff>466725</xdr:colOff>
      <xdr:row>22</xdr:row>
      <xdr:rowOff>107950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696F3B8-CC2A-467C-B173-9D30C08DD932}"/>
            </a:ext>
          </a:extLst>
        </xdr:cNvPr>
        <xdr:cNvSpPr txBox="1"/>
      </xdr:nvSpPr>
      <xdr:spPr>
        <a:xfrm>
          <a:off x="8982075" y="3232150"/>
          <a:ext cx="163830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y-int (J)</a:t>
          </a:r>
        </a:p>
        <a:p>
          <a:r>
            <a:rPr lang="en-US" sz="1100"/>
            <a:t>Result: -0.07 +/- 0.03</a:t>
          </a:r>
        </a:p>
        <a:p>
          <a:r>
            <a:rPr lang="en-US" sz="1100"/>
            <a:t>Range: -0.1 to -0.04</a:t>
          </a:r>
        </a:p>
        <a:p>
          <a:r>
            <a:rPr lang="en-US" sz="1100"/>
            <a:t>Expected: 0</a:t>
          </a:r>
        </a:p>
        <a:p>
          <a:r>
            <a:rPr lang="en-US" sz="1100"/>
            <a:t>Agree: No</a:t>
          </a:r>
        </a:p>
      </xdr:txBody>
    </xdr:sp>
    <xdr:clientData/>
  </xdr:twoCellAnchor>
  <xdr:twoCellAnchor>
    <xdr:from>
      <xdr:col>16</xdr:col>
      <xdr:colOff>473075</xdr:colOff>
      <xdr:row>24</xdr:row>
      <xdr:rowOff>25400</xdr:rowOff>
    </xdr:from>
    <xdr:to>
      <xdr:col>23</xdr:col>
      <xdr:colOff>492125</xdr:colOff>
      <xdr:row>42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CD0A502-9661-4D22-937D-FB22147AB0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184150</xdr:colOff>
      <xdr:row>16</xdr:row>
      <xdr:rowOff>98425</xdr:rowOff>
    </xdr:from>
    <xdr:to>
      <xdr:col>21</xdr:col>
      <xdr:colOff>333375</xdr:colOff>
      <xdr:row>23</xdr:row>
      <xdr:rowOff>60325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C2982F-5E90-4A36-9071-3CE19741BBC1}"/>
            </a:ext>
          </a:extLst>
        </xdr:cNvPr>
        <xdr:cNvSpPr txBox="1"/>
      </xdr:nvSpPr>
      <xdr:spPr>
        <a:xfrm>
          <a:off x="14852650" y="3451225"/>
          <a:ext cx="1692275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slope (J)</a:t>
          </a:r>
        </a:p>
        <a:p>
          <a:r>
            <a:rPr lang="en-US" sz="1100"/>
            <a:t>Result: 0.965 +/-</a:t>
          </a:r>
          <a:r>
            <a:rPr lang="en-US" sz="1100" baseline="0"/>
            <a:t> 0.004</a:t>
          </a:r>
          <a:endParaRPr lang="en-US" sz="1100"/>
        </a:p>
        <a:p>
          <a:r>
            <a:rPr lang="en-US" sz="1100"/>
            <a:t>Range: 0.961 to 0.969</a:t>
          </a:r>
        </a:p>
        <a:p>
          <a:r>
            <a:rPr lang="en-US" sz="1100"/>
            <a:t>Expected:</a:t>
          </a:r>
          <a:r>
            <a:rPr lang="en-US" sz="1100" baseline="0"/>
            <a:t> 1</a:t>
          </a:r>
        </a:p>
        <a:p>
          <a:r>
            <a:rPr lang="en-US" sz="1100" baseline="0"/>
            <a:t>Agree: No</a:t>
          </a:r>
          <a:endParaRPr lang="en-US" sz="1100"/>
        </a:p>
      </xdr:txBody>
    </xdr:sp>
    <xdr:clientData/>
  </xdr:twoCellAnchor>
  <xdr:twoCellAnchor>
    <xdr:from>
      <xdr:col>21</xdr:col>
      <xdr:colOff>571500</xdr:colOff>
      <xdr:row>16</xdr:row>
      <xdr:rowOff>117475</xdr:rowOff>
    </xdr:from>
    <xdr:to>
      <xdr:col>24</xdr:col>
      <xdr:colOff>276225</xdr:colOff>
      <xdr:row>23</xdr:row>
      <xdr:rowOff>79375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3C5D742-37D8-4D56-972F-5521F7F24D67}"/>
            </a:ext>
          </a:extLst>
        </xdr:cNvPr>
        <xdr:cNvSpPr txBox="1"/>
      </xdr:nvSpPr>
      <xdr:spPr>
        <a:xfrm>
          <a:off x="16783050" y="3470275"/>
          <a:ext cx="17145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y-int (J)</a:t>
          </a:r>
        </a:p>
        <a:p>
          <a:r>
            <a:rPr lang="en-US" sz="1100"/>
            <a:t>Result: 0.003</a:t>
          </a:r>
          <a:r>
            <a:rPr lang="en-US" sz="1100" baseline="0"/>
            <a:t> +/- 0.003</a:t>
          </a:r>
          <a:endParaRPr lang="en-US" sz="1100"/>
        </a:p>
        <a:p>
          <a:r>
            <a:rPr lang="en-US" sz="1100"/>
            <a:t>Range:</a:t>
          </a:r>
          <a:r>
            <a:rPr lang="en-US" sz="1100" baseline="0"/>
            <a:t> 0 to 0.006</a:t>
          </a:r>
          <a:endParaRPr lang="en-US" sz="1100"/>
        </a:p>
        <a:p>
          <a:r>
            <a:rPr lang="en-US" sz="1100"/>
            <a:t>Expected:</a:t>
          </a:r>
          <a:r>
            <a:rPr lang="en-US" sz="1100" baseline="0"/>
            <a:t> 0</a:t>
          </a:r>
        </a:p>
        <a:p>
          <a:r>
            <a:rPr lang="en-US" sz="1100" baseline="0"/>
            <a:t>Agree: Yes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zoomScaleNormal="100" workbookViewId="0">
      <selection activeCell="G28" sqref="G28"/>
    </sheetView>
  </sheetViews>
  <sheetFormatPr defaultColWidth="8.7109375" defaultRowHeight="15" x14ac:dyDescent="0.25"/>
  <cols>
    <col min="1" max="1" width="20.28515625" style="6" bestFit="1" customWidth="1"/>
    <col min="2" max="3" width="12" style="6" bestFit="1" customWidth="1"/>
    <col min="4" max="4" width="8.7109375" style="6" bestFit="1" customWidth="1"/>
    <col min="5" max="5" width="9" style="6" customWidth="1"/>
    <col min="6" max="7" width="12" style="6" bestFit="1" customWidth="1"/>
    <col min="8" max="8" width="11.7109375" style="6" bestFit="1" customWidth="1"/>
    <col min="9" max="9" width="12.28515625" style="6" bestFit="1" customWidth="1"/>
    <col min="10" max="11" width="12" style="6" bestFit="1" customWidth="1"/>
    <col min="12" max="12" width="10.140625" style="6" bestFit="1" customWidth="1"/>
    <col min="13" max="13" width="6" style="6" bestFit="1" customWidth="1"/>
    <col min="14" max="16" width="8.7109375" style="6"/>
    <col min="17" max="17" width="13.85546875" style="6" bestFit="1" customWidth="1"/>
    <col min="18" max="18" width="9.7109375" style="6" bestFit="1" customWidth="1"/>
    <col min="19" max="19" width="7.42578125" style="6" bestFit="1" customWidth="1"/>
    <col min="20" max="22" width="10.85546875" style="6" bestFit="1" customWidth="1"/>
    <col min="23" max="16384" width="8.7109375" style="6"/>
  </cols>
  <sheetData>
    <row r="1" spans="1:22" x14ac:dyDescent="0.25">
      <c r="A1" s="5" t="s">
        <v>0</v>
      </c>
      <c r="Q1" s="5" t="s">
        <v>1</v>
      </c>
    </row>
    <row r="3" spans="1:22" ht="18" x14ac:dyDescent="0.35">
      <c r="A3" s="2" t="s">
        <v>10</v>
      </c>
      <c r="B3" s="7">
        <v>515.5</v>
      </c>
      <c r="Q3" s="4" t="s">
        <v>11</v>
      </c>
      <c r="R3" s="8">
        <v>522</v>
      </c>
    </row>
    <row r="4" spans="1:22" ht="18" x14ac:dyDescent="0.35">
      <c r="A4" s="4" t="s">
        <v>12</v>
      </c>
      <c r="B4" s="8">
        <v>50.1</v>
      </c>
      <c r="M4" s="8"/>
      <c r="N4" s="8" t="s">
        <v>29</v>
      </c>
      <c r="O4" s="8" t="s">
        <v>30</v>
      </c>
      <c r="Q4" s="2" t="s">
        <v>13</v>
      </c>
      <c r="R4" s="9">
        <v>2.8050000000000002</v>
      </c>
    </row>
    <row r="5" spans="1:22" ht="18" x14ac:dyDescent="0.35">
      <c r="A5" s="2" t="s">
        <v>13</v>
      </c>
      <c r="B5" s="9">
        <v>2.8050000000000002</v>
      </c>
      <c r="M5" s="8" t="s">
        <v>31</v>
      </c>
      <c r="N5" s="8">
        <f t="array" ref="N5:O6">LINEST(K14:K21, J14:J21, 1, 1)</f>
        <v>1.0359555001290797</v>
      </c>
      <c r="O5" s="8">
        <v>-6.8039033242757396E-2</v>
      </c>
    </row>
    <row r="6" spans="1:22" x14ac:dyDescent="0.25">
      <c r="A6" s="5" t="s">
        <v>3</v>
      </c>
      <c r="B6" s="5">
        <v>0.13900000000000001</v>
      </c>
      <c r="H6" s="19" t="s">
        <v>41</v>
      </c>
      <c r="I6" s="19"/>
      <c r="M6" s="8" t="s">
        <v>28</v>
      </c>
      <c r="N6" s="8">
        <v>6.1242149785934712E-3</v>
      </c>
      <c r="O6" s="8">
        <v>1.281313426500052E-2</v>
      </c>
    </row>
    <row r="7" spans="1:22" ht="18" x14ac:dyDescent="0.35">
      <c r="A7" s="2" t="s">
        <v>14</v>
      </c>
      <c r="B7" s="5">
        <v>113.2</v>
      </c>
      <c r="H7" s="8" t="s">
        <v>23</v>
      </c>
      <c r="I7" s="8">
        <v>0</v>
      </c>
      <c r="M7" s="8" t="s">
        <v>27</v>
      </c>
      <c r="N7" s="8">
        <f>N6*1.96</f>
        <v>1.2003461358043203E-2</v>
      </c>
      <c r="O7" s="8">
        <f>O6*1.96</f>
        <v>2.5113743159401018E-2</v>
      </c>
      <c r="Q7" s="1" t="s">
        <v>19</v>
      </c>
      <c r="R7" s="1" t="s">
        <v>20</v>
      </c>
      <c r="S7" s="12" t="s">
        <v>2</v>
      </c>
      <c r="T7" s="8" t="s">
        <v>35</v>
      </c>
      <c r="U7" s="8" t="s">
        <v>36</v>
      </c>
      <c r="V7" s="8" t="s">
        <v>37</v>
      </c>
    </row>
    <row r="8" spans="1:22" ht="18" x14ac:dyDescent="0.35">
      <c r="A8" s="3" t="s">
        <v>21</v>
      </c>
      <c r="B8" s="7">
        <v>200.6</v>
      </c>
      <c r="H8" s="8" t="s">
        <v>24</v>
      </c>
      <c r="I8" s="8">
        <f>(B3/1000)*9.81*(B9/100)*0.139</f>
        <v>0.61436138372999993</v>
      </c>
      <c r="Q8" s="8">
        <v>160.30000000000001</v>
      </c>
      <c r="R8" s="1">
        <v>175.3</v>
      </c>
      <c r="S8" s="12">
        <v>4.3299999999999998E-2</v>
      </c>
      <c r="T8" s="8">
        <f>($R$4/100)/S8</f>
        <v>0.64780600461893767</v>
      </c>
      <c r="U8" s="8">
        <f>(0.5*($R$3/1000)*(T8*T8))</f>
        <v>0.10952933372091164</v>
      </c>
      <c r="V8" s="8">
        <f>($R$3/1000)*(9.81)*0.139*((R8-Q8)/100)</f>
        <v>0.10676909700000001</v>
      </c>
    </row>
    <row r="9" spans="1:22" ht="18" x14ac:dyDescent="0.35">
      <c r="A9" s="1" t="s">
        <v>9</v>
      </c>
      <c r="B9" s="8">
        <f>B8-B7</f>
        <v>87.399999999999991</v>
      </c>
      <c r="H9" s="8" t="s">
        <v>39</v>
      </c>
      <c r="I9" s="8">
        <v>0</v>
      </c>
      <c r="Q9" s="8">
        <v>140.30000000000001</v>
      </c>
      <c r="R9" s="1">
        <v>175.3</v>
      </c>
      <c r="S9" s="12">
        <v>2.8400000000000002E-2</v>
      </c>
      <c r="T9" s="8">
        <f t="shared" ref="T9:T15" si="0">($R$4/100)/S9</f>
        <v>0.98767605633802813</v>
      </c>
      <c r="U9" s="8">
        <f t="shared" ref="U9:U15" si="1">(0.5*($R$3/1000)*(T9*T9))</f>
        <v>0.25460654198075777</v>
      </c>
      <c r="V9" s="8">
        <f t="shared" ref="V9:V15" si="2">($R$3/1000)*(9.81)*0.139*((R9-Q9)/100)</f>
        <v>0.24912789299999999</v>
      </c>
    </row>
    <row r="10" spans="1:22" ht="18" x14ac:dyDescent="0.35">
      <c r="H10" s="8" t="s">
        <v>34</v>
      </c>
      <c r="I10" s="8">
        <v>0</v>
      </c>
      <c r="Q10" s="8">
        <v>120.3</v>
      </c>
      <c r="R10" s="1">
        <v>175.3</v>
      </c>
      <c r="S10" s="12">
        <v>2.2599999999999999E-2</v>
      </c>
      <c r="T10" s="8">
        <f t="shared" si="0"/>
        <v>1.2411504424778763</v>
      </c>
      <c r="U10" s="8">
        <f t="shared" si="1"/>
        <v>0.40205860384525038</v>
      </c>
      <c r="V10" s="8">
        <f t="shared" si="2"/>
        <v>0.39148668900000011</v>
      </c>
    </row>
    <row r="11" spans="1:22" x14ac:dyDescent="0.25">
      <c r="Q11" s="8">
        <v>100.3</v>
      </c>
      <c r="R11" s="1">
        <v>175.3</v>
      </c>
      <c r="S11" s="12">
        <v>1.9300000000000001E-2</v>
      </c>
      <c r="T11" s="8">
        <f t="shared" si="0"/>
        <v>1.4533678756476685</v>
      </c>
      <c r="U11" s="8">
        <f t="shared" si="1"/>
        <v>0.55130460549276494</v>
      </c>
      <c r="V11" s="8">
        <f t="shared" si="2"/>
        <v>0.53384548500000006</v>
      </c>
    </row>
    <row r="12" spans="1:22" x14ac:dyDescent="0.25">
      <c r="A12" s="18" t="s">
        <v>40</v>
      </c>
      <c r="B12" s="15"/>
      <c r="C12" s="16"/>
      <c r="D12" s="16"/>
      <c r="Q12" s="8">
        <v>75.3</v>
      </c>
      <c r="R12" s="1">
        <v>175.3</v>
      </c>
      <c r="S12" s="14">
        <v>1.67E-2</v>
      </c>
      <c r="T12" s="8">
        <f t="shared" si="0"/>
        <v>1.6796407185628743</v>
      </c>
      <c r="U12" s="8">
        <f t="shared" si="1"/>
        <v>0.73633135824160068</v>
      </c>
      <c r="V12" s="8">
        <f t="shared" si="2"/>
        <v>0.71179398000000016</v>
      </c>
    </row>
    <row r="13" spans="1:22" ht="18" x14ac:dyDescent="0.35">
      <c r="A13" s="17" t="s">
        <v>15</v>
      </c>
      <c r="B13" s="10" t="s">
        <v>2</v>
      </c>
      <c r="C13" s="11" t="s">
        <v>4</v>
      </c>
      <c r="D13" s="11" t="s">
        <v>5</v>
      </c>
      <c r="E13" s="3" t="s">
        <v>16</v>
      </c>
      <c r="F13" s="13" t="s">
        <v>17</v>
      </c>
      <c r="G13" s="8" t="s">
        <v>22</v>
      </c>
      <c r="H13" s="8" t="s">
        <v>26</v>
      </c>
      <c r="I13" s="8" t="s">
        <v>25</v>
      </c>
      <c r="J13" s="8" t="s">
        <v>32</v>
      </c>
      <c r="K13" s="8" t="s">
        <v>33</v>
      </c>
      <c r="Q13" s="8">
        <v>60.3</v>
      </c>
      <c r="R13" s="1">
        <v>175.3</v>
      </c>
      <c r="S13" s="12">
        <v>1.5599999999999999E-2</v>
      </c>
      <c r="T13" s="8">
        <f t="shared" si="0"/>
        <v>1.7980769230769234</v>
      </c>
      <c r="U13" s="8">
        <f t="shared" si="1"/>
        <v>0.84383404215976354</v>
      </c>
      <c r="V13" s="8">
        <f t="shared" si="2"/>
        <v>0.81856307700000019</v>
      </c>
    </row>
    <row r="14" spans="1:22" x14ac:dyDescent="0.25">
      <c r="A14" s="12">
        <f>(B4/1000)+(40/1000)</f>
        <v>9.01E-2</v>
      </c>
      <c r="B14" s="5">
        <v>4.2299999999999997E-2</v>
      </c>
      <c r="C14" s="5">
        <v>4.2299999999999997E-2</v>
      </c>
      <c r="D14" s="12">
        <v>4.2000000000000003E-2</v>
      </c>
      <c r="E14" s="5">
        <f>AVERAGE(B14:D14)</f>
        <v>4.2199999999999994E-2</v>
      </c>
      <c r="F14" s="12">
        <f>(A14+($B$3/1000))*0.5*(G14*G14)</f>
        <v>0.13378169683969365</v>
      </c>
      <c r="G14" s="8">
        <f>($B$5/100)/E14</f>
        <v>0.6646919431279622</v>
      </c>
      <c r="H14" s="8">
        <v>0</v>
      </c>
      <c r="I14" s="8">
        <f>A14*9.81*($B$9/100)</f>
        <v>0.77251199399999992</v>
      </c>
      <c r="J14" s="8">
        <f>I14</f>
        <v>0.77251199399999992</v>
      </c>
      <c r="K14" s="8">
        <f>F14+$I$8</f>
        <v>0.74814308056969359</v>
      </c>
      <c r="Q14" s="8">
        <v>40.299999999999997</v>
      </c>
      <c r="R14" s="1">
        <v>175.3</v>
      </c>
      <c r="S14" s="12">
        <v>1.44E-2</v>
      </c>
      <c r="T14" s="8">
        <f t="shared" si="0"/>
        <v>1.947916666666667</v>
      </c>
      <c r="U14" s="8">
        <f t="shared" si="1"/>
        <v>0.99033300781250033</v>
      </c>
      <c r="V14" s="8">
        <f t="shared" si="2"/>
        <v>0.96092187300000009</v>
      </c>
    </row>
    <row r="15" spans="1:22" x14ac:dyDescent="0.25">
      <c r="A15" s="12">
        <f>(B4/1000)+(80/1000)</f>
        <v>0.13009999999999999</v>
      </c>
      <c r="B15" s="5">
        <v>2.3099999999999999E-2</v>
      </c>
      <c r="C15" s="5">
        <v>2.3199999999999998E-2</v>
      </c>
      <c r="D15" s="12">
        <v>2.3E-2</v>
      </c>
      <c r="E15" s="5">
        <f t="shared" ref="E15:E20" si="3">AVERAGE(B15:D15)</f>
        <v>2.3099999999999999E-2</v>
      </c>
      <c r="F15" s="12">
        <f t="shared" ref="F15:F20" si="4">(A15+($B$3/1000))*0.5*(G15*G15)</f>
        <v>0.47596530612244903</v>
      </c>
      <c r="G15" s="8">
        <f t="shared" ref="G15:G21" si="5">($B$5/100)/E15</f>
        <v>1.2142857142857144</v>
      </c>
      <c r="H15" s="8">
        <v>0</v>
      </c>
      <c r="I15" s="8">
        <f t="shared" ref="I15:I21" si="6">A15*9.81*($B$9/100)</f>
        <v>1.1154695939999999</v>
      </c>
      <c r="J15" s="8">
        <f t="shared" ref="J15:J21" si="7">I15</f>
        <v>1.1154695939999999</v>
      </c>
      <c r="K15" s="8">
        <f t="shared" ref="K15:K21" si="8">F15+$I$8</f>
        <v>1.0903266898524491</v>
      </c>
      <c r="Q15" s="8">
        <v>20.3</v>
      </c>
      <c r="R15" s="1">
        <v>175.3</v>
      </c>
      <c r="S15" s="12">
        <v>1.34E-2</v>
      </c>
      <c r="T15" s="8">
        <f t="shared" si="0"/>
        <v>2.0932835820895521</v>
      </c>
      <c r="U15" s="8">
        <f t="shared" si="1"/>
        <v>1.1436592364669191</v>
      </c>
      <c r="V15" s="8">
        <f t="shared" si="2"/>
        <v>1.1032806690000001</v>
      </c>
    </row>
    <row r="16" spans="1:22" x14ac:dyDescent="0.25">
      <c r="A16" s="12">
        <f>(B4/1000)+(120/1000)</f>
        <v>0.1701</v>
      </c>
      <c r="B16" s="5">
        <v>1.8100000000000002E-2</v>
      </c>
      <c r="C16" s="5">
        <v>1.84E-2</v>
      </c>
      <c r="D16" s="12">
        <v>1.8200000000000001E-2</v>
      </c>
      <c r="E16" s="5">
        <f t="shared" si="3"/>
        <v>1.8233333333333334E-2</v>
      </c>
      <c r="F16" s="12">
        <f t="shared" si="4"/>
        <v>0.81128678382000552</v>
      </c>
      <c r="G16" s="8">
        <f t="shared" si="5"/>
        <v>1.5383912248628886</v>
      </c>
      <c r="H16" s="8">
        <v>0</v>
      </c>
      <c r="I16" s="8">
        <f t="shared" si="6"/>
        <v>1.458427194</v>
      </c>
      <c r="J16" s="8">
        <f t="shared" si="7"/>
        <v>1.458427194</v>
      </c>
      <c r="K16" s="8">
        <f t="shared" si="8"/>
        <v>1.4256481675500055</v>
      </c>
    </row>
    <row r="17" spans="1:19" x14ac:dyDescent="0.25">
      <c r="A17" s="12">
        <f>(B4/1000)+(160/1000)</f>
        <v>0.21010000000000001</v>
      </c>
      <c r="B17" s="5">
        <v>1.5599999999999999E-2</v>
      </c>
      <c r="C17" s="5">
        <v>1.5599999999999999E-2</v>
      </c>
      <c r="D17" s="12">
        <v>1.55E-2</v>
      </c>
      <c r="E17" s="5">
        <f t="shared" si="3"/>
        <v>1.5566666666666666E-2</v>
      </c>
      <c r="F17" s="12">
        <f t="shared" si="4"/>
        <v>1.1779904181320475</v>
      </c>
      <c r="G17" s="8">
        <f t="shared" si="5"/>
        <v>1.801927194860814</v>
      </c>
      <c r="H17" s="8">
        <v>0</v>
      </c>
      <c r="I17" s="8">
        <f t="shared" si="6"/>
        <v>1.8013847939999998</v>
      </c>
      <c r="J17" s="8">
        <f t="shared" si="7"/>
        <v>1.8013847939999998</v>
      </c>
      <c r="K17" s="8">
        <f t="shared" si="8"/>
        <v>1.7923518018620475</v>
      </c>
    </row>
    <row r="18" spans="1:19" x14ac:dyDescent="0.25">
      <c r="A18" s="12">
        <f>(B4/1000)+(200/1000)</f>
        <v>0.25009999999999999</v>
      </c>
      <c r="B18" s="5">
        <v>1.4E-2</v>
      </c>
      <c r="C18" s="5">
        <v>1.4E-2</v>
      </c>
      <c r="D18" s="12">
        <v>1.4E-2</v>
      </c>
      <c r="E18" s="5">
        <f t="shared" si="3"/>
        <v>1.4E-2</v>
      </c>
      <c r="F18" s="12">
        <f t="shared" si="4"/>
        <v>1.5366734540816327</v>
      </c>
      <c r="G18" s="8">
        <f t="shared" si="5"/>
        <v>2.0035714285714286</v>
      </c>
      <c r="H18" s="8">
        <v>0</v>
      </c>
      <c r="I18" s="8">
        <f t="shared" si="6"/>
        <v>2.1443423939999997</v>
      </c>
      <c r="J18" s="8">
        <f t="shared" si="7"/>
        <v>2.1443423939999997</v>
      </c>
      <c r="K18" s="8">
        <f>F18+$I$8</f>
        <v>2.1510348378116326</v>
      </c>
      <c r="Q18" s="8"/>
      <c r="R18" s="8" t="s">
        <v>29</v>
      </c>
      <c r="S18" s="8" t="s">
        <v>38</v>
      </c>
    </row>
    <row r="19" spans="1:19" x14ac:dyDescent="0.25">
      <c r="A19" s="12">
        <f>(B4/1000)+(240/1000)</f>
        <v>0.29009999999999997</v>
      </c>
      <c r="B19" s="5">
        <v>1.29E-2</v>
      </c>
      <c r="C19" s="5">
        <v>1.2999999999999999E-2</v>
      </c>
      <c r="D19" s="12">
        <v>1.2999999999999999E-2</v>
      </c>
      <c r="E19" s="5">
        <f t="shared" si="3"/>
        <v>1.2966666666666666E-2</v>
      </c>
      <c r="F19" s="12">
        <f t="shared" si="4"/>
        <v>1.8849442066864479</v>
      </c>
      <c r="G19" s="8">
        <f t="shared" si="5"/>
        <v>2.1632390745501286</v>
      </c>
      <c r="H19" s="8">
        <v>0</v>
      </c>
      <c r="I19" s="8">
        <f t="shared" si="6"/>
        <v>2.4872999939999998</v>
      </c>
      <c r="J19" s="8">
        <f t="shared" si="7"/>
        <v>2.4872999939999998</v>
      </c>
      <c r="K19" s="8">
        <f t="shared" si="8"/>
        <v>2.4993055904164478</v>
      </c>
      <c r="Q19" s="8" t="s">
        <v>31</v>
      </c>
      <c r="R19" s="6">
        <f t="array" ref="R19:S20">LINEST(V8:V15, U8:U15, 1, 1)</f>
        <v>0.96498515384920058</v>
      </c>
      <c r="S19" s="8">
        <v>2.5393399442911191E-3</v>
      </c>
    </row>
    <row r="20" spans="1:19" x14ac:dyDescent="0.25">
      <c r="A20" s="12">
        <f>(B4/1000)+(280/1000)</f>
        <v>0.3301</v>
      </c>
      <c r="B20" s="5">
        <v>1.21E-2</v>
      </c>
      <c r="C20" s="5">
        <v>1.23E-2</v>
      </c>
      <c r="D20" s="12">
        <v>1.21E-2</v>
      </c>
      <c r="E20" s="5">
        <f t="shared" si="3"/>
        <v>1.2166666666666666E-2</v>
      </c>
      <c r="F20" s="12">
        <f t="shared" si="4"/>
        <v>2.2472815710264595</v>
      </c>
      <c r="G20" s="8">
        <f t="shared" si="5"/>
        <v>2.305479452054795</v>
      </c>
      <c r="H20" s="8">
        <v>0</v>
      </c>
      <c r="I20" s="8">
        <f t="shared" si="6"/>
        <v>2.8302575939999999</v>
      </c>
      <c r="J20" s="8">
        <f t="shared" si="7"/>
        <v>2.8302575939999999</v>
      </c>
      <c r="K20" s="8">
        <f t="shared" si="8"/>
        <v>2.8616429547564595</v>
      </c>
      <c r="Q20" s="8" t="s">
        <v>28</v>
      </c>
      <c r="R20" s="8">
        <v>2.1162816180486056E-3</v>
      </c>
      <c r="S20" s="8">
        <v>1.5123206553738441E-3</v>
      </c>
    </row>
    <row r="21" spans="1:19" x14ac:dyDescent="0.25">
      <c r="A21" s="12">
        <f>(B4/1000)+(300/1000)</f>
        <v>0.35009999999999997</v>
      </c>
      <c r="B21" s="5">
        <v>1.1900000000000001E-2</v>
      </c>
      <c r="C21" s="5">
        <v>1.18E-2</v>
      </c>
      <c r="D21" s="12">
        <v>1.17E-2</v>
      </c>
      <c r="E21" s="5">
        <f>AVERAGE(B21:D21)</f>
        <v>1.18E-2</v>
      </c>
      <c r="F21" s="12">
        <f>(A21+($B$3/1000))*0.5*(G21*G21)</f>
        <v>2.4456199511634589</v>
      </c>
      <c r="G21" s="8">
        <f t="shared" si="5"/>
        <v>2.3771186440677967</v>
      </c>
      <c r="H21" s="8">
        <v>0</v>
      </c>
      <c r="I21" s="8">
        <f t="shared" si="6"/>
        <v>3.0017363939999995</v>
      </c>
      <c r="J21" s="8">
        <f t="shared" si="7"/>
        <v>3.0017363939999995</v>
      </c>
      <c r="K21" s="8">
        <f t="shared" si="8"/>
        <v>3.0599813348934588</v>
      </c>
      <c r="Q21" s="8" t="s">
        <v>27</v>
      </c>
      <c r="R21" s="8">
        <f>1.96*R20</f>
        <v>4.1479119713752665E-3</v>
      </c>
      <c r="S21" s="8">
        <f>1.96*S20</f>
        <v>2.9641484845327345E-3</v>
      </c>
    </row>
    <row r="24" spans="1:19" ht="18" x14ac:dyDescent="0.35">
      <c r="I24" s="19" t="s">
        <v>42</v>
      </c>
      <c r="J24" s="19"/>
      <c r="K24" s="19"/>
      <c r="Q24" s="19" t="s">
        <v>43</v>
      </c>
      <c r="R24" s="19"/>
      <c r="S24" s="19"/>
    </row>
    <row r="25" spans="1:19" x14ac:dyDescent="0.25">
      <c r="A25" s="1" t="s">
        <v>6</v>
      </c>
      <c r="B25" s="1">
        <v>0.01</v>
      </c>
    </row>
    <row r="26" spans="1:19" x14ac:dyDescent="0.25">
      <c r="A26" s="1" t="s">
        <v>7</v>
      </c>
      <c r="B26" s="1">
        <v>1E-3</v>
      </c>
    </row>
    <row r="27" spans="1:19" x14ac:dyDescent="0.25">
      <c r="A27" s="1" t="s">
        <v>8</v>
      </c>
      <c r="B27" s="1">
        <v>0.1</v>
      </c>
    </row>
    <row r="28" spans="1:19" x14ac:dyDescent="0.25">
      <c r="A28" s="8" t="s">
        <v>18</v>
      </c>
      <c r="B28" s="8">
        <v>2E-3</v>
      </c>
    </row>
  </sheetData>
  <mergeCells count="3">
    <mergeCell ref="H6:I6"/>
    <mergeCell ref="Q24:S24"/>
    <mergeCell ref="I24:K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physics</dc:creator>
  <cp:keywords/>
  <dc:description/>
  <cp:lastModifiedBy>Nathan Doan</cp:lastModifiedBy>
  <cp:revision/>
  <dcterms:created xsi:type="dcterms:W3CDTF">2024-02-27T19:08:48Z</dcterms:created>
  <dcterms:modified xsi:type="dcterms:W3CDTF">2024-03-02T01:19:11Z</dcterms:modified>
  <cp:category/>
  <cp:contentStatus/>
</cp:coreProperties>
</file>