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19445678-3B06-4EA7-AC14-98C4D2B6EBC3}" xr6:coauthVersionLast="47" xr6:coauthVersionMax="47" xr10:uidLastSave="{00000000-0000-0000-0000-000000000000}"/>
  <bookViews>
    <workbookView xWindow="-98" yWindow="-98" windowWidth="20670" windowHeight="11715" xr2:uid="{F4276B9D-9EF4-49DF-9972-5A1B79A3DF02}"/>
  </bookViews>
  <sheets>
    <sheet name="Cálculos Básicos" sheetId="2" r:id="rId1"/>
    <sheet name="Ordem de Execução" sheetId="19" r:id="rId2"/>
    <sheet name="Função Soma" sheetId="1" r:id="rId3"/>
    <sheet name="Função AutoSoma" sheetId="30" r:id="rId4"/>
    <sheet name="Função Média" sheetId="20" r:id="rId5"/>
    <sheet name="Função Máximo" sheetId="21" r:id="rId6"/>
    <sheet name="Função Mínimo" sheetId="23" r:id="rId7"/>
    <sheet name="Função Maior" sheetId="24" r:id="rId8"/>
    <sheet name="Função Menor" sheetId="25" r:id="rId9"/>
    <sheet name="Função Se" sheetId="26" r:id="rId10"/>
    <sheet name="Função E" sheetId="27" r:id="rId11"/>
    <sheet name="Função OU" sheetId="28" r:id="rId12"/>
    <sheet name="Função Se com 3 Argumentos" sheetId="29" r:id="rId13"/>
    <sheet name="Funções de Contagem" sheetId="22" r:id="rId14"/>
    <sheet name="Controle de Produtos" sheetId="16" r:id="rId15"/>
    <sheet name="Redução de Preços" sheetId="31" r:id="rId16"/>
    <sheet name="Função PGTO" sheetId="17" r:id="rId17"/>
    <sheet name="Financiamento de Imóveis" sheetId="18" r:id="rId18"/>
    <sheet name="Lição de Casa" sheetId="3" r:id="rId19"/>
  </sheets>
  <externalReferences>
    <externalReference r:id="rId20"/>
    <externalReference r:id="rId21"/>
    <externalReference r:id="rId22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F16" i="3"/>
  <c r="E16" i="3"/>
  <c r="D16" i="3"/>
  <c r="C16" i="3"/>
  <c r="G16" i="3" s="1"/>
  <c r="F15" i="3"/>
  <c r="F17" i="3" s="1"/>
  <c r="E15" i="3"/>
  <c r="D15" i="3"/>
  <c r="D17" i="3" s="1"/>
  <c r="C15" i="3"/>
  <c r="C17" i="3" s="1"/>
  <c r="G15" i="3"/>
  <c r="G12" i="3"/>
  <c r="G11" i="3"/>
  <c r="G10" i="3"/>
  <c r="G9" i="3"/>
  <c r="G8" i="3"/>
  <c r="G6" i="3"/>
  <c r="G5" i="3"/>
  <c r="G4" i="3"/>
  <c r="G6" i="18"/>
  <c r="H6" i="18" s="1"/>
  <c r="G5" i="18"/>
  <c r="H5" i="18" s="1"/>
  <c r="G4" i="18"/>
  <c r="H4" i="18" s="1"/>
  <c r="G3" i="18"/>
  <c r="H3" i="18" s="1"/>
  <c r="G6" i="17"/>
  <c r="G5" i="17"/>
  <c r="G4" i="17"/>
  <c r="G3" i="17"/>
  <c r="F6" i="17"/>
  <c r="F5" i="17"/>
  <c r="F4" i="17"/>
  <c r="F3" i="17"/>
  <c r="F4" i="31"/>
  <c r="F5" i="31"/>
  <c r="F6" i="31"/>
  <c r="F7" i="31"/>
  <c r="F8" i="31"/>
  <c r="F3" i="31"/>
  <c r="E4" i="31"/>
  <c r="E5" i="31"/>
  <c r="E6" i="31"/>
  <c r="E7" i="31"/>
  <c r="E8" i="31"/>
  <c r="E3" i="31"/>
  <c r="F4" i="16"/>
  <c r="F5" i="16"/>
  <c r="F6" i="16"/>
  <c r="F7" i="16"/>
  <c r="F8" i="16"/>
  <c r="F3" i="16"/>
  <c r="E4" i="16"/>
  <c r="E5" i="16"/>
  <c r="E6" i="16"/>
  <c r="E7" i="16"/>
  <c r="E8" i="16"/>
  <c r="E3" i="16"/>
  <c r="G17" i="3" l="1"/>
  <c r="I4" i="22"/>
  <c r="I3" i="22"/>
  <c r="I2" i="22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3" i="28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3" i="27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3" i="26"/>
  <c r="I4" i="25"/>
  <c r="I5" i="25"/>
  <c r="I6" i="25"/>
  <c r="I3" i="25"/>
  <c r="I2" i="25"/>
  <c r="I4" i="24"/>
  <c r="I3" i="24"/>
  <c r="I5" i="24"/>
  <c r="I6" i="24"/>
  <c r="I2" i="24"/>
  <c r="G3" i="23"/>
  <c r="G3" i="21"/>
  <c r="G3" i="20"/>
  <c r="G17" i="30"/>
  <c r="G16" i="30"/>
  <c r="G15" i="30"/>
  <c r="D17" i="30"/>
  <c r="E17" i="30"/>
  <c r="F17" i="30"/>
  <c r="C17" i="30"/>
  <c r="D16" i="30"/>
  <c r="E16" i="30"/>
  <c r="F16" i="30"/>
  <c r="D15" i="30"/>
  <c r="E15" i="30"/>
  <c r="F15" i="30"/>
  <c r="G8" i="30"/>
  <c r="G9" i="30"/>
  <c r="G10" i="30"/>
  <c r="G11" i="30"/>
  <c r="G12" i="30"/>
  <c r="G6" i="30"/>
  <c r="G5" i="30"/>
  <c r="G4" i="30"/>
  <c r="C16" i="30"/>
  <c r="C15" i="30"/>
  <c r="G17" i="1"/>
  <c r="G16" i="1"/>
  <c r="G15" i="1"/>
  <c r="E17" i="1"/>
  <c r="F17" i="1"/>
  <c r="E16" i="1"/>
  <c r="F16" i="1"/>
  <c r="E15" i="1"/>
  <c r="F15" i="1"/>
  <c r="D17" i="1"/>
  <c r="C17" i="1"/>
  <c r="G6" i="1"/>
  <c r="G5" i="1"/>
  <c r="D16" i="1"/>
  <c r="D15" i="1"/>
  <c r="C16" i="1"/>
  <c r="G4" i="1"/>
  <c r="C15" i="1"/>
  <c r="H10" i="19"/>
  <c r="H12" i="19"/>
  <c r="H11" i="19"/>
  <c r="H5" i="2"/>
  <c r="H4" i="2"/>
  <c r="F8" i="2"/>
  <c r="F7" i="2"/>
  <c r="F6" i="2"/>
  <c r="F5" i="2"/>
  <c r="F4" i="2"/>
  <c r="H8" i="19"/>
  <c r="F8" i="19"/>
  <c r="H7" i="19"/>
  <c r="F7" i="19"/>
  <c r="H6" i="19"/>
  <c r="F6" i="19"/>
  <c r="H5" i="19"/>
  <c r="F5" i="19"/>
  <c r="H4" i="19"/>
  <c r="F4" i="19"/>
</calcChain>
</file>

<file path=xl/sharedStrings.xml><?xml version="1.0" encoding="utf-8"?>
<sst xmlns="http://schemas.openxmlformats.org/spreadsheetml/2006/main" count="1588" uniqueCount="160">
  <si>
    <t>Hospedagem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</si>
  <si>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</si>
  <si>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</si>
  <si>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</si>
  <si>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</si>
  <si>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</si>
  <si>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</si>
  <si>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</si>
  <si>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</si>
  <si>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</si>
  <si>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</si>
  <si>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</si>
  <si>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</si>
  <si>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</si>
  <si>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</si>
  <si>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</si>
  <si>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</si>
  <si>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</si>
  <si>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</si>
  <si>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</si>
  <si>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</si>
  <si>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</si>
  <si>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</si>
  <si>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</si>
  <si>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</si>
  <si>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</si>
  <si>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</si>
  <si>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</si>
  <si>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</si>
  <si>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</si>
  <si>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</si>
  <si>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</si>
  <si>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</si>
  <si>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</si>
  <si>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</si>
  <si>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</si>
  <si>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</si>
  <si>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</si>
  <si>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</si>
  <si>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(3+3)*5</t>
  </si>
  <si>
    <t>30/5*3</t>
  </si>
  <si>
    <t>5+3-6</t>
  </si>
  <si>
    <t>Resultado</t>
  </si>
  <si>
    <t>Cont.Números</t>
  </si>
  <si>
    <t>Cont.Valores</t>
  </si>
  <si>
    <t>Contar.Vazio</t>
  </si>
  <si>
    <t xml:space="preserve">Controle de Produtos </t>
  </si>
  <si>
    <t>ID</t>
  </si>
  <si>
    <t>Produto</t>
  </si>
  <si>
    <t>Reajuste</t>
  </si>
  <si>
    <t>Desconto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</si>
  <si>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</si>
  <si>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</si>
  <si>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</si>
  <si>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</si>
  <si>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</si>
  <si>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</si>
  <si>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</si>
  <si>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</si>
  <si>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</si>
  <si>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</si>
  <si>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</si>
  <si>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</si>
  <si>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</si>
  <si>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</si>
  <si>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</si>
  <si>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Valor da Parcela</t>
  </si>
  <si>
    <t>1 Quarto</t>
  </si>
  <si>
    <t>2 Quartos</t>
  </si>
  <si>
    <t>3 Quartos</t>
  </si>
  <si>
    <t>4 Quartos</t>
  </si>
  <si>
    <t>Ordem de Execução</t>
  </si>
  <si>
    <t>1º Parênteses</t>
  </si>
  <si>
    <t xml:space="preserve">2º Potência </t>
  </si>
  <si>
    <t>3º Divisão</t>
  </si>
  <si>
    <t>4º Multiplicação</t>
  </si>
  <si>
    <t>5º Adição</t>
  </si>
  <si>
    <t xml:space="preserve">6º Subtração </t>
  </si>
  <si>
    <t>Hotel Smart São Paulo</t>
  </si>
  <si>
    <t>Reserva</t>
  </si>
  <si>
    <t>Nome do Pax</t>
  </si>
  <si>
    <t>Estado</t>
  </si>
  <si>
    <t>Cidade</t>
  </si>
  <si>
    <t>Cristiano Aparecido</t>
  </si>
  <si>
    <t>Ronaldo Lima</t>
  </si>
  <si>
    <t>Juliana Amaral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</si>
  <si>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</si>
  <si>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</si>
  <si>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</si>
  <si>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</si>
  <si>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</si>
  <si>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</si>
  <si>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</si>
  <si>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</si>
  <si>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</si>
  <si>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</si>
  <si>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</si>
  <si>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</si>
  <si>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</si>
  <si>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</si>
  <si>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</si>
  <si>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</si>
  <si>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</si>
  <si>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</si>
  <si>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</si>
  <si>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</si>
  <si>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</si>
  <si>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</si>
  <si>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</si>
  <si>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</si>
  <si>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</si>
  <si>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</si>
  <si>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</si>
  <si>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</si>
  <si>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</si>
  <si>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</si>
  <si>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</si>
  <si>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</si>
  <si>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Franclin Fagundes</t>
  </si>
  <si>
    <t>Jasiel Souza</t>
  </si>
  <si>
    <t>Emilly Cerqueira</t>
  </si>
  <si>
    <t>Média das Reservas</t>
  </si>
  <si>
    <t>Status</t>
  </si>
  <si>
    <t>Confirmada</t>
  </si>
  <si>
    <t>Em Análise</t>
  </si>
  <si>
    <t>Cancelada</t>
  </si>
  <si>
    <t>Maior Reservas</t>
  </si>
  <si>
    <t>Menor Reservas</t>
  </si>
  <si>
    <t>Maior Reserva</t>
  </si>
  <si>
    <t>Menor Reserva</t>
  </si>
  <si>
    <t>RS</t>
  </si>
  <si>
    <t>Porto Alegre</t>
  </si>
  <si>
    <t>José Luiz</t>
  </si>
  <si>
    <t>Roberto Lima</t>
  </si>
  <si>
    <t>Rodrigo Ferreira</t>
  </si>
  <si>
    <t>Caxias do Sul</t>
  </si>
  <si>
    <t>Pelotas</t>
  </si>
  <si>
    <t>Canoas</t>
  </si>
  <si>
    <t>Cristina Alencar</t>
  </si>
  <si>
    <t>João Pedro</t>
  </si>
  <si>
    <t>Danilo Santos</t>
  </si>
  <si>
    <t>Matheus Oliveira</t>
  </si>
  <si>
    <t>João Lima</t>
  </si>
  <si>
    <t>Leonardo Gomes</t>
  </si>
  <si>
    <t>Forma Pagamento</t>
  </si>
  <si>
    <t>PIX</t>
  </si>
  <si>
    <t>Boleto Bancário</t>
  </si>
  <si>
    <t>Cartão de Crédito</t>
  </si>
  <si>
    <t>Subtotal</t>
  </si>
  <si>
    <t>iPhone</t>
  </si>
  <si>
    <t>Smartphone</t>
  </si>
  <si>
    <t>Notebook</t>
  </si>
  <si>
    <t>Categoria</t>
  </si>
  <si>
    <t>Computador</t>
  </si>
  <si>
    <t>Acessórios</t>
  </si>
  <si>
    <t>Valor Final</t>
  </si>
  <si>
    <t>Saldo</t>
  </si>
  <si>
    <t>Totais</t>
  </si>
  <si>
    <r>
      <t>TV LED 55</t>
    </r>
    <r>
      <rPr>
        <sz val="11"/>
        <rFont val="Calibri"/>
        <family val="2"/>
      </rPr>
      <t>ʺ</t>
    </r>
  </si>
  <si>
    <t>Duração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</si>
</sst>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0"/>
    <numFmt numFmtId="166" formatCode="_-[$R$-416]\ * #,##0.00_-;\-[$R$-416]\ * #,##0.00_-;_-[$R$-416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8"/>
      <color theme="8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/>
  </cellStyleXfs>
  <cellXfs count="66">
    <xf numFmtId="0" fontId="0" fillId="0" borderId="0" xfId="0"/>
    <xf numFmtId="0" fontId="0" fillId="0" borderId="0" xfId="0" applyBorder="1"/>
    <xf numFmtId="164" fontId="0" fillId="0" borderId="0" xfId="0" applyNumberFormat="1" applyBorder="1"/>
    <xf numFmtId="44" fontId="0" fillId="0" borderId="0" xfId="0" applyNumberFormat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2" fillId="3" borderId="0" xfId="0" applyFont="1" applyFill="1"/>
    <xf numFmtId="44" fontId="0" fillId="0" borderId="5" xfId="0" applyNumberFormat="1" applyBorder="1"/>
    <xf numFmtId="44" fontId="0" fillId="0" borderId="0" xfId="0" applyNumberFormat="1" applyBorder="1"/>
    <xf numFmtId="0" fontId="2" fillId="3" borderId="0" xfId="0" applyFont="1" applyFill="1" applyBorder="1"/>
    <xf numFmtId="44" fontId="0" fillId="0" borderId="6" xfId="0" applyNumberFormat="1" applyBorder="1"/>
    <xf numFmtId="0" fontId="5" fillId="3" borderId="0" xfId="0" applyFont="1" applyFill="1" applyAlignment="1">
      <alignment horizontal="center" vertical="center"/>
    </xf>
    <xf numFmtId="0" fontId="2" fillId="5" borderId="0" xfId="0" applyFont="1" applyFill="1" applyAlignment="1"/>
    <xf numFmtId="164" fontId="0" fillId="0" borderId="5" xfId="0" applyNumberFormat="1" applyBorder="1"/>
    <xf numFmtId="0" fontId="4" fillId="4" borderId="0" xfId="0" applyFont="1" applyFill="1" applyAlignment="1"/>
    <xf numFmtId="0" fontId="2" fillId="5" borderId="3" xfId="0" applyFont="1" applyFill="1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indent="1"/>
    </xf>
    <xf numFmtId="1" fontId="6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3" applyFont="1"/>
    <xf numFmtId="0" fontId="0" fillId="0" borderId="5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/>
    <xf numFmtId="165" fontId="7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164" fontId="0" fillId="0" borderId="8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44" fontId="3" fillId="7" borderId="11" xfId="0" applyNumberFormat="1" applyFont="1" applyFill="1" applyBorder="1"/>
    <xf numFmtId="44" fontId="3" fillId="7" borderId="12" xfId="0" applyNumberFormat="1" applyFont="1" applyFill="1" applyBorder="1"/>
    <xf numFmtId="44" fontId="3" fillId="8" borderId="13" xfId="0" applyNumberFormat="1" applyFont="1" applyFill="1" applyBorder="1"/>
    <xf numFmtId="0" fontId="2" fillId="5" borderId="11" xfId="0" applyFont="1" applyFill="1" applyBorder="1"/>
    <xf numFmtId="44" fontId="3" fillId="7" borderId="14" xfId="0" applyNumberFormat="1" applyFont="1" applyFill="1" applyBorder="1"/>
    <xf numFmtId="44" fontId="7" fillId="0" borderId="0" xfId="3" applyFont="1" applyFill="1" applyBorder="1"/>
    <xf numFmtId="167" fontId="7" fillId="0" borderId="0" xfId="4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0" fontId="7" fillId="0" borderId="0" xfId="4" applyNumberFormat="1" applyFont="1" applyFill="1" applyBorder="1" applyAlignment="1">
      <alignment horizontal="center"/>
    </xf>
    <xf numFmtId="8" fontId="7" fillId="0" borderId="0" xfId="3" applyNumberFormat="1" applyFont="1" applyFill="1" applyBorder="1"/>
    <xf numFmtId="0" fontId="9" fillId="0" borderId="0" xfId="0" applyFont="1"/>
    <xf numFmtId="44" fontId="0" fillId="0" borderId="0" xfId="3" applyFont="1" applyAlignment="1">
      <alignment horizontal="center"/>
    </xf>
    <xf numFmtId="0" fontId="0" fillId="0" borderId="0" xfId="0" applyFont="1"/>
    <xf numFmtId="44" fontId="7" fillId="0" borderId="0" xfId="3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8" fontId="7" fillId="0" borderId="0" xfId="0" applyNumberFormat="1" applyFont="1"/>
    <xf numFmtId="8" fontId="3" fillId="7" borderId="12" xfId="0" applyNumberFormat="1" applyFont="1" applyFill="1" applyBorder="1"/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F2F7FC"/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2492635-353D-49E1-97FC-55E9A221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F0E1BF4-BD77-47FB-9489-11F8C8F02ADF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Formas de Pagamento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7%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Boleto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Bancário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Cartão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Crédito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BB66B0-5FB2-4BB4-829E-743486F1E512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 maior ou igual a R$ 1.500, desconto 7,5%</a:t>
          </a:r>
          <a:endParaRPr lang="pt-B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1479908-C229-44E8-839A-0B3767D559FF}"/>
            </a:ext>
          </a:extLst>
        </xdr:cNvPr>
        <xdr:cNvSpPr txBox="1"/>
      </xdr:nvSpPr>
      <xdr:spPr>
        <a:xfrm>
          <a:off x="7427671" y="454269"/>
          <a:ext cx="1796560" cy="119135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ou Subtotal for maior ou igual a R$ 2.300, desconto 6,5%</a:t>
          </a:r>
          <a:endParaRPr lang="pt-B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9</xdr:row>
      <xdr:rowOff>117231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FA314B-3A3C-4B60-9958-1B8BAE96EA38}"/>
            </a:ext>
          </a:extLst>
        </xdr:cNvPr>
        <xdr:cNvSpPr txBox="1"/>
      </xdr:nvSpPr>
      <xdr:spPr>
        <a:xfrm>
          <a:off x="7425839" y="454269"/>
          <a:ext cx="1798758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&gt;=4.000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7,5%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3.000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3,0%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1,5%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9</xdr:row>
      <xdr:rowOff>131885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AAE25D3-4443-41BC-B168-66DF3DBD04CA}"/>
            </a:ext>
          </a:extLst>
        </xdr:cNvPr>
        <xdr:cNvSpPr txBox="1"/>
      </xdr:nvSpPr>
      <xdr:spPr>
        <a:xfrm>
          <a:off x="4575663" y="446942"/>
          <a:ext cx="1798757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Reajuste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e Valor &lt;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 e Valor &lt; 10.000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8</xdr:row>
      <xdr:rowOff>91586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3953F6E-B345-4514-8082-A5A03742D009}"/>
            </a:ext>
          </a:extLst>
        </xdr:cNvPr>
        <xdr:cNvSpPr txBox="1"/>
      </xdr:nvSpPr>
      <xdr:spPr>
        <a:xfrm>
          <a:off x="4663586" y="446942"/>
          <a:ext cx="1798757" cy="134815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Redução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 ou Computador e Valor &gt;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4,5%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1,7%</a:t>
          </a:r>
          <a:endParaRPr lang="pt-BR">
            <a:effectLst/>
          </a:endParaRP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76933</xdr:colOff>
      <xdr:row>1</xdr:row>
      <xdr:rowOff>3664</xdr:rowOff>
    </xdr:from>
    <xdr:to>
      <xdr:col>10</xdr:col>
      <xdr:colOff>578824</xdr:colOff>
      <xdr:row>6</xdr:row>
      <xdr:rowOff>10990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979599E-11B2-4693-94C4-095F5FA38FBE}"/>
            </a:ext>
          </a:extLst>
        </xdr:cNvPr>
        <xdr:cNvSpPr txBox="1"/>
      </xdr:nvSpPr>
      <xdr:spPr>
        <a:xfrm>
          <a:off x="6942260" y="450606"/>
          <a:ext cx="1798756" cy="9048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Juros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Simples: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 Price - Sistema Francês de Amortização</a:t>
          </a:r>
          <a:endParaRPr lang="pt-B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8" tint="0.79998168889431442"/>
  </sheetPr>
  <dimension ref="A1:I10"/>
  <sheetViews>
    <sheetView showGridLines="0" tabSelected="1" zoomScale="130" zoomScaleNormal="130" workbookViewId="0">
      <selection activeCell="H6" sqref="H6"/>
    </sheetView>
  </sheetViews>
  <sheetFormatPr defaultRowHeight="14.25" x14ac:dyDescent="0.45"/>
  <cols>
    <col min="1" max="1" width="14.3984375" bestFit="1" customWidth="1"/>
    <col min="2" max="2" width="10.73046875" customWidth="1"/>
    <col min="4" max="4" width="13.73046875" customWidth="1"/>
    <col min="5" max="5" width="12.86328125" customWidth="1"/>
    <col min="6" max="6" width="14.59765625" bestFit="1" customWidth="1"/>
    <col min="7" max="7" width="1.59765625" customWidth="1"/>
    <col min="8" max="8" width="26.73046875" bestFit="1" customWidth="1"/>
    <col min="9" max="9" width="9.1328125" customWidth="1"/>
  </cols>
  <sheetData>
    <row r="1" spans="1:9" ht="23.25" x14ac:dyDescent="0.45">
      <c r="A1" s="57" t="s">
        <v>36</v>
      </c>
      <c r="B1" s="57"/>
      <c r="C1" s="57"/>
      <c r="D1" s="57"/>
      <c r="E1" s="57"/>
      <c r="F1" s="57"/>
      <c r="G1" s="57"/>
      <c r="H1" s="57"/>
    </row>
    <row r="3" spans="1:9" x14ac:dyDescent="0.4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4"/>
      <c r="H3" s="15" t="s">
        <v>38</v>
      </c>
      <c r="I3" s="1"/>
    </row>
    <row r="4" spans="1:9" x14ac:dyDescent="0.45">
      <c r="A4" t="s">
        <v>23</v>
      </c>
      <c r="B4" s="3">
        <v>15</v>
      </c>
      <c r="D4" t="s">
        <v>30</v>
      </c>
      <c r="E4" s="1" t="s">
        <v>25</v>
      </c>
      <c r="F4" s="31">
        <f>15+5</f>
        <v>20</v>
      </c>
      <c r="G4" s="14"/>
      <c r="H4" s="16">
        <f>B4+B5</f>
        <v>20</v>
      </c>
      <c r="I4" s="1"/>
    </row>
    <row r="5" spans="1:9" x14ac:dyDescent="0.45">
      <c r="A5" t="s">
        <v>22</v>
      </c>
      <c r="B5" s="3">
        <v>5</v>
      </c>
      <c r="D5" t="s">
        <v>31</v>
      </c>
      <c r="E5" s="1" t="s">
        <v>26</v>
      </c>
      <c r="F5" s="31">
        <f>15-5</f>
        <v>10</v>
      </c>
      <c r="G5" s="14"/>
      <c r="H5" s="13">
        <f>B4-B5</f>
        <v>10</v>
      </c>
      <c r="I5" s="1"/>
    </row>
    <row r="6" spans="1:9" x14ac:dyDescent="0.45">
      <c r="D6" t="s">
        <v>32</v>
      </c>
      <c r="E6" s="1" t="s">
        <v>27</v>
      </c>
      <c r="F6" s="31">
        <f>15*5</f>
        <v>75</v>
      </c>
      <c r="G6" s="14"/>
      <c r="H6" s="13"/>
      <c r="I6" s="1"/>
    </row>
    <row r="7" spans="1:9" x14ac:dyDescent="0.45">
      <c r="D7" t="s">
        <v>33</v>
      </c>
      <c r="E7" s="1" t="s">
        <v>28</v>
      </c>
      <c r="F7" s="31">
        <f>15/5</f>
        <v>3</v>
      </c>
      <c r="G7" s="14"/>
      <c r="H7" s="13"/>
      <c r="I7" s="1"/>
    </row>
    <row r="8" spans="1:9" x14ac:dyDescent="0.45">
      <c r="D8" t="s">
        <v>34</v>
      </c>
      <c r="E8" s="1" t="s">
        <v>35</v>
      </c>
      <c r="F8" s="31">
        <f>15^5</f>
        <v>759375</v>
      </c>
      <c r="G8" s="14"/>
      <c r="H8" s="13"/>
      <c r="I8" s="1"/>
    </row>
    <row r="10" spans="1:9" x14ac:dyDescent="0.45">
      <c r="H10" s="3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15C8-2B8C-4601-9C14-3D7F8F64A832}">
  <sheetPr>
    <tabColor theme="8" tint="-0.249977111117893"/>
  </sheetPr>
  <dimension ref="A1:H40"/>
  <sheetViews>
    <sheetView showGridLines="0" zoomScale="130" zoomScaleNormal="130" workbookViewId="0">
      <selection activeCell="H3" sqref="H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9.9296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31">
        <f>E3*IF(F3="Pix",7%,
IF(F3="Boleto Bancário",5%,
0%))</f>
        <v>104.99720000000001</v>
      </c>
      <c r="H3" s="31">
        <f>E3-G3</f>
        <v>1394.9628</v>
      </c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31">
        <f t="shared" ref="G4:G40" si="0">E4*IF(F4="Pix",7%,
IF(F4="Boleto Bancário",5%,
0%))</f>
        <v>122.5077</v>
      </c>
      <c r="H4" s="31">
        <f t="shared" ref="H4:H40" si="1">E4-G4</f>
        <v>1627.6023</v>
      </c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31">
        <f t="shared" si="0"/>
        <v>124.99900000000001</v>
      </c>
      <c r="H5" s="31">
        <f t="shared" si="1"/>
        <v>2374.9810000000002</v>
      </c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31">
        <f t="shared" si="0"/>
        <v>0</v>
      </c>
      <c r="H6" s="31">
        <f t="shared" si="1"/>
        <v>2200.33</v>
      </c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31">
        <f t="shared" si="0"/>
        <v>0</v>
      </c>
      <c r="H7" s="31">
        <f t="shared" si="1"/>
        <v>2350.2199999999998</v>
      </c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31">
        <f t="shared" si="0"/>
        <v>548.44510000000002</v>
      </c>
      <c r="H8" s="31">
        <f t="shared" si="1"/>
        <v>7286.4849000000004</v>
      </c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31">
        <f t="shared" si="0"/>
        <v>0</v>
      </c>
      <c r="H9" s="31">
        <f t="shared" si="1"/>
        <v>2300.4499999999998</v>
      </c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31">
        <f t="shared" si="0"/>
        <v>90.043000000000006</v>
      </c>
      <c r="H10" s="31">
        <f t="shared" si="1"/>
        <v>1710.817</v>
      </c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31">
        <f t="shared" si="0"/>
        <v>63.030800000000006</v>
      </c>
      <c r="H11" s="31">
        <f t="shared" si="1"/>
        <v>837.40920000000006</v>
      </c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31">
        <f t="shared" si="0"/>
        <v>265.99720000000002</v>
      </c>
      <c r="H12" s="31">
        <f t="shared" si="1"/>
        <v>3533.9628000000002</v>
      </c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31">
        <f t="shared" si="0"/>
        <v>337.67650000000003</v>
      </c>
      <c r="H13" s="31">
        <f t="shared" si="1"/>
        <v>4486.2734999999993</v>
      </c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31">
        <f t="shared" si="0"/>
        <v>0</v>
      </c>
      <c r="H14" s="31">
        <f t="shared" si="1"/>
        <v>1499.94</v>
      </c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31">
        <f t="shared" si="0"/>
        <v>0</v>
      </c>
      <c r="H15" s="31">
        <f t="shared" si="1"/>
        <v>1750.17</v>
      </c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31">
        <f t="shared" si="0"/>
        <v>164.5154</v>
      </c>
      <c r="H16" s="31">
        <f t="shared" si="1"/>
        <v>2185.7046</v>
      </c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31">
        <f t="shared" si="0"/>
        <v>153.99720000000002</v>
      </c>
      <c r="H17" s="31">
        <f t="shared" si="1"/>
        <v>2045.9628</v>
      </c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31">
        <f t="shared" si="0"/>
        <v>117.52249999999999</v>
      </c>
      <c r="H18" s="31">
        <f t="shared" si="1"/>
        <v>2232.9274999999998</v>
      </c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31">
        <f t="shared" si="0"/>
        <v>160.99440000000001</v>
      </c>
      <c r="H19" s="31">
        <f t="shared" si="1"/>
        <v>2138.9256</v>
      </c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31">
        <f t="shared" si="0"/>
        <v>242.01310000000001</v>
      </c>
      <c r="H20" s="31">
        <f t="shared" si="1"/>
        <v>3215.3168999999998</v>
      </c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31">
        <f t="shared" si="0"/>
        <v>0</v>
      </c>
      <c r="H21" s="31">
        <f t="shared" si="1"/>
        <v>6345.98</v>
      </c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31">
        <f t="shared" si="0"/>
        <v>90.038000000000011</v>
      </c>
      <c r="H22" s="31">
        <f t="shared" si="1"/>
        <v>1710.722</v>
      </c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31">
        <f t="shared" si="0"/>
        <v>61.413800000000009</v>
      </c>
      <c r="H23" s="31">
        <f t="shared" si="1"/>
        <v>815.92619999999999</v>
      </c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31">
        <f t="shared" si="0"/>
        <v>140.02250000000001</v>
      </c>
      <c r="H24" s="31">
        <f t="shared" si="1"/>
        <v>2660.4274999999998</v>
      </c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31">
        <f t="shared" si="0"/>
        <v>111.86840000000001</v>
      </c>
      <c r="H25" s="31">
        <f t="shared" si="1"/>
        <v>1486.2515999999998</v>
      </c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31">
        <f t="shared" si="0"/>
        <v>87.516999999999996</v>
      </c>
      <c r="H26" s="31">
        <f t="shared" si="1"/>
        <v>1662.8229999999999</v>
      </c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31">
        <f t="shared" si="0"/>
        <v>124.998</v>
      </c>
      <c r="H27" s="31">
        <f t="shared" si="1"/>
        <v>2374.962</v>
      </c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31">
        <f t="shared" si="0"/>
        <v>153.99720000000002</v>
      </c>
      <c r="H28" s="31">
        <f t="shared" si="1"/>
        <v>2045.9628</v>
      </c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31">
        <f t="shared" si="0"/>
        <v>0</v>
      </c>
      <c r="H29" s="31">
        <f t="shared" si="1"/>
        <v>2349.9699999999998</v>
      </c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31">
        <f t="shared" si="0"/>
        <v>262.15000000000003</v>
      </c>
      <c r="H30" s="31">
        <f t="shared" si="1"/>
        <v>3482.85</v>
      </c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31">
        <f t="shared" si="0"/>
        <v>161.0693</v>
      </c>
      <c r="H31" s="31">
        <f t="shared" si="1"/>
        <v>2139.9206999999997</v>
      </c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31">
        <f t="shared" si="0"/>
        <v>125.99860000000001</v>
      </c>
      <c r="H32" s="31">
        <f t="shared" si="1"/>
        <v>1673.9814000000001</v>
      </c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31">
        <f t="shared" si="0"/>
        <v>78.781500000000008</v>
      </c>
      <c r="H33" s="31">
        <f t="shared" si="1"/>
        <v>1046.6685</v>
      </c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31">
        <f t="shared" si="0"/>
        <v>0</v>
      </c>
      <c r="H34" s="31">
        <f t="shared" si="1"/>
        <v>2945.33</v>
      </c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31">
        <f t="shared" si="0"/>
        <v>241.97950000000003</v>
      </c>
      <c r="H35" s="31">
        <f t="shared" si="1"/>
        <v>3214.8705</v>
      </c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31">
        <f t="shared" si="0"/>
        <v>108.18780000000001</v>
      </c>
      <c r="H36" s="31">
        <f t="shared" si="1"/>
        <v>1437.3522</v>
      </c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31">
        <f t="shared" si="0"/>
        <v>87.546500000000009</v>
      </c>
      <c r="H37" s="31">
        <f t="shared" si="1"/>
        <v>1663.3835000000001</v>
      </c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31">
        <f t="shared" si="0"/>
        <v>125.01700000000001</v>
      </c>
      <c r="H38" s="31">
        <f t="shared" si="1"/>
        <v>2375.3230000000003</v>
      </c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31">
        <f t="shared" si="0"/>
        <v>205.41150000000002</v>
      </c>
      <c r="H39" s="31">
        <f t="shared" si="1"/>
        <v>2729.0384999999997</v>
      </c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31">
        <f t="shared" si="0"/>
        <v>418.7715</v>
      </c>
      <c r="H40" s="31">
        <f t="shared" si="1"/>
        <v>5563.6785</v>
      </c>
    </row>
  </sheetData>
  <mergeCells count="1">
    <mergeCell ref="A1:F1"/>
  </mergeCells>
  <dataValidations count="1">
    <dataValidation type="list" allowBlank="1" showInputMessage="1" showErrorMessage="1" sqref="F3:F40" xr:uid="{760C25D0-02E5-451F-8A02-D57B1E2AEC0D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6D16-F75C-4A73-B99D-A029D7BC18CA}">
  <sheetPr>
    <tabColor theme="8" tint="-0.499984740745262"/>
  </sheetPr>
  <dimension ref="A1:H40"/>
  <sheetViews>
    <sheetView showGridLines="0" zoomScale="130" zoomScaleNormal="130" workbookViewId="0">
      <selection activeCell="H4" sqref="H4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11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54">
        <f>E3*IF(AND(F3="PIX",E3&gt;=1500),7.5%,0%)</f>
        <v>0</v>
      </c>
      <c r="H3" s="31">
        <f>E3-G3</f>
        <v>1499.96</v>
      </c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54">
        <f t="shared" ref="G4:G40" si="0">E4*IF(AND(F4="PIX",E4&gt;=1500),7.5%,0%)</f>
        <v>131.25824999999998</v>
      </c>
      <c r="H4" s="31">
        <f t="shared" ref="H4:H40" si="1">E4-G4</f>
        <v>1618.8517499999998</v>
      </c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54">
        <f t="shared" si="0"/>
        <v>0</v>
      </c>
      <c r="H5" s="31">
        <f t="shared" si="1"/>
        <v>2499.98</v>
      </c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54">
        <f t="shared" si="0"/>
        <v>0</v>
      </c>
      <c r="H6" s="31">
        <f t="shared" si="1"/>
        <v>2200.33</v>
      </c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54">
        <f t="shared" si="0"/>
        <v>0</v>
      </c>
      <c r="H7" s="31">
        <f t="shared" si="1"/>
        <v>2350.2199999999998</v>
      </c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54">
        <f t="shared" si="0"/>
        <v>587.61974999999995</v>
      </c>
      <c r="H8" s="31">
        <f t="shared" si="1"/>
        <v>7247.3102500000005</v>
      </c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54">
        <f t="shared" si="0"/>
        <v>0</v>
      </c>
      <c r="H9" s="31">
        <f t="shared" si="1"/>
        <v>2300.4499999999998</v>
      </c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54">
        <f t="shared" si="0"/>
        <v>0</v>
      </c>
      <c r="H10" s="31">
        <f t="shared" si="1"/>
        <v>1800.86</v>
      </c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54">
        <f t="shared" si="0"/>
        <v>0</v>
      </c>
      <c r="H11" s="31">
        <f t="shared" si="1"/>
        <v>900.44</v>
      </c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54">
        <f t="shared" si="0"/>
        <v>284.99700000000001</v>
      </c>
      <c r="H12" s="31">
        <f t="shared" si="1"/>
        <v>3514.9630000000002</v>
      </c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54">
        <f t="shared" si="0"/>
        <v>361.79624999999999</v>
      </c>
      <c r="H13" s="31">
        <f t="shared" si="1"/>
        <v>4462.1537499999995</v>
      </c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54">
        <f t="shared" si="0"/>
        <v>0</v>
      </c>
      <c r="H14" s="31">
        <f t="shared" si="1"/>
        <v>1499.94</v>
      </c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54">
        <f t="shared" si="0"/>
        <v>0</v>
      </c>
      <c r="H15" s="31">
        <f t="shared" si="1"/>
        <v>1750.17</v>
      </c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54">
        <f t="shared" si="0"/>
        <v>176.26649999999998</v>
      </c>
      <c r="H16" s="31">
        <f t="shared" si="1"/>
        <v>2173.9534999999996</v>
      </c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54">
        <f t="shared" si="0"/>
        <v>164.99699999999999</v>
      </c>
      <c r="H17" s="31">
        <f t="shared" si="1"/>
        <v>2034.963</v>
      </c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54">
        <f t="shared" si="0"/>
        <v>0</v>
      </c>
      <c r="H18" s="31">
        <f t="shared" si="1"/>
        <v>2350.4499999999998</v>
      </c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54">
        <f t="shared" si="0"/>
        <v>172.494</v>
      </c>
      <c r="H19" s="31">
        <f t="shared" si="1"/>
        <v>2127.4259999999999</v>
      </c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54">
        <f t="shared" si="0"/>
        <v>259.29974999999996</v>
      </c>
      <c r="H20" s="31">
        <f t="shared" si="1"/>
        <v>3198.0302499999998</v>
      </c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54">
        <f t="shared" si="0"/>
        <v>0</v>
      </c>
      <c r="H21" s="31">
        <f t="shared" si="1"/>
        <v>6345.98</v>
      </c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54">
        <f t="shared" si="0"/>
        <v>0</v>
      </c>
      <c r="H22" s="31">
        <f t="shared" si="1"/>
        <v>1800.76</v>
      </c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54">
        <f t="shared" si="0"/>
        <v>0</v>
      </c>
      <c r="H23" s="31">
        <f t="shared" si="1"/>
        <v>877.34</v>
      </c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54">
        <f t="shared" si="0"/>
        <v>0</v>
      </c>
      <c r="H24" s="31">
        <f t="shared" si="1"/>
        <v>2800.45</v>
      </c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54">
        <f t="shared" si="0"/>
        <v>119.85899999999998</v>
      </c>
      <c r="H25" s="31">
        <f t="shared" si="1"/>
        <v>1478.261</v>
      </c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54">
        <f t="shared" si="0"/>
        <v>0</v>
      </c>
      <c r="H26" s="31">
        <f t="shared" si="1"/>
        <v>1750.34</v>
      </c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54">
        <f t="shared" si="0"/>
        <v>0</v>
      </c>
      <c r="H27" s="31">
        <f t="shared" si="1"/>
        <v>2499.96</v>
      </c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54">
        <f t="shared" si="0"/>
        <v>164.99699999999999</v>
      </c>
      <c r="H28" s="31">
        <f t="shared" si="1"/>
        <v>2034.963</v>
      </c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54">
        <f t="shared" si="0"/>
        <v>0</v>
      </c>
      <c r="H29" s="31">
        <f t="shared" si="1"/>
        <v>2349.9699999999998</v>
      </c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54">
        <f t="shared" si="0"/>
        <v>280.875</v>
      </c>
      <c r="H30" s="31">
        <f t="shared" si="1"/>
        <v>3464.125</v>
      </c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54">
        <f t="shared" si="0"/>
        <v>172.57424999999998</v>
      </c>
      <c r="H31" s="31">
        <f t="shared" si="1"/>
        <v>2128.4157499999997</v>
      </c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54">
        <f t="shared" si="0"/>
        <v>134.99850000000001</v>
      </c>
      <c r="H32" s="31">
        <f t="shared" si="1"/>
        <v>1664.9815000000001</v>
      </c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54">
        <f t="shared" si="0"/>
        <v>0</v>
      </c>
      <c r="H33" s="31">
        <f t="shared" si="1"/>
        <v>1125.45</v>
      </c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54">
        <f t="shared" si="0"/>
        <v>0</v>
      </c>
      <c r="H34" s="31">
        <f t="shared" si="1"/>
        <v>2945.33</v>
      </c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54">
        <f t="shared" si="0"/>
        <v>259.26374999999996</v>
      </c>
      <c r="H35" s="31">
        <f t="shared" si="1"/>
        <v>3197.5862499999998</v>
      </c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54">
        <f t="shared" si="0"/>
        <v>115.91549999999999</v>
      </c>
      <c r="H36" s="31">
        <f t="shared" si="1"/>
        <v>1429.6244999999999</v>
      </c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54">
        <f t="shared" si="0"/>
        <v>0</v>
      </c>
      <c r="H37" s="31">
        <f t="shared" si="1"/>
        <v>1750.93</v>
      </c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54">
        <f t="shared" si="0"/>
        <v>0</v>
      </c>
      <c r="H38" s="31">
        <f t="shared" si="1"/>
        <v>2500.34</v>
      </c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54">
        <f t="shared" si="0"/>
        <v>220.08374999999998</v>
      </c>
      <c r="H39" s="31">
        <f t="shared" si="1"/>
        <v>2714.36625</v>
      </c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54">
        <f t="shared" si="0"/>
        <v>448.68374999999997</v>
      </c>
      <c r="H40" s="31">
        <f t="shared" si="1"/>
        <v>5533.7662499999997</v>
      </c>
    </row>
  </sheetData>
  <mergeCells count="1">
    <mergeCell ref="A1:F1"/>
  </mergeCells>
  <dataValidations count="1">
    <dataValidation type="list" allowBlank="1" showInputMessage="1" showErrorMessage="1" sqref="F3:F40" xr:uid="{151F905B-B98F-4B3E-8001-E67D33ABB069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11E6-D12C-4716-AAE9-23A961E7AB21}">
  <sheetPr>
    <tabColor theme="8" tint="-0.249977111117893"/>
  </sheetPr>
  <dimension ref="A1:H40"/>
  <sheetViews>
    <sheetView showGridLines="0" zoomScale="130" zoomScaleNormal="130" workbookViewId="0">
      <selection activeCell="G5" sqref="G5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11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54">
        <f>E3*IF(OR(F3="PIX",E3&gt;=2300),6.5%,0%)</f>
        <v>97.497399999999999</v>
      </c>
      <c r="H3" s="31">
        <f>E3-G3</f>
        <v>1402.4626000000001</v>
      </c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54">
        <f t="shared" ref="G4:G40" si="0">E4*IF(OR(F4="PIX",E4&gt;=2300),6.5%,0%)</f>
        <v>113.75715</v>
      </c>
      <c r="H4" s="31">
        <f t="shared" ref="H4:H40" si="1">E4-G4</f>
        <v>1636.35285</v>
      </c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54">
        <f t="shared" si="0"/>
        <v>162.49870000000001</v>
      </c>
      <c r="H5" s="31">
        <f t="shared" si="1"/>
        <v>2337.4812999999999</v>
      </c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54">
        <f t="shared" si="0"/>
        <v>0</v>
      </c>
      <c r="H6" s="31">
        <f t="shared" si="1"/>
        <v>2200.33</v>
      </c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54">
        <f t="shared" si="0"/>
        <v>152.76429999999999</v>
      </c>
      <c r="H7" s="31">
        <f t="shared" si="1"/>
        <v>2197.4557</v>
      </c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54">
        <f t="shared" si="0"/>
        <v>509.27045000000004</v>
      </c>
      <c r="H8" s="31">
        <f t="shared" si="1"/>
        <v>7325.6595500000003</v>
      </c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54">
        <f t="shared" si="0"/>
        <v>149.52924999999999</v>
      </c>
      <c r="H9" s="31">
        <f t="shared" si="1"/>
        <v>2150.9207499999998</v>
      </c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54">
        <f t="shared" si="0"/>
        <v>0</v>
      </c>
      <c r="H10" s="31">
        <f t="shared" si="1"/>
        <v>1800.86</v>
      </c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54">
        <f t="shared" si="0"/>
        <v>58.528600000000004</v>
      </c>
      <c r="H11" s="31">
        <f t="shared" si="1"/>
        <v>841.91140000000007</v>
      </c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54">
        <f t="shared" si="0"/>
        <v>246.9974</v>
      </c>
      <c r="H12" s="31">
        <f t="shared" si="1"/>
        <v>3552.9625999999998</v>
      </c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54">
        <f t="shared" si="0"/>
        <v>313.55675000000002</v>
      </c>
      <c r="H13" s="31">
        <f t="shared" si="1"/>
        <v>4510.3932500000001</v>
      </c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54">
        <f t="shared" si="0"/>
        <v>0</v>
      </c>
      <c r="H14" s="31">
        <f t="shared" si="1"/>
        <v>1499.94</v>
      </c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54">
        <f t="shared" si="0"/>
        <v>0</v>
      </c>
      <c r="H15" s="31">
        <f t="shared" si="1"/>
        <v>1750.17</v>
      </c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54">
        <f t="shared" si="0"/>
        <v>152.76429999999999</v>
      </c>
      <c r="H16" s="31">
        <f t="shared" si="1"/>
        <v>2197.4557</v>
      </c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54">
        <f t="shared" si="0"/>
        <v>142.9974</v>
      </c>
      <c r="H17" s="31">
        <f t="shared" si="1"/>
        <v>2056.9625999999998</v>
      </c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54">
        <f t="shared" si="0"/>
        <v>152.77924999999999</v>
      </c>
      <c r="H18" s="31">
        <f t="shared" si="1"/>
        <v>2197.6707499999998</v>
      </c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54">
        <f t="shared" si="0"/>
        <v>149.4948</v>
      </c>
      <c r="H19" s="31">
        <f t="shared" si="1"/>
        <v>2150.4252000000001</v>
      </c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54">
        <f t="shared" si="0"/>
        <v>224.72645</v>
      </c>
      <c r="H20" s="31">
        <f t="shared" si="1"/>
        <v>3232.6035499999998</v>
      </c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54">
        <f t="shared" si="0"/>
        <v>412.48869999999999</v>
      </c>
      <c r="H21" s="31">
        <f t="shared" si="1"/>
        <v>5933.4912999999997</v>
      </c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54">
        <f t="shared" si="0"/>
        <v>0</v>
      </c>
      <c r="H22" s="31">
        <f t="shared" si="1"/>
        <v>1800.76</v>
      </c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54">
        <f t="shared" si="0"/>
        <v>57.027100000000004</v>
      </c>
      <c r="H23" s="31">
        <f t="shared" si="1"/>
        <v>820.31290000000001</v>
      </c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54">
        <f t="shared" si="0"/>
        <v>182.02924999999999</v>
      </c>
      <c r="H24" s="31">
        <f t="shared" si="1"/>
        <v>2618.4207499999998</v>
      </c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54">
        <f t="shared" si="0"/>
        <v>103.87779999999999</v>
      </c>
      <c r="H25" s="31">
        <f t="shared" si="1"/>
        <v>1494.2421999999999</v>
      </c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54">
        <f t="shared" si="0"/>
        <v>0</v>
      </c>
      <c r="H26" s="31">
        <f t="shared" si="1"/>
        <v>1750.34</v>
      </c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54">
        <f t="shared" si="0"/>
        <v>162.4974</v>
      </c>
      <c r="H27" s="31">
        <f t="shared" si="1"/>
        <v>2337.4625999999998</v>
      </c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54">
        <f t="shared" si="0"/>
        <v>142.9974</v>
      </c>
      <c r="H28" s="31">
        <f t="shared" si="1"/>
        <v>2056.9625999999998</v>
      </c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54">
        <f t="shared" si="0"/>
        <v>152.74805000000001</v>
      </c>
      <c r="H29" s="31">
        <f t="shared" si="1"/>
        <v>2197.2219499999997</v>
      </c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54">
        <f t="shared" si="0"/>
        <v>243.42500000000001</v>
      </c>
      <c r="H30" s="31">
        <f t="shared" si="1"/>
        <v>3501.5749999999998</v>
      </c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54">
        <f t="shared" si="0"/>
        <v>149.56434999999999</v>
      </c>
      <c r="H31" s="31">
        <f t="shared" si="1"/>
        <v>2151.4256499999997</v>
      </c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54">
        <f t="shared" si="0"/>
        <v>116.9987</v>
      </c>
      <c r="H32" s="31">
        <f t="shared" si="1"/>
        <v>1682.9812999999999</v>
      </c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54">
        <f t="shared" si="0"/>
        <v>73.154250000000005</v>
      </c>
      <c r="H33" s="31">
        <f t="shared" si="1"/>
        <v>1052.29575</v>
      </c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54">
        <f t="shared" si="0"/>
        <v>191.44645</v>
      </c>
      <c r="H34" s="31">
        <f t="shared" si="1"/>
        <v>2753.88355</v>
      </c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54">
        <f t="shared" si="0"/>
        <v>224.69525000000002</v>
      </c>
      <c r="H35" s="31">
        <f t="shared" si="1"/>
        <v>3232.1547499999997</v>
      </c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54">
        <f t="shared" si="0"/>
        <v>100.4601</v>
      </c>
      <c r="H36" s="31">
        <f t="shared" si="1"/>
        <v>1445.0799</v>
      </c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54">
        <f t="shared" si="0"/>
        <v>0</v>
      </c>
      <c r="H37" s="31">
        <f t="shared" si="1"/>
        <v>1750.93</v>
      </c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54">
        <f t="shared" si="0"/>
        <v>162.52210000000002</v>
      </c>
      <c r="H38" s="31">
        <f t="shared" si="1"/>
        <v>2337.8179</v>
      </c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54">
        <f t="shared" si="0"/>
        <v>190.73925</v>
      </c>
      <c r="H39" s="31">
        <f t="shared" si="1"/>
        <v>2743.7107499999997</v>
      </c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54">
        <f t="shared" si="0"/>
        <v>388.85924999999997</v>
      </c>
      <c r="H40" s="31">
        <f t="shared" si="1"/>
        <v>5593.5907499999994</v>
      </c>
    </row>
  </sheetData>
  <mergeCells count="1">
    <mergeCell ref="A1:F1"/>
  </mergeCells>
  <dataValidations count="1">
    <dataValidation type="list" allowBlank="1" showInputMessage="1" showErrorMessage="1" sqref="F3:F40" xr:uid="{F65D352A-955A-47DE-B87E-218BBA969D3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3006-A8EC-4493-811A-8981961FD4E4}">
  <sheetPr>
    <tabColor theme="8" tint="0.39997558519241921"/>
  </sheetPr>
  <dimension ref="A1:H40"/>
  <sheetViews>
    <sheetView showGridLines="0" zoomScale="130" zoomScaleNormal="130" workbookViewId="0">
      <selection activeCell="H3" sqref="H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9.9296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54">
        <f>E3*IF(AND(F3="Pix",E3&gt;=4000),7.5%,
IF(AND(F3="PIX",E3&gt;=3000),5%,
IF(AND(F3="PIX",E3&gt;=2300),3%,
1.5%)))</f>
        <v>22.499400000000001</v>
      </c>
      <c r="H3" s="31">
        <f>E3-G3</f>
        <v>1477.4606000000001</v>
      </c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54">
        <f t="shared" ref="G4:G40" si="0">E4*IF(AND(F4="Pix",E4&gt;=4000),7.5%,
IF(AND(F4="PIX",E4&gt;=3000),5%,
IF(AND(F4="PIX",E4&gt;=2300),3%,
1.5%)))</f>
        <v>26.251649999999998</v>
      </c>
      <c r="H4" s="31">
        <f t="shared" ref="H4:H40" si="1">E4-G4</f>
        <v>1723.85835</v>
      </c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54">
        <f t="shared" si="0"/>
        <v>37.499699999999997</v>
      </c>
      <c r="H5" s="31">
        <f t="shared" si="1"/>
        <v>2462.4803000000002</v>
      </c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54">
        <f t="shared" si="0"/>
        <v>33.004950000000001</v>
      </c>
      <c r="H6" s="31">
        <f t="shared" si="1"/>
        <v>2167.3250499999999</v>
      </c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54">
        <f t="shared" si="0"/>
        <v>35.253299999999996</v>
      </c>
      <c r="H7" s="31">
        <f t="shared" si="1"/>
        <v>2314.9666999999999</v>
      </c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54">
        <f t="shared" si="0"/>
        <v>587.61974999999995</v>
      </c>
      <c r="H8" s="31">
        <f t="shared" si="1"/>
        <v>7247.3102500000005</v>
      </c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54">
        <f t="shared" si="0"/>
        <v>34.506749999999997</v>
      </c>
      <c r="H9" s="31">
        <f t="shared" si="1"/>
        <v>2265.9432499999998</v>
      </c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54">
        <f t="shared" si="0"/>
        <v>27.012899999999998</v>
      </c>
      <c r="H10" s="31">
        <f t="shared" si="1"/>
        <v>1773.8471</v>
      </c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54">
        <f t="shared" si="0"/>
        <v>13.506600000000001</v>
      </c>
      <c r="H11" s="31">
        <f t="shared" si="1"/>
        <v>886.93340000000001</v>
      </c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54">
        <f t="shared" si="0"/>
        <v>189.99800000000002</v>
      </c>
      <c r="H12" s="31">
        <f t="shared" si="1"/>
        <v>3609.962</v>
      </c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54">
        <f t="shared" si="0"/>
        <v>361.79624999999999</v>
      </c>
      <c r="H13" s="31">
        <f t="shared" si="1"/>
        <v>4462.1537499999995</v>
      </c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54">
        <f t="shared" si="0"/>
        <v>22.499099999999999</v>
      </c>
      <c r="H14" s="31">
        <f t="shared" si="1"/>
        <v>1477.4409000000001</v>
      </c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54">
        <f t="shared" si="0"/>
        <v>26.252549999999999</v>
      </c>
      <c r="H15" s="31">
        <f t="shared" si="1"/>
        <v>1723.9174500000001</v>
      </c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54">
        <f t="shared" si="0"/>
        <v>70.506599999999992</v>
      </c>
      <c r="H16" s="31">
        <f t="shared" si="1"/>
        <v>2279.7133999999996</v>
      </c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54">
        <f t="shared" si="0"/>
        <v>32.999400000000001</v>
      </c>
      <c r="H17" s="31">
        <f t="shared" si="1"/>
        <v>2166.9605999999999</v>
      </c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54">
        <f t="shared" si="0"/>
        <v>35.256749999999997</v>
      </c>
      <c r="H18" s="31">
        <f t="shared" si="1"/>
        <v>2315.1932499999998</v>
      </c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54">
        <f t="shared" si="0"/>
        <v>34.498800000000003</v>
      </c>
      <c r="H19" s="31">
        <f t="shared" si="1"/>
        <v>2265.4212000000002</v>
      </c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54">
        <f t="shared" si="0"/>
        <v>172.8665</v>
      </c>
      <c r="H20" s="31">
        <f t="shared" si="1"/>
        <v>3284.4634999999998</v>
      </c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54">
        <f t="shared" si="0"/>
        <v>95.189699999999988</v>
      </c>
      <c r="H21" s="31">
        <f t="shared" si="1"/>
        <v>6250.7902999999997</v>
      </c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54">
        <f t="shared" si="0"/>
        <v>27.011399999999998</v>
      </c>
      <c r="H22" s="31">
        <f t="shared" si="1"/>
        <v>1773.7485999999999</v>
      </c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54">
        <f t="shared" si="0"/>
        <v>13.1601</v>
      </c>
      <c r="H23" s="31">
        <f t="shared" si="1"/>
        <v>864.17990000000009</v>
      </c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54">
        <f t="shared" si="0"/>
        <v>42.006749999999997</v>
      </c>
      <c r="H24" s="31">
        <f t="shared" si="1"/>
        <v>2758.4432499999998</v>
      </c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54">
        <f t="shared" si="0"/>
        <v>23.971799999999998</v>
      </c>
      <c r="H25" s="31">
        <f t="shared" si="1"/>
        <v>1574.1481999999999</v>
      </c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54">
        <f t="shared" si="0"/>
        <v>26.255099999999999</v>
      </c>
      <c r="H26" s="31">
        <f t="shared" si="1"/>
        <v>1724.0848999999998</v>
      </c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54">
        <f t="shared" si="0"/>
        <v>37.499400000000001</v>
      </c>
      <c r="H27" s="31">
        <f t="shared" si="1"/>
        <v>2462.4605999999999</v>
      </c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54">
        <f t="shared" si="0"/>
        <v>32.999400000000001</v>
      </c>
      <c r="H28" s="31">
        <f t="shared" si="1"/>
        <v>2166.9605999999999</v>
      </c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54">
        <f t="shared" si="0"/>
        <v>35.249549999999992</v>
      </c>
      <c r="H29" s="31">
        <f t="shared" si="1"/>
        <v>2314.7204499999998</v>
      </c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54">
        <f t="shared" si="0"/>
        <v>187.25</v>
      </c>
      <c r="H30" s="31">
        <f t="shared" si="1"/>
        <v>3557.75</v>
      </c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54">
        <f t="shared" si="0"/>
        <v>69.029699999999991</v>
      </c>
      <c r="H31" s="31">
        <f t="shared" si="1"/>
        <v>2231.9602999999997</v>
      </c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54">
        <f t="shared" si="0"/>
        <v>26.999700000000001</v>
      </c>
      <c r="H32" s="31">
        <f t="shared" si="1"/>
        <v>1772.9802999999999</v>
      </c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54">
        <f t="shared" si="0"/>
        <v>16.88175</v>
      </c>
      <c r="H33" s="31">
        <f t="shared" si="1"/>
        <v>1108.56825</v>
      </c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54">
        <f t="shared" si="0"/>
        <v>44.179949999999998</v>
      </c>
      <c r="H34" s="31">
        <f t="shared" si="1"/>
        <v>2901.1500499999997</v>
      </c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54">
        <f t="shared" si="0"/>
        <v>172.8425</v>
      </c>
      <c r="H35" s="31">
        <f t="shared" si="1"/>
        <v>3284.0074999999997</v>
      </c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54">
        <f t="shared" si="0"/>
        <v>23.1831</v>
      </c>
      <c r="H36" s="31">
        <f t="shared" si="1"/>
        <v>1522.3569</v>
      </c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54">
        <f t="shared" si="0"/>
        <v>26.263950000000001</v>
      </c>
      <c r="H37" s="31">
        <f t="shared" si="1"/>
        <v>1724.66605</v>
      </c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54">
        <f t="shared" si="0"/>
        <v>37.505099999999999</v>
      </c>
      <c r="H38" s="31">
        <f t="shared" si="1"/>
        <v>2462.8349000000003</v>
      </c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54">
        <f t="shared" si="0"/>
        <v>88.033499999999989</v>
      </c>
      <c r="H39" s="31">
        <f t="shared" si="1"/>
        <v>2846.4164999999998</v>
      </c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54">
        <f t="shared" si="0"/>
        <v>448.68374999999997</v>
      </c>
      <c r="H40" s="31">
        <f t="shared" si="1"/>
        <v>5533.7662499999997</v>
      </c>
    </row>
  </sheetData>
  <mergeCells count="1">
    <mergeCell ref="A1:F1"/>
  </mergeCells>
  <dataValidations count="1">
    <dataValidation type="list" allowBlank="1" showInputMessage="1" showErrorMessage="1" sqref="F3:F40" xr:uid="{4CDC67B3-DC38-4F5B-AF8B-36378C8849A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2CE1-6124-47D9-B9FB-7E35F70A5EF5}">
  <sheetPr>
    <tabColor theme="8" tint="0.59999389629810485"/>
  </sheetPr>
  <dimension ref="A1:I40"/>
  <sheetViews>
    <sheetView showGridLines="0" zoomScale="130" zoomScaleNormal="130" workbookViewId="0">
      <selection activeCell="I4" sqref="I4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16.73046875" style="9" customWidth="1"/>
    <col min="7" max="7" width="3.73046875" customWidth="1"/>
    <col min="8" max="8" width="15.59765625" customWidth="1"/>
    <col min="9" max="9" width="11.3984375" customWidth="1"/>
  </cols>
  <sheetData>
    <row r="1" spans="1:9" ht="36" customHeight="1" x14ac:dyDescent="0.45">
      <c r="A1" s="57" t="s">
        <v>78</v>
      </c>
      <c r="B1" s="57"/>
      <c r="C1" s="57"/>
      <c r="D1" s="57"/>
      <c r="E1" s="57"/>
      <c r="F1" s="57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F2" s="18" t="s">
        <v>122</v>
      </c>
      <c r="H2" s="28" t="s">
        <v>43</v>
      </c>
      <c r="I2" s="32">
        <f>COUNT(E3:E40)</f>
        <v>38</v>
      </c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F3" s="3" t="s">
        <v>123</v>
      </c>
      <c r="H3" s="28" t="s">
        <v>44</v>
      </c>
      <c r="I3" s="32">
        <f>COUNTA(F3:F40)</f>
        <v>34</v>
      </c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F4" s="3" t="s">
        <v>123</v>
      </c>
      <c r="H4" s="28" t="s">
        <v>45</v>
      </c>
      <c r="I4" s="32">
        <f>COUNTBLANK(F3:F40)</f>
        <v>4</v>
      </c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F5" s="3" t="s">
        <v>123</v>
      </c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F6" s="3" t="s">
        <v>124</v>
      </c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  <c r="F7" s="3" t="s">
        <v>125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  <c r="F8" s="3" t="s">
        <v>123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  <c r="F9" s="3" t="s">
        <v>123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  <c r="F10" s="3" t="s">
        <v>124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  <c r="F11" s="3"/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  <c r="F12" s="3" t="s">
        <v>124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  <c r="F13" s="3" t="s">
        <v>125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  <c r="F14" s="3" t="s">
        <v>123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  <c r="F15" s="3" t="s">
        <v>123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  <c r="F16" s="3" t="s">
        <v>123</v>
      </c>
    </row>
    <row r="17" spans="1:6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  <c r="F17" s="3" t="s">
        <v>124</v>
      </c>
    </row>
    <row r="18" spans="1:6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  <c r="F18" s="3"/>
    </row>
    <row r="19" spans="1:6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  <c r="F19" s="3" t="s">
        <v>125</v>
      </c>
    </row>
    <row r="20" spans="1:6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  <c r="F20" s="3" t="s">
        <v>125</v>
      </c>
    </row>
    <row r="21" spans="1:6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  <c r="F21" s="3" t="s">
        <v>123</v>
      </c>
    </row>
    <row r="22" spans="1:6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  <c r="F22" s="3" t="s">
        <v>123</v>
      </c>
    </row>
    <row r="23" spans="1:6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  <c r="F23" s="3"/>
    </row>
    <row r="24" spans="1:6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  <c r="F24" s="3" t="s">
        <v>123</v>
      </c>
    </row>
    <row r="25" spans="1:6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  <c r="F25" s="3" t="s">
        <v>123</v>
      </c>
    </row>
    <row r="26" spans="1:6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  <c r="F26" s="3" t="s">
        <v>124</v>
      </c>
    </row>
    <row r="27" spans="1:6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  <c r="F27" s="3" t="s">
        <v>124</v>
      </c>
    </row>
    <row r="28" spans="1:6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  <c r="F28" s="3" t="s">
        <v>125</v>
      </c>
    </row>
    <row r="29" spans="1:6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  <c r="F29" s="3"/>
    </row>
    <row r="30" spans="1:6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  <c r="F30" s="3" t="s">
        <v>123</v>
      </c>
    </row>
    <row r="31" spans="1:6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  <c r="F31" s="3" t="s">
        <v>123</v>
      </c>
    </row>
    <row r="32" spans="1:6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  <c r="F32" s="3" t="s">
        <v>123</v>
      </c>
    </row>
    <row r="33" spans="1:6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  <c r="F33" s="3" t="s">
        <v>123</v>
      </c>
    </row>
    <row r="34" spans="1:6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  <c r="F34" s="3" t="s">
        <v>124</v>
      </c>
    </row>
    <row r="35" spans="1:6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  <c r="F35" s="3" t="s">
        <v>124</v>
      </c>
    </row>
    <row r="36" spans="1:6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  <c r="F36" s="3" t="s">
        <v>125</v>
      </c>
    </row>
    <row r="37" spans="1:6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  <c r="F37" s="3" t="s">
        <v>123</v>
      </c>
    </row>
    <row r="38" spans="1:6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  <c r="F38" s="3" t="s">
        <v>123</v>
      </c>
    </row>
    <row r="39" spans="1:6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123</v>
      </c>
    </row>
    <row r="40" spans="1:6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123</v>
      </c>
    </row>
  </sheetData>
  <mergeCells count="1">
    <mergeCell ref="A1:F1"/>
  </mergeCells>
  <dataValidations count="1">
    <dataValidation type="list" allowBlank="1" showInputMessage="1" showErrorMessage="1" sqref="F3:F40" xr:uid="{2974508A-600B-45F5-BC82-38BB217825F9}">
      <formula1>"Confirmada,Em Análise,Cancelada"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8" tint="0.79998168889431442"/>
  </sheetPr>
  <dimension ref="A1:F9"/>
  <sheetViews>
    <sheetView showGridLines="0" zoomScale="130" zoomScaleNormal="130" workbookViewId="0">
      <selection activeCell="F3" sqref="F3"/>
    </sheetView>
  </sheetViews>
  <sheetFormatPr defaultRowHeight="14.25" x14ac:dyDescent="0.45"/>
  <cols>
    <col min="1" max="1" width="4.73046875" customWidth="1"/>
    <col min="2" max="2" width="10.3984375" bestFit="1" customWidth="1"/>
    <col min="3" max="3" width="10.59765625" bestFit="1" customWidth="1"/>
    <col min="4" max="4" width="12.3984375" bestFit="1" customWidth="1"/>
    <col min="5" max="5" width="9.9296875" style="6" bestFit="1" customWidth="1"/>
    <col min="6" max="6" width="16.1328125" bestFit="1" customWidth="1"/>
  </cols>
  <sheetData>
    <row r="1" spans="1:6" ht="35.25" customHeight="1" x14ac:dyDescent="0.45">
      <c r="A1" s="62" t="s">
        <v>46</v>
      </c>
      <c r="B1" s="62"/>
      <c r="C1" s="62"/>
      <c r="D1" s="62"/>
      <c r="E1" s="62"/>
      <c r="F1" s="62"/>
    </row>
    <row r="2" spans="1:6" x14ac:dyDescent="0.45">
      <c r="A2" s="25" t="s">
        <v>47</v>
      </c>
      <c r="B2" s="25" t="s">
        <v>48</v>
      </c>
      <c r="C2" s="25" t="s">
        <v>152</v>
      </c>
      <c r="D2" s="25" t="s">
        <v>21</v>
      </c>
      <c r="E2" s="25" t="s">
        <v>49</v>
      </c>
      <c r="F2" s="26" t="s">
        <v>155</v>
      </c>
    </row>
    <row r="3" spans="1:6" x14ac:dyDescent="0.45">
      <c r="A3" s="35">
        <v>1</v>
      </c>
      <c r="B3" s="33" t="s">
        <v>149</v>
      </c>
      <c r="C3" s="33" t="s">
        <v>150</v>
      </c>
      <c r="D3" s="36">
        <v>6999</v>
      </c>
      <c r="E3" s="56">
        <f>D3*IF(AND(C3="Smartphone",D3&lt;5000),3%,
IF(AND(C3="Computador",D3&lt;10000),5%,
0%))</f>
        <v>0</v>
      </c>
      <c r="F3" s="36">
        <f>D3+E3</f>
        <v>6999</v>
      </c>
    </row>
    <row r="4" spans="1:6" x14ac:dyDescent="0.45">
      <c r="A4" s="35">
        <v>2</v>
      </c>
      <c r="B4" s="33" t="s">
        <v>150</v>
      </c>
      <c r="C4" s="33" t="s">
        <v>150</v>
      </c>
      <c r="D4" s="36">
        <v>4798.26</v>
      </c>
      <c r="E4" s="56">
        <f t="shared" ref="E4:E8" si="0">D4*IF(AND(C4="Smartphone",D4&lt;5000),3%,
IF(AND(C4="Computador",D4&lt;10000),5%,
0%))</f>
        <v>143.9478</v>
      </c>
      <c r="F4" s="36">
        <f t="shared" ref="F4:F8" si="1">D4+E4</f>
        <v>4942.2078000000001</v>
      </c>
    </row>
    <row r="5" spans="1:6" x14ac:dyDescent="0.45">
      <c r="A5" s="35">
        <v>3</v>
      </c>
      <c r="B5" s="37" t="s">
        <v>51</v>
      </c>
      <c r="C5" s="37" t="s">
        <v>153</v>
      </c>
      <c r="D5" s="36">
        <v>13793.05</v>
      </c>
      <c r="E5" s="56">
        <f t="shared" si="0"/>
        <v>0</v>
      </c>
      <c r="F5" s="36">
        <f t="shared" si="1"/>
        <v>13793.05</v>
      </c>
    </row>
    <row r="6" spans="1:6" x14ac:dyDescent="0.45">
      <c r="A6" s="35">
        <v>4</v>
      </c>
      <c r="B6" s="37" t="s">
        <v>151</v>
      </c>
      <c r="C6" s="37" t="s">
        <v>153</v>
      </c>
      <c r="D6" s="36">
        <v>3835.9</v>
      </c>
      <c r="E6" s="56">
        <f t="shared" si="0"/>
        <v>191.79500000000002</v>
      </c>
      <c r="F6" s="36">
        <f t="shared" si="1"/>
        <v>4027.6950000000002</v>
      </c>
    </row>
    <row r="7" spans="1:6" x14ac:dyDescent="0.45">
      <c r="A7" s="35">
        <v>5</v>
      </c>
      <c r="B7" s="33" t="s">
        <v>52</v>
      </c>
      <c r="C7" s="33" t="s">
        <v>154</v>
      </c>
      <c r="D7" s="36">
        <v>132.46</v>
      </c>
      <c r="E7" s="56">
        <f t="shared" si="0"/>
        <v>0</v>
      </c>
      <c r="F7" s="36">
        <f t="shared" si="1"/>
        <v>132.46</v>
      </c>
    </row>
    <row r="8" spans="1:6" x14ac:dyDescent="0.45">
      <c r="A8" s="35">
        <v>6</v>
      </c>
      <c r="B8" s="37" t="s">
        <v>53</v>
      </c>
      <c r="C8" s="37" t="s">
        <v>154</v>
      </c>
      <c r="D8" s="36">
        <v>125.95</v>
      </c>
      <c r="E8" s="56">
        <f t="shared" si="0"/>
        <v>0</v>
      </c>
      <c r="F8" s="36">
        <f t="shared" si="1"/>
        <v>125.95</v>
      </c>
    </row>
    <row r="9" spans="1:6" x14ac:dyDescent="0.45">
      <c r="A9" s="33"/>
      <c r="B9" s="33"/>
      <c r="C9" s="33"/>
      <c r="D9" s="33"/>
      <c r="E9" s="34"/>
      <c r="F9" s="33"/>
    </row>
  </sheetData>
  <mergeCells count="1">
    <mergeCell ref="A1:F1"/>
  </mergeCells>
  <dataValidations count="1">
    <dataValidation type="list" allowBlank="1" showInputMessage="1" showErrorMessage="1" sqref="C3:C8" xr:uid="{A8D0456A-BE16-4D75-9B2D-C1F643E3CFE0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1C9B-29AF-4BD6-9DCD-11358DDEE2A5}">
  <sheetPr>
    <tabColor theme="8" tint="0.59999389629810485"/>
  </sheetPr>
  <dimension ref="A1:F9"/>
  <sheetViews>
    <sheetView showGridLines="0" zoomScale="130" zoomScaleNormal="130" workbookViewId="0">
      <selection activeCell="F3" sqref="F3"/>
    </sheetView>
  </sheetViews>
  <sheetFormatPr defaultRowHeight="14.25" x14ac:dyDescent="0.45"/>
  <cols>
    <col min="1" max="1" width="4.73046875" customWidth="1"/>
    <col min="2" max="2" width="10.3984375" bestFit="1" customWidth="1"/>
    <col min="3" max="3" width="10.59765625" bestFit="1" customWidth="1"/>
    <col min="4" max="4" width="12.3984375" bestFit="1" customWidth="1"/>
    <col min="5" max="5" width="9.9296875" style="6" bestFit="1" customWidth="1"/>
    <col min="6" max="6" width="16.1328125" bestFit="1" customWidth="1"/>
  </cols>
  <sheetData>
    <row r="1" spans="1:6" ht="35.25" customHeight="1" x14ac:dyDescent="0.45">
      <c r="A1" s="62" t="s">
        <v>46</v>
      </c>
      <c r="B1" s="62"/>
      <c r="C1" s="62"/>
      <c r="D1" s="62"/>
      <c r="E1" s="62"/>
      <c r="F1" s="62"/>
    </row>
    <row r="2" spans="1:6" x14ac:dyDescent="0.45">
      <c r="A2" s="25" t="s">
        <v>47</v>
      </c>
      <c r="B2" s="25" t="s">
        <v>48</v>
      </c>
      <c r="C2" s="25" t="s">
        <v>152</v>
      </c>
      <c r="D2" s="25" t="s">
        <v>21</v>
      </c>
      <c r="E2" s="25" t="s">
        <v>50</v>
      </c>
      <c r="F2" s="26" t="s">
        <v>155</v>
      </c>
    </row>
    <row r="3" spans="1:6" x14ac:dyDescent="0.45">
      <c r="A3" s="35">
        <v>1</v>
      </c>
      <c r="B3" s="33" t="s">
        <v>149</v>
      </c>
      <c r="C3" s="33" t="s">
        <v>150</v>
      </c>
      <c r="D3" s="36">
        <v>6999</v>
      </c>
      <c r="E3" s="56">
        <f>D3*IF(AND(OR(C3="Smartphone",C3="Computador"),D3&gt;5000),4.5%,1.7%)</f>
        <v>314.95499999999998</v>
      </c>
      <c r="F3" s="36">
        <f>D3-E3</f>
        <v>6684.0450000000001</v>
      </c>
    </row>
    <row r="4" spans="1:6" x14ac:dyDescent="0.45">
      <c r="A4" s="35">
        <v>2</v>
      </c>
      <c r="B4" s="33" t="s">
        <v>150</v>
      </c>
      <c r="C4" s="33" t="s">
        <v>150</v>
      </c>
      <c r="D4" s="36">
        <v>4798.26</v>
      </c>
      <c r="E4" s="56">
        <f t="shared" ref="E4:E8" si="0">D4*IF(AND(OR(C4="Smartphone",C4="Computador"),D4&gt;5000),4.5%,1.7%)</f>
        <v>81.570420000000013</v>
      </c>
      <c r="F4" s="36">
        <f t="shared" ref="F4:F8" si="1">D4-E4</f>
        <v>4716.6895800000002</v>
      </c>
    </row>
    <row r="5" spans="1:6" x14ac:dyDescent="0.45">
      <c r="A5" s="35">
        <v>3</v>
      </c>
      <c r="B5" s="37" t="s">
        <v>51</v>
      </c>
      <c r="C5" s="37" t="s">
        <v>153</v>
      </c>
      <c r="D5" s="36">
        <v>13793.05</v>
      </c>
      <c r="E5" s="56">
        <f t="shared" si="0"/>
        <v>620.68724999999995</v>
      </c>
      <c r="F5" s="36">
        <f t="shared" si="1"/>
        <v>13172.36275</v>
      </c>
    </row>
    <row r="6" spans="1:6" x14ac:dyDescent="0.45">
      <c r="A6" s="35">
        <v>4</v>
      </c>
      <c r="B6" s="37" t="s">
        <v>151</v>
      </c>
      <c r="C6" s="37" t="s">
        <v>153</v>
      </c>
      <c r="D6" s="36">
        <v>3835.9</v>
      </c>
      <c r="E6" s="56">
        <f t="shared" si="0"/>
        <v>65.210300000000004</v>
      </c>
      <c r="F6" s="36">
        <f t="shared" si="1"/>
        <v>3770.6896999999999</v>
      </c>
    </row>
    <row r="7" spans="1:6" x14ac:dyDescent="0.45">
      <c r="A7" s="35">
        <v>5</v>
      </c>
      <c r="B7" s="33" t="s">
        <v>52</v>
      </c>
      <c r="C7" s="33" t="s">
        <v>154</v>
      </c>
      <c r="D7" s="36">
        <v>132.46</v>
      </c>
      <c r="E7" s="56">
        <f t="shared" si="0"/>
        <v>2.2518200000000004</v>
      </c>
      <c r="F7" s="36">
        <f t="shared" si="1"/>
        <v>130.20818</v>
      </c>
    </row>
    <row r="8" spans="1:6" x14ac:dyDescent="0.45">
      <c r="A8" s="35">
        <v>6</v>
      </c>
      <c r="B8" s="37" t="s">
        <v>53</v>
      </c>
      <c r="C8" s="37" t="s">
        <v>154</v>
      </c>
      <c r="D8" s="36">
        <v>125.95</v>
      </c>
      <c r="E8" s="56">
        <f t="shared" si="0"/>
        <v>2.1411500000000001</v>
      </c>
      <c r="F8" s="36">
        <f t="shared" si="1"/>
        <v>123.80885000000001</v>
      </c>
    </row>
    <row r="9" spans="1:6" x14ac:dyDescent="0.45">
      <c r="A9" s="33"/>
      <c r="B9" s="33"/>
      <c r="C9" s="33"/>
      <c r="D9" s="33"/>
      <c r="E9" s="34"/>
      <c r="F9" s="33"/>
    </row>
  </sheetData>
  <mergeCells count="1">
    <mergeCell ref="A1:F1"/>
  </mergeCells>
  <dataValidations count="1">
    <dataValidation type="list" allowBlank="1" showInputMessage="1" showErrorMessage="1" sqref="C3:C8" xr:uid="{88D33845-7751-493B-8CD2-D039BE2D1E28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8" tint="0.39997558519241921"/>
  </sheetPr>
  <dimension ref="A1:G6"/>
  <sheetViews>
    <sheetView showGridLines="0" zoomScale="130" zoomScaleNormal="130" workbookViewId="0">
      <selection activeCell="G6" sqref="G6"/>
    </sheetView>
  </sheetViews>
  <sheetFormatPr defaultRowHeight="14.25" x14ac:dyDescent="0.45"/>
  <cols>
    <col min="1" max="1" width="5.73046875" customWidth="1"/>
    <col min="2" max="2" width="15.06640625" bestFit="1" customWidth="1"/>
    <col min="3" max="3" width="13.265625" bestFit="1" customWidth="1"/>
    <col min="4" max="4" width="10.59765625" bestFit="1" customWidth="1"/>
    <col min="5" max="5" width="14.86328125" bestFit="1" customWidth="1"/>
    <col min="6" max="6" width="14.06640625" bestFit="1" customWidth="1"/>
    <col min="7" max="7" width="15" customWidth="1"/>
  </cols>
  <sheetData>
    <row r="1" spans="1:7" ht="35.25" customHeight="1" x14ac:dyDescent="0.45">
      <c r="A1" s="62" t="s">
        <v>54</v>
      </c>
      <c r="B1" s="62"/>
      <c r="C1" s="62"/>
      <c r="D1" s="62"/>
      <c r="E1" s="62"/>
      <c r="F1" s="62"/>
      <c r="G1" s="62"/>
    </row>
    <row r="2" spans="1:7" x14ac:dyDescent="0.45">
      <c r="A2" s="25" t="s">
        <v>47</v>
      </c>
      <c r="B2" s="25" t="s">
        <v>48</v>
      </c>
      <c r="C2" s="25" t="s">
        <v>55</v>
      </c>
      <c r="D2" s="25" t="s">
        <v>56</v>
      </c>
      <c r="E2" s="25" t="s">
        <v>57</v>
      </c>
      <c r="F2" s="26" t="s">
        <v>58</v>
      </c>
      <c r="G2" s="25" t="s">
        <v>9</v>
      </c>
    </row>
    <row r="3" spans="1:7" x14ac:dyDescent="0.45">
      <c r="A3" s="35">
        <v>1</v>
      </c>
      <c r="B3" s="33" t="s">
        <v>158</v>
      </c>
      <c r="C3" s="48">
        <v>2800</v>
      </c>
      <c r="D3" s="49">
        <v>2.3E-2</v>
      </c>
      <c r="E3" s="50">
        <v>12</v>
      </c>
      <c r="F3" s="64">
        <f>PMT(D3,E3,C3,0,0)</f>
        <v>-269.66910597499555</v>
      </c>
      <c r="G3" s="65">
        <f>F3*E3</f>
        <v>-3236.0292716999465</v>
      </c>
    </row>
    <row r="4" spans="1:7" x14ac:dyDescent="0.45">
      <c r="A4" s="35">
        <v>2</v>
      </c>
      <c r="B4" s="33" t="s">
        <v>59</v>
      </c>
      <c r="C4" s="48">
        <v>15800</v>
      </c>
      <c r="D4" s="49">
        <v>2.8000000000000001E-2</v>
      </c>
      <c r="E4" s="50">
        <v>12</v>
      </c>
      <c r="F4" s="64">
        <f t="shared" ref="F4:F6" si="0">PMT(D4,E4,C4,0,0)</f>
        <v>-1568.4098094707524</v>
      </c>
      <c r="G4" s="65">
        <f t="shared" ref="G4:G6" si="1">F4*E4</f>
        <v>-18820.917713649029</v>
      </c>
    </row>
    <row r="5" spans="1:7" x14ac:dyDescent="0.45">
      <c r="A5" s="35">
        <v>3</v>
      </c>
      <c r="B5" s="33" t="s">
        <v>60</v>
      </c>
      <c r="C5" s="48">
        <v>1800</v>
      </c>
      <c r="D5" s="49">
        <v>1.4999999999999999E-2</v>
      </c>
      <c r="E5" s="50">
        <v>12</v>
      </c>
      <c r="F5" s="64">
        <f t="shared" si="0"/>
        <v>-165.02398723121209</v>
      </c>
      <c r="G5" s="65">
        <f t="shared" si="1"/>
        <v>-1980.287846774545</v>
      </c>
    </row>
    <row r="6" spans="1:7" x14ac:dyDescent="0.45">
      <c r="A6" s="35">
        <v>4</v>
      </c>
      <c r="B6" s="33" t="s">
        <v>61</v>
      </c>
      <c r="C6" s="48">
        <v>5300</v>
      </c>
      <c r="D6" s="49">
        <v>1.7999999999999999E-2</v>
      </c>
      <c r="E6" s="50">
        <v>12</v>
      </c>
      <c r="F6" s="64">
        <f t="shared" si="0"/>
        <v>-495.0304774054037</v>
      </c>
      <c r="G6" s="65">
        <f t="shared" si="1"/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8" tint="-0.249977111117893"/>
  </sheetPr>
  <dimension ref="A1:K9"/>
  <sheetViews>
    <sheetView showGridLines="0" zoomScale="130" zoomScaleNormal="130" workbookViewId="0">
      <selection activeCell="H6" sqref="H6"/>
    </sheetView>
  </sheetViews>
  <sheetFormatPr defaultRowHeight="14.25" x14ac:dyDescent="0.45"/>
  <cols>
    <col min="1" max="1" width="5.73046875" customWidth="1"/>
    <col min="2" max="2" width="11.265625" bestFit="1" customWidth="1"/>
    <col min="3" max="3" width="13.46484375" bestFit="1" customWidth="1"/>
    <col min="4" max="4" width="13.9296875" bestFit="1" customWidth="1"/>
    <col min="5" max="5" width="11.33203125" bestFit="1" customWidth="1"/>
    <col min="6" max="6" width="11.6640625" bestFit="1" customWidth="1"/>
    <col min="7" max="7" width="13.59765625" bestFit="1" customWidth="1"/>
    <col min="8" max="8" width="15" customWidth="1"/>
  </cols>
  <sheetData>
    <row r="1" spans="1:11" ht="35.25" customHeight="1" x14ac:dyDescent="0.45">
      <c r="A1" s="63" t="s">
        <v>62</v>
      </c>
      <c r="B1" s="63"/>
      <c r="C1" s="63"/>
      <c r="D1" s="63"/>
      <c r="E1" s="63"/>
      <c r="F1" s="63"/>
      <c r="G1" s="63"/>
      <c r="H1" s="63"/>
    </row>
    <row r="2" spans="1:11" x14ac:dyDescent="0.45">
      <c r="A2" s="25" t="s">
        <v>47</v>
      </c>
      <c r="B2" s="25" t="s">
        <v>63</v>
      </c>
      <c r="C2" s="25" t="s">
        <v>21</v>
      </c>
      <c r="D2" s="25" t="s">
        <v>64</v>
      </c>
      <c r="E2" s="25" t="s">
        <v>65</v>
      </c>
      <c r="F2" s="25" t="s">
        <v>159</v>
      </c>
      <c r="G2" s="25" t="s">
        <v>66</v>
      </c>
      <c r="H2" s="25" t="s">
        <v>9</v>
      </c>
    </row>
    <row r="3" spans="1:11" x14ac:dyDescent="0.45">
      <c r="A3" s="35">
        <v>1</v>
      </c>
      <c r="B3" s="33" t="s">
        <v>67</v>
      </c>
      <c r="C3" s="48">
        <v>265000</v>
      </c>
      <c r="D3" s="48">
        <v>200000</v>
      </c>
      <c r="E3" s="51">
        <v>7.2499999999999995E-2</v>
      </c>
      <c r="F3" s="50">
        <v>30</v>
      </c>
      <c r="G3" s="52">
        <f>PMT(E3/12,F3*12,D3)</f>
        <v>-1364.3525601123838</v>
      </c>
      <c r="H3" s="44">
        <f>G3*F3*12</f>
        <v>-491166.92164045817</v>
      </c>
    </row>
    <row r="4" spans="1:11" x14ac:dyDescent="0.45">
      <c r="A4" s="35">
        <v>2</v>
      </c>
      <c r="B4" s="33" t="s">
        <v>68</v>
      </c>
      <c r="C4" s="48">
        <v>550000</v>
      </c>
      <c r="D4" s="48">
        <v>350000</v>
      </c>
      <c r="E4" s="51">
        <v>8.5000000000000006E-2</v>
      </c>
      <c r="F4" s="50">
        <v>25</v>
      </c>
      <c r="G4" s="52">
        <f t="shared" ref="G4:G6" si="0">PMT(E4/12,F4*12,D4)</f>
        <v>-2818.2947921174596</v>
      </c>
      <c r="H4" s="44">
        <f t="shared" ref="H4:H6" si="1">G4*F4*12</f>
        <v>-845488.43763523782</v>
      </c>
    </row>
    <row r="5" spans="1:11" x14ac:dyDescent="0.45">
      <c r="A5" s="35">
        <v>3</v>
      </c>
      <c r="B5" s="33" t="s">
        <v>69</v>
      </c>
      <c r="C5" s="48">
        <v>735000</v>
      </c>
      <c r="D5" s="48">
        <v>400000</v>
      </c>
      <c r="E5" s="51">
        <v>9.2499999999999999E-2</v>
      </c>
      <c r="F5" s="50">
        <v>20</v>
      </c>
      <c r="G5" s="52">
        <f t="shared" si="0"/>
        <v>-3663.4673353663197</v>
      </c>
      <c r="H5" s="44">
        <f t="shared" si="1"/>
        <v>-879232.16048791667</v>
      </c>
    </row>
    <row r="6" spans="1:11" x14ac:dyDescent="0.45">
      <c r="A6" s="35">
        <v>4</v>
      </c>
      <c r="B6" s="33" t="s">
        <v>70</v>
      </c>
      <c r="C6" s="48">
        <v>880000</v>
      </c>
      <c r="D6" s="48">
        <v>550000</v>
      </c>
      <c r="E6" s="51">
        <v>9.2499999999999999E-2</v>
      </c>
      <c r="F6" s="50">
        <v>15</v>
      </c>
      <c r="G6" s="52">
        <f t="shared" si="0"/>
        <v>-5660.5575938630336</v>
      </c>
      <c r="H6" s="44">
        <f t="shared" si="1"/>
        <v>-1018900.366895346</v>
      </c>
    </row>
    <row r="7" spans="1:11" x14ac:dyDescent="0.45">
      <c r="K7" s="55"/>
    </row>
    <row r="9" spans="1:11" x14ac:dyDescent="0.45">
      <c r="G9" s="53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8" tint="-0.499984740745262"/>
  </sheetPr>
  <dimension ref="A1:H17"/>
  <sheetViews>
    <sheetView showGridLines="0" zoomScale="130" zoomScaleNormal="130" workbookViewId="0">
      <selection activeCell="G17" sqref="G17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customWidth="1"/>
  </cols>
  <sheetData>
    <row r="1" spans="1:8" ht="36" customHeight="1" x14ac:dyDescent="0.45">
      <c r="A1" s="57" t="s">
        <v>15</v>
      </c>
      <c r="B1" s="57"/>
      <c r="C1" s="57"/>
      <c r="D1" s="57"/>
      <c r="E1" s="57"/>
      <c r="F1" s="57"/>
      <c r="G1" s="57"/>
    </row>
    <row r="3" spans="1:8" x14ac:dyDescent="0.45">
      <c r="A3" s="61"/>
      <c r="B3" s="61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59" t="s">
        <v>2</v>
      </c>
      <c r="B4" s="20" t="s">
        <v>16</v>
      </c>
      <c r="C4" s="42">
        <v>4300</v>
      </c>
      <c r="D4" s="42">
        <v>4300</v>
      </c>
      <c r="E4" s="42">
        <v>5200</v>
      </c>
      <c r="F4" s="42">
        <v>5200</v>
      </c>
      <c r="G4" s="44">
        <f>SUM(C4:F4)</f>
        <v>19000</v>
      </c>
    </row>
    <row r="5" spans="1:8" x14ac:dyDescent="0.45">
      <c r="A5" s="59"/>
      <c r="B5" s="20" t="s">
        <v>17</v>
      </c>
      <c r="C5" s="2">
        <v>1330</v>
      </c>
      <c r="D5" s="2">
        <v>1450</v>
      </c>
      <c r="E5" s="2">
        <v>1150</v>
      </c>
      <c r="F5" s="2">
        <v>1495</v>
      </c>
      <c r="G5" s="44">
        <f t="shared" ref="G5:G6" si="0">SUM(C5:F5)</f>
        <v>5425</v>
      </c>
    </row>
    <row r="6" spans="1:8" x14ac:dyDescent="0.45">
      <c r="A6" s="59"/>
      <c r="B6" s="20" t="s">
        <v>3</v>
      </c>
      <c r="C6" s="2">
        <v>0</v>
      </c>
      <c r="D6" s="2">
        <v>0</v>
      </c>
      <c r="E6" s="2">
        <v>756</v>
      </c>
      <c r="F6" s="2">
        <v>900</v>
      </c>
      <c r="G6" s="44">
        <f t="shared" si="0"/>
        <v>1656</v>
      </c>
    </row>
    <row r="7" spans="1:8" x14ac:dyDescent="0.45">
      <c r="A7" s="30"/>
      <c r="B7" s="19"/>
      <c r="C7" s="2"/>
      <c r="D7" s="2"/>
      <c r="E7" s="2"/>
      <c r="F7" s="2"/>
      <c r="G7" s="19"/>
    </row>
    <row r="8" spans="1:8" x14ac:dyDescent="0.45">
      <c r="A8" s="60" t="s">
        <v>13</v>
      </c>
      <c r="B8" s="20" t="s">
        <v>18</v>
      </c>
      <c r="C8" s="2">
        <v>2300</v>
      </c>
      <c r="D8" s="2">
        <v>2300</v>
      </c>
      <c r="E8" s="2">
        <v>2450</v>
      </c>
      <c r="F8" s="2">
        <v>2300</v>
      </c>
      <c r="G8" s="44">
        <f t="shared" ref="G8:G12" si="1">SUM(C8:F8)</f>
        <v>9350</v>
      </c>
    </row>
    <row r="9" spans="1:8" x14ac:dyDescent="0.45">
      <c r="A9" s="60"/>
      <c r="B9" s="20" t="s">
        <v>19</v>
      </c>
      <c r="C9" s="2">
        <v>380</v>
      </c>
      <c r="D9" s="2">
        <v>400</v>
      </c>
      <c r="E9" s="2">
        <v>380</v>
      </c>
      <c r="F9" s="2">
        <v>380</v>
      </c>
      <c r="G9" s="44">
        <f t="shared" si="1"/>
        <v>1540</v>
      </c>
    </row>
    <row r="10" spans="1:8" x14ac:dyDescent="0.45">
      <c r="A10" s="60"/>
      <c r="B10" s="20" t="s">
        <v>6</v>
      </c>
      <c r="C10" s="2">
        <v>950</v>
      </c>
      <c r="D10" s="2">
        <v>1200</v>
      </c>
      <c r="E10" s="2">
        <v>950</v>
      </c>
      <c r="F10" s="2">
        <v>1000</v>
      </c>
      <c r="G10" s="44">
        <f t="shared" si="1"/>
        <v>4100</v>
      </c>
    </row>
    <row r="11" spans="1:8" x14ac:dyDescent="0.45">
      <c r="A11" s="60"/>
      <c r="B11" s="20" t="s">
        <v>7</v>
      </c>
      <c r="C11" s="2">
        <v>288.44</v>
      </c>
      <c r="D11" s="2">
        <v>288.44</v>
      </c>
      <c r="E11" s="2">
        <v>508.17</v>
      </c>
      <c r="F11" s="2">
        <v>508.17</v>
      </c>
      <c r="G11" s="44">
        <f t="shared" si="1"/>
        <v>1593.22</v>
      </c>
    </row>
    <row r="12" spans="1:8" x14ac:dyDescent="0.45">
      <c r="A12" s="60"/>
      <c r="B12" s="20" t="s">
        <v>8</v>
      </c>
      <c r="C12" s="2">
        <v>450</v>
      </c>
      <c r="D12" s="2">
        <v>1900</v>
      </c>
      <c r="E12" s="2">
        <v>550</v>
      </c>
      <c r="F12" s="2">
        <v>800</v>
      </c>
      <c r="G12" s="44">
        <f t="shared" si="1"/>
        <v>3700</v>
      </c>
    </row>
    <row r="13" spans="1:8" x14ac:dyDescent="0.45">
      <c r="A13" s="1"/>
      <c r="B13" s="1"/>
      <c r="C13" s="1"/>
      <c r="D13" s="1"/>
      <c r="E13" s="1"/>
      <c r="F13" s="1"/>
      <c r="H13" s="1"/>
    </row>
    <row r="14" spans="1:8" x14ac:dyDescent="0.45">
      <c r="B14" s="46" t="s">
        <v>157</v>
      </c>
      <c r="C14" s="1"/>
      <c r="D14" s="1"/>
      <c r="E14" s="1"/>
      <c r="F14" s="1"/>
    </row>
    <row r="15" spans="1:8" x14ac:dyDescent="0.45">
      <c r="B15" s="39" t="s">
        <v>2</v>
      </c>
      <c r="C15" s="41">
        <f>SUM(C4:C6)</f>
        <v>5630</v>
      </c>
      <c r="D15" s="41">
        <f t="shared" ref="D15:F15" si="2">SUM(D4:D6)</f>
        <v>5750</v>
      </c>
      <c r="E15" s="41">
        <f t="shared" si="2"/>
        <v>7106</v>
      </c>
      <c r="F15" s="41">
        <f t="shared" si="2"/>
        <v>7595</v>
      </c>
      <c r="G15" s="47">
        <f>SUM(C15:F15)</f>
        <v>26081</v>
      </c>
    </row>
    <row r="16" spans="1:8" x14ac:dyDescent="0.45">
      <c r="B16" s="39" t="s">
        <v>13</v>
      </c>
      <c r="C16" s="40">
        <f>SUM(C8:C12)</f>
        <v>4368.4400000000005</v>
      </c>
      <c r="D16" s="40">
        <f t="shared" ref="D16:F16" si="3">SUM(D8:D12)</f>
        <v>6088.44</v>
      </c>
      <c r="E16" s="40">
        <f t="shared" si="3"/>
        <v>4838.17</v>
      </c>
      <c r="F16" s="40">
        <f t="shared" si="3"/>
        <v>4988.17</v>
      </c>
      <c r="G16" s="44">
        <f>SUM(C16:F16)</f>
        <v>20283.22</v>
      </c>
    </row>
    <row r="17" spans="2:7" x14ac:dyDescent="0.45">
      <c r="B17" s="38" t="s">
        <v>156</v>
      </c>
      <c r="C17" s="43">
        <f>C15-C16</f>
        <v>1261.5599999999995</v>
      </c>
      <c r="D17" s="43">
        <f t="shared" ref="D17:F17" si="4">D15-D16</f>
        <v>-338.4399999999996</v>
      </c>
      <c r="E17" s="43">
        <f t="shared" si="4"/>
        <v>2267.83</v>
      </c>
      <c r="F17" s="43">
        <f t="shared" si="4"/>
        <v>2606.83</v>
      </c>
      <c r="G17" s="45">
        <f>G15-G16</f>
        <v>5797.7799999999988</v>
      </c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8B4E-4C4E-401D-8E29-569AD7A03244}">
  <sheetPr>
    <tabColor theme="8" tint="0.59999389629810485"/>
  </sheetPr>
  <dimension ref="A1:H15"/>
  <sheetViews>
    <sheetView showGridLines="0" zoomScale="130" zoomScaleNormal="130" workbookViewId="0">
      <selection activeCell="H12" sqref="H12"/>
    </sheetView>
  </sheetViews>
  <sheetFormatPr defaultRowHeight="14.25" x14ac:dyDescent="0.45"/>
  <cols>
    <col min="1" max="1" width="14.3984375" bestFit="1" customWidth="1"/>
    <col min="2" max="2" width="10.73046875" customWidth="1"/>
    <col min="4" max="4" width="13.73046875" bestFit="1" customWidth="1"/>
    <col min="5" max="5" width="12.86328125" customWidth="1"/>
    <col min="6" max="6" width="14.59765625" bestFit="1" customWidth="1"/>
    <col min="7" max="7" width="1.59765625" customWidth="1"/>
    <col min="8" max="8" width="26.73046875" bestFit="1" customWidth="1"/>
    <col min="9" max="9" width="9.1328125" customWidth="1"/>
  </cols>
  <sheetData>
    <row r="1" spans="1:8" ht="23.25" x14ac:dyDescent="0.45">
      <c r="A1" s="57" t="s">
        <v>36</v>
      </c>
      <c r="B1" s="57"/>
      <c r="C1" s="57"/>
      <c r="D1" s="57"/>
      <c r="E1" s="57"/>
      <c r="F1" s="57"/>
      <c r="G1" s="57"/>
      <c r="H1" s="57"/>
    </row>
    <row r="3" spans="1:8" x14ac:dyDescent="0.4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8"/>
      <c r="H3" s="12" t="s">
        <v>38</v>
      </c>
    </row>
    <row r="4" spans="1:8" x14ac:dyDescent="0.45">
      <c r="A4" t="s">
        <v>23</v>
      </c>
      <c r="B4" s="3">
        <v>15</v>
      </c>
      <c r="D4" t="s">
        <v>30</v>
      </c>
      <c r="E4" t="s">
        <v>25</v>
      </c>
      <c r="F4" s="13">
        <f>15+5</f>
        <v>20</v>
      </c>
      <c r="G4" s="3"/>
      <c r="H4" s="13">
        <f>B4+B5</f>
        <v>20</v>
      </c>
    </row>
    <row r="5" spans="1:8" x14ac:dyDescent="0.45">
      <c r="A5" t="s">
        <v>22</v>
      </c>
      <c r="B5" s="3">
        <v>5</v>
      </c>
      <c r="D5" t="s">
        <v>31</v>
      </c>
      <c r="E5" t="s">
        <v>26</v>
      </c>
      <c r="F5" s="13">
        <f>15-5</f>
        <v>10</v>
      </c>
      <c r="G5" s="3"/>
      <c r="H5" s="13">
        <f>B4-B5</f>
        <v>10</v>
      </c>
    </row>
    <row r="6" spans="1:8" x14ac:dyDescent="0.45">
      <c r="D6" t="s">
        <v>32</v>
      </c>
      <c r="E6" t="s">
        <v>27</v>
      </c>
      <c r="F6" s="13">
        <f>15*5</f>
        <v>75</v>
      </c>
      <c r="G6" s="3"/>
      <c r="H6" s="13">
        <f>B4*B5</f>
        <v>75</v>
      </c>
    </row>
    <row r="7" spans="1:8" x14ac:dyDescent="0.45">
      <c r="D7" t="s">
        <v>33</v>
      </c>
      <c r="E7" t="s">
        <v>28</v>
      </c>
      <c r="F7" s="13">
        <f>15/5</f>
        <v>3</v>
      </c>
      <c r="G7" s="3"/>
      <c r="H7" s="13">
        <f>B4/B5</f>
        <v>3</v>
      </c>
    </row>
    <row r="8" spans="1:8" x14ac:dyDescent="0.45">
      <c r="D8" t="s">
        <v>34</v>
      </c>
      <c r="E8" t="s">
        <v>35</v>
      </c>
      <c r="F8" s="13">
        <f>15^5</f>
        <v>759375</v>
      </c>
      <c r="G8" s="3"/>
      <c r="H8" s="13">
        <f>B4^B5</f>
        <v>759375</v>
      </c>
    </row>
    <row r="9" spans="1:8" x14ac:dyDescent="0.45">
      <c r="D9" s="58" t="s">
        <v>71</v>
      </c>
      <c r="E9" s="58"/>
      <c r="F9" s="12" t="s">
        <v>21</v>
      </c>
      <c r="H9" s="11" t="s">
        <v>42</v>
      </c>
    </row>
    <row r="10" spans="1:8" x14ac:dyDescent="0.45">
      <c r="D10" t="s">
        <v>72</v>
      </c>
      <c r="F10" t="s">
        <v>39</v>
      </c>
      <c r="H10" s="13">
        <f>(3+3)*5</f>
        <v>30</v>
      </c>
    </row>
    <row r="11" spans="1:8" x14ac:dyDescent="0.45">
      <c r="D11" t="s">
        <v>73</v>
      </c>
      <c r="F11" t="s">
        <v>40</v>
      </c>
      <c r="H11" s="13">
        <f>30/5*3</f>
        <v>18</v>
      </c>
    </row>
    <row r="12" spans="1:8" x14ac:dyDescent="0.45">
      <c r="D12" t="s">
        <v>74</v>
      </c>
      <c r="F12" t="s">
        <v>41</v>
      </c>
      <c r="H12" s="13">
        <f>5+3-6</f>
        <v>2</v>
      </c>
    </row>
    <row r="13" spans="1:8" x14ac:dyDescent="0.45">
      <c r="D13" t="s">
        <v>75</v>
      </c>
      <c r="E13" s="5"/>
    </row>
    <row r="14" spans="1:8" x14ac:dyDescent="0.45">
      <c r="D14" t="s">
        <v>76</v>
      </c>
    </row>
    <row r="15" spans="1:8" x14ac:dyDescent="0.45">
      <c r="D15" t="s">
        <v>77</v>
      </c>
      <c r="E15" s="5"/>
    </row>
  </sheetData>
  <mergeCells count="2">
    <mergeCell ref="A1:H1"/>
    <mergeCell ref="D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8" tint="0.39997558519241921"/>
  </sheetPr>
  <dimension ref="A1:H18"/>
  <sheetViews>
    <sheetView showGridLines="0" zoomScale="130" zoomScaleNormal="130" workbookViewId="0">
      <selection activeCell="G17" sqref="G17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bestFit="1" customWidth="1"/>
    <col min="9" max="10" width="15" bestFit="1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57"/>
    </row>
    <row r="3" spans="1:8" x14ac:dyDescent="0.45">
      <c r="A3" s="61"/>
      <c r="B3" s="61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59" t="s">
        <v>2</v>
      </c>
      <c r="B4" s="20" t="s">
        <v>0</v>
      </c>
      <c r="C4" s="42">
        <v>150000</v>
      </c>
      <c r="D4" s="42">
        <v>165000</v>
      </c>
      <c r="E4" s="42">
        <v>172000</v>
      </c>
      <c r="F4" s="42">
        <v>210000</v>
      </c>
      <c r="G4" s="44">
        <f>SUM(C4:F4)</f>
        <v>697000</v>
      </c>
    </row>
    <row r="5" spans="1:8" x14ac:dyDescent="0.45">
      <c r="A5" s="59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4">
        <f>SUM(C5:F5)</f>
        <v>145275</v>
      </c>
    </row>
    <row r="6" spans="1:8" x14ac:dyDescent="0.45">
      <c r="A6" s="59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4">
        <f>SUM(C6:F6)</f>
        <v>49129</v>
      </c>
    </row>
    <row r="7" spans="1:8" x14ac:dyDescent="0.45">
      <c r="A7" s="7"/>
      <c r="B7" s="19"/>
      <c r="C7" s="2"/>
      <c r="D7" s="2"/>
      <c r="E7" s="2"/>
      <c r="F7" s="2"/>
      <c r="G7" s="19"/>
    </row>
    <row r="8" spans="1:8" x14ac:dyDescent="0.45">
      <c r="A8" s="60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4"/>
    </row>
    <row r="9" spans="1:8" x14ac:dyDescent="0.45">
      <c r="A9" s="60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4"/>
    </row>
    <row r="10" spans="1:8" x14ac:dyDescent="0.45">
      <c r="A10" s="60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4"/>
    </row>
    <row r="11" spans="1:8" x14ac:dyDescent="0.45">
      <c r="A11" s="60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4"/>
    </row>
    <row r="12" spans="1:8" x14ac:dyDescent="0.45">
      <c r="A12" s="60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4"/>
    </row>
    <row r="13" spans="1:8" x14ac:dyDescent="0.45">
      <c r="C13" s="1"/>
      <c r="D13" s="1"/>
      <c r="E13" s="1"/>
    </row>
    <row r="14" spans="1:8" x14ac:dyDescent="0.45">
      <c r="B14" s="46" t="s">
        <v>157</v>
      </c>
      <c r="C14" s="1"/>
      <c r="D14" s="1"/>
      <c r="E14" s="1"/>
      <c r="F14" s="1"/>
      <c r="G14" s="1"/>
      <c r="H14" s="1"/>
    </row>
    <row r="15" spans="1:8" x14ac:dyDescent="0.45">
      <c r="B15" s="39" t="s">
        <v>2</v>
      </c>
      <c r="C15" s="41">
        <f>SUM(C4:C6)</f>
        <v>199320</v>
      </c>
      <c r="D15" s="41">
        <f>SUM(D4:D6)</f>
        <v>219743</v>
      </c>
      <c r="E15" s="41">
        <f t="shared" ref="E15:F15" si="0">SUM(E4:E6)</f>
        <v>209745</v>
      </c>
      <c r="F15" s="41">
        <f t="shared" si="0"/>
        <v>262596</v>
      </c>
      <c r="G15" s="47">
        <f>SUM(C15:F15)</f>
        <v>891404</v>
      </c>
    </row>
    <row r="16" spans="1:8" x14ac:dyDescent="0.45">
      <c r="B16" s="39" t="s">
        <v>13</v>
      </c>
      <c r="C16" s="40">
        <f>SUM(C8:C12)</f>
        <v>82016</v>
      </c>
      <c r="D16" s="40">
        <f>SUM(D8:D12)</f>
        <v>97436</v>
      </c>
      <c r="E16" s="40">
        <f t="shared" ref="E16:F16" si="1">SUM(E8:E12)</f>
        <v>96425</v>
      </c>
      <c r="F16" s="40">
        <f t="shared" si="1"/>
        <v>87679</v>
      </c>
      <c r="G16" s="44">
        <f>SUM(C16:F16)</f>
        <v>363556</v>
      </c>
    </row>
    <row r="17" spans="2:8" x14ac:dyDescent="0.45">
      <c r="B17" s="38" t="s">
        <v>156</v>
      </c>
      <c r="C17" s="43">
        <f>C15-C16</f>
        <v>117304</v>
      </c>
      <c r="D17" s="43">
        <f>D15-D16</f>
        <v>122307</v>
      </c>
      <c r="E17" s="43">
        <f t="shared" ref="E17:F17" si="2">E15-E16</f>
        <v>113320</v>
      </c>
      <c r="F17" s="43">
        <f t="shared" si="2"/>
        <v>174917</v>
      </c>
      <c r="G17" s="45">
        <f>SUM(G15-G16)</f>
        <v>527848</v>
      </c>
    </row>
    <row r="18" spans="2:8" x14ac:dyDescent="0.45">
      <c r="C18" s="1"/>
      <c r="D18" s="1"/>
      <c r="E18" s="1"/>
      <c r="F18" s="1"/>
      <c r="G18" s="1"/>
      <c r="H18" s="1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412D-A174-465E-B001-B96C6C1BC549}">
  <sheetPr>
    <tabColor theme="8" tint="-0.249977111117893"/>
  </sheetPr>
  <dimension ref="A1:H18"/>
  <sheetViews>
    <sheetView showGridLines="0" zoomScale="130" zoomScaleNormal="130" workbookViewId="0">
      <selection activeCell="G17" sqref="G17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bestFit="1" customWidth="1"/>
    <col min="9" max="10" width="15" bestFit="1" customWidth="1"/>
  </cols>
  <sheetData>
    <row r="1" spans="1:8" ht="36" customHeight="1" x14ac:dyDescent="0.45">
      <c r="A1" s="57" t="s">
        <v>78</v>
      </c>
      <c r="B1" s="57"/>
      <c r="C1" s="57"/>
      <c r="D1" s="57"/>
      <c r="E1" s="57"/>
      <c r="F1" s="57"/>
      <c r="G1" s="57"/>
    </row>
    <row r="3" spans="1:8" x14ac:dyDescent="0.45">
      <c r="A3" s="61"/>
      <c r="B3" s="61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59" t="s">
        <v>2</v>
      </c>
      <c r="B4" s="20" t="s">
        <v>0</v>
      </c>
      <c r="C4" s="42">
        <v>150000</v>
      </c>
      <c r="D4" s="42">
        <v>165000</v>
      </c>
      <c r="E4" s="42">
        <v>172000</v>
      </c>
      <c r="F4" s="42">
        <v>210000</v>
      </c>
      <c r="G4" s="44">
        <f>SUM(C4:F4)</f>
        <v>697000</v>
      </c>
    </row>
    <row r="5" spans="1:8" x14ac:dyDescent="0.45">
      <c r="A5" s="59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4">
        <f>SUM(C5:F5)</f>
        <v>145275</v>
      </c>
    </row>
    <row r="6" spans="1:8" x14ac:dyDescent="0.45">
      <c r="A6" s="59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4">
        <f>SUM(C6:F6)</f>
        <v>49129</v>
      </c>
    </row>
    <row r="7" spans="1:8" x14ac:dyDescent="0.45">
      <c r="A7" s="30"/>
      <c r="B7" s="19"/>
      <c r="C7" s="2"/>
      <c r="D7" s="2"/>
      <c r="E7" s="2"/>
      <c r="F7" s="2"/>
      <c r="G7" s="19"/>
    </row>
    <row r="8" spans="1:8" x14ac:dyDescent="0.45">
      <c r="A8" s="60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4">
        <f t="shared" ref="G8:G12" si="0">SUM(C8:F8)</f>
        <v>184831</v>
      </c>
    </row>
    <row r="9" spans="1:8" x14ac:dyDescent="0.45">
      <c r="A9" s="60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4">
        <f t="shared" si="0"/>
        <v>65645</v>
      </c>
    </row>
    <row r="10" spans="1:8" x14ac:dyDescent="0.45">
      <c r="A10" s="60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4">
        <f t="shared" si="0"/>
        <v>35613</v>
      </c>
    </row>
    <row r="11" spans="1:8" x14ac:dyDescent="0.45">
      <c r="A11" s="60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4">
        <f t="shared" si="0"/>
        <v>61655</v>
      </c>
    </row>
    <row r="12" spans="1:8" x14ac:dyDescent="0.45">
      <c r="A12" s="60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4">
        <f t="shared" si="0"/>
        <v>15812</v>
      </c>
    </row>
    <row r="13" spans="1:8" x14ac:dyDescent="0.45">
      <c r="C13" s="1"/>
      <c r="D13" s="1"/>
      <c r="E13" s="1"/>
    </row>
    <row r="14" spans="1:8" x14ac:dyDescent="0.45">
      <c r="B14" s="46" t="s">
        <v>157</v>
      </c>
      <c r="C14" s="1"/>
      <c r="D14" s="1"/>
      <c r="E14" s="1"/>
      <c r="F14" s="1"/>
      <c r="G14" s="1"/>
      <c r="H14" s="1"/>
    </row>
    <row r="15" spans="1:8" x14ac:dyDescent="0.45">
      <c r="B15" s="39" t="s">
        <v>2</v>
      </c>
      <c r="C15" s="41">
        <f>SUM(C4:C6)</f>
        <v>199320</v>
      </c>
      <c r="D15" s="41">
        <f t="shared" ref="D15:F15" si="1">SUM(D4:D6)</f>
        <v>219743</v>
      </c>
      <c r="E15" s="41">
        <f t="shared" si="1"/>
        <v>209745</v>
      </c>
      <c r="F15" s="41">
        <f t="shared" si="1"/>
        <v>262596</v>
      </c>
      <c r="G15" s="47">
        <f>SUM(C15:F15)</f>
        <v>891404</v>
      </c>
    </row>
    <row r="16" spans="1:8" x14ac:dyDescent="0.45">
      <c r="B16" s="39" t="s">
        <v>13</v>
      </c>
      <c r="C16" s="40">
        <f>SUM(C8:C12)</f>
        <v>82016</v>
      </c>
      <c r="D16" s="40">
        <f t="shared" ref="D16:F16" si="2">SUM(D8:D12)</f>
        <v>97436</v>
      </c>
      <c r="E16" s="40">
        <f t="shared" si="2"/>
        <v>96425</v>
      </c>
      <c r="F16" s="40">
        <f t="shared" si="2"/>
        <v>87679</v>
      </c>
      <c r="G16" s="44">
        <f>SUM(C16:F16)</f>
        <v>363556</v>
      </c>
    </row>
    <row r="17" spans="2:8" x14ac:dyDescent="0.45">
      <c r="B17" s="38" t="s">
        <v>156</v>
      </c>
      <c r="C17" s="43">
        <f>C15-C16</f>
        <v>117304</v>
      </c>
      <c r="D17" s="43">
        <f t="shared" ref="D17:F17" si="3">D15-D16</f>
        <v>122307</v>
      </c>
      <c r="E17" s="43">
        <f t="shared" si="3"/>
        <v>113320</v>
      </c>
      <c r="F17" s="43">
        <f t="shared" si="3"/>
        <v>174917</v>
      </c>
      <c r="G17" s="45">
        <f>G15-G16</f>
        <v>527848</v>
      </c>
    </row>
    <row r="18" spans="2:8" x14ac:dyDescent="0.45">
      <c r="C18" s="1"/>
      <c r="D18" s="1"/>
      <c r="E18" s="1"/>
      <c r="F18" s="1"/>
      <c r="G18" s="1"/>
      <c r="H18" s="1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DF74-490E-4023-A094-E55A62260113}">
  <sheetPr>
    <tabColor theme="8" tint="-0.499984740745262"/>
  </sheetPr>
  <dimension ref="A1:G44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57" t="s">
        <v>78</v>
      </c>
      <c r="B1" s="57"/>
      <c r="C1" s="57"/>
      <c r="D1" s="57"/>
      <c r="E1" s="57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121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>
        <f>AVERAGE(E3:E40)</f>
        <v>2631.0360526315781</v>
      </c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  <row r="41" spans="1:5" x14ac:dyDescent="0.45">
      <c r="C41" s="23"/>
      <c r="E41" s="24"/>
    </row>
    <row r="42" spans="1:5" x14ac:dyDescent="0.45">
      <c r="C42" s="23"/>
      <c r="E42" s="24"/>
    </row>
    <row r="43" spans="1:5" x14ac:dyDescent="0.45">
      <c r="C43" s="23"/>
      <c r="E43" s="24"/>
    </row>
    <row r="44" spans="1:5" x14ac:dyDescent="0.45">
      <c r="C44" s="23"/>
      <c r="E44" s="24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5C9D-13BB-4F30-B7B4-D69AF35B4DD8}">
  <sheetPr>
    <tabColor theme="8" tint="0.79998168889431442"/>
  </sheetPr>
  <dimension ref="A1:G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57" t="s">
        <v>78</v>
      </c>
      <c r="B1" s="57"/>
      <c r="C1" s="57"/>
      <c r="D1" s="57"/>
      <c r="E1" s="57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126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>
        <f>MAX(E3:E40)</f>
        <v>7834.93</v>
      </c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15C1-792B-40F8-BACE-E6F8BDAED574}">
  <sheetPr>
    <tabColor theme="8" tint="0.79998168889431442"/>
  </sheetPr>
  <dimension ref="A1:G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57" t="s">
        <v>78</v>
      </c>
      <c r="B1" s="57"/>
      <c r="C1" s="57"/>
      <c r="D1" s="57"/>
      <c r="E1" s="57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127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>
        <f>MIN(E3:E40)</f>
        <v>877.34</v>
      </c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A6F7-7904-4B22-81B1-B5CED90EBA50}">
  <sheetPr>
    <tabColor theme="8" tint="0.59999389629810485"/>
  </sheetPr>
  <dimension ref="A1:I40"/>
  <sheetViews>
    <sheetView showGridLines="0" zoomScale="130" zoomScaleNormal="130" workbookViewId="0">
      <selection activeCell="I6" sqref="I6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4.06640625" customWidth="1"/>
    <col min="8" max="8" width="15.59765625" customWidth="1"/>
    <col min="9" max="9" width="11.3984375" bestFit="1" customWidth="1"/>
  </cols>
  <sheetData>
    <row r="1" spans="1:9" ht="36" customHeight="1" x14ac:dyDescent="0.45">
      <c r="A1" s="57" t="s">
        <v>78</v>
      </c>
      <c r="B1" s="57"/>
      <c r="C1" s="57"/>
      <c r="D1" s="57"/>
      <c r="E1" s="57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9">
        <v>1</v>
      </c>
      <c r="H2" s="28" t="s">
        <v>128</v>
      </c>
      <c r="I2" s="13">
        <f>LARGE($E$3:$E$40,G2)</f>
        <v>7834.93</v>
      </c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29">
        <v>2</v>
      </c>
      <c r="H3" s="28" t="s">
        <v>128</v>
      </c>
      <c r="I3" s="13">
        <f>LARGE($E$3:$E$40,G3)</f>
        <v>6345.98</v>
      </c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G4" s="29">
        <v>3</v>
      </c>
      <c r="H4" s="28" t="s">
        <v>128</v>
      </c>
      <c r="I4" s="13">
        <f>LARGE($E$3:$E$40,G4)</f>
        <v>5982.45</v>
      </c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G5" s="29">
        <v>4</v>
      </c>
      <c r="H5" s="28" t="s">
        <v>128</v>
      </c>
      <c r="I5" s="13">
        <f t="shared" ref="I5:I6" si="0">LARGE($E$3:$E$40,G5)</f>
        <v>4823.95</v>
      </c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G6" s="29">
        <v>5</v>
      </c>
      <c r="H6" s="28" t="s">
        <v>128</v>
      </c>
      <c r="I6" s="13">
        <f t="shared" si="0"/>
        <v>3799.96</v>
      </c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3B9F-C29D-4AB5-91F4-3D17F80AECD3}">
  <sheetPr>
    <tabColor theme="8" tint="0.39997558519241921"/>
  </sheetPr>
  <dimension ref="A1:I40"/>
  <sheetViews>
    <sheetView showGridLines="0" zoomScale="130" zoomScaleNormal="130" workbookViewId="0">
      <selection activeCell="I6" sqref="I6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4.06640625" customWidth="1"/>
    <col min="8" max="8" width="15.59765625" customWidth="1"/>
    <col min="9" max="9" width="11.3984375" bestFit="1" customWidth="1"/>
  </cols>
  <sheetData>
    <row r="1" spans="1:9" ht="36" customHeight="1" x14ac:dyDescent="0.45">
      <c r="A1" s="57" t="s">
        <v>78</v>
      </c>
      <c r="B1" s="57"/>
      <c r="C1" s="57"/>
      <c r="D1" s="57"/>
      <c r="E1" s="57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9">
        <v>1</v>
      </c>
      <c r="H2" s="28" t="s">
        <v>129</v>
      </c>
      <c r="I2" s="13">
        <f>SMALL($E$3:$E$40,G2)</f>
        <v>877.34</v>
      </c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29">
        <v>2</v>
      </c>
      <c r="H3" s="28" t="s">
        <v>129</v>
      </c>
      <c r="I3" s="13">
        <f>SMALL($E$3:$E$40,G3)</f>
        <v>900.44</v>
      </c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G4" s="29">
        <v>3</v>
      </c>
      <c r="H4" s="28" t="s">
        <v>129</v>
      </c>
      <c r="I4" s="13">
        <f t="shared" ref="I4:I6" si="0">SMALL($E$3:$E$40,G4)</f>
        <v>1125.45</v>
      </c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G5" s="29">
        <v>4</v>
      </c>
      <c r="H5" s="28" t="s">
        <v>129</v>
      </c>
      <c r="I5" s="13">
        <f t="shared" si="0"/>
        <v>1499.94</v>
      </c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G6" s="29">
        <v>5</v>
      </c>
      <c r="H6" s="28" t="s">
        <v>129</v>
      </c>
      <c r="I6" s="13">
        <f t="shared" si="0"/>
        <v>1499.96</v>
      </c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Redução de Preços</vt:lpstr>
      <vt:lpstr>Função PGTO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2018-06-02T19:42:10Z</cp:lastPrinted>
  <dcterms:created xsi:type="dcterms:W3CDTF">2018-05-26T00:45:58Z</dcterms:created>
  <dcterms:modified xsi:type="dcterms:W3CDTF">2021-08-24T17:52:35Z</dcterms:modified>
</cp:coreProperties>
</file>