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rishvenkateswaran/Desktop/"/>
    </mc:Choice>
  </mc:AlternateContent>
  <xr:revisionPtr revIDLastSave="0" documentId="13_ncr:1_{FA702700-660B-414B-81B8-848681195900}" xr6:coauthVersionLast="47" xr6:coauthVersionMax="47" xr10:uidLastSave="{00000000-0000-0000-0000-000000000000}"/>
  <bookViews>
    <workbookView xWindow="0" yWindow="500" windowWidth="25600" windowHeight="14420" activeTab="1" xr2:uid="{00000000-000D-0000-FFFF-FFFF00000000}"/>
  </bookViews>
  <sheets>
    <sheet name="1. Amazon Modeling --&gt;" sheetId="23" r:id="rId1"/>
    <sheet name="Financials" sheetId="4" r:id="rId2"/>
    <sheet name="DCF Model" sheetId="8" r:id="rId3"/>
    <sheet name="Sensitivity Analysis" sheetId="28" r:id="rId4"/>
    <sheet name="2. Supporting Info --&gt;" sheetId="29" r:id="rId5"/>
    <sheet name="Segmental Revenue" sheetId="26" r:id="rId6"/>
    <sheet name="As % of Revenue" sheetId="27" r:id="rId7"/>
    <sheet name="CAGR-Based Elements" sheetId="2" r:id="rId8"/>
    <sheet name="Multiples" sheetId="21" state="hidden" r:id="rId9"/>
    <sheet name="Fin_R" sheetId="25" state="hidden" r:id="rId10"/>
    <sheet name="2" sheetId="24" state="hidden" r:id="rId11"/>
    <sheet name="Suppliers" sheetId="6" state="hidden" r:id="rId12"/>
    <sheet name="COGS" sheetId="11" state="hidden" r:id="rId13"/>
    <sheet name="Op. exp" sheetId="16" state="hidden" r:id="rId14"/>
    <sheet name="Loans " sheetId="19" state="hidden" r:id="rId15"/>
    <sheet name="capex" sheetId="20" state="hidden" r:id="rId16"/>
  </sheets>
  <externalReferences>
    <externalReference r:id="rId17"/>
    <externalReference r:id="rId18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26" l="1"/>
  <c r="D35" i="28"/>
  <c r="S5" i="26"/>
  <c r="S6" i="26"/>
  <c r="S7" i="26"/>
  <c r="S8" i="26"/>
  <c r="S9" i="26"/>
  <c r="S10" i="26"/>
  <c r="S4" i="26"/>
  <c r="N12" i="26"/>
  <c r="M12" i="26"/>
  <c r="C13" i="26"/>
  <c r="L12" i="26"/>
  <c r="K12" i="26"/>
  <c r="J12" i="26"/>
  <c r="I12" i="26"/>
  <c r="H12" i="26"/>
  <c r="G12" i="26"/>
  <c r="F12" i="26"/>
  <c r="E12" i="26"/>
  <c r="D12" i="26"/>
  <c r="C12" i="26"/>
  <c r="D43" i="28"/>
  <c r="D36" i="28"/>
  <c r="B66" i="8"/>
  <c r="BZ132" i="4"/>
  <c r="CA132" i="4"/>
  <c r="CB132" i="4"/>
  <c r="CC132" i="4"/>
  <c r="CD132" i="4"/>
  <c r="CE132" i="4"/>
  <c r="CF132" i="4"/>
  <c r="CG132" i="4"/>
  <c r="CH132" i="4"/>
  <c r="CJ132" i="4"/>
  <c r="CK132" i="4"/>
  <c r="CL132" i="4"/>
  <c r="CM132" i="4"/>
  <c r="CO132" i="4"/>
  <c r="CP132" i="4"/>
  <c r="CQ132" i="4"/>
  <c r="CR132" i="4"/>
  <c r="CT132" i="4"/>
  <c r="CU132" i="4"/>
  <c r="CV132" i="4"/>
  <c r="CW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AQ132" i="4"/>
  <c r="AR132" i="4"/>
  <c r="AS132" i="4"/>
  <c r="AT132" i="4"/>
  <c r="AU132" i="4"/>
  <c r="AV132" i="4"/>
  <c r="AW132" i="4"/>
  <c r="AX132" i="4"/>
  <c r="AY132" i="4"/>
  <c r="AZ132" i="4"/>
  <c r="BA132" i="4"/>
  <c r="BB132" i="4"/>
  <c r="BC132" i="4"/>
  <c r="BD132" i="4"/>
  <c r="BE132" i="4"/>
  <c r="BF132" i="4"/>
  <c r="BG132" i="4"/>
  <c r="BH132" i="4"/>
  <c r="BI132" i="4"/>
  <c r="BJ132" i="4"/>
  <c r="BK132" i="4"/>
  <c r="BL132" i="4"/>
  <c r="BM132" i="4"/>
  <c r="BN132" i="4"/>
  <c r="BO132" i="4"/>
  <c r="BP132" i="4"/>
  <c r="BQ132" i="4"/>
  <c r="BR132" i="4"/>
  <c r="BS132" i="4"/>
  <c r="BT132" i="4"/>
  <c r="BU132" i="4"/>
  <c r="BV132" i="4"/>
  <c r="BW132" i="4"/>
  <c r="BX132" i="4"/>
  <c r="BY132" i="4"/>
  <c r="B50" i="8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BI40" i="4"/>
  <c r="BJ40" i="4"/>
  <c r="BK40" i="4"/>
  <c r="BL40" i="4"/>
  <c r="BM40" i="4"/>
  <c r="BN40" i="4"/>
  <c r="BO40" i="4"/>
  <c r="BP40" i="4"/>
  <c r="BQ40" i="4"/>
  <c r="BR40" i="4"/>
  <c r="BS40" i="4"/>
  <c r="BT40" i="4"/>
  <c r="BU40" i="4"/>
  <c r="BV40" i="4"/>
  <c r="BW40" i="4"/>
  <c r="BX40" i="4"/>
  <c r="BY40" i="4"/>
  <c r="BZ40" i="4"/>
  <c r="CA40" i="4"/>
  <c r="CB40" i="4"/>
  <c r="CC40" i="4"/>
  <c r="CD40" i="4"/>
  <c r="CE40" i="4"/>
  <c r="CF40" i="4"/>
  <c r="CG40" i="4"/>
  <c r="CH40" i="4"/>
  <c r="CI40" i="4"/>
  <c r="CJ40" i="4"/>
  <c r="CK40" i="4"/>
  <c r="CL40" i="4"/>
  <c r="CM40" i="4"/>
  <c r="CN40" i="4"/>
  <c r="CO40" i="4"/>
  <c r="CP40" i="4"/>
  <c r="CQ40" i="4"/>
  <c r="CR40" i="4"/>
  <c r="CS40" i="4"/>
  <c r="CT40" i="4"/>
  <c r="CU40" i="4"/>
  <c r="CV40" i="4"/>
  <c r="CW40" i="4"/>
  <c r="CX40" i="4"/>
  <c r="AA40" i="4"/>
  <c r="AE159" i="4" l="1"/>
  <c r="AM159" i="4"/>
  <c r="AQ159" i="4"/>
  <c r="AU159" i="4"/>
  <c r="AY159" i="4"/>
  <c r="AH159" i="4"/>
  <c r="AI159" i="4"/>
  <c r="AT159" i="4"/>
  <c r="AX159" i="4"/>
  <c r="C60" i="8"/>
  <c r="C61" i="8"/>
  <c r="C63" i="8"/>
  <c r="B60" i="8"/>
  <c r="CD155" i="4"/>
  <c r="CE155" i="4"/>
  <c r="CF155" i="4"/>
  <c r="CG155" i="4"/>
  <c r="CL155" i="4" s="1"/>
  <c r="CQ155" i="4" s="1"/>
  <c r="CV155" i="4" s="1"/>
  <c r="CH155" i="4"/>
  <c r="CI155" i="4"/>
  <c r="CJ155" i="4"/>
  <c r="CK155" i="4"/>
  <c r="CP155" i="4" s="1"/>
  <c r="CU155" i="4" s="1"/>
  <c r="CM155" i="4"/>
  <c r="CN155" i="4"/>
  <c r="CO155" i="4"/>
  <c r="CT155" i="4" s="1"/>
  <c r="CR155" i="4"/>
  <c r="CS155" i="4"/>
  <c r="CX155" i="4" s="1"/>
  <c r="CW155" i="4"/>
  <c r="CD156" i="4"/>
  <c r="CI156" i="4" s="1"/>
  <c r="CN156" i="4" s="1"/>
  <c r="CS156" i="4" s="1"/>
  <c r="CX156" i="4" s="1"/>
  <c r="CD157" i="4"/>
  <c r="CI157" i="4"/>
  <c r="CN157" i="4"/>
  <c r="CS157" i="4" s="1"/>
  <c r="CX157" i="4" s="1"/>
  <c r="BX157" i="4"/>
  <c r="BX156" i="4"/>
  <c r="BX155" i="4"/>
  <c r="BY157" i="4"/>
  <c r="BY156" i="4"/>
  <c r="BY155" i="4"/>
  <c r="BV154" i="4"/>
  <c r="BU154" i="4"/>
  <c r="BW154" i="4"/>
  <c r="BX154" i="4"/>
  <c r="AA152" i="4"/>
  <c r="AA155" i="4" s="1"/>
  <c r="AB152" i="4"/>
  <c r="AC152" i="4"/>
  <c r="AD152" i="4"/>
  <c r="AD155" i="4" s="1"/>
  <c r="AE152" i="4"/>
  <c r="AE155" i="4" s="1"/>
  <c r="AF152" i="4"/>
  <c r="AG152" i="4"/>
  <c r="AH152" i="4"/>
  <c r="AH155" i="4" s="1"/>
  <c r="AI152" i="4"/>
  <c r="AI155" i="4" s="1"/>
  <c r="AJ152" i="4"/>
  <c r="AK152" i="4"/>
  <c r="AL152" i="4"/>
  <c r="AL155" i="4" s="1"/>
  <c r="AM152" i="4"/>
  <c r="AM155" i="4" s="1"/>
  <c r="AN152" i="4"/>
  <c r="AO152" i="4"/>
  <c r="AP152" i="4"/>
  <c r="AP155" i="4" s="1"/>
  <c r="AQ152" i="4"/>
  <c r="AQ155" i="4" s="1"/>
  <c r="AR152" i="4"/>
  <c r="AS152" i="4"/>
  <c r="AT152" i="4"/>
  <c r="AT155" i="4" s="1"/>
  <c r="AU152" i="4"/>
  <c r="AU155" i="4" s="1"/>
  <c r="AV152" i="4"/>
  <c r="AW152" i="4"/>
  <c r="AX152" i="4"/>
  <c r="AX155" i="4" s="1"/>
  <c r="AY152" i="4"/>
  <c r="AY155" i="4" s="1"/>
  <c r="AZ152" i="4"/>
  <c r="BA152" i="4"/>
  <c r="BB152" i="4"/>
  <c r="BB155" i="4" s="1"/>
  <c r="BC152" i="4"/>
  <c r="BC155" i="4" s="1"/>
  <c r="BD152" i="4"/>
  <c r="BE152" i="4"/>
  <c r="BF152" i="4"/>
  <c r="BF155" i="4" s="1"/>
  <c r="BG152" i="4"/>
  <c r="BG155" i="4" s="1"/>
  <c r="BH152" i="4"/>
  <c r="BI152" i="4"/>
  <c r="BJ152" i="4"/>
  <c r="BJ155" i="4" s="1"/>
  <c r="BK152" i="4"/>
  <c r="BK155" i="4" s="1"/>
  <c r="BL152" i="4"/>
  <c r="BM152" i="4"/>
  <c r="BN152" i="4"/>
  <c r="BN155" i="4" s="1"/>
  <c r="BO152" i="4"/>
  <c r="BO155" i="4" s="1"/>
  <c r="BP152" i="4"/>
  <c r="BQ152" i="4"/>
  <c r="BR152" i="4"/>
  <c r="BR155" i="4" s="1"/>
  <c r="BS152" i="4"/>
  <c r="BS155" i="4" s="1"/>
  <c r="BT152" i="4"/>
  <c r="BU152" i="4"/>
  <c r="BV152" i="4"/>
  <c r="BV155" i="4" s="1"/>
  <c r="BW152" i="4"/>
  <c r="BW155" i="4" s="1"/>
  <c r="BX152" i="4"/>
  <c r="BY152" i="4"/>
  <c r="BZ152" i="4"/>
  <c r="CA152" i="4"/>
  <c r="CA155" i="4" s="1"/>
  <c r="CB152" i="4"/>
  <c r="CC152" i="4"/>
  <c r="CD152" i="4"/>
  <c r="AA153" i="4"/>
  <c r="AA156" i="4" s="1"/>
  <c r="AB153" i="4"/>
  <c r="AC153" i="4"/>
  <c r="AC156" i="4" s="1"/>
  <c r="AD153" i="4"/>
  <c r="AD156" i="4" s="1"/>
  <c r="AE153" i="4"/>
  <c r="AF153" i="4"/>
  <c r="AG153" i="4"/>
  <c r="AG156" i="4" s="1"/>
  <c r="AH153" i="4"/>
  <c r="AH156" i="4" s="1"/>
  <c r="AI153" i="4"/>
  <c r="AJ153" i="4"/>
  <c r="AK153" i="4"/>
  <c r="AK156" i="4" s="1"/>
  <c r="AL153" i="4"/>
  <c r="AL156" i="4" s="1"/>
  <c r="AM153" i="4"/>
  <c r="AN153" i="4"/>
  <c r="AO153" i="4"/>
  <c r="AO156" i="4" s="1"/>
  <c r="AP153" i="4"/>
  <c r="AP156" i="4" s="1"/>
  <c r="AQ153" i="4"/>
  <c r="AR153" i="4"/>
  <c r="AS153" i="4"/>
  <c r="AS156" i="4" s="1"/>
  <c r="AT153" i="4"/>
  <c r="AT156" i="4" s="1"/>
  <c r="AU153" i="4"/>
  <c r="AV153" i="4"/>
  <c r="AW153" i="4"/>
  <c r="AW156" i="4" s="1"/>
  <c r="AX153" i="4"/>
  <c r="AX156" i="4" s="1"/>
  <c r="AY153" i="4"/>
  <c r="AZ153" i="4"/>
  <c r="BA153" i="4"/>
  <c r="BA156" i="4" s="1"/>
  <c r="BB153" i="4"/>
  <c r="BB156" i="4" s="1"/>
  <c r="BC153" i="4"/>
  <c r="BD153" i="4"/>
  <c r="BE153" i="4"/>
  <c r="BE156" i="4" s="1"/>
  <c r="BF153" i="4"/>
  <c r="BF156" i="4" s="1"/>
  <c r="BG153" i="4"/>
  <c r="BH153" i="4"/>
  <c r="BI153" i="4"/>
  <c r="BI156" i="4" s="1"/>
  <c r="BJ153" i="4"/>
  <c r="BJ156" i="4" s="1"/>
  <c r="BK153" i="4"/>
  <c r="BL153" i="4"/>
  <c r="BM153" i="4"/>
  <c r="BM156" i="4" s="1"/>
  <c r="BN153" i="4"/>
  <c r="BN156" i="4" s="1"/>
  <c r="BO153" i="4"/>
  <c r="BP153" i="4"/>
  <c r="BQ153" i="4"/>
  <c r="BQ156" i="4" s="1"/>
  <c r="BR153" i="4"/>
  <c r="BR156" i="4" s="1"/>
  <c r="BS153" i="4"/>
  <c r="BT153" i="4"/>
  <c r="BU153" i="4"/>
  <c r="BU156" i="4" s="1"/>
  <c r="BV153" i="4"/>
  <c r="BV156" i="4" s="1"/>
  <c r="BW153" i="4"/>
  <c r="BX153" i="4"/>
  <c r="BY153" i="4"/>
  <c r="BZ153" i="4"/>
  <c r="CA153" i="4"/>
  <c r="CB153" i="4"/>
  <c r="CC153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BR154" i="4"/>
  <c r="BS154" i="4"/>
  <c r="BT154" i="4"/>
  <c r="BY154" i="4"/>
  <c r="BZ154" i="4"/>
  <c r="BZ157" i="4" s="1"/>
  <c r="CA154" i="4"/>
  <c r="CA157" i="4" s="1"/>
  <c r="CB154" i="4"/>
  <c r="CC154" i="4"/>
  <c r="AB155" i="4"/>
  <c r="AC155" i="4"/>
  <c r="AF155" i="4"/>
  <c r="AG155" i="4"/>
  <c r="AJ155" i="4"/>
  <c r="AK155" i="4"/>
  <c r="AN155" i="4"/>
  <c r="AO155" i="4"/>
  <c r="AR155" i="4"/>
  <c r="AS155" i="4"/>
  <c r="AV155" i="4"/>
  <c r="AW155" i="4"/>
  <c r="AZ155" i="4"/>
  <c r="BA155" i="4"/>
  <c r="BD155" i="4"/>
  <c r="BE155" i="4"/>
  <c r="BH155" i="4"/>
  <c r="BI155" i="4"/>
  <c r="BL155" i="4"/>
  <c r="BM155" i="4"/>
  <c r="BP155" i="4"/>
  <c r="BQ155" i="4"/>
  <c r="BT155" i="4"/>
  <c r="BU155" i="4"/>
  <c r="BZ155" i="4"/>
  <c r="CB155" i="4"/>
  <c r="CC155" i="4"/>
  <c r="AB156" i="4"/>
  <c r="AE156" i="4"/>
  <c r="AF156" i="4"/>
  <c r="AI156" i="4"/>
  <c r="AJ156" i="4"/>
  <c r="AM156" i="4"/>
  <c r="AN156" i="4"/>
  <c r="AQ156" i="4"/>
  <c r="AR156" i="4"/>
  <c r="AU156" i="4"/>
  <c r="AV156" i="4"/>
  <c r="AY156" i="4"/>
  <c r="AZ156" i="4"/>
  <c r="BC156" i="4"/>
  <c r="BD156" i="4"/>
  <c r="BG156" i="4"/>
  <c r="BH156" i="4"/>
  <c r="BK156" i="4"/>
  <c r="BL156" i="4"/>
  <c r="BO156" i="4"/>
  <c r="BP156" i="4"/>
  <c r="BS156" i="4"/>
  <c r="BT156" i="4"/>
  <c r="BW156" i="4"/>
  <c r="BZ156" i="4"/>
  <c r="CA156" i="4"/>
  <c r="CB156" i="4"/>
  <c r="CC156" i="4"/>
  <c r="CB157" i="4"/>
  <c r="CC157" i="4"/>
  <c r="CX58" i="4"/>
  <c r="CS58" i="4"/>
  <c r="CN59" i="4"/>
  <c r="CN58" i="4"/>
  <c r="CI58" i="4"/>
  <c r="BZ119" i="4"/>
  <c r="CA119" i="4"/>
  <c r="CB119" i="4"/>
  <c r="CC119" i="4"/>
  <c r="CE119" i="4"/>
  <c r="CF119" i="4"/>
  <c r="CG119" i="4"/>
  <c r="CH119" i="4"/>
  <c r="CJ119" i="4"/>
  <c r="CK119" i="4"/>
  <c r="CL119" i="4"/>
  <c r="CM119" i="4"/>
  <c r="CO119" i="4"/>
  <c r="CP119" i="4"/>
  <c r="CQ119" i="4"/>
  <c r="CR119" i="4"/>
  <c r="CT119" i="4"/>
  <c r="CU119" i="4"/>
  <c r="CV119" i="4"/>
  <c r="CW119" i="4"/>
  <c r="BZ77" i="4"/>
  <c r="CA77" i="4"/>
  <c r="CB77" i="4"/>
  <c r="CC77" i="4"/>
  <c r="CE77" i="4"/>
  <c r="CF77" i="4"/>
  <c r="CG77" i="4"/>
  <c r="CH77" i="4"/>
  <c r="CJ77" i="4"/>
  <c r="CK77" i="4"/>
  <c r="CL77" i="4"/>
  <c r="CM77" i="4"/>
  <c r="CO77" i="4"/>
  <c r="CP77" i="4"/>
  <c r="CQ77" i="4"/>
  <c r="CR77" i="4"/>
  <c r="CT77" i="4"/>
  <c r="CU77" i="4"/>
  <c r="CV77" i="4"/>
  <c r="CW77" i="4"/>
  <c r="R8" i="26"/>
  <c r="R5" i="26"/>
  <c r="CI70" i="4"/>
  <c r="CD70" i="4"/>
  <c r="BY117" i="4"/>
  <c r="D41" i="28"/>
  <c r="AC159" i="4"/>
  <c r="AD159" i="4"/>
  <c r="AG159" i="4"/>
  <c r="CX67" i="4"/>
  <c r="CX63" i="4"/>
  <c r="CS67" i="4"/>
  <c r="CS63" i="4"/>
  <c r="CN63" i="4"/>
  <c r="CN67" i="4"/>
  <c r="CI67" i="4"/>
  <c r="CD67" i="4"/>
  <c r="C18" i="27"/>
  <c r="CE28" i="4"/>
  <c r="CF28" i="4"/>
  <c r="CG28" i="4"/>
  <c r="CH28" i="4"/>
  <c r="CJ28" i="4"/>
  <c r="CK28" i="4"/>
  <c r="CL28" i="4"/>
  <c r="CM28" i="4"/>
  <c r="CO28" i="4"/>
  <c r="CP28" i="4"/>
  <c r="CQ28" i="4"/>
  <c r="CR28" i="4"/>
  <c r="CT28" i="4"/>
  <c r="CU28" i="4"/>
  <c r="CV28" i="4"/>
  <c r="CW28" i="4"/>
  <c r="CD28" i="4"/>
  <c r="CE27" i="4"/>
  <c r="CF27" i="4"/>
  <c r="CG27" i="4"/>
  <c r="CH27" i="4"/>
  <c r="CJ27" i="4"/>
  <c r="CK27" i="4"/>
  <c r="CL27" i="4"/>
  <c r="CM27" i="4"/>
  <c r="CO27" i="4"/>
  <c r="CP27" i="4"/>
  <c r="CQ27" i="4"/>
  <c r="CR27" i="4"/>
  <c r="CT27" i="4"/>
  <c r="CU27" i="4"/>
  <c r="CV27" i="4"/>
  <c r="CW27" i="4"/>
  <c r="CD27" i="4"/>
  <c r="CE26" i="4"/>
  <c r="CF26" i="4"/>
  <c r="CG26" i="4"/>
  <c r="CH26" i="4"/>
  <c r="CJ26" i="4"/>
  <c r="CK26" i="4"/>
  <c r="CL26" i="4"/>
  <c r="CM26" i="4"/>
  <c r="CO26" i="4"/>
  <c r="CP26" i="4"/>
  <c r="CQ26" i="4"/>
  <c r="CR26" i="4"/>
  <c r="CT26" i="4"/>
  <c r="CU26" i="4"/>
  <c r="CV26" i="4"/>
  <c r="CW26" i="4"/>
  <c r="CD26" i="4"/>
  <c r="CE25" i="4"/>
  <c r="CF25" i="4"/>
  <c r="CG25" i="4"/>
  <c r="CH25" i="4"/>
  <c r="CJ25" i="4"/>
  <c r="CK25" i="4"/>
  <c r="CL25" i="4"/>
  <c r="CM25" i="4"/>
  <c r="CO25" i="4"/>
  <c r="CP25" i="4"/>
  <c r="CQ25" i="4"/>
  <c r="CR25" i="4"/>
  <c r="CT25" i="4"/>
  <c r="CU25" i="4"/>
  <c r="CV25" i="4"/>
  <c r="CW25" i="4"/>
  <c r="CD25" i="4"/>
  <c r="CE24" i="4"/>
  <c r="CF24" i="4"/>
  <c r="CG24" i="4"/>
  <c r="CH24" i="4"/>
  <c r="CJ24" i="4"/>
  <c r="CK24" i="4"/>
  <c r="CL24" i="4"/>
  <c r="CM24" i="4"/>
  <c r="CO24" i="4"/>
  <c r="CP24" i="4"/>
  <c r="CQ24" i="4"/>
  <c r="CR24" i="4"/>
  <c r="CT24" i="4"/>
  <c r="CU24" i="4"/>
  <c r="CV24" i="4"/>
  <c r="CW24" i="4"/>
  <c r="CD24" i="4"/>
  <c r="CE16" i="4"/>
  <c r="CF16" i="4"/>
  <c r="CG16" i="4"/>
  <c r="CH16" i="4"/>
  <c r="CJ16" i="4"/>
  <c r="CK16" i="4"/>
  <c r="CL16" i="4"/>
  <c r="CM16" i="4"/>
  <c r="CO16" i="4"/>
  <c r="CP16" i="4"/>
  <c r="CQ16" i="4"/>
  <c r="CR16" i="4"/>
  <c r="CT16" i="4"/>
  <c r="CU16" i="4"/>
  <c r="CV16" i="4"/>
  <c r="CW16" i="4"/>
  <c r="CD16" i="4"/>
  <c r="CE15" i="4"/>
  <c r="CF15" i="4"/>
  <c r="CG15" i="4"/>
  <c r="CH15" i="4"/>
  <c r="CJ15" i="4"/>
  <c r="CK15" i="4"/>
  <c r="CL15" i="4"/>
  <c r="CM15" i="4"/>
  <c r="CO15" i="4"/>
  <c r="CP15" i="4"/>
  <c r="CQ15" i="4"/>
  <c r="CR15" i="4"/>
  <c r="CT15" i="4"/>
  <c r="CU15" i="4"/>
  <c r="CV15" i="4"/>
  <c r="CW15" i="4"/>
  <c r="CD15" i="4"/>
  <c r="CE14" i="4"/>
  <c r="CF14" i="4"/>
  <c r="CG14" i="4"/>
  <c r="CH14" i="4"/>
  <c r="CJ14" i="4"/>
  <c r="CK14" i="4"/>
  <c r="CL14" i="4"/>
  <c r="CM14" i="4"/>
  <c r="CO14" i="4"/>
  <c r="CP14" i="4"/>
  <c r="CQ14" i="4"/>
  <c r="CR14" i="4"/>
  <c r="CT14" i="4"/>
  <c r="CU14" i="4"/>
  <c r="CV14" i="4"/>
  <c r="CW14" i="4"/>
  <c r="CD14" i="4"/>
  <c r="CE13" i="4"/>
  <c r="CF13" i="4"/>
  <c r="CG13" i="4"/>
  <c r="CH13" i="4"/>
  <c r="CJ13" i="4"/>
  <c r="CK13" i="4"/>
  <c r="CL13" i="4"/>
  <c r="CM13" i="4"/>
  <c r="CO13" i="4"/>
  <c r="CP13" i="4"/>
  <c r="CQ13" i="4"/>
  <c r="CR13" i="4"/>
  <c r="CT13" i="4"/>
  <c r="CU13" i="4"/>
  <c r="CV13" i="4"/>
  <c r="CW13" i="4"/>
  <c r="CD13" i="4"/>
  <c r="CE12" i="4"/>
  <c r="CF12" i="4"/>
  <c r="CG12" i="4"/>
  <c r="CH12" i="4"/>
  <c r="CJ12" i="4"/>
  <c r="CK12" i="4"/>
  <c r="CL12" i="4"/>
  <c r="CM12" i="4"/>
  <c r="CO12" i="4"/>
  <c r="CP12" i="4"/>
  <c r="CQ12" i="4"/>
  <c r="CR12" i="4"/>
  <c r="CT12" i="4"/>
  <c r="CU12" i="4"/>
  <c r="CV12" i="4"/>
  <c r="CW12" i="4"/>
  <c r="CD12" i="4"/>
  <c r="C16" i="27"/>
  <c r="C12" i="27"/>
  <c r="C13" i="27"/>
  <c r="C14" i="27"/>
  <c r="C15" i="27"/>
  <c r="C11" i="27"/>
  <c r="C5" i="27"/>
  <c r="C6" i="27"/>
  <c r="C7" i="27"/>
  <c r="C8" i="27"/>
  <c r="C4" i="27"/>
  <c r="C2" i="27"/>
  <c r="CD58" i="4"/>
  <c r="CE73" i="4"/>
  <c r="CF73" i="4"/>
  <c r="CG73" i="4"/>
  <c r="CH73" i="4"/>
  <c r="CM73" i="4" s="1"/>
  <c r="CR73" i="4" s="1"/>
  <c r="CW73" i="4" s="1"/>
  <c r="CI73" i="4"/>
  <c r="CJ73" i="4"/>
  <c r="CK73" i="4"/>
  <c r="CL73" i="4"/>
  <c r="CQ73" i="4" s="1"/>
  <c r="CV73" i="4" s="1"/>
  <c r="CN73" i="4"/>
  <c r="CO73" i="4"/>
  <c r="CP73" i="4"/>
  <c r="CU73" i="4" s="1"/>
  <c r="CS73" i="4"/>
  <c r="CT73" i="4"/>
  <c r="CX73" i="4"/>
  <c r="B13" i="2"/>
  <c r="CD73" i="4" s="1"/>
  <c r="B12" i="2"/>
  <c r="CE71" i="4"/>
  <c r="CF71" i="4" s="1"/>
  <c r="CG71" i="4" s="1"/>
  <c r="CH71" i="4" s="1"/>
  <c r="CI71" i="4" s="1"/>
  <c r="CJ71" i="4" s="1"/>
  <c r="CK71" i="4" s="1"/>
  <c r="CL71" i="4" s="1"/>
  <c r="CM71" i="4" s="1"/>
  <c r="CN71" i="4" s="1"/>
  <c r="CO71" i="4" s="1"/>
  <c r="CP71" i="4" s="1"/>
  <c r="CQ71" i="4" s="1"/>
  <c r="CR71" i="4" s="1"/>
  <c r="CS71" i="4" s="1"/>
  <c r="CT71" i="4" s="1"/>
  <c r="CU71" i="4" s="1"/>
  <c r="CV71" i="4" s="1"/>
  <c r="CW71" i="4" s="1"/>
  <c r="CX71" i="4" s="1"/>
  <c r="CE70" i="4"/>
  <c r="CF70" i="4" s="1"/>
  <c r="CG70" i="4" s="1"/>
  <c r="CH70" i="4" s="1"/>
  <c r="B11" i="2"/>
  <c r="B10" i="2"/>
  <c r="B9" i="2"/>
  <c r="B3" i="2"/>
  <c r="CD56" i="4" s="1"/>
  <c r="B7" i="2"/>
  <c r="B6" i="2"/>
  <c r="B5" i="2"/>
  <c r="B4" i="2"/>
  <c r="CE51" i="4"/>
  <c r="CF51" i="4"/>
  <c r="CG51" i="4"/>
  <c r="CH51" i="4"/>
  <c r="CM51" i="4" s="1"/>
  <c r="CR51" i="4" s="1"/>
  <c r="CW51" i="4" s="1"/>
  <c r="CI51" i="4"/>
  <c r="CJ51" i="4"/>
  <c r="CK51" i="4"/>
  <c r="CL51" i="4"/>
  <c r="CQ51" i="4" s="1"/>
  <c r="CV51" i="4" s="1"/>
  <c r="CN51" i="4"/>
  <c r="CO51" i="4"/>
  <c r="CP51" i="4"/>
  <c r="CU51" i="4" s="1"/>
  <c r="CS51" i="4"/>
  <c r="CT51" i="4"/>
  <c r="CX51" i="4"/>
  <c r="CD51" i="4"/>
  <c r="B8" i="2"/>
  <c r="CD55" i="4"/>
  <c r="CI55" i="4" s="1"/>
  <c r="CN55" i="4" s="1"/>
  <c r="CS55" i="4" s="1"/>
  <c r="CX55" i="4" s="1"/>
  <c r="B2" i="2"/>
  <c r="L10" i="26"/>
  <c r="L9" i="26"/>
  <c r="L8" i="26"/>
  <c r="L7" i="26"/>
  <c r="M7" i="26" s="1"/>
  <c r="L6" i="26"/>
  <c r="L5" i="26"/>
  <c r="L4" i="26"/>
  <c r="M6" i="26"/>
  <c r="M5" i="26"/>
  <c r="L11" i="26"/>
  <c r="L3" i="26"/>
  <c r="B5" i="26"/>
  <c r="B6" i="26"/>
  <c r="R6" i="26" s="1"/>
  <c r="B7" i="26"/>
  <c r="R7" i="26" s="1"/>
  <c r="B8" i="26"/>
  <c r="B9" i="26"/>
  <c r="R9" i="26" s="1"/>
  <c r="B10" i="26"/>
  <c r="R10" i="26" s="1"/>
  <c r="B11" i="26"/>
  <c r="B4" i="26"/>
  <c r="R4" i="26" s="1"/>
  <c r="C11" i="26"/>
  <c r="D11" i="26"/>
  <c r="E11" i="26"/>
  <c r="F11" i="26"/>
  <c r="BF161" i="4"/>
  <c r="BG161" i="4"/>
  <c r="BH161" i="4"/>
  <c r="BI161" i="4"/>
  <c r="BF160" i="4"/>
  <c r="BG160" i="4"/>
  <c r="BH160" i="4"/>
  <c r="BI160" i="4"/>
  <c r="AA159" i="4"/>
  <c r="AB159" i="4"/>
  <c r="AF159" i="4"/>
  <c r="AJ159" i="4"/>
  <c r="AK159" i="4"/>
  <c r="AL159" i="4"/>
  <c r="AN159" i="4"/>
  <c r="AO159" i="4"/>
  <c r="AP159" i="4"/>
  <c r="AR159" i="4"/>
  <c r="AS159" i="4"/>
  <c r="AV159" i="4"/>
  <c r="AW159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AQ133" i="4"/>
  <c r="AR133" i="4"/>
  <c r="AS133" i="4"/>
  <c r="AT133" i="4"/>
  <c r="AU133" i="4"/>
  <c r="AV133" i="4"/>
  <c r="AW133" i="4"/>
  <c r="AX133" i="4"/>
  <c r="AY133" i="4"/>
  <c r="AZ137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AQ126" i="4"/>
  <c r="AR126" i="4"/>
  <c r="AS126" i="4"/>
  <c r="AT126" i="4"/>
  <c r="AU126" i="4"/>
  <c r="AV126" i="4"/>
  <c r="AW126" i="4"/>
  <c r="AX126" i="4"/>
  <c r="AY126" i="4"/>
  <c r="BA23" i="4"/>
  <c r="BB23" i="4"/>
  <c r="BC23" i="4"/>
  <c r="BD23" i="4"/>
  <c r="BF23" i="4"/>
  <c r="BG23" i="4"/>
  <c r="BH23" i="4"/>
  <c r="BI23" i="4"/>
  <c r="BK23" i="4"/>
  <c r="BL23" i="4"/>
  <c r="BM23" i="4"/>
  <c r="BN23" i="4"/>
  <c r="BP23" i="4"/>
  <c r="BQ23" i="4"/>
  <c r="BR23" i="4"/>
  <c r="BS23" i="4"/>
  <c r="BU23" i="4"/>
  <c r="BV23" i="4"/>
  <c r="BW23" i="4"/>
  <c r="BX23" i="4"/>
  <c r="BY23" i="4"/>
  <c r="BZ23" i="4"/>
  <c r="CA23" i="4"/>
  <c r="CB23" i="4"/>
  <c r="CC23" i="4"/>
  <c r="CE23" i="4"/>
  <c r="CF23" i="4"/>
  <c r="CG23" i="4"/>
  <c r="CH23" i="4"/>
  <c r="CJ23" i="4"/>
  <c r="CK23" i="4"/>
  <c r="CL23" i="4"/>
  <c r="CM23" i="4"/>
  <c r="CO23" i="4"/>
  <c r="CP23" i="4"/>
  <c r="CQ23" i="4"/>
  <c r="CR23" i="4"/>
  <c r="CT23" i="4"/>
  <c r="CU23" i="4"/>
  <c r="CV23" i="4"/>
  <c r="CW23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AY94" i="4"/>
  <c r="AZ94" i="4"/>
  <c r="BA94" i="4"/>
  <c r="BB94" i="4"/>
  <c r="BC94" i="4"/>
  <c r="BD94" i="4"/>
  <c r="BE94" i="4"/>
  <c r="BF94" i="4"/>
  <c r="BG94" i="4"/>
  <c r="BH94" i="4"/>
  <c r="BI94" i="4"/>
  <c r="BJ94" i="4"/>
  <c r="BK94" i="4"/>
  <c r="BL94" i="4"/>
  <c r="BM94" i="4"/>
  <c r="BN94" i="4"/>
  <c r="BO94" i="4"/>
  <c r="BP94" i="4"/>
  <c r="BQ94" i="4"/>
  <c r="BR94" i="4"/>
  <c r="BS94" i="4"/>
  <c r="BT94" i="4"/>
  <c r="BU94" i="4"/>
  <c r="BV94" i="4"/>
  <c r="BW94" i="4"/>
  <c r="BX94" i="4"/>
  <c r="BY94" i="4"/>
  <c r="BZ94" i="4"/>
  <c r="CA94" i="4"/>
  <c r="CB94" i="4"/>
  <c r="CC94" i="4"/>
  <c r="CE94" i="4"/>
  <c r="CF94" i="4"/>
  <c r="CG94" i="4"/>
  <c r="CH94" i="4"/>
  <c r="CJ94" i="4"/>
  <c r="CK94" i="4"/>
  <c r="CL94" i="4"/>
  <c r="CM94" i="4"/>
  <c r="CO94" i="4"/>
  <c r="CP94" i="4"/>
  <c r="CQ94" i="4"/>
  <c r="CR94" i="4"/>
  <c r="CT94" i="4"/>
  <c r="CU94" i="4"/>
  <c r="CV94" i="4"/>
  <c r="CW94" i="4"/>
  <c r="CE98" i="4"/>
  <c r="CF98" i="4"/>
  <c r="CG98" i="4"/>
  <c r="CH98" i="4"/>
  <c r="CJ98" i="4"/>
  <c r="CK98" i="4"/>
  <c r="CL98" i="4"/>
  <c r="CM98" i="4"/>
  <c r="CO98" i="4"/>
  <c r="CP98" i="4"/>
  <c r="CQ98" i="4"/>
  <c r="CR98" i="4"/>
  <c r="CT98" i="4"/>
  <c r="CU98" i="4"/>
  <c r="CV98" i="4"/>
  <c r="CW98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AQ113" i="4"/>
  <c r="AR113" i="4"/>
  <c r="AS113" i="4"/>
  <c r="AT113" i="4"/>
  <c r="AU113" i="4"/>
  <c r="AV113" i="4"/>
  <c r="AW113" i="4"/>
  <c r="AX113" i="4"/>
  <c r="AY113" i="4"/>
  <c r="AZ113" i="4"/>
  <c r="BA113" i="4"/>
  <c r="BB113" i="4"/>
  <c r="BC113" i="4"/>
  <c r="BD113" i="4"/>
  <c r="BE113" i="4"/>
  <c r="BF113" i="4"/>
  <c r="BG113" i="4"/>
  <c r="BH113" i="4"/>
  <c r="BI113" i="4"/>
  <c r="BJ113" i="4"/>
  <c r="BK113" i="4"/>
  <c r="BL113" i="4"/>
  <c r="BM113" i="4"/>
  <c r="BN113" i="4"/>
  <c r="BO113" i="4"/>
  <c r="BP113" i="4"/>
  <c r="BQ113" i="4"/>
  <c r="BR113" i="4"/>
  <c r="BS113" i="4"/>
  <c r="BT113" i="4"/>
  <c r="BU113" i="4"/>
  <c r="BV113" i="4"/>
  <c r="BW113" i="4"/>
  <c r="BX113" i="4"/>
  <c r="CE113" i="4"/>
  <c r="CF113" i="4"/>
  <c r="CG113" i="4"/>
  <c r="CH113" i="4"/>
  <c r="CJ113" i="4"/>
  <c r="CK113" i="4"/>
  <c r="CL113" i="4"/>
  <c r="CM113" i="4"/>
  <c r="CO113" i="4"/>
  <c r="CP113" i="4"/>
  <c r="CQ113" i="4"/>
  <c r="CR113" i="4"/>
  <c r="CT113" i="4"/>
  <c r="CU113" i="4"/>
  <c r="CV113" i="4"/>
  <c r="CW113" i="4"/>
  <c r="AA113" i="4"/>
  <c r="R11" i="26" l="1"/>
  <c r="CJ70" i="4"/>
  <c r="CK70" i="4" s="1"/>
  <c r="CL70" i="4" s="1"/>
  <c r="CM70" i="4" s="1"/>
  <c r="CN70" i="4" s="1"/>
  <c r="CO70" i="4" s="1"/>
  <c r="CP70" i="4" s="1"/>
  <c r="CQ70" i="4" s="1"/>
  <c r="CR70" i="4" s="1"/>
  <c r="CS70" i="4" s="1"/>
  <c r="CT70" i="4"/>
  <c r="CU70" i="4" s="1"/>
  <c r="CV70" i="4" s="1"/>
  <c r="CW70" i="4" s="1"/>
  <c r="CX70" i="4" s="1"/>
  <c r="M10" i="26"/>
  <c r="M9" i="26"/>
  <c r="M8" i="26"/>
  <c r="M4" i="26"/>
  <c r="AA94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AX75" i="4"/>
  <c r="AY75" i="4"/>
  <c r="AA75" i="4"/>
  <c r="AB11" i="4"/>
  <c r="AB23" i="4" s="1"/>
  <c r="AB161" i="4" s="1"/>
  <c r="AC11" i="4"/>
  <c r="AC23" i="4" s="1"/>
  <c r="AC161" i="4" s="1"/>
  <c r="AD11" i="4"/>
  <c r="AD23" i="4" s="1"/>
  <c r="AD161" i="4" s="1"/>
  <c r="AE11" i="4"/>
  <c r="AE23" i="4" s="1"/>
  <c r="AE161" i="4" s="1"/>
  <c r="AF11" i="4"/>
  <c r="AF23" i="4" s="1"/>
  <c r="AF161" i="4" s="1"/>
  <c r="AG11" i="4"/>
  <c r="AG23" i="4" s="1"/>
  <c r="AG161" i="4" s="1"/>
  <c r="AH11" i="4"/>
  <c r="AH23" i="4" s="1"/>
  <c r="AH161" i="4" s="1"/>
  <c r="AI11" i="4"/>
  <c r="AI23" i="4" s="1"/>
  <c r="AI161" i="4" s="1"/>
  <c r="AJ11" i="4"/>
  <c r="AJ23" i="4" s="1"/>
  <c r="AJ161" i="4" s="1"/>
  <c r="AK11" i="4"/>
  <c r="AK23" i="4" s="1"/>
  <c r="AK161" i="4" s="1"/>
  <c r="AL11" i="4"/>
  <c r="AL23" i="4" s="1"/>
  <c r="AL161" i="4" s="1"/>
  <c r="AM11" i="4"/>
  <c r="AM23" i="4" s="1"/>
  <c r="AM161" i="4" s="1"/>
  <c r="AN11" i="4"/>
  <c r="AN23" i="4" s="1"/>
  <c r="AN161" i="4" s="1"/>
  <c r="AO11" i="4"/>
  <c r="AO23" i="4" s="1"/>
  <c r="AO161" i="4" s="1"/>
  <c r="AP11" i="4"/>
  <c r="AP23" i="4" s="1"/>
  <c r="AP161" i="4" s="1"/>
  <c r="AQ11" i="4"/>
  <c r="AQ23" i="4" s="1"/>
  <c r="AQ161" i="4" s="1"/>
  <c r="AR11" i="4"/>
  <c r="AR23" i="4" s="1"/>
  <c r="AR161" i="4" s="1"/>
  <c r="AS11" i="4"/>
  <c r="AS23" i="4" s="1"/>
  <c r="AS161" i="4" s="1"/>
  <c r="AT11" i="4"/>
  <c r="AT23" i="4" s="1"/>
  <c r="AT161" i="4" s="1"/>
  <c r="AU11" i="4"/>
  <c r="AU23" i="4" s="1"/>
  <c r="AU161" i="4" s="1"/>
  <c r="AV11" i="4"/>
  <c r="AV23" i="4" s="1"/>
  <c r="AV161" i="4" s="1"/>
  <c r="AW11" i="4"/>
  <c r="AW23" i="4" s="1"/>
  <c r="AW161" i="4" s="1"/>
  <c r="AX11" i="4"/>
  <c r="AX23" i="4" s="1"/>
  <c r="AX161" i="4" s="1"/>
  <c r="AY11" i="4"/>
  <c r="AY23" i="4" s="1"/>
  <c r="AY161" i="4" s="1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CE145" i="4"/>
  <c r="CF145" i="4"/>
  <c r="CG145" i="4"/>
  <c r="CH145" i="4"/>
  <c r="CJ145" i="4"/>
  <c r="CK145" i="4"/>
  <c r="CL145" i="4"/>
  <c r="CM145" i="4"/>
  <c r="CO145" i="4"/>
  <c r="CP145" i="4"/>
  <c r="CQ145" i="4"/>
  <c r="CR145" i="4"/>
  <c r="CT145" i="4"/>
  <c r="CU145" i="4"/>
  <c r="CV145" i="4"/>
  <c r="CW145" i="4"/>
  <c r="BX91" i="4"/>
  <c r="AT31" i="4"/>
  <c r="L31" i="28"/>
  <c r="J29" i="28"/>
  <c r="K29" i="28" s="1"/>
  <c r="L29" i="28" s="1"/>
  <c r="N6" i="26"/>
  <c r="O6" i="26" s="1"/>
  <c r="P6" i="26" s="1"/>
  <c r="Q6" i="26" s="1"/>
  <c r="N7" i="26"/>
  <c r="O7" i="26" s="1"/>
  <c r="P7" i="26" s="1"/>
  <c r="Q7" i="26" s="1"/>
  <c r="N9" i="26"/>
  <c r="O9" i="26" s="1"/>
  <c r="P9" i="26" s="1"/>
  <c r="Q9" i="26" s="1"/>
  <c r="CD108" i="4"/>
  <c r="BY91" i="4"/>
  <c r="BY86" i="4"/>
  <c r="CD86" i="4" s="1"/>
  <c r="CI86" i="4" s="1"/>
  <c r="CN86" i="4" s="1"/>
  <c r="CS86" i="4" s="1"/>
  <c r="CX86" i="4" s="1"/>
  <c r="B14" i="2"/>
  <c r="BA133" i="4"/>
  <c r="BB133" i="4"/>
  <c r="BC133" i="4"/>
  <c r="BD133" i="4"/>
  <c r="BE133" i="4"/>
  <c r="BF133" i="4"/>
  <c r="BG133" i="4"/>
  <c r="BH133" i="4"/>
  <c r="BI133" i="4"/>
  <c r="BJ133" i="4"/>
  <c r="BK133" i="4"/>
  <c r="BL133" i="4"/>
  <c r="BM133" i="4"/>
  <c r="BN133" i="4"/>
  <c r="BO133" i="4"/>
  <c r="BP133" i="4"/>
  <c r="BQ133" i="4"/>
  <c r="BR133" i="4"/>
  <c r="BS133" i="4"/>
  <c r="BT133" i="4"/>
  <c r="BU133" i="4"/>
  <c r="BV133" i="4"/>
  <c r="BW133" i="4"/>
  <c r="BY133" i="4"/>
  <c r="BZ133" i="4"/>
  <c r="CA133" i="4"/>
  <c r="CB133" i="4"/>
  <c r="CC133" i="4"/>
  <c r="AZ133" i="4"/>
  <c r="BX133" i="4"/>
  <c r="BY58" i="4"/>
  <c r="D15" i="27"/>
  <c r="D14" i="27"/>
  <c r="D13" i="27"/>
  <c r="D12" i="27"/>
  <c r="D11" i="27"/>
  <c r="D8" i="27"/>
  <c r="D7" i="27"/>
  <c r="D6" i="27"/>
  <c r="D5" i="27"/>
  <c r="D4" i="27"/>
  <c r="D2" i="27"/>
  <c r="BY107" i="4"/>
  <c r="BY108" i="4"/>
  <c r="BY109" i="4"/>
  <c r="BZ109" i="4" s="1"/>
  <c r="BZ113" i="4" s="1"/>
  <c r="BY110" i="4"/>
  <c r="BY111" i="4"/>
  <c r="BY112" i="4"/>
  <c r="BY106" i="4"/>
  <c r="BY100" i="4"/>
  <c r="BY101" i="4"/>
  <c r="CD101" i="4" s="1"/>
  <c r="CI101" i="4" s="1"/>
  <c r="CN101" i="4" s="1"/>
  <c r="CS101" i="4" s="1"/>
  <c r="CX101" i="4" s="1"/>
  <c r="BY102" i="4"/>
  <c r="CD102" i="4" s="1"/>
  <c r="CI102" i="4" s="1"/>
  <c r="CN102" i="4" s="1"/>
  <c r="CS102" i="4" s="1"/>
  <c r="CX102" i="4" s="1"/>
  <c r="BY103" i="4"/>
  <c r="CD103" i="4" s="1"/>
  <c r="CI103" i="4" s="1"/>
  <c r="CN103" i="4" s="1"/>
  <c r="CS103" i="4" s="1"/>
  <c r="CX103" i="4" s="1"/>
  <c r="BY83" i="4"/>
  <c r="BY85" i="4"/>
  <c r="CD85" i="4" s="1"/>
  <c r="CI85" i="4" s="1"/>
  <c r="CN85" i="4" s="1"/>
  <c r="CS85" i="4" s="1"/>
  <c r="CX85" i="4" s="1"/>
  <c r="BY71" i="4"/>
  <c r="BZ71" i="4" s="1"/>
  <c r="CA71" i="4" s="1"/>
  <c r="BY72" i="4"/>
  <c r="BY73" i="4"/>
  <c r="BY70" i="4"/>
  <c r="BZ70" i="4" s="1"/>
  <c r="CA70" i="4" s="1"/>
  <c r="CB70" i="4" s="1"/>
  <c r="CC70" i="4" s="1"/>
  <c r="BY66" i="4"/>
  <c r="CD66" i="4" s="1"/>
  <c r="CI66" i="4" s="1"/>
  <c r="CN66" i="4" s="1"/>
  <c r="CS66" i="4" s="1"/>
  <c r="CX66" i="4" s="1"/>
  <c r="BY65" i="4"/>
  <c r="BY62" i="4"/>
  <c r="CD62" i="4" s="1"/>
  <c r="CI62" i="4" s="1"/>
  <c r="BY63" i="4"/>
  <c r="CD63" i="4" s="1"/>
  <c r="CI63" i="4" s="1"/>
  <c r="BY57" i="4"/>
  <c r="N10" i="26"/>
  <c r="O10" i="26" s="1"/>
  <c r="P10" i="26" s="1"/>
  <c r="Q10" i="26" s="1"/>
  <c r="N5" i="26"/>
  <c r="O5" i="26" s="1"/>
  <c r="P5" i="26" s="1"/>
  <c r="Q5" i="26" s="1"/>
  <c r="N4" i="26"/>
  <c r="O4" i="26" s="1"/>
  <c r="P4" i="26" s="1"/>
  <c r="Q4" i="26" s="1"/>
  <c r="BY25" i="4"/>
  <c r="BD11" i="4"/>
  <c r="H11" i="26"/>
  <c r="BE9" i="4" s="1"/>
  <c r="BE11" i="4" s="1"/>
  <c r="BE23" i="4" s="1"/>
  <c r="BE161" i="4" s="1"/>
  <c r="I11" i="26"/>
  <c r="BJ9" i="4" s="1"/>
  <c r="BJ11" i="4" s="1"/>
  <c r="BJ23" i="4" s="1"/>
  <c r="J11" i="26"/>
  <c r="BO9" i="4" s="1"/>
  <c r="BO11" i="4" s="1"/>
  <c r="BO23" i="4" s="1"/>
  <c r="K11" i="26"/>
  <c r="BT9" i="4" s="1"/>
  <c r="BT11" i="4" s="1"/>
  <c r="BT23" i="4" s="1"/>
  <c r="G11" i="26"/>
  <c r="AZ9" i="4" s="1"/>
  <c r="BA75" i="4"/>
  <c r="BA126" i="4" s="1"/>
  <c r="BB75" i="4"/>
  <c r="BB126" i="4" s="1"/>
  <c r="BC75" i="4"/>
  <c r="BC126" i="4" s="1"/>
  <c r="BD75" i="4"/>
  <c r="BD126" i="4" s="1"/>
  <c r="BE75" i="4"/>
  <c r="BE126" i="4" s="1"/>
  <c r="BF75" i="4"/>
  <c r="BF126" i="4" s="1"/>
  <c r="BG75" i="4"/>
  <c r="BG126" i="4" s="1"/>
  <c r="BH75" i="4"/>
  <c r="BH126" i="4" s="1"/>
  <c r="BI75" i="4"/>
  <c r="BI126" i="4" s="1"/>
  <c r="BJ75" i="4"/>
  <c r="BJ126" i="4" s="1"/>
  <c r="BK75" i="4"/>
  <c r="BK126" i="4" s="1"/>
  <c r="BL75" i="4"/>
  <c r="BL126" i="4" s="1"/>
  <c r="BM75" i="4"/>
  <c r="BM126" i="4" s="1"/>
  <c r="BN75" i="4"/>
  <c r="BN126" i="4" s="1"/>
  <c r="BO75" i="4"/>
  <c r="BO126" i="4" s="1"/>
  <c r="BP75" i="4"/>
  <c r="BP126" i="4" s="1"/>
  <c r="BQ75" i="4"/>
  <c r="BQ126" i="4" s="1"/>
  <c r="BR75" i="4"/>
  <c r="BR126" i="4" s="1"/>
  <c r="BS75" i="4"/>
  <c r="BS126" i="4" s="1"/>
  <c r="BT75" i="4"/>
  <c r="BT126" i="4" s="1"/>
  <c r="BU75" i="4"/>
  <c r="BU126" i="4" s="1"/>
  <c r="BV75" i="4"/>
  <c r="BV126" i="4" s="1"/>
  <c r="BW75" i="4"/>
  <c r="BW126" i="4" s="1"/>
  <c r="AZ75" i="4"/>
  <c r="AZ126" i="4" s="1"/>
  <c r="BA11" i="4"/>
  <c r="BB11" i="4"/>
  <c r="BC11" i="4"/>
  <c r="BF11" i="4"/>
  <c r="BG11" i="4"/>
  <c r="BH11" i="4"/>
  <c r="BI11" i="4"/>
  <c r="BK11" i="4"/>
  <c r="BL11" i="4"/>
  <c r="BM11" i="4"/>
  <c r="BN11" i="4"/>
  <c r="BP11" i="4"/>
  <c r="BQ11" i="4"/>
  <c r="BR11" i="4"/>
  <c r="BS11" i="4"/>
  <c r="BU11" i="4"/>
  <c r="BV11" i="4"/>
  <c r="BW11" i="4"/>
  <c r="BZ11" i="4"/>
  <c r="CA11" i="4"/>
  <c r="CB11" i="4"/>
  <c r="CC11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BT17" i="4"/>
  <c r="BU17" i="4"/>
  <c r="BV17" i="4"/>
  <c r="BW17" i="4"/>
  <c r="BZ17" i="4"/>
  <c r="CA17" i="4"/>
  <c r="CB17" i="4"/>
  <c r="CC17" i="4"/>
  <c r="CE157" i="25"/>
  <c r="CF157" i="25"/>
  <c r="CG157" i="25"/>
  <c r="CH157" i="25"/>
  <c r="CI157" i="25"/>
  <c r="CJ157" i="25"/>
  <c r="CK157" i="25"/>
  <c r="CL157" i="25"/>
  <c r="CM157" i="25"/>
  <c r="CN157" i="25"/>
  <c r="CO157" i="25"/>
  <c r="CP157" i="25"/>
  <c r="CQ157" i="25"/>
  <c r="CR157" i="25"/>
  <c r="CS157" i="25"/>
  <c r="CD157" i="25"/>
  <c r="CE151" i="25"/>
  <c r="CF151" i="25"/>
  <c r="CG151" i="25"/>
  <c r="CH151" i="25"/>
  <c r="CI151" i="25"/>
  <c r="CJ151" i="25"/>
  <c r="CK151" i="25"/>
  <c r="CL151" i="25"/>
  <c r="CM151" i="25"/>
  <c r="CN151" i="25"/>
  <c r="CO151" i="25"/>
  <c r="CP151" i="25"/>
  <c r="CQ151" i="25"/>
  <c r="CR151" i="25"/>
  <c r="CS151" i="25"/>
  <c r="CT151" i="25"/>
  <c r="CU151" i="25"/>
  <c r="CV151" i="25"/>
  <c r="CW151" i="25"/>
  <c r="CD151" i="25"/>
  <c r="CE142" i="25"/>
  <c r="CF142" i="25"/>
  <c r="CG142" i="25"/>
  <c r="CH142" i="25"/>
  <c r="CI142" i="25"/>
  <c r="CJ142" i="25"/>
  <c r="CK142" i="25"/>
  <c r="CL142" i="25"/>
  <c r="CM142" i="25"/>
  <c r="CN142" i="25"/>
  <c r="CO142" i="25"/>
  <c r="CP142" i="25"/>
  <c r="CQ142" i="25"/>
  <c r="CR142" i="25"/>
  <c r="CS142" i="25"/>
  <c r="CD142" i="25"/>
  <c r="CE130" i="25"/>
  <c r="CF130" i="25"/>
  <c r="CG130" i="25"/>
  <c r="CH130" i="25"/>
  <c r="CI130" i="25"/>
  <c r="CJ130" i="25"/>
  <c r="CK130" i="25"/>
  <c r="CL130" i="25"/>
  <c r="CM130" i="25"/>
  <c r="CN130" i="25"/>
  <c r="CO130" i="25"/>
  <c r="CP130" i="25"/>
  <c r="CQ130" i="25"/>
  <c r="CR130" i="25"/>
  <c r="CS130" i="25"/>
  <c r="CD130" i="25"/>
  <c r="D38" i="19"/>
  <c r="E38" i="19"/>
  <c r="F38" i="19"/>
  <c r="C38" i="19"/>
  <c r="D30" i="19"/>
  <c r="E30" i="19"/>
  <c r="F30" i="19"/>
  <c r="C30" i="19"/>
  <c r="D21" i="19"/>
  <c r="E21" i="19"/>
  <c r="F21" i="19"/>
  <c r="C21" i="19"/>
  <c r="D12" i="19"/>
  <c r="E12" i="19"/>
  <c r="F12" i="19"/>
  <c r="C12" i="19"/>
  <c r="CE89" i="25"/>
  <c r="CF89" i="25"/>
  <c r="CG89" i="25"/>
  <c r="CH89" i="25"/>
  <c r="CI89" i="25"/>
  <c r="CJ89" i="25"/>
  <c r="CK89" i="25"/>
  <c r="CL89" i="25"/>
  <c r="CM89" i="25"/>
  <c r="CN89" i="25"/>
  <c r="CO89" i="25"/>
  <c r="CP89" i="25"/>
  <c r="CQ89" i="25"/>
  <c r="CR89" i="25"/>
  <c r="CS89" i="25"/>
  <c r="CD89" i="25"/>
  <c r="CE79" i="25"/>
  <c r="CE91" i="25" s="1"/>
  <c r="CF79" i="25"/>
  <c r="CF91" i="25" s="1"/>
  <c r="CG79" i="25"/>
  <c r="CG91" i="25" s="1"/>
  <c r="CH79" i="25"/>
  <c r="CH91" i="25" s="1"/>
  <c r="CI79" i="25"/>
  <c r="CI91" i="25" s="1"/>
  <c r="CJ79" i="25"/>
  <c r="CJ91" i="25" s="1"/>
  <c r="CK79" i="25"/>
  <c r="CK91" i="25" s="1"/>
  <c r="CL79" i="25"/>
  <c r="CL91" i="25" s="1"/>
  <c r="CM79" i="25"/>
  <c r="CM91" i="25" s="1"/>
  <c r="CN79" i="25"/>
  <c r="CN91" i="25" s="1"/>
  <c r="CO79" i="25"/>
  <c r="CO91" i="25" s="1"/>
  <c r="CP79" i="25"/>
  <c r="CP91" i="25" s="1"/>
  <c r="CQ79" i="25"/>
  <c r="CQ91" i="25" s="1"/>
  <c r="CR79" i="25"/>
  <c r="CR91" i="25" s="1"/>
  <c r="CS79" i="25"/>
  <c r="CS91" i="25" s="1"/>
  <c r="CD79" i="25"/>
  <c r="CD91" i="25" s="1"/>
  <c r="CE66" i="25"/>
  <c r="CE70" i="25" s="1"/>
  <c r="CE93" i="25" s="1"/>
  <c r="CF66" i="25"/>
  <c r="CF70" i="25" s="1"/>
  <c r="CF93" i="25" s="1"/>
  <c r="CG66" i="25"/>
  <c r="CG70" i="25" s="1"/>
  <c r="CG93" i="25" s="1"/>
  <c r="CH66" i="25"/>
  <c r="CH70" i="25" s="1"/>
  <c r="CH93" i="25" s="1"/>
  <c r="CI66" i="25"/>
  <c r="CI70" i="25" s="1"/>
  <c r="CI93" i="25" s="1"/>
  <c r="CJ66" i="25"/>
  <c r="CJ70" i="25" s="1"/>
  <c r="CJ93" i="25" s="1"/>
  <c r="CK66" i="25"/>
  <c r="CK70" i="25" s="1"/>
  <c r="CK93" i="25" s="1"/>
  <c r="CL66" i="25"/>
  <c r="CL70" i="25" s="1"/>
  <c r="CL93" i="25" s="1"/>
  <c r="CM66" i="25"/>
  <c r="CM70" i="25" s="1"/>
  <c r="CM93" i="25" s="1"/>
  <c r="CN66" i="25"/>
  <c r="CN70" i="25" s="1"/>
  <c r="CN93" i="25" s="1"/>
  <c r="CO66" i="25"/>
  <c r="CO70" i="25" s="1"/>
  <c r="CO93" i="25" s="1"/>
  <c r="CP66" i="25"/>
  <c r="CP70" i="25" s="1"/>
  <c r="CP93" i="25" s="1"/>
  <c r="CQ66" i="25"/>
  <c r="CQ70" i="25" s="1"/>
  <c r="CQ93" i="25" s="1"/>
  <c r="CR66" i="25"/>
  <c r="CR70" i="25" s="1"/>
  <c r="CR93" i="25" s="1"/>
  <c r="CS66" i="25"/>
  <c r="CS70" i="25" s="1"/>
  <c r="CS93" i="25" s="1"/>
  <c r="CD66" i="25"/>
  <c r="CD70" i="25" s="1"/>
  <c r="CD93" i="25" s="1"/>
  <c r="CE51" i="25"/>
  <c r="CF51" i="25"/>
  <c r="CG51" i="25"/>
  <c r="CH51" i="25"/>
  <c r="CI51" i="25"/>
  <c r="CJ51" i="25"/>
  <c r="CK51" i="25"/>
  <c r="CL51" i="25"/>
  <c r="CM51" i="25"/>
  <c r="CN51" i="25"/>
  <c r="CO51" i="25"/>
  <c r="CP51" i="25"/>
  <c r="CQ51" i="25"/>
  <c r="CR51" i="25"/>
  <c r="CS51" i="25"/>
  <c r="CD51" i="25"/>
  <c r="CE40" i="25"/>
  <c r="CE53" i="25" s="1"/>
  <c r="CF40" i="25"/>
  <c r="CF53" i="25" s="1"/>
  <c r="CG40" i="25"/>
  <c r="CG53" i="25" s="1"/>
  <c r="CH40" i="25"/>
  <c r="CH53" i="25" s="1"/>
  <c r="CI40" i="25"/>
  <c r="CI53" i="25" s="1"/>
  <c r="CJ40" i="25"/>
  <c r="CJ53" i="25" s="1"/>
  <c r="CK40" i="25"/>
  <c r="CK53" i="25" s="1"/>
  <c r="CL40" i="25"/>
  <c r="CL53" i="25" s="1"/>
  <c r="CM40" i="25"/>
  <c r="CM53" i="25" s="1"/>
  <c r="CN40" i="25"/>
  <c r="CN53" i="25" s="1"/>
  <c r="CO40" i="25"/>
  <c r="CO53" i="25" s="1"/>
  <c r="CP40" i="25"/>
  <c r="CP53" i="25" s="1"/>
  <c r="CQ40" i="25"/>
  <c r="CQ53" i="25" s="1"/>
  <c r="CR40" i="25"/>
  <c r="CR53" i="25" s="1"/>
  <c r="CS40" i="25"/>
  <c r="CS53" i="25" s="1"/>
  <c r="CD40" i="25"/>
  <c r="CD53" i="25" s="1"/>
  <c r="CE26" i="25"/>
  <c r="CF26" i="25"/>
  <c r="CG26" i="25"/>
  <c r="CH26" i="25"/>
  <c r="CI26" i="25"/>
  <c r="CJ26" i="25"/>
  <c r="CK26" i="25"/>
  <c r="CL26" i="25"/>
  <c r="CM26" i="25"/>
  <c r="CN26" i="25"/>
  <c r="CO26" i="25"/>
  <c r="CP26" i="25"/>
  <c r="CQ26" i="25"/>
  <c r="CR26" i="25"/>
  <c r="CS26" i="25"/>
  <c r="CD26" i="25"/>
  <c r="CE20" i="25"/>
  <c r="CE22" i="25" s="1"/>
  <c r="CF20" i="25"/>
  <c r="CF22" i="25" s="1"/>
  <c r="CG20" i="25"/>
  <c r="CG22" i="25" s="1"/>
  <c r="CH20" i="25"/>
  <c r="CH22" i="25" s="1"/>
  <c r="CI20" i="25"/>
  <c r="CI22" i="25" s="1"/>
  <c r="CJ20" i="25"/>
  <c r="CJ22" i="25" s="1"/>
  <c r="CK20" i="25"/>
  <c r="CK22" i="25" s="1"/>
  <c r="CL20" i="25"/>
  <c r="CL22" i="25" s="1"/>
  <c r="CM20" i="25"/>
  <c r="CM22" i="25" s="1"/>
  <c r="CN20" i="25"/>
  <c r="CN22" i="25" s="1"/>
  <c r="CO20" i="25"/>
  <c r="CO22" i="25" s="1"/>
  <c r="CP20" i="25"/>
  <c r="CP22" i="25" s="1"/>
  <c r="CQ20" i="25"/>
  <c r="CQ22" i="25" s="1"/>
  <c r="CR20" i="25"/>
  <c r="CR22" i="25" s="1"/>
  <c r="CS20" i="25"/>
  <c r="CS22" i="25" s="1"/>
  <c r="CD20" i="25"/>
  <c r="CD22" i="25" s="1"/>
  <c r="CD53" i="4" l="1"/>
  <c r="T6" i="26"/>
  <c r="S11" i="26"/>
  <c r="T8" i="26"/>
  <c r="T10" i="26"/>
  <c r="T7" i="26"/>
  <c r="T4" i="26"/>
  <c r="T9" i="26"/>
  <c r="T5" i="26"/>
  <c r="BY113" i="4"/>
  <c r="CD72" i="4"/>
  <c r="CI72" i="4" s="1"/>
  <c r="CN72" i="4" s="1"/>
  <c r="CS72" i="4" s="1"/>
  <c r="CX72" i="4" s="1"/>
  <c r="CD57" i="4"/>
  <c r="CI57" i="4" s="1"/>
  <c r="CN57" i="4" s="1"/>
  <c r="CS57" i="4" s="1"/>
  <c r="CX57" i="4" s="1"/>
  <c r="CD91" i="4"/>
  <c r="CI91" i="4" s="1"/>
  <c r="CN91" i="4" s="1"/>
  <c r="CS91" i="4" s="1"/>
  <c r="CX91" i="4" s="1"/>
  <c r="BY51" i="4"/>
  <c r="CI108" i="4"/>
  <c r="BY82" i="4"/>
  <c r="CD82" i="4" s="1"/>
  <c r="CI82" i="4" s="1"/>
  <c r="BZ75" i="4"/>
  <c r="BY56" i="4"/>
  <c r="CI56" i="4" s="1"/>
  <c r="CN56" i="4" s="1"/>
  <c r="CS56" i="4" s="1"/>
  <c r="CX56" i="4" s="1"/>
  <c r="BY67" i="4"/>
  <c r="BY92" i="4"/>
  <c r="CD92" i="4" s="1"/>
  <c r="CI92" i="4" s="1"/>
  <c r="CN92" i="4" s="1"/>
  <c r="CS92" i="4" s="1"/>
  <c r="CX92" i="4" s="1"/>
  <c r="CA109" i="4"/>
  <c r="CA113" i="4" s="1"/>
  <c r="BZ83" i="4"/>
  <c r="CA83" i="4" s="1"/>
  <c r="CB83" i="4" s="1"/>
  <c r="CC83" i="4" s="1"/>
  <c r="CD65" i="4"/>
  <c r="CI65" i="4" s="1"/>
  <c r="CN65" i="4" s="1"/>
  <c r="CS65" i="4" s="1"/>
  <c r="CX65" i="4" s="1"/>
  <c r="N8" i="26"/>
  <c r="O8" i="26" s="1"/>
  <c r="P8" i="26" s="1"/>
  <c r="Q8" i="26" s="1"/>
  <c r="CB109" i="4"/>
  <c r="CA75" i="4"/>
  <c r="CB71" i="4"/>
  <c r="CN62" i="4"/>
  <c r="BX59" i="4"/>
  <c r="BY55" i="4"/>
  <c r="BY16" i="4"/>
  <c r="BY27" i="4"/>
  <c r="BY10" i="4"/>
  <c r="BY28" i="4"/>
  <c r="BY13" i="4"/>
  <c r="BY12" i="4"/>
  <c r="BY26" i="4"/>
  <c r="BY15" i="4"/>
  <c r="BY14" i="4"/>
  <c r="BY24" i="4"/>
  <c r="BY9" i="4"/>
  <c r="BX11" i="4"/>
  <c r="J8" i="25"/>
  <c r="H8" i="25"/>
  <c r="F8" i="25"/>
  <c r="E8" i="25"/>
  <c r="D8" i="25"/>
  <c r="C8" i="25"/>
  <c r="BG6" i="25"/>
  <c r="CD52" i="4" l="1"/>
  <c r="CD153" i="4" s="1"/>
  <c r="M11" i="26"/>
  <c r="CD9" i="4" s="1"/>
  <c r="T11" i="26"/>
  <c r="CC109" i="4"/>
  <c r="CC113" i="4" s="1"/>
  <c r="CB113" i="4"/>
  <c r="CN108" i="4"/>
  <c r="BL29" i="4"/>
  <c r="BL145" i="4"/>
  <c r="BW29" i="4"/>
  <c r="BW145" i="4"/>
  <c r="BQ29" i="4"/>
  <c r="BQ145" i="4"/>
  <c r="BJ29" i="4"/>
  <c r="BJ145" i="4"/>
  <c r="BI29" i="4"/>
  <c r="BI145" i="4"/>
  <c r="CC29" i="4"/>
  <c r="CC34" i="4" s="1"/>
  <c r="CC145" i="4"/>
  <c r="BO29" i="4"/>
  <c r="BO145" i="4"/>
  <c r="BD29" i="4"/>
  <c r="BD145" i="4"/>
  <c r="BT29" i="4"/>
  <c r="BT145" i="4"/>
  <c r="BF29" i="4"/>
  <c r="BF145" i="4"/>
  <c r="BZ29" i="4"/>
  <c r="BZ33" i="4" s="1"/>
  <c r="BZ126" i="4" s="1"/>
  <c r="BZ145" i="4"/>
  <c r="BA29" i="4"/>
  <c r="BA145" i="4"/>
  <c r="BG29" i="4"/>
  <c r="BG145" i="4"/>
  <c r="BR29" i="4"/>
  <c r="BR145" i="4"/>
  <c r="BE29" i="4"/>
  <c r="BE160" i="4" s="1"/>
  <c r="BE145" i="4"/>
  <c r="BU29" i="4"/>
  <c r="BU145" i="4"/>
  <c r="BK29" i="4"/>
  <c r="BK145" i="4"/>
  <c r="CA29" i="4"/>
  <c r="CA34" i="4" s="1"/>
  <c r="CA145" i="4"/>
  <c r="BP29" i="4"/>
  <c r="BP145" i="4"/>
  <c r="BB29" i="4"/>
  <c r="BB145" i="4"/>
  <c r="BV29" i="4"/>
  <c r="BV145" i="4"/>
  <c r="BM29" i="4"/>
  <c r="BM145" i="4"/>
  <c r="BC29" i="4"/>
  <c r="BC145" i="4"/>
  <c r="BS29" i="4"/>
  <c r="BS145" i="4"/>
  <c r="BH29" i="4"/>
  <c r="BH145" i="4"/>
  <c r="CB29" i="4"/>
  <c r="CB33" i="4" s="1"/>
  <c r="CB145" i="4"/>
  <c r="BN29" i="4"/>
  <c r="BN145" i="4"/>
  <c r="CN82" i="4"/>
  <c r="CS82" i="4" s="1"/>
  <c r="CX82" i="4" s="1"/>
  <c r="CD109" i="4"/>
  <c r="CD113" i="4" s="1"/>
  <c r="CD83" i="4"/>
  <c r="CB75" i="4"/>
  <c r="CC71" i="4"/>
  <c r="CS62" i="4"/>
  <c r="BY17" i="4"/>
  <c r="BZ34" i="4"/>
  <c r="BX17" i="4"/>
  <c r="BY11" i="4"/>
  <c r="N11" i="26"/>
  <c r="O12" i="26" s="1"/>
  <c r="K8" i="25"/>
  <c r="I8" i="25"/>
  <c r="CD133" i="4" l="1"/>
  <c r="CD99" i="4"/>
  <c r="CD10" i="4"/>
  <c r="CD11" i="4" s="1"/>
  <c r="CS108" i="4"/>
  <c r="CC33" i="4"/>
  <c r="CA33" i="4"/>
  <c r="CA126" i="4" s="1"/>
  <c r="CB34" i="4"/>
  <c r="BX29" i="4"/>
  <c r="BX33" i="4" s="1"/>
  <c r="BX145" i="4"/>
  <c r="BX75" i="4"/>
  <c r="BY74" i="4"/>
  <c r="BY75" i="4" s="1"/>
  <c r="CB126" i="4"/>
  <c r="CI109" i="4"/>
  <c r="CI113" i="4" s="1"/>
  <c r="CI9" i="4"/>
  <c r="CD71" i="4"/>
  <c r="CC75" i="4"/>
  <c r="CX62" i="4"/>
  <c r="BX34" i="4"/>
  <c r="O11" i="26"/>
  <c r="P12" i="26" s="1"/>
  <c r="N8" i="25"/>
  <c r="M8" i="25"/>
  <c r="P8" i="25"/>
  <c r="O8" i="25"/>
  <c r="BA54" i="4"/>
  <c r="BA59" i="4"/>
  <c r="BA64" i="4"/>
  <c r="BA68" i="4"/>
  <c r="CX47" i="4"/>
  <c r="CS47" i="4"/>
  <c r="CN47" i="4"/>
  <c r="CI47" i="4"/>
  <c r="CD42" i="4"/>
  <c r="CC42" i="4" s="1"/>
  <c r="CB42" i="4" s="1"/>
  <c r="CA42" i="4" s="1"/>
  <c r="BZ42" i="4" s="1"/>
  <c r="BY42" i="4" s="1"/>
  <c r="BX42" i="4" s="1"/>
  <c r="BW42" i="4" s="1"/>
  <c r="BV42" i="4" s="1"/>
  <c r="BU42" i="4" s="1"/>
  <c r="BT42" i="4" s="1"/>
  <c r="BS42" i="4" s="1"/>
  <c r="BR42" i="4" s="1"/>
  <c r="BQ42" i="4" s="1"/>
  <c r="BP42" i="4" s="1"/>
  <c r="BO42" i="4" s="1"/>
  <c r="BN42" i="4" s="1"/>
  <c r="BM42" i="4" s="1"/>
  <c r="BL42" i="4" s="1"/>
  <c r="BK42" i="4" s="1"/>
  <c r="BJ42" i="4" s="1"/>
  <c r="BI42" i="4" s="1"/>
  <c r="BH42" i="4" s="1"/>
  <c r="BG42" i="4" s="1"/>
  <c r="BF42" i="4" s="1"/>
  <c r="BE42" i="4" s="1"/>
  <c r="BD42" i="4" s="1"/>
  <c r="BC42" i="4" s="1"/>
  <c r="BB42" i="4" s="1"/>
  <c r="BA42" i="4" s="1"/>
  <c r="AZ42" i="4" s="1"/>
  <c r="AY42" i="4" s="1"/>
  <c r="AX42" i="4" s="1"/>
  <c r="AW42" i="4" s="1"/>
  <c r="AV42" i="4" s="1"/>
  <c r="AU42" i="4" s="1"/>
  <c r="CD41" i="4"/>
  <c r="CX181" i="4"/>
  <c r="CX172" i="4"/>
  <c r="CX128" i="4"/>
  <c r="CX129" i="4" s="1"/>
  <c r="CX179" i="4" s="1"/>
  <c r="CS181" i="4"/>
  <c r="CS172" i="4"/>
  <c r="CN181" i="4"/>
  <c r="CN172" i="4"/>
  <c r="CI181" i="4"/>
  <c r="CI172" i="4"/>
  <c r="CI152" i="4" l="1"/>
  <c r="CI53" i="4"/>
  <c r="CC126" i="4"/>
  <c r="CI175" i="4"/>
  <c r="CI27" i="4"/>
  <c r="CI16" i="4"/>
  <c r="CI12" i="4"/>
  <c r="CI25" i="4"/>
  <c r="CI14" i="4"/>
  <c r="CI28" i="4"/>
  <c r="CI13" i="4"/>
  <c r="CI26" i="4"/>
  <c r="CI148" i="4" s="1"/>
  <c r="CI15" i="4"/>
  <c r="CI24" i="4"/>
  <c r="CD17" i="4"/>
  <c r="CD23" i="4" s="1"/>
  <c r="CX108" i="4"/>
  <c r="BY29" i="4"/>
  <c r="BY33" i="4" s="1"/>
  <c r="BY126" i="4" s="1"/>
  <c r="BY145" i="4"/>
  <c r="BX126" i="4"/>
  <c r="CI83" i="4"/>
  <c r="CI163" i="4"/>
  <c r="CN9" i="4"/>
  <c r="CI133" i="4"/>
  <c r="CI99" i="4"/>
  <c r="CI10" i="4"/>
  <c r="CI52" i="4" s="1"/>
  <c r="CI153" i="4" s="1"/>
  <c r="Q11" i="26"/>
  <c r="P11" i="26"/>
  <c r="Q12" i="26" s="1"/>
  <c r="U8" i="25"/>
  <c r="R8" i="25"/>
  <c r="S8" i="25"/>
  <c r="T8" i="25"/>
  <c r="BA60" i="4"/>
  <c r="CD129" i="4"/>
  <c r="CC41" i="4"/>
  <c r="BA69" i="4"/>
  <c r="BA76" i="4" s="1"/>
  <c r="CD47" i="4"/>
  <c r="CX171" i="4"/>
  <c r="CS171" i="4"/>
  <c r="CN171" i="4"/>
  <c r="CS128" i="4"/>
  <c r="CS129" i="4" s="1"/>
  <c r="CS179" i="4" s="1"/>
  <c r="CN128" i="4"/>
  <c r="CN129" i="4" s="1"/>
  <c r="CN179" i="4" s="1"/>
  <c r="CI129" i="4"/>
  <c r="CI179" i="4" s="1"/>
  <c r="CN152" i="4" l="1"/>
  <c r="CN53" i="4"/>
  <c r="CN28" i="4"/>
  <c r="CN24" i="4"/>
  <c r="CN13" i="4"/>
  <c r="CN15" i="4"/>
  <c r="CN14" i="4"/>
  <c r="CN27" i="4"/>
  <c r="CN16" i="4"/>
  <c r="CN12" i="4"/>
  <c r="CN26" i="4"/>
  <c r="CN25" i="4"/>
  <c r="BY34" i="4"/>
  <c r="CD29" i="4"/>
  <c r="CD145" i="4"/>
  <c r="CN109" i="4"/>
  <c r="CN113" i="4" s="1"/>
  <c r="CN133" i="4"/>
  <c r="CN99" i="4"/>
  <c r="CN148" i="4"/>
  <c r="CN10" i="4"/>
  <c r="CN52" i="4" s="1"/>
  <c r="CN153" i="4" s="1"/>
  <c r="CN175" i="4"/>
  <c r="CN163" i="4"/>
  <c r="CS9" i="4"/>
  <c r="CX9" i="4"/>
  <c r="CI17" i="4"/>
  <c r="CI11" i="4"/>
  <c r="Z8" i="25"/>
  <c r="W8" i="25"/>
  <c r="X8" i="25"/>
  <c r="AF8" i="25"/>
  <c r="Y8" i="25"/>
  <c r="CB41" i="4"/>
  <c r="CC47" i="4"/>
  <c r="CC129" i="4"/>
  <c r="CC179" i="4" s="1"/>
  <c r="CI171" i="4"/>
  <c r="CB182" i="4"/>
  <c r="CA182" i="4"/>
  <c r="BZ182" i="4"/>
  <c r="CD181" i="4"/>
  <c r="CB181" i="4"/>
  <c r="CA181" i="4"/>
  <c r="BZ181" i="4"/>
  <c r="CB180" i="4"/>
  <c r="CA180" i="4"/>
  <c r="BZ180" i="4"/>
  <c r="CD179" i="4"/>
  <c r="BZ178" i="4"/>
  <c r="CD175" i="4"/>
  <c r="CB175" i="4"/>
  <c r="CA175" i="4"/>
  <c r="BZ175" i="4"/>
  <c r="CD163" i="4"/>
  <c r="CB163" i="4"/>
  <c r="CA163" i="4"/>
  <c r="BZ163" i="4"/>
  <c r="CD148" i="4"/>
  <c r="CB148" i="4"/>
  <c r="CA148" i="4"/>
  <c r="BZ148" i="4"/>
  <c r="BW182" i="4"/>
  <c r="BV182" i="4"/>
  <c r="BU182" i="4"/>
  <c r="BY181" i="4"/>
  <c r="BW181" i="4"/>
  <c r="BV181" i="4"/>
  <c r="BU181" i="4"/>
  <c r="BW180" i="4"/>
  <c r="BV180" i="4"/>
  <c r="BU180" i="4"/>
  <c r="BW179" i="4"/>
  <c r="BV179" i="4"/>
  <c r="BU179" i="4"/>
  <c r="BU178" i="4"/>
  <c r="BY175" i="4"/>
  <c r="BW175" i="4"/>
  <c r="BV175" i="4"/>
  <c r="BU175" i="4"/>
  <c r="BU171" i="4"/>
  <c r="BY163" i="4"/>
  <c r="BW163" i="4"/>
  <c r="BV163" i="4"/>
  <c r="BU163" i="4"/>
  <c r="BY148" i="4"/>
  <c r="BW148" i="4"/>
  <c r="BV148" i="4"/>
  <c r="BU148" i="4"/>
  <c r="BT182" i="4"/>
  <c r="BS182" i="4"/>
  <c r="BR182" i="4"/>
  <c r="BQ182" i="4"/>
  <c r="BP182" i="4"/>
  <c r="BT181" i="4"/>
  <c r="BS181" i="4"/>
  <c r="BR181" i="4"/>
  <c r="BQ181" i="4"/>
  <c r="BP181" i="4"/>
  <c r="BT180" i="4"/>
  <c r="BS180" i="4"/>
  <c r="BR180" i="4"/>
  <c r="BQ180" i="4"/>
  <c r="BP180" i="4"/>
  <c r="BT179" i="4"/>
  <c r="BS179" i="4"/>
  <c r="BR179" i="4"/>
  <c r="BQ179" i="4"/>
  <c r="BP179" i="4"/>
  <c r="BT178" i="4"/>
  <c r="BT175" i="4"/>
  <c r="BS175" i="4"/>
  <c r="BR175" i="4"/>
  <c r="BQ175" i="4"/>
  <c r="BP175" i="4"/>
  <c r="BT171" i="4"/>
  <c r="BS171" i="4"/>
  <c r="BR171" i="4"/>
  <c r="BQ171" i="4"/>
  <c r="BP171" i="4"/>
  <c r="BT163" i="4"/>
  <c r="BS163" i="4"/>
  <c r="BR163" i="4"/>
  <c r="BQ163" i="4"/>
  <c r="BP163" i="4"/>
  <c r="BS157" i="4"/>
  <c r="BR157" i="4"/>
  <c r="BQ157" i="4"/>
  <c r="BP157" i="4"/>
  <c r="BT148" i="4"/>
  <c r="BS148" i="4"/>
  <c r="BR148" i="4"/>
  <c r="BQ148" i="4"/>
  <c r="BP148" i="4"/>
  <c r="BO182" i="4"/>
  <c r="BN182" i="4"/>
  <c r="BM182" i="4"/>
  <c r="BL182" i="4"/>
  <c r="BK182" i="4"/>
  <c r="BO181" i="4"/>
  <c r="BN181" i="4"/>
  <c r="BM181" i="4"/>
  <c r="BL181" i="4"/>
  <c r="BK181" i="4"/>
  <c r="BO180" i="4"/>
  <c r="BN180" i="4"/>
  <c r="BM180" i="4"/>
  <c r="BL180" i="4"/>
  <c r="BK180" i="4"/>
  <c r="BO179" i="4"/>
  <c r="BN179" i="4"/>
  <c r="BM179" i="4"/>
  <c r="BL179" i="4"/>
  <c r="BK179" i="4"/>
  <c r="BO178" i="4"/>
  <c r="BN178" i="4"/>
  <c r="BM178" i="4"/>
  <c r="BL178" i="4"/>
  <c r="BK178" i="4"/>
  <c r="BO175" i="4"/>
  <c r="BN175" i="4"/>
  <c r="BM175" i="4"/>
  <c r="BL175" i="4"/>
  <c r="BK175" i="4"/>
  <c r="BO171" i="4"/>
  <c r="BN171" i="4"/>
  <c r="BM171" i="4"/>
  <c r="BL171" i="4"/>
  <c r="BK171" i="4"/>
  <c r="BO163" i="4"/>
  <c r="BN163" i="4"/>
  <c r="BM163" i="4"/>
  <c r="BL163" i="4"/>
  <c r="BK163" i="4"/>
  <c r="BN157" i="4"/>
  <c r="BM157" i="4"/>
  <c r="BL157" i="4"/>
  <c r="BK157" i="4"/>
  <c r="BO148" i="4"/>
  <c r="BN148" i="4"/>
  <c r="BM148" i="4"/>
  <c r="BL148" i="4"/>
  <c r="BK148" i="4"/>
  <c r="BJ182" i="4"/>
  <c r="BI182" i="4"/>
  <c r="BH182" i="4"/>
  <c r="BG182" i="4"/>
  <c r="BF182" i="4"/>
  <c r="BJ181" i="4"/>
  <c r="BI181" i="4"/>
  <c r="BH181" i="4"/>
  <c r="BG181" i="4"/>
  <c r="BF181" i="4"/>
  <c r="BJ180" i="4"/>
  <c r="BI180" i="4"/>
  <c r="BH180" i="4"/>
  <c r="BG180" i="4"/>
  <c r="BF180" i="4"/>
  <c r="BJ179" i="4"/>
  <c r="BI179" i="4"/>
  <c r="BH179" i="4"/>
  <c r="BG179" i="4"/>
  <c r="BF179" i="4"/>
  <c r="BJ178" i="4"/>
  <c r="BI178" i="4"/>
  <c r="BH178" i="4"/>
  <c r="BG178" i="4"/>
  <c r="BF178" i="4"/>
  <c r="BJ175" i="4"/>
  <c r="BI175" i="4"/>
  <c r="BH175" i="4"/>
  <c r="BG175" i="4"/>
  <c r="BF175" i="4"/>
  <c r="BJ171" i="4"/>
  <c r="BI171" i="4"/>
  <c r="BH171" i="4"/>
  <c r="BG171" i="4"/>
  <c r="BF171" i="4"/>
  <c r="BJ163" i="4"/>
  <c r="BI163" i="4"/>
  <c r="BH163" i="4"/>
  <c r="BG163" i="4"/>
  <c r="BF163" i="4"/>
  <c r="BI157" i="4"/>
  <c r="BH157" i="4"/>
  <c r="BG157" i="4"/>
  <c r="BF157" i="4"/>
  <c r="BJ148" i="4"/>
  <c r="BI148" i="4"/>
  <c r="BH148" i="4"/>
  <c r="BG148" i="4"/>
  <c r="BF148" i="4"/>
  <c r="BA148" i="4"/>
  <c r="BB148" i="4"/>
  <c r="BC148" i="4"/>
  <c r="BD148" i="4"/>
  <c r="BE148" i="4"/>
  <c r="BA150" i="4"/>
  <c r="BA151" i="4"/>
  <c r="BA157" i="4"/>
  <c r="BB157" i="4"/>
  <c r="BC157" i="4"/>
  <c r="BD157" i="4"/>
  <c r="BA163" i="4"/>
  <c r="BB163" i="4"/>
  <c r="BC163" i="4"/>
  <c r="BD163" i="4"/>
  <c r="BE163" i="4"/>
  <c r="BA171" i="4"/>
  <c r="BB171" i="4"/>
  <c r="BC171" i="4"/>
  <c r="BD171" i="4"/>
  <c r="BE171" i="4"/>
  <c r="BA175" i="4"/>
  <c r="BB175" i="4"/>
  <c r="BC175" i="4"/>
  <c r="BD175" i="4"/>
  <c r="BE175" i="4"/>
  <c r="BA178" i="4"/>
  <c r="BB178" i="4"/>
  <c r="BC178" i="4"/>
  <c r="BD178" i="4"/>
  <c r="BE178" i="4"/>
  <c r="BA179" i="4"/>
  <c r="BB179" i="4"/>
  <c r="BC179" i="4"/>
  <c r="BD179" i="4"/>
  <c r="BE179" i="4"/>
  <c r="BA180" i="4"/>
  <c r="BB180" i="4"/>
  <c r="BC180" i="4"/>
  <c r="BD180" i="4"/>
  <c r="BE180" i="4"/>
  <c r="BA181" i="4"/>
  <c r="BB181" i="4"/>
  <c r="BC181" i="4"/>
  <c r="BD181" i="4"/>
  <c r="BE181" i="4"/>
  <c r="BA182" i="4"/>
  <c r="BB182" i="4"/>
  <c r="BC182" i="4"/>
  <c r="BD182" i="4"/>
  <c r="BE182" i="4"/>
  <c r="AZ182" i="4"/>
  <c r="AY182" i="4"/>
  <c r="AX182" i="4"/>
  <c r="AW182" i="4"/>
  <c r="AV182" i="4"/>
  <c r="AZ181" i="4"/>
  <c r="AY181" i="4"/>
  <c r="AX181" i="4"/>
  <c r="AW181" i="4"/>
  <c r="AV181" i="4"/>
  <c r="AZ180" i="4"/>
  <c r="AY180" i="4"/>
  <c r="AX180" i="4"/>
  <c r="AW180" i="4"/>
  <c r="AV180" i="4"/>
  <c r="AZ179" i="4"/>
  <c r="AY179" i="4"/>
  <c r="AX179" i="4"/>
  <c r="AW179" i="4"/>
  <c r="AV179" i="4"/>
  <c r="AZ178" i="4"/>
  <c r="AY178" i="4"/>
  <c r="AX178" i="4"/>
  <c r="AW178" i="4"/>
  <c r="AV178" i="4"/>
  <c r="AZ175" i="4"/>
  <c r="AY175" i="4"/>
  <c r="AX175" i="4"/>
  <c r="AW175" i="4"/>
  <c r="AV175" i="4"/>
  <c r="AZ171" i="4"/>
  <c r="AY171" i="4"/>
  <c r="AX171" i="4"/>
  <c r="AW171" i="4"/>
  <c r="AV171" i="4"/>
  <c r="AZ163" i="4"/>
  <c r="AY163" i="4"/>
  <c r="AX163" i="4"/>
  <c r="AW163" i="4"/>
  <c r="AV163" i="4"/>
  <c r="AZ157" i="4"/>
  <c r="AY158" i="4"/>
  <c r="AX158" i="4"/>
  <c r="AW158" i="4"/>
  <c r="AV158" i="4"/>
  <c r="AZ148" i="4"/>
  <c r="AY148" i="4"/>
  <c r="AX148" i="4"/>
  <c r="AW148" i="4"/>
  <c r="AV148" i="4"/>
  <c r="AU182" i="4"/>
  <c r="AT182" i="4"/>
  <c r="AS182" i="4"/>
  <c r="AR182" i="4"/>
  <c r="AQ182" i="4"/>
  <c r="AU181" i="4"/>
  <c r="AT181" i="4"/>
  <c r="AS181" i="4"/>
  <c r="AR181" i="4"/>
  <c r="AQ181" i="4"/>
  <c r="AU180" i="4"/>
  <c r="AT180" i="4"/>
  <c r="AS180" i="4"/>
  <c r="AR180" i="4"/>
  <c r="AQ180" i="4"/>
  <c r="AU179" i="4"/>
  <c r="AT179" i="4"/>
  <c r="AS179" i="4"/>
  <c r="AR179" i="4"/>
  <c r="AQ179" i="4"/>
  <c r="AU178" i="4"/>
  <c r="AT178" i="4"/>
  <c r="AS178" i="4"/>
  <c r="AR178" i="4"/>
  <c r="AQ178" i="4"/>
  <c r="AU175" i="4"/>
  <c r="AT175" i="4"/>
  <c r="AS175" i="4"/>
  <c r="AR175" i="4"/>
  <c r="AQ175" i="4"/>
  <c r="AU171" i="4"/>
  <c r="AT171" i="4"/>
  <c r="AS171" i="4"/>
  <c r="AR171" i="4"/>
  <c r="AQ171" i="4"/>
  <c r="AU163" i="4"/>
  <c r="AT163" i="4"/>
  <c r="AS163" i="4"/>
  <c r="AR163" i="4"/>
  <c r="AQ163" i="4"/>
  <c r="AU158" i="4"/>
  <c r="AT158" i="4"/>
  <c r="AS158" i="4"/>
  <c r="AR158" i="4"/>
  <c r="AQ158" i="4"/>
  <c r="AU148" i="4"/>
  <c r="AT148" i="4"/>
  <c r="AS148" i="4"/>
  <c r="AR148" i="4"/>
  <c r="AQ148" i="4"/>
  <c r="CX152" i="4" l="1"/>
  <c r="CX53" i="4"/>
  <c r="CS152" i="4"/>
  <c r="CS53" i="4"/>
  <c r="CS25" i="4"/>
  <c r="CS14" i="4"/>
  <c r="CS16" i="4"/>
  <c r="CS12" i="4"/>
  <c r="CS28" i="4"/>
  <c r="CS24" i="4"/>
  <c r="CS13" i="4"/>
  <c r="CS27" i="4"/>
  <c r="CS26" i="4"/>
  <c r="CS15" i="4"/>
  <c r="CX26" i="4"/>
  <c r="CX148" i="4" s="1"/>
  <c r="CX15" i="4"/>
  <c r="CX28" i="4"/>
  <c r="CX24" i="4"/>
  <c r="CX13" i="4"/>
  <c r="CX27" i="4"/>
  <c r="CX12" i="4"/>
  <c r="CX25" i="4"/>
  <c r="CX14" i="4"/>
  <c r="CX16" i="4"/>
  <c r="CI23" i="4"/>
  <c r="CD74" i="4"/>
  <c r="CD75" i="4" s="1"/>
  <c r="CD34" i="4"/>
  <c r="CD33" i="4"/>
  <c r="CN17" i="4"/>
  <c r="CX133" i="4"/>
  <c r="CX99" i="4"/>
  <c r="CX10" i="4"/>
  <c r="CX175" i="4"/>
  <c r="CX163" i="4"/>
  <c r="CS99" i="4"/>
  <c r="CS133" i="4"/>
  <c r="CS148" i="4"/>
  <c r="CS10" i="4"/>
  <c r="CS175" i="4"/>
  <c r="CS163" i="4"/>
  <c r="CN11" i="4"/>
  <c r="BK158" i="4"/>
  <c r="AE8" i="25"/>
  <c r="AD8" i="25"/>
  <c r="AB8" i="25"/>
  <c r="AK8" i="25"/>
  <c r="AC8" i="25"/>
  <c r="BQ158" i="4"/>
  <c r="BM158" i="4"/>
  <c r="BG158" i="4"/>
  <c r="BH158" i="4"/>
  <c r="AZ158" i="4"/>
  <c r="BP158" i="4"/>
  <c r="BR158" i="4"/>
  <c r="CB47" i="4"/>
  <c r="CA41" i="4"/>
  <c r="CB129" i="4"/>
  <c r="CB179" i="4" s="1"/>
  <c r="BA158" i="4"/>
  <c r="BF158" i="4"/>
  <c r="BS158" i="4"/>
  <c r="BN158" i="4"/>
  <c r="BL158" i="4"/>
  <c r="BI158" i="4"/>
  <c r="BD158" i="4"/>
  <c r="BB158" i="4"/>
  <c r="BC158" i="4"/>
  <c r="CA178" i="4"/>
  <c r="BT172" i="4"/>
  <c r="G15" i="8"/>
  <c r="H15" i="8" s="1"/>
  <c r="I15" i="8" s="1"/>
  <c r="J15" i="8" s="1"/>
  <c r="K15" i="8" s="1"/>
  <c r="L15" i="8" s="1"/>
  <c r="G12" i="8"/>
  <c r="H12" i="8" s="1"/>
  <c r="I12" i="8" s="1"/>
  <c r="J12" i="8" s="1"/>
  <c r="K12" i="8" s="1"/>
  <c r="L12" i="8" s="1"/>
  <c r="CS11" i="4" l="1"/>
  <c r="CS52" i="4"/>
  <c r="CS153" i="4" s="1"/>
  <c r="CX11" i="4"/>
  <c r="CX52" i="4"/>
  <c r="CX153" i="4" s="1"/>
  <c r="CN23" i="4"/>
  <c r="CI29" i="4"/>
  <c r="CI34" i="4" s="1"/>
  <c r="CI123" i="4" s="1"/>
  <c r="CI145" i="4"/>
  <c r="CD126" i="4"/>
  <c r="BY89" i="4"/>
  <c r="BY53" i="4"/>
  <c r="CS17" i="4"/>
  <c r="CX17" i="4"/>
  <c r="CX23" i="4" s="1"/>
  <c r="CN83" i="4"/>
  <c r="AI8" i="25"/>
  <c r="AH8" i="25"/>
  <c r="AP8" i="25"/>
  <c r="AJ8" i="25"/>
  <c r="AG8" i="25"/>
  <c r="CD172" i="4"/>
  <c r="BV178" i="4"/>
  <c r="BX175" i="4"/>
  <c r="BX163" i="4"/>
  <c r="CC181" i="4"/>
  <c r="CB178" i="4"/>
  <c r="BY172" i="4"/>
  <c r="BY22" i="4"/>
  <c r="CC180" i="4"/>
  <c r="CC182" i="4"/>
  <c r="CA47" i="4"/>
  <c r="CA129" i="4"/>
  <c r="CA179" i="4" s="1"/>
  <c r="BZ41" i="4"/>
  <c r="BX181" i="4"/>
  <c r="CC148" i="4"/>
  <c r="CC175" i="4"/>
  <c r="CC163" i="4"/>
  <c r="BX148" i="4"/>
  <c r="CI33" i="4" l="1"/>
  <c r="CI122" i="4" s="1"/>
  <c r="CI74" i="4"/>
  <c r="CX29" i="4"/>
  <c r="CX33" i="4" s="1"/>
  <c r="CX122" i="4" s="1"/>
  <c r="CS23" i="4"/>
  <c r="CS29" i="4" s="1"/>
  <c r="CX145" i="4"/>
  <c r="CN29" i="4"/>
  <c r="CN145" i="4"/>
  <c r="CS83" i="4"/>
  <c r="CS109" i="4"/>
  <c r="CS113" i="4" s="1"/>
  <c r="AL8" i="25"/>
  <c r="AN8" i="25"/>
  <c r="AM8" i="25"/>
  <c r="AO8" i="25"/>
  <c r="AU8" i="25"/>
  <c r="BW178" i="4"/>
  <c r="BZ47" i="4"/>
  <c r="BY41" i="4"/>
  <c r="BZ129" i="4"/>
  <c r="BZ179" i="4" s="1"/>
  <c r="CC178" i="4"/>
  <c r="K35" i="8"/>
  <c r="L35" i="8" s="1"/>
  <c r="M35" i="8" s="1"/>
  <c r="H34" i="8"/>
  <c r="L26" i="8"/>
  <c r="A33" i="21"/>
  <c r="B31" i="21"/>
  <c r="A21" i="21"/>
  <c r="A22" i="21" s="1"/>
  <c r="B19" i="21"/>
  <c r="B32" i="21" s="1"/>
  <c r="A7" i="21"/>
  <c r="B5" i="21"/>
  <c r="B6" i="21" s="1"/>
  <c r="CS145" i="4" l="1"/>
  <c r="CS34" i="4"/>
  <c r="CS123" i="4" s="1"/>
  <c r="CS33" i="4"/>
  <c r="CS122" i="4" s="1"/>
  <c r="CX34" i="4"/>
  <c r="CX123" i="4" s="1"/>
  <c r="CN33" i="4"/>
  <c r="CN122" i="4" s="1"/>
  <c r="CN34" i="4"/>
  <c r="CN123" i="4" s="1"/>
  <c r="CN74" i="4"/>
  <c r="CS74" i="4" s="1"/>
  <c r="CX74" i="4" s="1"/>
  <c r="CI75" i="4"/>
  <c r="CI126" i="4" s="1"/>
  <c r="AZ8" i="25"/>
  <c r="AS8" i="25"/>
  <c r="AT8" i="25"/>
  <c r="AR8" i="25"/>
  <c r="AQ8" i="25"/>
  <c r="BZ171" i="4"/>
  <c r="BY47" i="4"/>
  <c r="BX41" i="4"/>
  <c r="BY129" i="4"/>
  <c r="BY179" i="4" s="1"/>
  <c r="B20" i="21"/>
  <c r="B21" i="21"/>
  <c r="A24" i="21"/>
  <c r="A23" i="21"/>
  <c r="B22" i="21"/>
  <c r="A8" i="21"/>
  <c r="A34" i="21"/>
  <c r="B7" i="21"/>
  <c r="B33" i="21"/>
  <c r="AY8" i="25" l="1"/>
  <c r="AV8" i="25"/>
  <c r="BE8" i="25"/>
  <c r="AW8" i="25"/>
  <c r="AX8" i="25"/>
  <c r="BX47" i="4"/>
  <c r="BW41" i="4"/>
  <c r="BX129" i="4"/>
  <c r="BX179" i="4" s="1"/>
  <c r="CD171" i="4"/>
  <c r="BY171" i="4"/>
  <c r="B34" i="21"/>
  <c r="A35" i="21"/>
  <c r="A25" i="21"/>
  <c r="B24" i="21"/>
  <c r="B8" i="21"/>
  <c r="A9" i="21"/>
  <c r="B23" i="21"/>
  <c r="CX83" i="4" l="1"/>
  <c r="BC8" i="25"/>
  <c r="BJ8" i="25"/>
  <c r="BD8" i="25"/>
  <c r="BB8" i="25"/>
  <c r="BA8" i="25"/>
  <c r="BV41" i="4"/>
  <c r="BW47" i="4"/>
  <c r="CC171" i="4"/>
  <c r="BX171" i="4"/>
  <c r="B9" i="21"/>
  <c r="A10" i="21"/>
  <c r="A26" i="21"/>
  <c r="B25" i="21"/>
  <c r="B35" i="21"/>
  <c r="A36" i="21"/>
  <c r="BF8" i="25" l="1"/>
  <c r="BH8" i="25"/>
  <c r="BI8" i="25"/>
  <c r="BO8" i="25"/>
  <c r="BG8" i="25"/>
  <c r="BU41" i="4"/>
  <c r="BT41" i="4" s="1"/>
  <c r="BS41" i="4" s="1"/>
  <c r="BR41" i="4" s="1"/>
  <c r="BQ41" i="4" s="1"/>
  <c r="BP41" i="4" s="1"/>
  <c r="BV47" i="4"/>
  <c r="BW171" i="4"/>
  <c r="CB171" i="4"/>
  <c r="B36" i="21"/>
  <c r="A37" i="21"/>
  <c r="A27" i="21"/>
  <c r="B26" i="21"/>
  <c r="B10" i="21"/>
  <c r="A11" i="21"/>
  <c r="CX109" i="4" l="1"/>
  <c r="CX113" i="4" s="1"/>
  <c r="BT8" i="25"/>
  <c r="BN8" i="25"/>
  <c r="BL8" i="25"/>
  <c r="BM8" i="25"/>
  <c r="BK8" i="25"/>
  <c r="BO41" i="4"/>
  <c r="BN41" i="4" s="1"/>
  <c r="BM41" i="4" s="1"/>
  <c r="BL41" i="4" s="1"/>
  <c r="BK41" i="4" s="1"/>
  <c r="BJ41" i="4" s="1"/>
  <c r="BI41" i="4" s="1"/>
  <c r="BH41" i="4" s="1"/>
  <c r="BG41" i="4" s="1"/>
  <c r="BF41" i="4" s="1"/>
  <c r="BV171" i="4"/>
  <c r="CA171" i="4"/>
  <c r="B11" i="21"/>
  <c r="A12" i="21"/>
  <c r="B27" i="21"/>
  <c r="B37" i="21"/>
  <c r="A38" i="21"/>
  <c r="CN75" i="4" l="1"/>
  <c r="CN126" i="4" s="1"/>
  <c r="BR8" i="25"/>
  <c r="BP8" i="25"/>
  <c r="BY8" i="25"/>
  <c r="BQ8" i="25"/>
  <c r="BS8" i="25"/>
  <c r="BE41" i="4"/>
  <c r="BD41" i="4" s="1"/>
  <c r="BC41" i="4" s="1"/>
  <c r="BB41" i="4" s="1"/>
  <c r="BA41" i="4" s="1"/>
  <c r="AZ41" i="4" s="1"/>
  <c r="AY41" i="4" s="1"/>
  <c r="AX41" i="4" s="1"/>
  <c r="AW41" i="4" s="1"/>
  <c r="AV41" i="4" s="1"/>
  <c r="AU41" i="4" s="1"/>
  <c r="B12" i="21"/>
  <c r="A13" i="21"/>
  <c r="B38" i="21"/>
  <c r="A39" i="21"/>
  <c r="BW8" i="25" l="1"/>
  <c r="CD8" i="25"/>
  <c r="BX8" i="25"/>
  <c r="BV8" i="25"/>
  <c r="BU8" i="25"/>
  <c r="B39" i="21"/>
  <c r="B13" i="21"/>
  <c r="A14" i="21"/>
  <c r="BZ8" i="25" l="1"/>
  <c r="CB8" i="25"/>
  <c r="CA8" i="25"/>
  <c r="CC8" i="25"/>
  <c r="CI8" i="25"/>
  <c r="B14" i="21"/>
  <c r="A15" i="21"/>
  <c r="CH8" i="25" l="1"/>
  <c r="CF8" i="25"/>
  <c r="CN8" i="25"/>
  <c r="CG8" i="25"/>
  <c r="CE8" i="25"/>
  <c r="B15" i="21"/>
  <c r="A16" i="21"/>
  <c r="CL8" i="25" l="1"/>
  <c r="CJ8" i="25"/>
  <c r="CS8" i="25"/>
  <c r="CK8" i="25"/>
  <c r="CM8" i="25"/>
  <c r="B16" i="21"/>
  <c r="CS75" i="4" l="1"/>
  <c r="CS126" i="4" s="1"/>
  <c r="CQ8" i="25"/>
  <c r="CX8" i="25"/>
  <c r="CR8" i="25"/>
  <c r="CP8" i="25"/>
  <c r="CO8" i="25"/>
  <c r="CW8" i="25" l="1"/>
  <c r="CV8" i="25"/>
  <c r="CT8" i="25"/>
  <c r="CU8" i="25"/>
  <c r="N119" i="20"/>
  <c r="O119" i="20"/>
  <c r="P119" i="20"/>
  <c r="Q119" i="20"/>
  <c r="C104" i="20" l="1"/>
  <c r="C103" i="20"/>
  <c r="C102" i="20"/>
  <c r="C101" i="20"/>
  <c r="C100" i="20"/>
  <c r="C99" i="20"/>
  <c r="C98" i="20"/>
  <c r="C84" i="20"/>
  <c r="C52" i="20"/>
  <c r="C114" i="20" s="1"/>
  <c r="C51" i="20"/>
  <c r="C113" i="20" s="1"/>
  <c r="C50" i="20"/>
  <c r="C112" i="20" s="1"/>
  <c r="C49" i="20"/>
  <c r="C111" i="20" s="1"/>
  <c r="C48" i="20"/>
  <c r="C110" i="20" s="1"/>
  <c r="C47" i="20"/>
  <c r="C109" i="20" s="1"/>
  <c r="C46" i="20"/>
  <c r="C108" i="20" s="1"/>
  <c r="D103" i="20"/>
  <c r="D104" i="20"/>
  <c r="D102" i="20"/>
  <c r="D101" i="20"/>
  <c r="D100" i="20"/>
  <c r="D99" i="20"/>
  <c r="D98" i="20"/>
  <c r="D84" i="20"/>
  <c r="D74" i="20"/>
  <c r="D125" i="20" s="1"/>
  <c r="D64" i="20"/>
  <c r="D52" i="20"/>
  <c r="D51" i="20"/>
  <c r="D50" i="20"/>
  <c r="D49" i="20"/>
  <c r="D48" i="20"/>
  <c r="D47" i="20"/>
  <c r="D46" i="20"/>
  <c r="D33" i="20"/>
  <c r="D121" i="20" s="1"/>
  <c r="D23" i="20"/>
  <c r="D120" i="20" s="1"/>
  <c r="D13" i="20"/>
  <c r="E94" i="20"/>
  <c r="E99" i="20"/>
  <c r="E100" i="20"/>
  <c r="E101" i="20"/>
  <c r="E102" i="20"/>
  <c r="E103" i="20"/>
  <c r="E104" i="20"/>
  <c r="E98" i="20"/>
  <c r="D109" i="20" l="1"/>
  <c r="D114" i="20"/>
  <c r="D113" i="20"/>
  <c r="D110" i="20"/>
  <c r="D111" i="20"/>
  <c r="D108" i="20"/>
  <c r="D112" i="20"/>
  <c r="D94" i="20"/>
  <c r="F94" i="20"/>
  <c r="G94" i="20"/>
  <c r="H94" i="20"/>
  <c r="I94" i="20"/>
  <c r="J94" i="20"/>
  <c r="K94" i="20"/>
  <c r="L94" i="20"/>
  <c r="M94" i="20"/>
  <c r="N94" i="20"/>
  <c r="O94" i="20"/>
  <c r="C94" i="20"/>
  <c r="E84" i="20"/>
  <c r="E74" i="20"/>
  <c r="E125" i="20" s="1"/>
  <c r="E64" i="20"/>
  <c r="E43" i="20"/>
  <c r="E33" i="20"/>
  <c r="E121" i="20" s="1"/>
  <c r="E23" i="20"/>
  <c r="E120" i="20" s="1"/>
  <c r="E13" i="20"/>
  <c r="F84" i="20"/>
  <c r="F74" i="20"/>
  <c r="F125" i="20" s="1"/>
  <c r="F64" i="20"/>
  <c r="F47" i="20"/>
  <c r="F48" i="20"/>
  <c r="F49" i="20"/>
  <c r="F50" i="20"/>
  <c r="F51" i="20"/>
  <c r="F52" i="20"/>
  <c r="F46" i="20"/>
  <c r="D43" i="20"/>
  <c r="F43" i="20"/>
  <c r="C43" i="20"/>
  <c r="F33" i="20"/>
  <c r="F121" i="20" s="1"/>
  <c r="C23" i="20"/>
  <c r="C120" i="20" s="1"/>
  <c r="F23" i="20"/>
  <c r="F120" i="20" s="1"/>
  <c r="F104" i="20"/>
  <c r="C64" i="20"/>
  <c r="E52" i="20"/>
  <c r="E114" i="20" s="1"/>
  <c r="C33" i="20"/>
  <c r="C121" i="20" s="1"/>
  <c r="C13" i="20"/>
  <c r="C119" i="20" s="1"/>
  <c r="C74" i="20"/>
  <c r="C125" i="20" s="1"/>
  <c r="Q115" i="20"/>
  <c r="P115" i="20"/>
  <c r="O115" i="20"/>
  <c r="N115" i="20"/>
  <c r="M115" i="20"/>
  <c r="L115" i="20"/>
  <c r="K115" i="20"/>
  <c r="J115" i="20"/>
  <c r="I115" i="20"/>
  <c r="H115" i="20"/>
  <c r="G115" i="20"/>
  <c r="Q105" i="20"/>
  <c r="P105" i="20"/>
  <c r="O105" i="20"/>
  <c r="N105" i="20"/>
  <c r="M105" i="20"/>
  <c r="L105" i="20"/>
  <c r="K105" i="20"/>
  <c r="J105" i="20"/>
  <c r="I105" i="20"/>
  <c r="H105" i="20"/>
  <c r="G105" i="20"/>
  <c r="F103" i="20"/>
  <c r="F102" i="20"/>
  <c r="F101" i="20"/>
  <c r="F100" i="20"/>
  <c r="F99" i="20"/>
  <c r="F98" i="20"/>
  <c r="E105" i="20"/>
  <c r="Q84" i="20"/>
  <c r="P84" i="20"/>
  <c r="O84" i="20"/>
  <c r="N84" i="20"/>
  <c r="M84" i="20"/>
  <c r="L84" i="20"/>
  <c r="K84" i="20"/>
  <c r="J84" i="20"/>
  <c r="I84" i="20"/>
  <c r="H84" i="20"/>
  <c r="G84" i="20"/>
  <c r="Q74" i="20"/>
  <c r="P74" i="20"/>
  <c r="O74" i="20"/>
  <c r="N74" i="20"/>
  <c r="M74" i="20"/>
  <c r="L74" i="20"/>
  <c r="L125" i="20" s="1"/>
  <c r="K74" i="20"/>
  <c r="K125" i="20" s="1"/>
  <c r="J74" i="20"/>
  <c r="J125" i="20" s="1"/>
  <c r="I74" i="20"/>
  <c r="I125" i="20" s="1"/>
  <c r="H74" i="20"/>
  <c r="H125" i="20" s="1"/>
  <c r="G74" i="20"/>
  <c r="G125" i="20" s="1"/>
  <c r="Q64" i="20"/>
  <c r="P64" i="20"/>
  <c r="O64" i="20"/>
  <c r="N64" i="20"/>
  <c r="M64" i="20"/>
  <c r="L64" i="20"/>
  <c r="K64" i="20"/>
  <c r="J64" i="20"/>
  <c r="I64" i="20"/>
  <c r="H64" i="20"/>
  <c r="G64" i="20"/>
  <c r="Q53" i="20"/>
  <c r="P53" i="20"/>
  <c r="O53" i="20"/>
  <c r="N53" i="20"/>
  <c r="M53" i="20"/>
  <c r="L53" i="20"/>
  <c r="K53" i="20"/>
  <c r="J53" i="20"/>
  <c r="I53" i="20"/>
  <c r="H53" i="20"/>
  <c r="G53" i="20"/>
  <c r="E51" i="20"/>
  <c r="E113" i="20" s="1"/>
  <c r="E50" i="20"/>
  <c r="E112" i="20" s="1"/>
  <c r="E49" i="20"/>
  <c r="E111" i="20" s="1"/>
  <c r="E48" i="20"/>
  <c r="E110" i="20" s="1"/>
  <c r="E47" i="20"/>
  <c r="E109" i="20" s="1"/>
  <c r="E46" i="20"/>
  <c r="E108" i="20" s="1"/>
  <c r="Q33" i="20"/>
  <c r="P33" i="20"/>
  <c r="O33" i="20"/>
  <c r="N33" i="20"/>
  <c r="M33" i="20"/>
  <c r="L33" i="20"/>
  <c r="L121" i="20" s="1"/>
  <c r="K33" i="20"/>
  <c r="K121" i="20" s="1"/>
  <c r="J33" i="20"/>
  <c r="J121" i="20" s="1"/>
  <c r="I33" i="20"/>
  <c r="I121" i="20" s="1"/>
  <c r="H33" i="20"/>
  <c r="H121" i="20" s="1"/>
  <c r="G33" i="20"/>
  <c r="G121" i="20" s="1"/>
  <c r="Q23" i="20"/>
  <c r="P23" i="20"/>
  <c r="O23" i="20"/>
  <c r="N23" i="20"/>
  <c r="M23" i="20"/>
  <c r="L23" i="20"/>
  <c r="L120" i="20" s="1"/>
  <c r="K26" i="8" s="1"/>
  <c r="K23" i="20"/>
  <c r="K120" i="20" s="1"/>
  <c r="J26" i="8" s="1"/>
  <c r="J23" i="20"/>
  <c r="J120" i="20" s="1"/>
  <c r="I26" i="8" s="1"/>
  <c r="I23" i="20"/>
  <c r="I120" i="20" s="1"/>
  <c r="H26" i="8" s="1"/>
  <c r="H23" i="20"/>
  <c r="H120" i="20" s="1"/>
  <c r="G26" i="8" s="1"/>
  <c r="G23" i="20"/>
  <c r="G120" i="20" s="1"/>
  <c r="F26" i="8" s="1"/>
  <c r="Q13" i="20"/>
  <c r="P13" i="20"/>
  <c r="O13" i="20"/>
  <c r="N13" i="20"/>
  <c r="M13" i="20"/>
  <c r="L13" i="20"/>
  <c r="K13" i="20"/>
  <c r="J13" i="20"/>
  <c r="I13" i="20"/>
  <c r="H13" i="20"/>
  <c r="G13" i="20"/>
  <c r="F13" i="20"/>
  <c r="CX75" i="4" l="1"/>
  <c r="CX126" i="4" s="1"/>
  <c r="D115" i="20"/>
  <c r="C123" i="20"/>
  <c r="D119" i="20" s="1"/>
  <c r="D123" i="20" s="1"/>
  <c r="E119" i="20" s="1"/>
  <c r="E123" i="20" s="1"/>
  <c r="F119" i="20" s="1"/>
  <c r="F123" i="20" s="1"/>
  <c r="G119" i="20" s="1"/>
  <c r="G123" i="20" s="1"/>
  <c r="F114" i="20"/>
  <c r="F112" i="20"/>
  <c r="F110" i="20"/>
  <c r="E124" i="20"/>
  <c r="F108" i="20"/>
  <c r="F113" i="20"/>
  <c r="F111" i="20"/>
  <c r="F109" i="20"/>
  <c r="D105" i="20"/>
  <c r="F53" i="20"/>
  <c r="E115" i="20"/>
  <c r="F105" i="20"/>
  <c r="C105" i="20"/>
  <c r="C53" i="20"/>
  <c r="C115" i="20"/>
  <c r="E53" i="20"/>
  <c r="D53" i="20"/>
  <c r="D124" i="20" l="1"/>
  <c r="G124" i="20"/>
  <c r="H119" i="20"/>
  <c r="H123" i="20" s="1"/>
  <c r="F124" i="20"/>
  <c r="C124" i="20"/>
  <c r="F115" i="20"/>
  <c r="B63" i="8"/>
  <c r="G9" i="8"/>
  <c r="H9" i="8" s="1"/>
  <c r="I9" i="8" s="1"/>
  <c r="J9" i="8" s="1"/>
  <c r="K9" i="8" s="1"/>
  <c r="L9" i="8" s="1"/>
  <c r="G6" i="8"/>
  <c r="I119" i="20" l="1"/>
  <c r="I123" i="20" s="1"/>
  <c r="H124" i="20"/>
  <c r="B17" i="16"/>
  <c r="B19" i="16" s="1"/>
  <c r="C17" i="16"/>
  <c r="D17" i="16"/>
  <c r="E17" i="16"/>
  <c r="F17" i="16"/>
  <c r="G17" i="16"/>
  <c r="H17" i="16"/>
  <c r="I17" i="16"/>
  <c r="J17" i="16"/>
  <c r="C19" i="16"/>
  <c r="J119" i="20" l="1"/>
  <c r="J123" i="20" s="1"/>
  <c r="I124" i="20"/>
  <c r="C23" i="11"/>
  <c r="D23" i="11" s="1"/>
  <c r="E23" i="11" s="1"/>
  <c r="E20" i="11"/>
  <c r="D20" i="11"/>
  <c r="C20" i="11"/>
  <c r="E19" i="11"/>
  <c r="D19" i="11"/>
  <c r="C19" i="11"/>
  <c r="E18" i="11"/>
  <c r="D18" i="11"/>
  <c r="C18" i="11"/>
  <c r="E17" i="11"/>
  <c r="D17" i="11"/>
  <c r="C17" i="11"/>
  <c r="E16" i="11"/>
  <c r="D16" i="11"/>
  <c r="C16" i="11"/>
  <c r="E15" i="11"/>
  <c r="D15" i="11"/>
  <c r="C15" i="11"/>
  <c r="E14" i="11"/>
  <c r="D14" i="11"/>
  <c r="C14" i="11"/>
  <c r="E11" i="11"/>
  <c r="E30" i="11" s="1"/>
  <c r="D11" i="11"/>
  <c r="D30" i="11" s="1"/>
  <c r="C11" i="11"/>
  <c r="C30" i="11" s="1"/>
  <c r="B11" i="11"/>
  <c r="B30" i="11" s="1"/>
  <c r="C3" i="11"/>
  <c r="D3" i="11" s="1"/>
  <c r="E3" i="11" s="1"/>
  <c r="K119" i="20" l="1"/>
  <c r="K123" i="20" s="1"/>
  <c r="J124" i="20"/>
  <c r="C24" i="11"/>
  <c r="E24" i="11"/>
  <c r="C25" i="11"/>
  <c r="E25" i="11"/>
  <c r="C26" i="11"/>
  <c r="E26" i="11"/>
  <c r="C27" i="11"/>
  <c r="E27" i="11"/>
  <c r="C28" i="11"/>
  <c r="E28" i="11"/>
  <c r="C29" i="11"/>
  <c r="E29" i="11"/>
  <c r="B24" i="11"/>
  <c r="D24" i="11"/>
  <c r="B25" i="11"/>
  <c r="D25" i="11"/>
  <c r="B26" i="11"/>
  <c r="D26" i="11"/>
  <c r="B27" i="11"/>
  <c r="D27" i="11"/>
  <c r="B28" i="11"/>
  <c r="D28" i="11"/>
  <c r="B29" i="11"/>
  <c r="D29" i="11"/>
  <c r="F23" i="8"/>
  <c r="J31" i="8"/>
  <c r="K31" i="8" s="1"/>
  <c r="L31" i="8" s="1"/>
  <c r="G17" i="8"/>
  <c r="H17" i="8" s="1"/>
  <c r="I17" i="8" s="1"/>
  <c r="J17" i="8" s="1"/>
  <c r="K17" i="8" s="1"/>
  <c r="L17" i="8" s="1"/>
  <c r="H6" i="8"/>
  <c r="I6" i="8" s="1"/>
  <c r="J6" i="8" s="1"/>
  <c r="K6" i="8" s="1"/>
  <c r="L6" i="8" s="1"/>
  <c r="H2" i="8"/>
  <c r="I2" i="8" s="1"/>
  <c r="J2" i="8" s="1"/>
  <c r="K2" i="8" s="1"/>
  <c r="L2" i="8" s="1"/>
  <c r="L119" i="20" l="1"/>
  <c r="L123" i="20" s="1"/>
  <c r="L124" i="20" s="1"/>
  <c r="K124" i="20"/>
  <c r="B69" i="8"/>
  <c r="B31" i="11"/>
  <c r="C31" i="11"/>
  <c r="D31" i="11"/>
  <c r="E31" i="11"/>
  <c r="G23" i="8"/>
  <c r="H23" i="8" s="1"/>
  <c r="I23" i="8" s="1"/>
  <c r="J23" i="8" s="1"/>
  <c r="K23" i="8" s="1"/>
  <c r="L23" i="8" s="1"/>
  <c r="F7" i="8" l="1"/>
  <c r="F8" i="8"/>
  <c r="G8" i="8" l="1"/>
  <c r="G7" i="8"/>
  <c r="G5" i="8" s="1"/>
  <c r="G4" i="8"/>
  <c r="F5" i="8"/>
  <c r="F10" i="8"/>
  <c r="H8" i="8" l="1"/>
  <c r="H7" i="8"/>
  <c r="H5" i="8" s="1"/>
  <c r="H4" i="8"/>
  <c r="G10" i="8"/>
  <c r="F13" i="8"/>
  <c r="G31" i="21"/>
  <c r="F11" i="8"/>
  <c r="I4" i="8" l="1"/>
  <c r="I8" i="8"/>
  <c r="I7" i="8"/>
  <c r="H31" i="21"/>
  <c r="G13" i="8"/>
  <c r="G11" i="8"/>
  <c r="H10" i="8"/>
  <c r="F14" i="8"/>
  <c r="F16" i="8"/>
  <c r="F18" i="8" s="1"/>
  <c r="F19" i="8" s="1"/>
  <c r="F21" i="8" s="1"/>
  <c r="I10" i="8" l="1"/>
  <c r="I13" i="8" s="1"/>
  <c r="J4" i="8"/>
  <c r="J8" i="8"/>
  <c r="J7" i="8"/>
  <c r="G14" i="8"/>
  <c r="G16" i="8"/>
  <c r="G18" i="8" s="1"/>
  <c r="G19" i="8" s="1"/>
  <c r="G21" i="8" s="1"/>
  <c r="I5" i="8"/>
  <c r="F22" i="8"/>
  <c r="F24" i="8"/>
  <c r="F25" i="8"/>
  <c r="I31" i="21"/>
  <c r="H13" i="8"/>
  <c r="H11" i="8"/>
  <c r="J31" i="21"/>
  <c r="BT45" i="4"/>
  <c r="BT104" i="4"/>
  <c r="I11" i="8" l="1"/>
  <c r="J10" i="8"/>
  <c r="J13" i="8" s="1"/>
  <c r="H16" i="8"/>
  <c r="H18" i="8" s="1"/>
  <c r="H19" i="8" s="1"/>
  <c r="H21" i="8" s="1"/>
  <c r="H14" i="8"/>
  <c r="G25" i="8"/>
  <c r="G22" i="8"/>
  <c r="G24" i="8"/>
  <c r="J5" i="8"/>
  <c r="I16" i="8"/>
  <c r="I18" i="8" s="1"/>
  <c r="I19" i="8" s="1"/>
  <c r="I21" i="8" s="1"/>
  <c r="I14" i="8"/>
  <c r="G5" i="21"/>
  <c r="G35" i="8"/>
  <c r="G36" i="8"/>
  <c r="K8" i="8"/>
  <c r="K4" i="8"/>
  <c r="K7" i="8"/>
  <c r="K31" i="21"/>
  <c r="J11" i="8" l="1"/>
  <c r="K10" i="8"/>
  <c r="L31" i="21" s="1"/>
  <c r="K5" i="8"/>
  <c r="G10" i="21"/>
  <c r="G11" i="21"/>
  <c r="G12" i="21"/>
  <c r="G14" i="21"/>
  <c r="G9" i="21"/>
  <c r="G6" i="21"/>
  <c r="G16" i="21"/>
  <c r="G13" i="21"/>
  <c r="G8" i="21"/>
  <c r="G15" i="21"/>
  <c r="G7" i="21"/>
  <c r="L8" i="8"/>
  <c r="L4" i="8"/>
  <c r="L7" i="8"/>
  <c r="J14" i="8"/>
  <c r="J16" i="8"/>
  <c r="J18" i="8" s="1"/>
  <c r="J19" i="8" s="1"/>
  <c r="J21" i="8" s="1"/>
  <c r="K11" i="8"/>
  <c r="K13" i="8"/>
  <c r="I25" i="8"/>
  <c r="I24" i="8"/>
  <c r="I22" i="8"/>
  <c r="H5" i="21"/>
  <c r="H35" i="8"/>
  <c r="H36" i="8"/>
  <c r="H25" i="8"/>
  <c r="H22" i="8"/>
  <c r="H24" i="8"/>
  <c r="I36" i="8" l="1"/>
  <c r="I5" i="21"/>
  <c r="I35" i="8"/>
  <c r="J34" i="8"/>
  <c r="J36" i="8" s="1"/>
  <c r="J5" i="21"/>
  <c r="K16" i="8"/>
  <c r="K18" i="8" s="1"/>
  <c r="K19" i="8" s="1"/>
  <c r="K21" i="8" s="1"/>
  <c r="K14" i="8"/>
  <c r="L5" i="8"/>
  <c r="L10" i="8"/>
  <c r="H7" i="21"/>
  <c r="H10" i="21"/>
  <c r="H9" i="21"/>
  <c r="H13" i="21"/>
  <c r="H11" i="21"/>
  <c r="H14" i="21"/>
  <c r="H8" i="21"/>
  <c r="H16" i="21"/>
  <c r="H12" i="21"/>
  <c r="H6" i="21"/>
  <c r="H15" i="21"/>
  <c r="J22" i="8"/>
  <c r="J25" i="8"/>
  <c r="J24" i="8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AP172" i="4"/>
  <c r="AP171" i="4"/>
  <c r="AO171" i="4"/>
  <c r="AN171" i="4"/>
  <c r="AM171" i="4"/>
  <c r="AL171" i="4"/>
  <c r="AK171" i="4"/>
  <c r="AJ171" i="4"/>
  <c r="AI171" i="4"/>
  <c r="AH171" i="4"/>
  <c r="AG171" i="4"/>
  <c r="AF171" i="4"/>
  <c r="Z171" i="4"/>
  <c r="Y171" i="4"/>
  <c r="X171" i="4"/>
  <c r="W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AP163" i="4"/>
  <c r="AO163" i="4"/>
  <c r="AN163" i="4"/>
  <c r="AM163" i="4"/>
  <c r="AL163" i="4"/>
  <c r="AK163" i="4"/>
  <c r="AJ163" i="4"/>
  <c r="AI163" i="4"/>
  <c r="AH163" i="4"/>
  <c r="AG163" i="4"/>
  <c r="AF163" i="4"/>
  <c r="Z163" i="4"/>
  <c r="Y163" i="4"/>
  <c r="X163" i="4"/>
  <c r="W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D160" i="4"/>
  <c r="C160" i="4"/>
  <c r="Z154" i="4"/>
  <c r="Z157" i="4" s="1"/>
  <c r="Y154" i="4"/>
  <c r="Y157" i="4" s="1"/>
  <c r="X154" i="4"/>
  <c r="X157" i="4" s="1"/>
  <c r="W154" i="4"/>
  <c r="W157" i="4" s="1"/>
  <c r="V154" i="4"/>
  <c r="V157" i="4" s="1"/>
  <c r="U154" i="4"/>
  <c r="U157" i="4" s="1"/>
  <c r="T154" i="4"/>
  <c r="T157" i="4" s="1"/>
  <c r="S154" i="4"/>
  <c r="S157" i="4" s="1"/>
  <c r="R154" i="4"/>
  <c r="R157" i="4" s="1"/>
  <c r="Q154" i="4"/>
  <c r="Q157" i="4" s="1"/>
  <c r="P154" i="4"/>
  <c r="P157" i="4" s="1"/>
  <c r="O154" i="4"/>
  <c r="O157" i="4" s="1"/>
  <c r="N154" i="4"/>
  <c r="N157" i="4" s="1"/>
  <c r="M154" i="4"/>
  <c r="M157" i="4" s="1"/>
  <c r="L154" i="4"/>
  <c r="L157" i="4" s="1"/>
  <c r="K154" i="4"/>
  <c r="K157" i="4" s="1"/>
  <c r="J154" i="4"/>
  <c r="J157" i="4" s="1"/>
  <c r="I154" i="4"/>
  <c r="I157" i="4" s="1"/>
  <c r="H154" i="4"/>
  <c r="H157" i="4" s="1"/>
  <c r="G154" i="4"/>
  <c r="G157" i="4" s="1"/>
  <c r="F154" i="4"/>
  <c r="F157" i="4" s="1"/>
  <c r="E154" i="4"/>
  <c r="E157" i="4" s="1"/>
  <c r="D154" i="4"/>
  <c r="D157" i="4" s="1"/>
  <c r="C154" i="4"/>
  <c r="C157" i="4" s="1"/>
  <c r="Z153" i="4"/>
  <c r="Z156" i="4" s="1"/>
  <c r="Y153" i="4"/>
  <c r="Y156" i="4" s="1"/>
  <c r="X153" i="4"/>
  <c r="X156" i="4" s="1"/>
  <c r="W153" i="4"/>
  <c r="W156" i="4" s="1"/>
  <c r="V153" i="4"/>
  <c r="V156" i="4" s="1"/>
  <c r="U153" i="4"/>
  <c r="U156" i="4" s="1"/>
  <c r="T153" i="4"/>
  <c r="T156" i="4" s="1"/>
  <c r="S153" i="4"/>
  <c r="S156" i="4" s="1"/>
  <c r="R153" i="4"/>
  <c r="R156" i="4" s="1"/>
  <c r="Q153" i="4"/>
  <c r="Q156" i="4" s="1"/>
  <c r="P153" i="4"/>
  <c r="P156" i="4" s="1"/>
  <c r="O153" i="4"/>
  <c r="O156" i="4" s="1"/>
  <c r="N153" i="4"/>
  <c r="N156" i="4" s="1"/>
  <c r="M153" i="4"/>
  <c r="M156" i="4" s="1"/>
  <c r="L153" i="4"/>
  <c r="L156" i="4" s="1"/>
  <c r="K153" i="4"/>
  <c r="K156" i="4" s="1"/>
  <c r="J153" i="4"/>
  <c r="J156" i="4" s="1"/>
  <c r="I153" i="4"/>
  <c r="I156" i="4" s="1"/>
  <c r="H153" i="4"/>
  <c r="H156" i="4" s="1"/>
  <c r="G153" i="4"/>
  <c r="G156" i="4" s="1"/>
  <c r="F153" i="4"/>
  <c r="F156" i="4" s="1"/>
  <c r="E153" i="4"/>
  <c r="E156" i="4" s="1"/>
  <c r="D153" i="4"/>
  <c r="D156" i="4" s="1"/>
  <c r="C153" i="4"/>
  <c r="C156" i="4" s="1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2" i="4"/>
  <c r="Z155" i="4" s="1"/>
  <c r="Z158" i="4" s="1"/>
  <c r="Y152" i="4"/>
  <c r="Y155" i="4" s="1"/>
  <c r="Y158" i="4" s="1"/>
  <c r="X152" i="4"/>
  <c r="X155" i="4" s="1"/>
  <c r="X158" i="4" s="1"/>
  <c r="W152" i="4"/>
  <c r="W155" i="4" s="1"/>
  <c r="W158" i="4" s="1"/>
  <c r="V152" i="4"/>
  <c r="V155" i="4" s="1"/>
  <c r="V158" i="4" s="1"/>
  <c r="U152" i="4"/>
  <c r="U155" i="4" s="1"/>
  <c r="U158" i="4" s="1"/>
  <c r="T152" i="4"/>
  <c r="T155" i="4" s="1"/>
  <c r="T158" i="4" s="1"/>
  <c r="S152" i="4"/>
  <c r="S155" i="4" s="1"/>
  <c r="S158" i="4" s="1"/>
  <c r="R152" i="4"/>
  <c r="R155" i="4" s="1"/>
  <c r="R158" i="4" s="1"/>
  <c r="Q152" i="4"/>
  <c r="Q155" i="4" s="1"/>
  <c r="Q158" i="4" s="1"/>
  <c r="P152" i="4"/>
  <c r="P155" i="4" s="1"/>
  <c r="P158" i="4" s="1"/>
  <c r="O152" i="4"/>
  <c r="O155" i="4" s="1"/>
  <c r="O158" i="4" s="1"/>
  <c r="N152" i="4"/>
  <c r="N155" i="4" s="1"/>
  <c r="N158" i="4" s="1"/>
  <c r="M152" i="4"/>
  <c r="M155" i="4" s="1"/>
  <c r="M158" i="4" s="1"/>
  <c r="L152" i="4"/>
  <c r="L155" i="4" s="1"/>
  <c r="L158" i="4" s="1"/>
  <c r="K152" i="4"/>
  <c r="K155" i="4" s="1"/>
  <c r="K158" i="4" s="1"/>
  <c r="J152" i="4"/>
  <c r="J155" i="4" s="1"/>
  <c r="J158" i="4" s="1"/>
  <c r="I152" i="4"/>
  <c r="I155" i="4" s="1"/>
  <c r="I158" i="4" s="1"/>
  <c r="H152" i="4"/>
  <c r="H155" i="4" s="1"/>
  <c r="H158" i="4" s="1"/>
  <c r="G152" i="4"/>
  <c r="G155" i="4" s="1"/>
  <c r="G158" i="4" s="1"/>
  <c r="F152" i="4"/>
  <c r="F155" i="4" s="1"/>
  <c r="F158" i="4" s="1"/>
  <c r="E152" i="4"/>
  <c r="E155" i="4" s="1"/>
  <c r="E158" i="4" s="1"/>
  <c r="D152" i="4"/>
  <c r="D155" i="4" s="1"/>
  <c r="D158" i="4" s="1"/>
  <c r="C152" i="4"/>
  <c r="C155" i="4" s="1"/>
  <c r="C158" i="4" s="1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133" i="4"/>
  <c r="BA159" i="4"/>
  <c r="Z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L132" i="4"/>
  <c r="K132" i="4"/>
  <c r="J132" i="4"/>
  <c r="I132" i="4"/>
  <c r="H132" i="4"/>
  <c r="G132" i="4"/>
  <c r="F132" i="4"/>
  <c r="E132" i="4"/>
  <c r="D132" i="4"/>
  <c r="C132" i="4"/>
  <c r="F130" i="4"/>
  <c r="F131" i="4" s="1"/>
  <c r="E130" i="4"/>
  <c r="E131" i="4" s="1"/>
  <c r="D130" i="4"/>
  <c r="D131" i="4" s="1"/>
  <c r="C130" i="4"/>
  <c r="C131" i="4" s="1"/>
  <c r="CD123" i="4"/>
  <c r="CC123" i="4"/>
  <c r="CB123" i="4"/>
  <c r="CA123" i="4"/>
  <c r="BZ123" i="4"/>
  <c r="BY123" i="4"/>
  <c r="BX123" i="4"/>
  <c r="BW123" i="4"/>
  <c r="BV123" i="4"/>
  <c r="BU123" i="4"/>
  <c r="BT123" i="4"/>
  <c r="BS123" i="4"/>
  <c r="BR123" i="4"/>
  <c r="BQ123" i="4"/>
  <c r="BP123" i="4"/>
  <c r="BO123" i="4"/>
  <c r="BN123" i="4"/>
  <c r="BM123" i="4"/>
  <c r="BL123" i="4"/>
  <c r="BK123" i="4"/>
  <c r="BJ123" i="4"/>
  <c r="BI123" i="4"/>
  <c r="BH123" i="4"/>
  <c r="BG123" i="4"/>
  <c r="BF123" i="4"/>
  <c r="BE123" i="4"/>
  <c r="BD123" i="4"/>
  <c r="BC123" i="4"/>
  <c r="BB123" i="4"/>
  <c r="BA123" i="4"/>
  <c r="AZ123" i="4"/>
  <c r="AY123" i="4"/>
  <c r="AX123" i="4"/>
  <c r="AW123" i="4"/>
  <c r="AV123" i="4"/>
  <c r="AU123" i="4"/>
  <c r="AT123" i="4"/>
  <c r="AS123" i="4"/>
  <c r="AR123" i="4"/>
  <c r="AQ123" i="4"/>
  <c r="AP123" i="4"/>
  <c r="AO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U123" i="4"/>
  <c r="T123" i="4"/>
  <c r="S123" i="4"/>
  <c r="R123" i="4"/>
  <c r="Q123" i="4"/>
  <c r="P123" i="4"/>
  <c r="O123" i="4"/>
  <c r="N123" i="4"/>
  <c r="M123" i="4"/>
  <c r="L123" i="4"/>
  <c r="K123" i="4"/>
  <c r="J123" i="4"/>
  <c r="I123" i="4"/>
  <c r="H123" i="4"/>
  <c r="G123" i="4"/>
  <c r="F123" i="4"/>
  <c r="E123" i="4"/>
  <c r="D123" i="4"/>
  <c r="C123" i="4"/>
  <c r="CD122" i="4"/>
  <c r="CC122" i="4"/>
  <c r="CB122" i="4"/>
  <c r="CA122" i="4"/>
  <c r="BZ122" i="4"/>
  <c r="BY122" i="4"/>
  <c r="BX122" i="4"/>
  <c r="BW122" i="4"/>
  <c r="BV122" i="4"/>
  <c r="BU122" i="4"/>
  <c r="BT122" i="4"/>
  <c r="F5" i="21" s="1"/>
  <c r="BS122" i="4"/>
  <c r="BR122" i="4"/>
  <c r="BQ122" i="4"/>
  <c r="BP122" i="4"/>
  <c r="BO122" i="4"/>
  <c r="E5" i="21" s="1"/>
  <c r="BN122" i="4"/>
  <c r="BM122" i="4"/>
  <c r="BL122" i="4"/>
  <c r="BK122" i="4"/>
  <c r="BJ122" i="4"/>
  <c r="D5" i="21" s="1"/>
  <c r="BI122" i="4"/>
  <c r="BH122" i="4"/>
  <c r="BG122" i="4"/>
  <c r="BF122" i="4"/>
  <c r="BE122" i="4"/>
  <c r="C5" i="21" s="1"/>
  <c r="BD122" i="4"/>
  <c r="BC122" i="4"/>
  <c r="BB122" i="4"/>
  <c r="BA122" i="4"/>
  <c r="AZ122" i="4"/>
  <c r="AY122" i="4"/>
  <c r="AX122" i="4"/>
  <c r="AW122" i="4"/>
  <c r="AV122" i="4"/>
  <c r="AU122" i="4"/>
  <c r="AT122" i="4"/>
  <c r="AS122" i="4"/>
  <c r="AR122" i="4"/>
  <c r="AQ122" i="4"/>
  <c r="AP122" i="4"/>
  <c r="AO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X122" i="4"/>
  <c r="W122" i="4"/>
  <c r="V122" i="4"/>
  <c r="U122" i="4"/>
  <c r="T122" i="4"/>
  <c r="S122" i="4"/>
  <c r="R122" i="4"/>
  <c r="Q122" i="4"/>
  <c r="P122" i="4"/>
  <c r="O122" i="4"/>
  <c r="N122" i="4"/>
  <c r="M122" i="4"/>
  <c r="L122" i="4"/>
  <c r="K122" i="4"/>
  <c r="J122" i="4"/>
  <c r="I122" i="4"/>
  <c r="H122" i="4"/>
  <c r="G122" i="4"/>
  <c r="F122" i="4"/>
  <c r="E122" i="4"/>
  <c r="D122" i="4"/>
  <c r="C122" i="4"/>
  <c r="G121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CC104" i="4"/>
  <c r="CB104" i="4"/>
  <c r="CA104" i="4"/>
  <c r="BZ104" i="4"/>
  <c r="BW104" i="4"/>
  <c r="BV104" i="4"/>
  <c r="BU104" i="4"/>
  <c r="BN104" i="4"/>
  <c r="BM104" i="4"/>
  <c r="BI104" i="4"/>
  <c r="BH104" i="4"/>
  <c r="BG104" i="4"/>
  <c r="BF104" i="4"/>
  <c r="BD104" i="4"/>
  <c r="BC104" i="4"/>
  <c r="BB104" i="4"/>
  <c r="BA104" i="4"/>
  <c r="AZ104" i="4"/>
  <c r="AY104" i="4"/>
  <c r="AX104" i="4"/>
  <c r="AW104" i="4"/>
  <c r="AV104" i="4"/>
  <c r="AU104" i="4"/>
  <c r="AT104" i="4"/>
  <c r="AS104" i="4"/>
  <c r="AR104" i="4"/>
  <c r="AQ104" i="4"/>
  <c r="AP104" i="4"/>
  <c r="AO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BP178" i="4"/>
  <c r="Z94" i="4"/>
  <c r="Z98" i="4" s="1"/>
  <c r="Y94" i="4"/>
  <c r="Y98" i="4" s="1"/>
  <c r="X94" i="4"/>
  <c r="X98" i="4" s="1"/>
  <c r="W94" i="4"/>
  <c r="W98" i="4" s="1"/>
  <c r="V94" i="4"/>
  <c r="V98" i="4" s="1"/>
  <c r="U94" i="4"/>
  <c r="U98" i="4" s="1"/>
  <c r="T94" i="4"/>
  <c r="T98" i="4" s="1"/>
  <c r="S94" i="4"/>
  <c r="S98" i="4" s="1"/>
  <c r="R94" i="4"/>
  <c r="R98" i="4" s="1"/>
  <c r="Q94" i="4"/>
  <c r="Q98" i="4" s="1"/>
  <c r="P94" i="4"/>
  <c r="P98" i="4" s="1"/>
  <c r="O94" i="4"/>
  <c r="O98" i="4" s="1"/>
  <c r="N94" i="4"/>
  <c r="N98" i="4" s="1"/>
  <c r="M94" i="4"/>
  <c r="M98" i="4" s="1"/>
  <c r="L94" i="4"/>
  <c r="L98" i="4" s="1"/>
  <c r="K94" i="4"/>
  <c r="K98" i="4" s="1"/>
  <c r="J94" i="4"/>
  <c r="J98" i="4" s="1"/>
  <c r="I94" i="4"/>
  <c r="I98" i="4" s="1"/>
  <c r="H94" i="4"/>
  <c r="H98" i="4" s="1"/>
  <c r="G94" i="4"/>
  <c r="G98" i="4" s="1"/>
  <c r="F94" i="4"/>
  <c r="F98" i="4" s="1"/>
  <c r="E94" i="4"/>
  <c r="E98" i="4" s="1"/>
  <c r="D94" i="4"/>
  <c r="D98" i="4" s="1"/>
  <c r="C94" i="4"/>
  <c r="C98" i="4" s="1"/>
  <c r="G79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H75" i="4"/>
  <c r="G75" i="4"/>
  <c r="F75" i="4"/>
  <c r="E75" i="4"/>
  <c r="D75" i="4"/>
  <c r="C75" i="4"/>
  <c r="BT159" i="4"/>
  <c r="CX68" i="4"/>
  <c r="CS68" i="4"/>
  <c r="CN68" i="4"/>
  <c r="CI68" i="4"/>
  <c r="CD68" i="4"/>
  <c r="CC68" i="4"/>
  <c r="CB68" i="4"/>
  <c r="CA68" i="4"/>
  <c r="BZ68" i="4"/>
  <c r="BY68" i="4"/>
  <c r="BX68" i="4"/>
  <c r="BW68" i="4"/>
  <c r="BV68" i="4"/>
  <c r="BU68" i="4"/>
  <c r="BS68" i="4"/>
  <c r="BR68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B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T68" i="4"/>
  <c r="CC64" i="4"/>
  <c r="CB64" i="4"/>
  <c r="CA64" i="4"/>
  <c r="BZ64" i="4"/>
  <c r="BW64" i="4"/>
  <c r="BV64" i="4"/>
  <c r="BU64" i="4"/>
  <c r="BN64" i="4"/>
  <c r="BM64" i="4"/>
  <c r="BI64" i="4"/>
  <c r="BH64" i="4"/>
  <c r="BG64" i="4"/>
  <c r="BF64" i="4"/>
  <c r="BD64" i="4"/>
  <c r="BC64" i="4"/>
  <c r="BB64" i="4"/>
  <c r="AY64" i="4"/>
  <c r="AX64" i="4"/>
  <c r="AW64" i="4"/>
  <c r="AV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V151" i="4" s="1"/>
  <c r="U64" i="4"/>
  <c r="U151" i="4" s="1"/>
  <c r="T64" i="4"/>
  <c r="T151" i="4" s="1"/>
  <c r="S64" i="4"/>
  <c r="S151" i="4" s="1"/>
  <c r="R64" i="4"/>
  <c r="R151" i="4" s="1"/>
  <c r="Q64" i="4"/>
  <c r="Q151" i="4" s="1"/>
  <c r="P64" i="4"/>
  <c r="P151" i="4" s="1"/>
  <c r="O64" i="4"/>
  <c r="O151" i="4" s="1"/>
  <c r="N64" i="4"/>
  <c r="N151" i="4" s="1"/>
  <c r="M64" i="4"/>
  <c r="M151" i="4" s="1"/>
  <c r="L64" i="4"/>
  <c r="L151" i="4" s="1"/>
  <c r="K64" i="4"/>
  <c r="K151" i="4" s="1"/>
  <c r="J64" i="4"/>
  <c r="J151" i="4" s="1"/>
  <c r="I64" i="4"/>
  <c r="I151" i="4" s="1"/>
  <c r="H64" i="4"/>
  <c r="H151" i="4" s="1"/>
  <c r="G64" i="4"/>
  <c r="G151" i="4" s="1"/>
  <c r="F64" i="4"/>
  <c r="F151" i="4" s="1"/>
  <c r="E64" i="4"/>
  <c r="E151" i="4" s="1"/>
  <c r="D64" i="4"/>
  <c r="D151" i="4" s="1"/>
  <c r="C64" i="4"/>
  <c r="C151" i="4" s="1"/>
  <c r="BR64" i="4"/>
  <c r="BQ64" i="4"/>
  <c r="BP64" i="4"/>
  <c r="BO64" i="4"/>
  <c r="BL64" i="4"/>
  <c r="BK64" i="4"/>
  <c r="BJ64" i="4"/>
  <c r="BE64" i="4"/>
  <c r="AZ64" i="4"/>
  <c r="AU64" i="4"/>
  <c r="CX59" i="4"/>
  <c r="CS59" i="4"/>
  <c r="CI59" i="4"/>
  <c r="CD59" i="4"/>
  <c r="CC59" i="4"/>
  <c r="CB59" i="4"/>
  <c r="CA59" i="4"/>
  <c r="BZ59" i="4"/>
  <c r="BY59" i="4"/>
  <c r="BW59" i="4"/>
  <c r="BV59" i="4"/>
  <c r="BU59" i="4"/>
  <c r="BN59" i="4"/>
  <c r="BM59" i="4"/>
  <c r="BI59" i="4"/>
  <c r="BH59" i="4"/>
  <c r="BG59" i="4"/>
  <c r="BF59" i="4"/>
  <c r="BD59" i="4"/>
  <c r="BC59" i="4"/>
  <c r="BB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S59" i="4"/>
  <c r="BR59" i="4"/>
  <c r="BQ59" i="4"/>
  <c r="BP59" i="4"/>
  <c r="BO59" i="4"/>
  <c r="BL59" i="4"/>
  <c r="BK59" i="4"/>
  <c r="BJ59" i="4"/>
  <c r="BE59" i="4"/>
  <c r="CC54" i="4"/>
  <c r="CB54" i="4"/>
  <c r="CA54" i="4"/>
  <c r="BZ54" i="4"/>
  <c r="BW54" i="4"/>
  <c r="BV54" i="4"/>
  <c r="BU54" i="4"/>
  <c r="BN54" i="4"/>
  <c r="BM54" i="4"/>
  <c r="BI54" i="4"/>
  <c r="BH54" i="4"/>
  <c r="BG54" i="4"/>
  <c r="BF54" i="4"/>
  <c r="BD54" i="4"/>
  <c r="BC54" i="4"/>
  <c r="BB54" i="4"/>
  <c r="AY54" i="4"/>
  <c r="AX54" i="4"/>
  <c r="AW54" i="4"/>
  <c r="AV54" i="4"/>
  <c r="AT54" i="4"/>
  <c r="AS54" i="4"/>
  <c r="AR54" i="4"/>
  <c r="AQ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S54" i="4"/>
  <c r="BR54" i="4"/>
  <c r="BP54" i="4"/>
  <c r="BO54" i="4"/>
  <c r="BL54" i="4"/>
  <c r="BK54" i="4"/>
  <c r="BJ54" i="4"/>
  <c r="BE54" i="4"/>
  <c r="AZ54" i="4"/>
  <c r="AU54" i="4"/>
  <c r="BQ54" i="4"/>
  <c r="G49" i="4"/>
  <c r="G174" i="4" s="1"/>
  <c r="CX45" i="4"/>
  <c r="CX130" i="4" s="1"/>
  <c r="CX131" i="4" s="1"/>
  <c r="CS45" i="4"/>
  <c r="CS130" i="4" s="1"/>
  <c r="CS131" i="4" s="1"/>
  <c r="CN45" i="4"/>
  <c r="CN130" i="4" s="1"/>
  <c r="CN131" i="4" s="1"/>
  <c r="CI45" i="4"/>
  <c r="CI130" i="4" s="1"/>
  <c r="CI131" i="4" s="1"/>
  <c r="CD45" i="4"/>
  <c r="CC45" i="4"/>
  <c r="CC130" i="4" s="1"/>
  <c r="CC131" i="4" s="1"/>
  <c r="CB45" i="4"/>
  <c r="CA45" i="4"/>
  <c r="BZ45" i="4"/>
  <c r="BY45" i="4"/>
  <c r="BX45" i="4"/>
  <c r="BX130" i="4" s="1"/>
  <c r="BX131" i="4" s="1"/>
  <c r="BW45" i="4"/>
  <c r="BV45" i="4"/>
  <c r="BU45" i="4"/>
  <c r="BS45" i="4"/>
  <c r="BR45" i="4"/>
  <c r="BQ45" i="4"/>
  <c r="BP45" i="4"/>
  <c r="AT45" i="4"/>
  <c r="AT130" i="4" s="1"/>
  <c r="AT131" i="4" s="1"/>
  <c r="AS45" i="4"/>
  <c r="AS130" i="4" s="1"/>
  <c r="AS131" i="4" s="1"/>
  <c r="AR45" i="4"/>
  <c r="AR130" i="4" s="1"/>
  <c r="AR131" i="4" s="1"/>
  <c r="AQ45" i="4"/>
  <c r="AQ130" i="4" s="1"/>
  <c r="AQ131" i="4" s="1"/>
  <c r="AP45" i="4"/>
  <c r="AP130" i="4" s="1"/>
  <c r="AP131" i="4" s="1"/>
  <c r="AO45" i="4"/>
  <c r="AO130" i="4" s="1"/>
  <c r="AO131" i="4" s="1"/>
  <c r="AN45" i="4"/>
  <c r="AN130" i="4" s="1"/>
  <c r="AN131" i="4" s="1"/>
  <c r="AM45" i="4"/>
  <c r="AM130" i="4" s="1"/>
  <c r="AM131" i="4" s="1"/>
  <c r="AL45" i="4"/>
  <c r="AL130" i="4" s="1"/>
  <c r="AL131" i="4" s="1"/>
  <c r="AK45" i="4"/>
  <c r="AK130" i="4" s="1"/>
  <c r="AK131" i="4" s="1"/>
  <c r="AJ45" i="4"/>
  <c r="AJ130" i="4" s="1"/>
  <c r="AJ131" i="4" s="1"/>
  <c r="AI45" i="4"/>
  <c r="AI130" i="4" s="1"/>
  <c r="AI131" i="4" s="1"/>
  <c r="AH45" i="4"/>
  <c r="AH130" i="4" s="1"/>
  <c r="AH131" i="4" s="1"/>
  <c r="AG45" i="4"/>
  <c r="AG130" i="4" s="1"/>
  <c r="AG131" i="4" s="1"/>
  <c r="AF45" i="4"/>
  <c r="AF130" i="4" s="1"/>
  <c r="AF131" i="4" s="1"/>
  <c r="AE45" i="4"/>
  <c r="AE130" i="4" s="1"/>
  <c r="AE131" i="4" s="1"/>
  <c r="AD45" i="4"/>
  <c r="AD130" i="4" s="1"/>
  <c r="AD131" i="4" s="1"/>
  <c r="AC45" i="4"/>
  <c r="AC130" i="4" s="1"/>
  <c r="AC131" i="4" s="1"/>
  <c r="AB45" i="4"/>
  <c r="AB130" i="4" s="1"/>
  <c r="AB131" i="4" s="1"/>
  <c r="AA45" i="4"/>
  <c r="AA130" i="4" s="1"/>
  <c r="AA131" i="4" s="1"/>
  <c r="Z45" i="4"/>
  <c r="Z130" i="4" s="1"/>
  <c r="Z131" i="4" s="1"/>
  <c r="Y45" i="4"/>
  <c r="Y130" i="4" s="1"/>
  <c r="Y131" i="4" s="1"/>
  <c r="X45" i="4"/>
  <c r="X130" i="4" s="1"/>
  <c r="X131" i="4" s="1"/>
  <c r="W45" i="4"/>
  <c r="W130" i="4" s="1"/>
  <c r="W131" i="4" s="1"/>
  <c r="V45" i="4"/>
  <c r="V130" i="4" s="1"/>
  <c r="V131" i="4" s="1"/>
  <c r="U45" i="4"/>
  <c r="U130" i="4" s="1"/>
  <c r="U131" i="4" s="1"/>
  <c r="T45" i="4"/>
  <c r="T130" i="4" s="1"/>
  <c r="T131" i="4" s="1"/>
  <c r="S45" i="4"/>
  <c r="S130" i="4" s="1"/>
  <c r="S131" i="4" s="1"/>
  <c r="R45" i="4"/>
  <c r="R130" i="4" s="1"/>
  <c r="R131" i="4" s="1"/>
  <c r="Q45" i="4"/>
  <c r="Q130" i="4" s="1"/>
  <c r="Q131" i="4" s="1"/>
  <c r="P45" i="4"/>
  <c r="P130" i="4" s="1"/>
  <c r="P131" i="4" s="1"/>
  <c r="O45" i="4"/>
  <c r="O130" i="4" s="1"/>
  <c r="O131" i="4" s="1"/>
  <c r="N45" i="4"/>
  <c r="N130" i="4" s="1"/>
  <c r="N131" i="4" s="1"/>
  <c r="M45" i="4"/>
  <c r="M130" i="4" s="1"/>
  <c r="M131" i="4" s="1"/>
  <c r="L45" i="4"/>
  <c r="L130" i="4" s="1"/>
  <c r="L131" i="4" s="1"/>
  <c r="K45" i="4"/>
  <c r="K130" i="4" s="1"/>
  <c r="K131" i="4" s="1"/>
  <c r="J45" i="4"/>
  <c r="J130" i="4" s="1"/>
  <c r="J131" i="4" s="1"/>
  <c r="I45" i="4"/>
  <c r="I130" i="4" s="1"/>
  <c r="I131" i="4" s="1"/>
  <c r="H45" i="4"/>
  <c r="H130" i="4" s="1"/>
  <c r="H131" i="4" s="1"/>
  <c r="G45" i="4"/>
  <c r="G130" i="4" s="1"/>
  <c r="G131" i="4" s="1"/>
  <c r="CX44" i="4"/>
  <c r="CS44" i="4"/>
  <c r="CN44" i="4"/>
  <c r="CI44" i="4"/>
  <c r="CD44" i="4"/>
  <c r="CC44" i="4"/>
  <c r="CB44" i="4"/>
  <c r="CA44" i="4"/>
  <c r="BZ44" i="4"/>
  <c r="BY44" i="4"/>
  <c r="BX44" i="4"/>
  <c r="BW44" i="4"/>
  <c r="BV44" i="4"/>
  <c r="BU44" i="4"/>
  <c r="BS44" i="4"/>
  <c r="BR44" i="4"/>
  <c r="BQ44" i="4"/>
  <c r="BP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CX43" i="4"/>
  <c r="CS43" i="4"/>
  <c r="CN43" i="4"/>
  <c r="CI43" i="4"/>
  <c r="CD43" i="4"/>
  <c r="CC43" i="4"/>
  <c r="CB43" i="4"/>
  <c r="CA43" i="4"/>
  <c r="BZ43" i="4"/>
  <c r="BY43" i="4"/>
  <c r="BX43" i="4"/>
  <c r="BW43" i="4"/>
  <c r="BV43" i="4"/>
  <c r="BU43" i="4"/>
  <c r="BS43" i="4"/>
  <c r="BR43" i="4"/>
  <c r="BQ43" i="4"/>
  <c r="BP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BO44" i="4"/>
  <c r="F42" i="4"/>
  <c r="F44" i="4" s="1"/>
  <c r="BO45" i="4"/>
  <c r="F41" i="4"/>
  <c r="F45" i="4" s="1"/>
  <c r="BT130" i="4"/>
  <c r="BT131" i="4" s="1"/>
  <c r="BM45" i="4"/>
  <c r="BI45" i="4"/>
  <c r="BT44" i="4"/>
  <c r="BT43" i="4"/>
  <c r="CX22" i="4"/>
  <c r="CS22" i="4"/>
  <c r="CN22" i="4"/>
  <c r="CI22" i="4"/>
  <c r="CD22" i="4"/>
  <c r="CC22" i="4"/>
  <c r="CB22" i="4"/>
  <c r="CA22" i="4"/>
  <c r="BZ22" i="4"/>
  <c r="BX22" i="4"/>
  <c r="BW22" i="4"/>
  <c r="BV22" i="4"/>
  <c r="B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D21" i="4"/>
  <c r="BC21" i="4"/>
  <c r="BB21" i="4"/>
  <c r="BA21" i="4"/>
  <c r="AZ21" i="4"/>
  <c r="AY21" i="4"/>
  <c r="AX21" i="4"/>
  <c r="AW21" i="4"/>
  <c r="AV21" i="4"/>
  <c r="AU21" i="4"/>
  <c r="BO172" i="4"/>
  <c r="BN22" i="4"/>
  <c r="BL22" i="4"/>
  <c r="BJ172" i="4"/>
  <c r="BH22" i="4"/>
  <c r="BF22" i="4"/>
  <c r="BE172" i="4"/>
  <c r="BD20" i="4"/>
  <c r="BC20" i="4"/>
  <c r="BB20" i="4"/>
  <c r="BA20" i="4"/>
  <c r="AZ20" i="4"/>
  <c r="AZ172" i="4" s="1"/>
  <c r="AY20" i="4"/>
  <c r="BD172" i="4" s="1"/>
  <c r="AX20" i="4"/>
  <c r="BC172" i="4" s="1"/>
  <c r="AW20" i="4"/>
  <c r="BB172" i="4" s="1"/>
  <c r="AV20" i="4"/>
  <c r="BA172" i="4" s="1"/>
  <c r="AU20" i="4"/>
  <c r="AT18" i="4"/>
  <c r="AO18" i="4"/>
  <c r="CX147" i="4"/>
  <c r="CS147" i="4"/>
  <c r="CN147" i="4"/>
  <c r="CI147" i="4"/>
  <c r="CD147" i="4"/>
  <c r="CC147" i="4"/>
  <c r="CB147" i="4"/>
  <c r="CA147" i="4"/>
  <c r="BZ147" i="4"/>
  <c r="BY147" i="4"/>
  <c r="BX147" i="4"/>
  <c r="BW147" i="4"/>
  <c r="BV147" i="4"/>
  <c r="BU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7" i="4"/>
  <c r="AZ147" i="4" s="1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7" i="4"/>
  <c r="AA147" i="4" s="1"/>
  <c r="Z17" i="4"/>
  <c r="Z147" i="4" s="1"/>
  <c r="Y17" i="4"/>
  <c r="Y147" i="4" s="1"/>
  <c r="X17" i="4"/>
  <c r="X147" i="4" s="1"/>
  <c r="W17" i="4"/>
  <c r="W147" i="4" s="1"/>
  <c r="V17" i="4"/>
  <c r="V147" i="4" s="1"/>
  <c r="U17" i="4"/>
  <c r="U147" i="4" s="1"/>
  <c r="T17" i="4"/>
  <c r="T147" i="4" s="1"/>
  <c r="S17" i="4"/>
  <c r="S147" i="4" s="1"/>
  <c r="R17" i="4"/>
  <c r="R147" i="4" s="1"/>
  <c r="Q17" i="4"/>
  <c r="Q147" i="4" s="1"/>
  <c r="P17" i="4"/>
  <c r="P147" i="4" s="1"/>
  <c r="O17" i="4"/>
  <c r="O147" i="4" s="1"/>
  <c r="N17" i="4"/>
  <c r="N147" i="4" s="1"/>
  <c r="M17" i="4"/>
  <c r="M147" i="4" s="1"/>
  <c r="L17" i="4"/>
  <c r="L147" i="4" s="1"/>
  <c r="K17" i="4"/>
  <c r="K147" i="4" s="1"/>
  <c r="J17" i="4"/>
  <c r="J147" i="4" s="1"/>
  <c r="I17" i="4"/>
  <c r="I147" i="4" s="1"/>
  <c r="H17" i="4"/>
  <c r="H147" i="4" s="1"/>
  <c r="G17" i="4"/>
  <c r="G147" i="4" s="1"/>
  <c r="F17" i="4"/>
  <c r="F147" i="4" s="1"/>
  <c r="E17" i="4"/>
  <c r="E147" i="4" s="1"/>
  <c r="D17" i="4"/>
  <c r="D147" i="4" s="1"/>
  <c r="C17" i="4"/>
  <c r="C147" i="4" s="1"/>
  <c r="BT147" i="4"/>
  <c r="BZ141" i="4"/>
  <c r="AE141" i="4"/>
  <c r="AD141" i="4"/>
  <c r="AC141" i="4"/>
  <c r="AB141" i="4"/>
  <c r="AA11" i="4"/>
  <c r="Z11" i="4"/>
  <c r="Y11" i="4"/>
  <c r="X11" i="4"/>
  <c r="W11" i="4"/>
  <c r="V11" i="4"/>
  <c r="V141" i="4" s="1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G141" i="4" s="1"/>
  <c r="F11" i="4"/>
  <c r="F141" i="4" s="1"/>
  <c r="E11" i="4"/>
  <c r="E141" i="4" s="1"/>
  <c r="D11" i="4"/>
  <c r="D141" i="4" s="1"/>
  <c r="C11" i="4"/>
  <c r="C141" i="4" s="1"/>
  <c r="L8" i="4"/>
  <c r="L49" i="4" s="1"/>
  <c r="L174" i="4" s="1"/>
  <c r="F8" i="4"/>
  <c r="E8" i="4"/>
  <c r="D8" i="4"/>
  <c r="C8" i="4"/>
  <c r="AA141" i="4" l="1"/>
  <c r="AA23" i="4"/>
  <c r="AA161" i="4" s="1"/>
  <c r="D150" i="4"/>
  <c r="H150" i="4"/>
  <c r="L150" i="4"/>
  <c r="P150" i="4"/>
  <c r="T150" i="4"/>
  <c r="Q150" i="4"/>
  <c r="E150" i="4"/>
  <c r="I150" i="4"/>
  <c r="M150" i="4"/>
  <c r="U150" i="4"/>
  <c r="F150" i="4"/>
  <c r="J150" i="4"/>
  <c r="N150" i="4"/>
  <c r="R150" i="4"/>
  <c r="V150" i="4"/>
  <c r="J8" i="4"/>
  <c r="J49" i="4" s="1"/>
  <c r="J174" i="4" s="1"/>
  <c r="I19" i="4"/>
  <c r="I176" i="4" s="1"/>
  <c r="M19" i="4"/>
  <c r="M142" i="4" s="1"/>
  <c r="Q19" i="4"/>
  <c r="Q23" i="4" s="1"/>
  <c r="U19" i="4"/>
  <c r="U142" i="4" s="1"/>
  <c r="Y19" i="4"/>
  <c r="Y142" i="4" s="1"/>
  <c r="AG19" i="4"/>
  <c r="AK19" i="4"/>
  <c r="AK139" i="4" s="1"/>
  <c r="AO19" i="4"/>
  <c r="H8" i="4"/>
  <c r="H49" i="4" s="1"/>
  <c r="H174" i="4" s="1"/>
  <c r="K19" i="4"/>
  <c r="K142" i="4" s="1"/>
  <c r="O19" i="4"/>
  <c r="O176" i="4" s="1"/>
  <c r="S19" i="4"/>
  <c r="S176" i="4" s="1"/>
  <c r="W19" i="4"/>
  <c r="W142" i="4" s="1"/>
  <c r="AI19" i="4"/>
  <c r="AI142" i="4" s="1"/>
  <c r="AM19" i="4"/>
  <c r="C150" i="4"/>
  <c r="G150" i="4"/>
  <c r="K150" i="4"/>
  <c r="O150" i="4"/>
  <c r="S150" i="4"/>
  <c r="BV157" i="4"/>
  <c r="AR164" i="4"/>
  <c r="AR141" i="4"/>
  <c r="AT164" i="4"/>
  <c r="AT141" i="4"/>
  <c r="AW19" i="4"/>
  <c r="AW164" i="4"/>
  <c r="AW141" i="4"/>
  <c r="AY19" i="4"/>
  <c r="AY164" i="4"/>
  <c r="AY141" i="4"/>
  <c r="BB141" i="4"/>
  <c r="BB164" i="4"/>
  <c r="BD141" i="4"/>
  <c r="BD164" i="4"/>
  <c r="BG19" i="4"/>
  <c r="BG141" i="4"/>
  <c r="BG164" i="4"/>
  <c r="BI19" i="4"/>
  <c r="BI141" i="4"/>
  <c r="BI164" i="4"/>
  <c r="BN164" i="4"/>
  <c r="BN141" i="4"/>
  <c r="BV19" i="4"/>
  <c r="BV80" i="4" s="1"/>
  <c r="BV98" i="4" s="1"/>
  <c r="BY19" i="4"/>
  <c r="BY80" i="4" s="1"/>
  <c r="BY98" i="4" s="1"/>
  <c r="BY141" i="4"/>
  <c r="CA19" i="4"/>
  <c r="CA80" i="4" s="1"/>
  <c r="CA98" i="4" s="1"/>
  <c r="CA164" i="4"/>
  <c r="CA141" i="4"/>
  <c r="CI19" i="4"/>
  <c r="CI80" i="4" s="1"/>
  <c r="CI164" i="4"/>
  <c r="CI141" i="4"/>
  <c r="CS19" i="4"/>
  <c r="CS80" i="4" s="1"/>
  <c r="CS164" i="4"/>
  <c r="CS141" i="4"/>
  <c r="BW157" i="4"/>
  <c r="AU150" i="4"/>
  <c r="AU151" i="4"/>
  <c r="BE150" i="4"/>
  <c r="BE151" i="4"/>
  <c r="BK151" i="4"/>
  <c r="BK150" i="4"/>
  <c r="BO151" i="4"/>
  <c r="BO150" i="4"/>
  <c r="BR150" i="4"/>
  <c r="BR151" i="4"/>
  <c r="AR151" i="4"/>
  <c r="AR150" i="4"/>
  <c r="AT151" i="4"/>
  <c r="AT150" i="4"/>
  <c r="AW151" i="4"/>
  <c r="AW150" i="4"/>
  <c r="AY151" i="4"/>
  <c r="AY150" i="4"/>
  <c r="BC150" i="4"/>
  <c r="BC151" i="4"/>
  <c r="BF151" i="4"/>
  <c r="BF150" i="4"/>
  <c r="BH151" i="4"/>
  <c r="BH150" i="4"/>
  <c r="BM151" i="4"/>
  <c r="BM150" i="4"/>
  <c r="BU151" i="4"/>
  <c r="BU150" i="4"/>
  <c r="BW151" i="4"/>
  <c r="BW150" i="4"/>
  <c r="CA151" i="4"/>
  <c r="CA150" i="4"/>
  <c r="AZ159" i="4"/>
  <c r="BB159" i="4"/>
  <c r="BD159" i="4"/>
  <c r="BF159" i="4"/>
  <c r="BH159" i="4"/>
  <c r="BJ159" i="4"/>
  <c r="BL159" i="4"/>
  <c r="BN159" i="4"/>
  <c r="BP159" i="4"/>
  <c r="BS159" i="4"/>
  <c r="BV159" i="4"/>
  <c r="BZ159" i="4"/>
  <c r="CB159" i="4"/>
  <c r="AQ19" i="4"/>
  <c r="AQ164" i="4"/>
  <c r="AQ141" i="4"/>
  <c r="AS19" i="4"/>
  <c r="AS164" i="4"/>
  <c r="AS141" i="4"/>
  <c r="AV164" i="4"/>
  <c r="AV141" i="4"/>
  <c r="AX164" i="4"/>
  <c r="AX141" i="4"/>
  <c r="BA19" i="4"/>
  <c r="BA141" i="4"/>
  <c r="BA164" i="4"/>
  <c r="BC19" i="4"/>
  <c r="BC141" i="4"/>
  <c r="BC164" i="4"/>
  <c r="BF164" i="4"/>
  <c r="BF141" i="4"/>
  <c r="BH164" i="4"/>
  <c r="BH141" i="4"/>
  <c r="BM19" i="4"/>
  <c r="BM164" i="4"/>
  <c r="BM141" i="4"/>
  <c r="BW19" i="4"/>
  <c r="BW80" i="4" s="1"/>
  <c r="BW98" i="4" s="1"/>
  <c r="BW141" i="4"/>
  <c r="CB141" i="4"/>
  <c r="CB164" i="4"/>
  <c r="CD164" i="4"/>
  <c r="CD141" i="4"/>
  <c r="CN164" i="4"/>
  <c r="CN141" i="4"/>
  <c r="CX164" i="4"/>
  <c r="CX141" i="4"/>
  <c r="BQ151" i="4"/>
  <c r="BQ150" i="4"/>
  <c r="AZ150" i="4"/>
  <c r="AZ151" i="4"/>
  <c r="BJ151" i="4"/>
  <c r="BJ150" i="4"/>
  <c r="BL150" i="4"/>
  <c r="BL151" i="4"/>
  <c r="BP150" i="4"/>
  <c r="BP151" i="4"/>
  <c r="AQ150" i="4"/>
  <c r="AQ151" i="4"/>
  <c r="AS150" i="4"/>
  <c r="AS151" i="4"/>
  <c r="AV150" i="4"/>
  <c r="AV151" i="4"/>
  <c r="AX150" i="4"/>
  <c r="AX151" i="4"/>
  <c r="BB151" i="4"/>
  <c r="BB150" i="4"/>
  <c r="BD151" i="4"/>
  <c r="BD150" i="4"/>
  <c r="BG150" i="4"/>
  <c r="BG151" i="4"/>
  <c r="BI150" i="4"/>
  <c r="BI151" i="4"/>
  <c r="BN150" i="4"/>
  <c r="BN151" i="4"/>
  <c r="BV151" i="4"/>
  <c r="BV150" i="4"/>
  <c r="BZ151" i="4"/>
  <c r="BZ150" i="4"/>
  <c r="CB151" i="4"/>
  <c r="CB150" i="4"/>
  <c r="CI137" i="4"/>
  <c r="BC159" i="4"/>
  <c r="BE159" i="4"/>
  <c r="BG159" i="4"/>
  <c r="BI159" i="4"/>
  <c r="BK159" i="4"/>
  <c r="BM159" i="4"/>
  <c r="BO159" i="4"/>
  <c r="BR159" i="4"/>
  <c r="BU159" i="4"/>
  <c r="BW159" i="4"/>
  <c r="CA159" i="4"/>
  <c r="BO130" i="4"/>
  <c r="BO131" i="4" s="1"/>
  <c r="BQ130" i="4"/>
  <c r="BQ131" i="4" s="1"/>
  <c r="BS130" i="4"/>
  <c r="BS131" i="4" s="1"/>
  <c r="BV130" i="4"/>
  <c r="BV131" i="4" s="1"/>
  <c r="BZ130" i="4"/>
  <c r="BZ131" i="4" s="1"/>
  <c r="CB130" i="4"/>
  <c r="CB131" i="4" s="1"/>
  <c r="BP130" i="4"/>
  <c r="BP131" i="4" s="1"/>
  <c r="BR130" i="4"/>
  <c r="BR131" i="4" s="1"/>
  <c r="BU130" i="4"/>
  <c r="BU131" i="4" s="1"/>
  <c r="BW130" i="4"/>
  <c r="BW131" i="4" s="1"/>
  <c r="BY130" i="4"/>
  <c r="BY131" i="4" s="1"/>
  <c r="CA130" i="4"/>
  <c r="CA131" i="4" s="1"/>
  <c r="CD130" i="4"/>
  <c r="CD131" i="4" s="1"/>
  <c r="BU19" i="4"/>
  <c r="BU80" i="4" s="1"/>
  <c r="BU98" i="4" s="1"/>
  <c r="BU141" i="4"/>
  <c r="BZ164" i="4"/>
  <c r="BI130" i="4"/>
  <c r="BI131" i="4" s="1"/>
  <c r="CC159" i="4"/>
  <c r="AU22" i="4"/>
  <c r="AU172" i="4"/>
  <c r="BG22" i="4"/>
  <c r="BI22" i="4"/>
  <c r="BK22" i="4"/>
  <c r="BU157" i="4"/>
  <c r="BX19" i="4"/>
  <c r="BX80" i="4" s="1"/>
  <c r="BX98" i="4" s="1"/>
  <c r="BM130" i="4"/>
  <c r="BM131" i="4" s="1"/>
  <c r="CC150" i="4"/>
  <c r="CC151" i="4"/>
  <c r="E42" i="4"/>
  <c r="E44" i="4" s="1"/>
  <c r="BQ178" i="4"/>
  <c r="C6" i="21"/>
  <c r="C7" i="21"/>
  <c r="C8" i="21"/>
  <c r="C9" i="21"/>
  <c r="C10" i="21"/>
  <c r="C11" i="21"/>
  <c r="C12" i="21"/>
  <c r="C13" i="21"/>
  <c r="C14" i="21"/>
  <c r="C15" i="21"/>
  <c r="C16" i="21"/>
  <c r="E6" i="21"/>
  <c r="E7" i="21"/>
  <c r="E8" i="21"/>
  <c r="E9" i="21"/>
  <c r="E10" i="21"/>
  <c r="E11" i="21"/>
  <c r="E12" i="21"/>
  <c r="E13" i="21"/>
  <c r="E14" i="21"/>
  <c r="E15" i="21"/>
  <c r="E16" i="21"/>
  <c r="K34" i="8"/>
  <c r="K36" i="8" s="1"/>
  <c r="K5" i="21"/>
  <c r="L13" i="8"/>
  <c r="L11" i="8"/>
  <c r="J11" i="21"/>
  <c r="J14" i="21"/>
  <c r="J13" i="21"/>
  <c r="J6" i="21"/>
  <c r="J7" i="21"/>
  <c r="J8" i="21"/>
  <c r="J12" i="21"/>
  <c r="J15" i="21"/>
  <c r="J9" i="21"/>
  <c r="J10" i="21"/>
  <c r="J16" i="21"/>
  <c r="F37" i="8"/>
  <c r="D6" i="21"/>
  <c r="D7" i="21"/>
  <c r="D8" i="21"/>
  <c r="D9" i="21"/>
  <c r="D10" i="21"/>
  <c r="D11" i="21"/>
  <c r="D12" i="21"/>
  <c r="D13" i="21"/>
  <c r="D14" i="21"/>
  <c r="D15" i="21"/>
  <c r="D16" i="21"/>
  <c r="F6" i="21"/>
  <c r="F7" i="21"/>
  <c r="F8" i="21"/>
  <c r="F9" i="21"/>
  <c r="F10" i="21"/>
  <c r="F11" i="21"/>
  <c r="F12" i="21"/>
  <c r="F13" i="21"/>
  <c r="F14" i="21"/>
  <c r="F15" i="21"/>
  <c r="F16" i="21"/>
  <c r="K22" i="8"/>
  <c r="K25" i="8"/>
  <c r="K24" i="8"/>
  <c r="I7" i="21"/>
  <c r="I8" i="21"/>
  <c r="I6" i="21"/>
  <c r="I10" i="21"/>
  <c r="I14" i="21"/>
  <c r="I13" i="21"/>
  <c r="I9" i="21"/>
  <c r="I16" i="21"/>
  <c r="I12" i="21"/>
  <c r="I15" i="21"/>
  <c r="I11" i="21"/>
  <c r="BM22" i="4"/>
  <c r="BO22" i="4"/>
  <c r="BQ22" i="4"/>
  <c r="BM43" i="4"/>
  <c r="BN45" i="4"/>
  <c r="E41" i="4"/>
  <c r="E45" i="4" s="1"/>
  <c r="E126" i="4" s="1"/>
  <c r="E137" i="4" s="1"/>
  <c r="C69" i="4"/>
  <c r="C76" i="4" s="1"/>
  <c r="E69" i="4"/>
  <c r="E76" i="4" s="1"/>
  <c r="G69" i="4"/>
  <c r="G76" i="4" s="1"/>
  <c r="I69" i="4"/>
  <c r="I76" i="4" s="1"/>
  <c r="K69" i="4"/>
  <c r="K76" i="4" s="1"/>
  <c r="M69" i="4"/>
  <c r="M76" i="4" s="1"/>
  <c r="O69" i="4"/>
  <c r="O76" i="4" s="1"/>
  <c r="Q69" i="4"/>
  <c r="Q76" i="4" s="1"/>
  <c r="S69" i="4"/>
  <c r="S76" i="4" s="1"/>
  <c r="U69" i="4"/>
  <c r="U76" i="4" s="1"/>
  <c r="W69" i="4"/>
  <c r="W76" i="4" s="1"/>
  <c r="Y69" i="4"/>
  <c r="Y76" i="4" s="1"/>
  <c r="AA69" i="4"/>
  <c r="AA76" i="4" s="1"/>
  <c r="AC69" i="4"/>
  <c r="AC76" i="4" s="1"/>
  <c r="AE69" i="4"/>
  <c r="AE76" i="4" s="1"/>
  <c r="AG69" i="4"/>
  <c r="AG76" i="4" s="1"/>
  <c r="AI69" i="4"/>
  <c r="AI76" i="4" s="1"/>
  <c r="AK69" i="4"/>
  <c r="AK76" i="4" s="1"/>
  <c r="AM69" i="4"/>
  <c r="AM76" i="4" s="1"/>
  <c r="AO69" i="4"/>
  <c r="AO76" i="4" s="1"/>
  <c r="AQ69" i="4"/>
  <c r="AQ76" i="4" s="1"/>
  <c r="AS69" i="4"/>
  <c r="AS76" i="4" s="1"/>
  <c r="BV69" i="4"/>
  <c r="BV76" i="4" s="1"/>
  <c r="BZ69" i="4"/>
  <c r="BZ76" i="4" s="1"/>
  <c r="CB69" i="4"/>
  <c r="CB76" i="4" s="1"/>
  <c r="I8" i="4"/>
  <c r="I79" i="4" s="1"/>
  <c r="K8" i="4"/>
  <c r="K121" i="4" s="1"/>
  <c r="Q8" i="4"/>
  <c r="Q79" i="4" s="1"/>
  <c r="D69" i="4"/>
  <c r="D76" i="4" s="1"/>
  <c r="F69" i="4"/>
  <c r="F76" i="4" s="1"/>
  <c r="H69" i="4"/>
  <c r="H76" i="4" s="1"/>
  <c r="J69" i="4"/>
  <c r="J76" i="4" s="1"/>
  <c r="L69" i="4"/>
  <c r="L76" i="4" s="1"/>
  <c r="N69" i="4"/>
  <c r="N76" i="4" s="1"/>
  <c r="P69" i="4"/>
  <c r="P76" i="4" s="1"/>
  <c r="R69" i="4"/>
  <c r="R76" i="4" s="1"/>
  <c r="T69" i="4"/>
  <c r="T76" i="4" s="1"/>
  <c r="V69" i="4"/>
  <c r="V76" i="4" s="1"/>
  <c r="X69" i="4"/>
  <c r="X76" i="4" s="1"/>
  <c r="Z69" i="4"/>
  <c r="Z76" i="4" s="1"/>
  <c r="AB69" i="4"/>
  <c r="AB76" i="4" s="1"/>
  <c r="AD69" i="4"/>
  <c r="AD76" i="4" s="1"/>
  <c r="AF69" i="4"/>
  <c r="AF76" i="4" s="1"/>
  <c r="AH69" i="4"/>
  <c r="AH76" i="4" s="1"/>
  <c r="AJ69" i="4"/>
  <c r="AJ76" i="4" s="1"/>
  <c r="AL69" i="4"/>
  <c r="AL76" i="4" s="1"/>
  <c r="AN69" i="4"/>
  <c r="AN76" i="4" s="1"/>
  <c r="AP69" i="4"/>
  <c r="AP76" i="4" s="1"/>
  <c r="AR69" i="4"/>
  <c r="AR76" i="4" s="1"/>
  <c r="AT69" i="4"/>
  <c r="AT76" i="4" s="1"/>
  <c r="BU69" i="4"/>
  <c r="BU76" i="4" s="1"/>
  <c r="BW69" i="4"/>
  <c r="BW76" i="4" s="1"/>
  <c r="CA69" i="4"/>
  <c r="CA76" i="4" s="1"/>
  <c r="CC69" i="4"/>
  <c r="CC76" i="4" s="1"/>
  <c r="BH45" i="4"/>
  <c r="AV69" i="4"/>
  <c r="AV76" i="4" s="1"/>
  <c r="AX69" i="4"/>
  <c r="AX76" i="4" s="1"/>
  <c r="BB69" i="4"/>
  <c r="BB76" i="4" s="1"/>
  <c r="BD69" i="4"/>
  <c r="BD76" i="4" s="1"/>
  <c r="BF69" i="4"/>
  <c r="BF76" i="4" s="1"/>
  <c r="BH69" i="4"/>
  <c r="BH76" i="4" s="1"/>
  <c r="BN69" i="4"/>
  <c r="BN76" i="4" s="1"/>
  <c r="AW69" i="4"/>
  <c r="AY69" i="4"/>
  <c r="AY76" i="4" s="1"/>
  <c r="BC69" i="4"/>
  <c r="BC76" i="4" s="1"/>
  <c r="BG69" i="4"/>
  <c r="BG76" i="4" s="1"/>
  <c r="BI69" i="4"/>
  <c r="BI76" i="4" s="1"/>
  <c r="BM69" i="4"/>
  <c r="BM76" i="4" s="1"/>
  <c r="K23" i="4"/>
  <c r="W176" i="4"/>
  <c r="BI44" i="4"/>
  <c r="M176" i="4"/>
  <c r="BI43" i="4"/>
  <c r="BG45" i="4"/>
  <c r="BG43" i="4"/>
  <c r="BL45" i="4"/>
  <c r="BL43" i="4"/>
  <c r="BG44" i="4"/>
  <c r="D121" i="4"/>
  <c r="D79" i="4"/>
  <c r="F121" i="4"/>
  <c r="F79" i="4"/>
  <c r="H164" i="4"/>
  <c r="H141" i="4"/>
  <c r="J164" i="4"/>
  <c r="J141" i="4"/>
  <c r="L164" i="4"/>
  <c r="L141" i="4"/>
  <c r="N164" i="4"/>
  <c r="N141" i="4"/>
  <c r="P164" i="4"/>
  <c r="P141" i="4"/>
  <c r="R164" i="4"/>
  <c r="R141" i="4"/>
  <c r="T164" i="4"/>
  <c r="T141" i="4"/>
  <c r="X164" i="4"/>
  <c r="X141" i="4"/>
  <c r="Z164" i="4"/>
  <c r="Z141" i="4"/>
  <c r="AF164" i="4"/>
  <c r="AF141" i="4"/>
  <c r="AH164" i="4"/>
  <c r="AH141" i="4"/>
  <c r="AJ164" i="4"/>
  <c r="AJ141" i="4"/>
  <c r="AL164" i="4"/>
  <c r="AL141" i="4"/>
  <c r="AN164" i="4"/>
  <c r="AN141" i="4"/>
  <c r="AP164" i="4"/>
  <c r="AP141" i="4"/>
  <c r="BQ60" i="4"/>
  <c r="AU60" i="4"/>
  <c r="BE60" i="4"/>
  <c r="BK60" i="4"/>
  <c r="BO60" i="4"/>
  <c r="BS60" i="4"/>
  <c r="BQ137" i="4"/>
  <c r="BS137" i="4"/>
  <c r="D134" i="4"/>
  <c r="D127" i="4"/>
  <c r="D138" i="4" s="1"/>
  <c r="F134" i="4"/>
  <c r="F127" i="4"/>
  <c r="F138" i="4" s="1"/>
  <c r="H177" i="4"/>
  <c r="H134" i="4"/>
  <c r="H127" i="4"/>
  <c r="H138" i="4" s="1"/>
  <c r="J177" i="4"/>
  <c r="J134" i="4"/>
  <c r="J127" i="4"/>
  <c r="J138" i="4" s="1"/>
  <c r="L177" i="4"/>
  <c r="L134" i="4"/>
  <c r="L127" i="4"/>
  <c r="L138" i="4" s="1"/>
  <c r="N177" i="4"/>
  <c r="N134" i="4"/>
  <c r="N127" i="4"/>
  <c r="N138" i="4" s="1"/>
  <c r="P177" i="4"/>
  <c r="P134" i="4"/>
  <c r="P127" i="4"/>
  <c r="P138" i="4" s="1"/>
  <c r="R177" i="4"/>
  <c r="R134" i="4"/>
  <c r="R127" i="4"/>
  <c r="R138" i="4" s="1"/>
  <c r="T177" i="4"/>
  <c r="T134" i="4"/>
  <c r="T127" i="4"/>
  <c r="T138" i="4" s="1"/>
  <c r="V177" i="4"/>
  <c r="V134" i="4"/>
  <c r="V127" i="4"/>
  <c r="V138" i="4" s="1"/>
  <c r="X177" i="4"/>
  <c r="X134" i="4"/>
  <c r="X127" i="4"/>
  <c r="X138" i="4" s="1"/>
  <c r="Z177" i="4"/>
  <c r="Z134" i="4"/>
  <c r="Z127" i="4"/>
  <c r="Z138" i="4" s="1"/>
  <c r="C19" i="4"/>
  <c r="C139" i="4" s="1"/>
  <c r="E19" i="4"/>
  <c r="E139" i="4" s="1"/>
  <c r="G19" i="4"/>
  <c r="G139" i="4" s="1"/>
  <c r="AA19" i="4"/>
  <c r="AA139" i="4" s="1"/>
  <c r="AC19" i="4"/>
  <c r="AE19" i="4"/>
  <c r="AV22" i="4"/>
  <c r="AX22" i="4"/>
  <c r="AZ22" i="4"/>
  <c r="BB22" i="4"/>
  <c r="BD22" i="4"/>
  <c r="BJ22" i="4"/>
  <c r="BP22" i="4"/>
  <c r="F43" i="4"/>
  <c r="BH43" i="4"/>
  <c r="BH44" i="4"/>
  <c r="D49" i="4"/>
  <c r="F49" i="4"/>
  <c r="AZ69" i="4"/>
  <c r="AZ76" i="4" s="1"/>
  <c r="BJ69" i="4"/>
  <c r="BJ76" i="4" s="1"/>
  <c r="BL69" i="4"/>
  <c r="BL76" i="4" s="1"/>
  <c r="BP69" i="4"/>
  <c r="BP76" i="4" s="1"/>
  <c r="BR69" i="4"/>
  <c r="BR76" i="4" s="1"/>
  <c r="G126" i="4"/>
  <c r="G137" i="4" s="1"/>
  <c r="I126" i="4"/>
  <c r="K126" i="4"/>
  <c r="M126" i="4"/>
  <c r="O126" i="4"/>
  <c r="Q126" i="4"/>
  <c r="S126" i="4"/>
  <c r="U126" i="4"/>
  <c r="W126" i="4"/>
  <c r="Y126" i="4"/>
  <c r="AA137" i="4"/>
  <c r="C115" i="4"/>
  <c r="C118" i="4" s="1"/>
  <c r="C119" i="4" s="1"/>
  <c r="E115" i="4"/>
  <c r="E118" i="4" s="1"/>
  <c r="E119" i="4" s="1"/>
  <c r="G115" i="4"/>
  <c r="G118" i="4" s="1"/>
  <c r="G119" i="4" s="1"/>
  <c r="I115" i="4"/>
  <c r="I118" i="4" s="1"/>
  <c r="I119" i="4" s="1"/>
  <c r="K115" i="4"/>
  <c r="K118" i="4" s="1"/>
  <c r="K119" i="4" s="1"/>
  <c r="M115" i="4"/>
  <c r="M118" i="4" s="1"/>
  <c r="M119" i="4" s="1"/>
  <c r="O115" i="4"/>
  <c r="O118" i="4" s="1"/>
  <c r="O119" i="4" s="1"/>
  <c r="Q115" i="4"/>
  <c r="Q118" i="4" s="1"/>
  <c r="Q119" i="4" s="1"/>
  <c r="S115" i="4"/>
  <c r="S118" i="4" s="1"/>
  <c r="S119" i="4" s="1"/>
  <c r="U115" i="4"/>
  <c r="U118" i="4" s="1"/>
  <c r="U119" i="4" s="1"/>
  <c r="W115" i="4"/>
  <c r="W118" i="4" s="1"/>
  <c r="W119" i="4" s="1"/>
  <c r="Y115" i="4"/>
  <c r="Y118" i="4" s="1"/>
  <c r="Y119" i="4" s="1"/>
  <c r="C121" i="4"/>
  <c r="C79" i="4"/>
  <c r="E121" i="4"/>
  <c r="E79" i="4"/>
  <c r="L121" i="4"/>
  <c r="L79" i="4"/>
  <c r="I164" i="4"/>
  <c r="I141" i="4"/>
  <c r="K164" i="4"/>
  <c r="K141" i="4"/>
  <c r="M164" i="4"/>
  <c r="M141" i="4"/>
  <c r="O164" i="4"/>
  <c r="O141" i="4"/>
  <c r="Q164" i="4"/>
  <c r="Q141" i="4"/>
  <c r="S164" i="4"/>
  <c r="S141" i="4"/>
  <c r="U164" i="4"/>
  <c r="U141" i="4"/>
  <c r="W164" i="4"/>
  <c r="W141" i="4"/>
  <c r="Y164" i="4"/>
  <c r="Y141" i="4"/>
  <c r="AG164" i="4"/>
  <c r="AG141" i="4"/>
  <c r="AI164" i="4"/>
  <c r="AI141" i="4"/>
  <c r="AK164" i="4"/>
  <c r="AK141" i="4"/>
  <c r="AM164" i="4"/>
  <c r="AM141" i="4"/>
  <c r="AO164" i="4"/>
  <c r="AO141" i="4"/>
  <c r="E174" i="4"/>
  <c r="C174" i="4"/>
  <c r="F174" i="4"/>
  <c r="D174" i="4"/>
  <c r="AZ60" i="4"/>
  <c r="BJ60" i="4"/>
  <c r="BL60" i="4"/>
  <c r="BP60" i="4"/>
  <c r="BR60" i="4"/>
  <c r="BR137" i="4"/>
  <c r="C134" i="4"/>
  <c r="C127" i="4"/>
  <c r="C138" i="4" s="1"/>
  <c r="E134" i="4"/>
  <c r="E127" i="4"/>
  <c r="E138" i="4" s="1"/>
  <c r="G177" i="4"/>
  <c r="G134" i="4"/>
  <c r="G127" i="4"/>
  <c r="G138" i="4" s="1"/>
  <c r="I177" i="4"/>
  <c r="I134" i="4"/>
  <c r="I127" i="4"/>
  <c r="I138" i="4" s="1"/>
  <c r="K177" i="4"/>
  <c r="K134" i="4"/>
  <c r="K127" i="4"/>
  <c r="K138" i="4" s="1"/>
  <c r="M177" i="4"/>
  <c r="M134" i="4"/>
  <c r="M127" i="4"/>
  <c r="M138" i="4" s="1"/>
  <c r="O177" i="4"/>
  <c r="O134" i="4"/>
  <c r="O127" i="4"/>
  <c r="O138" i="4" s="1"/>
  <c r="Q177" i="4"/>
  <c r="Q134" i="4"/>
  <c r="Q127" i="4"/>
  <c r="Q138" i="4" s="1"/>
  <c r="S177" i="4"/>
  <c r="S134" i="4"/>
  <c r="S127" i="4"/>
  <c r="S138" i="4" s="1"/>
  <c r="U177" i="4"/>
  <c r="U134" i="4"/>
  <c r="U127" i="4"/>
  <c r="U138" i="4" s="1"/>
  <c r="W177" i="4"/>
  <c r="W134" i="4"/>
  <c r="W127" i="4"/>
  <c r="W138" i="4" s="1"/>
  <c r="Y177" i="4"/>
  <c r="Y134" i="4"/>
  <c r="Y127" i="4"/>
  <c r="Y138" i="4" s="1"/>
  <c r="D19" i="4"/>
  <c r="D139" i="4" s="1"/>
  <c r="F19" i="4"/>
  <c r="F139" i="4" s="1"/>
  <c r="H19" i="4"/>
  <c r="J19" i="4"/>
  <c r="L19" i="4"/>
  <c r="N19" i="4"/>
  <c r="P19" i="4"/>
  <c r="R19" i="4"/>
  <c r="T19" i="4"/>
  <c r="V19" i="4"/>
  <c r="V139" i="4" s="1"/>
  <c r="X19" i="4"/>
  <c r="Z19" i="4"/>
  <c r="AB19" i="4"/>
  <c r="AD19" i="4"/>
  <c r="AF19" i="4"/>
  <c r="AH19" i="4"/>
  <c r="AJ19" i="4"/>
  <c r="AL19" i="4"/>
  <c r="AN19" i="4"/>
  <c r="AP19" i="4"/>
  <c r="AR19" i="4"/>
  <c r="AT19" i="4"/>
  <c r="AV19" i="4"/>
  <c r="AX19" i="4"/>
  <c r="BB19" i="4"/>
  <c r="BB80" i="4" s="1"/>
  <c r="BB98" i="4" s="1"/>
  <c r="BD19" i="4"/>
  <c r="BF19" i="4"/>
  <c r="BF80" i="4" s="1"/>
  <c r="BF98" i="4" s="1"/>
  <c r="BH19" i="4"/>
  <c r="BH80" i="4" s="1"/>
  <c r="BH98" i="4" s="1"/>
  <c r="BN19" i="4"/>
  <c r="BN80" i="4" s="1"/>
  <c r="BZ19" i="4"/>
  <c r="BZ80" i="4" s="1"/>
  <c r="BZ98" i="4" s="1"/>
  <c r="CB19" i="4"/>
  <c r="CB80" i="4" s="1"/>
  <c r="CB98" i="4" s="1"/>
  <c r="CD19" i="4"/>
  <c r="CD80" i="4" s="1"/>
  <c r="CN19" i="4"/>
  <c r="CX19" i="4"/>
  <c r="CX80" i="4" s="1"/>
  <c r="AW22" i="4"/>
  <c r="AY22" i="4"/>
  <c r="BA22" i="4"/>
  <c r="BC22" i="4"/>
  <c r="BE22" i="4"/>
  <c r="BN43" i="4"/>
  <c r="BO43" i="4"/>
  <c r="C49" i="4"/>
  <c r="E49" i="4"/>
  <c r="I49" i="4"/>
  <c r="I174" i="4" s="1"/>
  <c r="Q49" i="4"/>
  <c r="Q174" i="4" s="1"/>
  <c r="AU69" i="4"/>
  <c r="AU76" i="4" s="1"/>
  <c r="BE69" i="4"/>
  <c r="BE76" i="4" s="1"/>
  <c r="BK69" i="4"/>
  <c r="BK76" i="4" s="1"/>
  <c r="BO69" i="4"/>
  <c r="BO76" i="4" s="1"/>
  <c r="BQ69" i="4"/>
  <c r="BQ76" i="4" s="1"/>
  <c r="F126" i="4"/>
  <c r="F137" i="4" s="1"/>
  <c r="H126" i="4"/>
  <c r="J126" i="4"/>
  <c r="L126" i="4"/>
  <c r="N126" i="4"/>
  <c r="P126" i="4"/>
  <c r="R126" i="4"/>
  <c r="T126" i="4"/>
  <c r="V126" i="4"/>
  <c r="V137" i="4" s="1"/>
  <c r="X126" i="4"/>
  <c r="Z126" i="4"/>
  <c r="D115" i="4"/>
  <c r="D118" i="4" s="1"/>
  <c r="D119" i="4" s="1"/>
  <c r="F115" i="4"/>
  <c r="F118" i="4" s="1"/>
  <c r="F119" i="4" s="1"/>
  <c r="H115" i="4"/>
  <c r="H118" i="4" s="1"/>
  <c r="H119" i="4" s="1"/>
  <c r="J115" i="4"/>
  <c r="J118" i="4" s="1"/>
  <c r="J119" i="4" s="1"/>
  <c r="L115" i="4"/>
  <c r="L118" i="4" s="1"/>
  <c r="L119" i="4" s="1"/>
  <c r="N115" i="4"/>
  <c r="N118" i="4" s="1"/>
  <c r="N119" i="4" s="1"/>
  <c r="P115" i="4"/>
  <c r="P118" i="4" s="1"/>
  <c r="P119" i="4" s="1"/>
  <c r="R115" i="4"/>
  <c r="R118" i="4" s="1"/>
  <c r="R119" i="4" s="1"/>
  <c r="T115" i="4"/>
  <c r="T118" i="4" s="1"/>
  <c r="T119" i="4" s="1"/>
  <c r="V115" i="4"/>
  <c r="V118" i="4" s="1"/>
  <c r="V119" i="4" s="1"/>
  <c r="X115" i="4"/>
  <c r="X118" i="4" s="1"/>
  <c r="X119" i="4" s="1"/>
  <c r="Z115" i="4"/>
  <c r="Z118" i="4" s="1"/>
  <c r="Z119" i="4" s="1"/>
  <c r="X151" i="4"/>
  <c r="X150" i="4"/>
  <c r="Z151" i="4"/>
  <c r="Z150" i="4"/>
  <c r="AB151" i="4"/>
  <c r="AB150" i="4"/>
  <c r="AD151" i="4"/>
  <c r="AD150" i="4"/>
  <c r="AF151" i="4"/>
  <c r="AF150" i="4"/>
  <c r="AH151" i="4"/>
  <c r="AH150" i="4"/>
  <c r="AJ151" i="4"/>
  <c r="AJ150" i="4"/>
  <c r="AL151" i="4"/>
  <c r="AL150" i="4"/>
  <c r="AN151" i="4"/>
  <c r="AN150" i="4"/>
  <c r="AP54" i="4"/>
  <c r="BT54" i="4"/>
  <c r="BT59" i="4"/>
  <c r="D60" i="4"/>
  <c r="F60" i="4"/>
  <c r="H60" i="4"/>
  <c r="J60" i="4"/>
  <c r="L60" i="4"/>
  <c r="N60" i="4"/>
  <c r="P60" i="4"/>
  <c r="R60" i="4"/>
  <c r="T60" i="4"/>
  <c r="V60" i="4"/>
  <c r="X60" i="4"/>
  <c r="Z60" i="4"/>
  <c r="AB60" i="4"/>
  <c r="AD60" i="4"/>
  <c r="AF60" i="4"/>
  <c r="AH60" i="4"/>
  <c r="AJ60" i="4"/>
  <c r="AL60" i="4"/>
  <c r="AN60" i="4"/>
  <c r="AR60" i="4"/>
  <c r="AT60" i="4"/>
  <c r="AV60" i="4"/>
  <c r="AX60" i="4"/>
  <c r="BB60" i="4"/>
  <c r="BD60" i="4"/>
  <c r="BF60" i="4"/>
  <c r="BH60" i="4"/>
  <c r="BN60" i="4"/>
  <c r="BV60" i="4"/>
  <c r="BZ60" i="4"/>
  <c r="CB60" i="4"/>
  <c r="BS64" i="4"/>
  <c r="BS150" i="4" s="1"/>
  <c r="AW76" i="4"/>
  <c r="BR22" i="4"/>
  <c r="BE104" i="4"/>
  <c r="BK104" i="4"/>
  <c r="BO104" i="4"/>
  <c r="C159" i="4"/>
  <c r="E159" i="4"/>
  <c r="G159" i="4"/>
  <c r="I159" i="4"/>
  <c r="K159" i="4"/>
  <c r="M159" i="4"/>
  <c r="O159" i="4"/>
  <c r="Q159" i="4"/>
  <c r="S159" i="4"/>
  <c r="U159" i="4"/>
  <c r="W159" i="4"/>
  <c r="Y159" i="4"/>
  <c r="BQ159" i="4"/>
  <c r="W151" i="4"/>
  <c r="W150" i="4"/>
  <c r="Y151" i="4"/>
  <c r="Y150" i="4"/>
  <c r="AA151" i="4"/>
  <c r="AA150" i="4"/>
  <c r="AC151" i="4"/>
  <c r="AC150" i="4"/>
  <c r="AE151" i="4"/>
  <c r="AE150" i="4"/>
  <c r="AG151" i="4"/>
  <c r="AG150" i="4"/>
  <c r="AI151" i="4"/>
  <c r="AI150" i="4"/>
  <c r="AK151" i="4"/>
  <c r="AK150" i="4"/>
  <c r="AM151" i="4"/>
  <c r="AM150" i="4"/>
  <c r="AO151" i="4"/>
  <c r="AO150" i="4"/>
  <c r="C60" i="4"/>
  <c r="E60" i="4"/>
  <c r="G60" i="4"/>
  <c r="I60" i="4"/>
  <c r="K60" i="4"/>
  <c r="M60" i="4"/>
  <c r="O60" i="4"/>
  <c r="Q60" i="4"/>
  <c r="S60" i="4"/>
  <c r="U60" i="4"/>
  <c r="W60" i="4"/>
  <c r="Y60" i="4"/>
  <c r="AA60" i="4"/>
  <c r="AC60" i="4"/>
  <c r="AE60" i="4"/>
  <c r="AG60" i="4"/>
  <c r="AI60" i="4"/>
  <c r="AK60" i="4"/>
  <c r="AM60" i="4"/>
  <c r="AO60" i="4"/>
  <c r="AQ60" i="4"/>
  <c r="AS60" i="4"/>
  <c r="AW60" i="4"/>
  <c r="AY60" i="4"/>
  <c r="BC60" i="4"/>
  <c r="BG60" i="4"/>
  <c r="BI60" i="4"/>
  <c r="BM60" i="4"/>
  <c r="BU60" i="4"/>
  <c r="BW60" i="4"/>
  <c r="CA60" i="4"/>
  <c r="CC60" i="4"/>
  <c r="BT64" i="4"/>
  <c r="BT69" i="4" s="1"/>
  <c r="BT76" i="4" s="1"/>
  <c r="BJ104" i="4"/>
  <c r="BP104" i="4"/>
  <c r="D159" i="4"/>
  <c r="F159" i="4"/>
  <c r="H159" i="4"/>
  <c r="J159" i="4"/>
  <c r="L159" i="4"/>
  <c r="N159" i="4"/>
  <c r="P159" i="4"/>
  <c r="R159" i="4"/>
  <c r="T159" i="4"/>
  <c r="V159" i="4"/>
  <c r="X159" i="4"/>
  <c r="Z159" i="4"/>
  <c r="BN98" i="4" l="1"/>
  <c r="BN127" i="4" s="1"/>
  <c r="AB29" i="4"/>
  <c r="AB145" i="4"/>
  <c r="AE145" i="4"/>
  <c r="AE29" i="4"/>
  <c r="AO142" i="4"/>
  <c r="AH145" i="4"/>
  <c r="AH29" i="4"/>
  <c r="AC145" i="4"/>
  <c r="AC29" i="4"/>
  <c r="AM176" i="4"/>
  <c r="AM143" i="4"/>
  <c r="AK176" i="4"/>
  <c r="AJ29" i="4"/>
  <c r="AJ145" i="4"/>
  <c r="AP139" i="4"/>
  <c r="AN145" i="4"/>
  <c r="AN29" i="4"/>
  <c r="AF29" i="4"/>
  <c r="AF145" i="4"/>
  <c r="AQ145" i="4"/>
  <c r="AQ29" i="4"/>
  <c r="AI176" i="4"/>
  <c r="AG142" i="4"/>
  <c r="AG146" i="4"/>
  <c r="AR145" i="4"/>
  <c r="AR29" i="4"/>
  <c r="AT29" i="4"/>
  <c r="AT145" i="4"/>
  <c r="AL29" i="4"/>
  <c r="AL145" i="4"/>
  <c r="AD145" i="4"/>
  <c r="AD29" i="4"/>
  <c r="AS145" i="4"/>
  <c r="AS29" i="4"/>
  <c r="BF115" i="4"/>
  <c r="BF118" i="4" s="1"/>
  <c r="BF119" i="4" s="1"/>
  <c r="BF127" i="4"/>
  <c r="M23" i="4"/>
  <c r="AG176" i="4"/>
  <c r="K176" i="4"/>
  <c r="BY52" i="4"/>
  <c r="BX180" i="4"/>
  <c r="AI165" i="4"/>
  <c r="BB115" i="4"/>
  <c r="BB118" i="4" s="1"/>
  <c r="BB119" i="4" s="1"/>
  <c r="BB127" i="4"/>
  <c r="BH115" i="4"/>
  <c r="BH127" i="4"/>
  <c r="BW115" i="4"/>
  <c r="BW127" i="4"/>
  <c r="BU115" i="4"/>
  <c r="BU118" i="4" s="1"/>
  <c r="BU119" i="4" s="1"/>
  <c r="BU127" i="4"/>
  <c r="BV115" i="4"/>
  <c r="BV118" i="4" s="1"/>
  <c r="BV127" i="4"/>
  <c r="CB115" i="4"/>
  <c r="CB127" i="4"/>
  <c r="CB138" i="4" s="1"/>
  <c r="BZ115" i="4"/>
  <c r="BZ127" i="4"/>
  <c r="CA115" i="4"/>
  <c r="CA127" i="4"/>
  <c r="CA138" i="4" s="1"/>
  <c r="Q121" i="4"/>
  <c r="O23" i="4"/>
  <c r="O145" i="4" s="1"/>
  <c r="BN177" i="4"/>
  <c r="BN115" i="4"/>
  <c r="BN118" i="4" s="1"/>
  <c r="BN119" i="4" s="1"/>
  <c r="CA177" i="4"/>
  <c r="CA134" i="4"/>
  <c r="AO176" i="4"/>
  <c r="U23" i="4"/>
  <c r="BZ177" i="4"/>
  <c r="BZ134" i="4"/>
  <c r="BB177" i="4"/>
  <c r="BB134" i="4"/>
  <c r="BU134" i="4"/>
  <c r="BU177" i="4"/>
  <c r="BV177" i="4"/>
  <c r="BV134" i="4"/>
  <c r="BH177" i="4"/>
  <c r="BH134" i="4"/>
  <c r="BH118" i="4"/>
  <c r="BH119" i="4" s="1"/>
  <c r="BW177" i="4"/>
  <c r="BW134" i="4"/>
  <c r="CB134" i="4"/>
  <c r="CB177" i="4"/>
  <c r="BF177" i="4"/>
  <c r="BF134" i="4"/>
  <c r="BN134" i="4"/>
  <c r="BA80" i="4"/>
  <c r="BA98" i="4" s="1"/>
  <c r="BG80" i="4"/>
  <c r="BG98" i="4" s="1"/>
  <c r="BD80" i="4"/>
  <c r="BD98" i="4" s="1"/>
  <c r="BC80" i="4"/>
  <c r="BC98" i="4" s="1"/>
  <c r="AY145" i="4"/>
  <c r="J121" i="4"/>
  <c r="U176" i="4"/>
  <c r="S23" i="4"/>
  <c r="BM80" i="4"/>
  <c r="BM98" i="4" s="1"/>
  <c r="BI80" i="4"/>
  <c r="BI98" i="4" s="1"/>
  <c r="J79" i="4"/>
  <c r="D42" i="4"/>
  <c r="K79" i="4"/>
  <c r="Q142" i="4"/>
  <c r="S142" i="4"/>
  <c r="CS139" i="4"/>
  <c r="CN139" i="4"/>
  <c r="CN80" i="4"/>
  <c r="BY139" i="4"/>
  <c r="Y176" i="4"/>
  <c r="I23" i="4"/>
  <c r="I143" i="4" s="1"/>
  <c r="CI170" i="4"/>
  <c r="M139" i="4"/>
  <c r="AG139" i="4"/>
  <c r="K49" i="4"/>
  <c r="K174" i="4" s="1"/>
  <c r="AW145" i="4"/>
  <c r="Y139" i="4"/>
  <c r="I142" i="4"/>
  <c r="H79" i="4"/>
  <c r="Y23" i="4"/>
  <c r="Y143" i="4" s="1"/>
  <c r="W23" i="4"/>
  <c r="W145" i="4" s="1"/>
  <c r="BA32" i="4"/>
  <c r="W139" i="4"/>
  <c r="H121" i="4"/>
  <c r="N139" i="4"/>
  <c r="Q176" i="4"/>
  <c r="AK142" i="4"/>
  <c r="O142" i="4"/>
  <c r="AR139" i="4"/>
  <c r="AM142" i="4"/>
  <c r="Q139" i="4"/>
  <c r="AO139" i="4"/>
  <c r="I139" i="4"/>
  <c r="BZ158" i="4"/>
  <c r="U139" i="4"/>
  <c r="P8" i="4"/>
  <c r="BX139" i="4"/>
  <c r="BQ104" i="4"/>
  <c r="E43" i="4"/>
  <c r="N8" i="4"/>
  <c r="N79" i="4" s="1"/>
  <c r="I121" i="4"/>
  <c r="BU158" i="4"/>
  <c r="AH139" i="4"/>
  <c r="V8" i="4"/>
  <c r="T8" i="4" s="1"/>
  <c r="CB158" i="4"/>
  <c r="BT150" i="4"/>
  <c r="BT151" i="4"/>
  <c r="AS170" i="4"/>
  <c r="AS137" i="4"/>
  <c r="AQ146" i="4"/>
  <c r="AQ143" i="4"/>
  <c r="AU164" i="4"/>
  <c r="AU141" i="4"/>
  <c r="CI146" i="4"/>
  <c r="CI143" i="4"/>
  <c r="BW143" i="4"/>
  <c r="BW146" i="4"/>
  <c r="BI139" i="4"/>
  <c r="CS170" i="4"/>
  <c r="CS137" i="4"/>
  <c r="BS151" i="4"/>
  <c r="BM176" i="4"/>
  <c r="BM165" i="4"/>
  <c r="BM142" i="4"/>
  <c r="BA142" i="4"/>
  <c r="BA165" i="4"/>
  <c r="BA176" i="4"/>
  <c r="AQ176" i="4"/>
  <c r="AQ165" i="4"/>
  <c r="AQ142" i="4"/>
  <c r="AQ139" i="4"/>
  <c r="CI165" i="4"/>
  <c r="CI142" i="4"/>
  <c r="CI176" i="4"/>
  <c r="BV164" i="4"/>
  <c r="BV141" i="4"/>
  <c r="BG176" i="4"/>
  <c r="BG142" i="4"/>
  <c r="BG165" i="4"/>
  <c r="AW176" i="4"/>
  <c r="AW165" i="4"/>
  <c r="AW142" i="4"/>
  <c r="AR137" i="4"/>
  <c r="AR170" i="4"/>
  <c r="CN165" i="4"/>
  <c r="CN142" i="4"/>
  <c r="CN176" i="4"/>
  <c r="CB165" i="4"/>
  <c r="CB142" i="4"/>
  <c r="CB176" i="4"/>
  <c r="BN165" i="4"/>
  <c r="BN142" i="4"/>
  <c r="BN176" i="4"/>
  <c r="BF165" i="4"/>
  <c r="BF176" i="4"/>
  <c r="BF142" i="4"/>
  <c r="BB176" i="4"/>
  <c r="BB142" i="4"/>
  <c r="BB165" i="4"/>
  <c r="AV176" i="4"/>
  <c r="AV165" i="4"/>
  <c r="AV142" i="4"/>
  <c r="AR176" i="4"/>
  <c r="AR165" i="4"/>
  <c r="AR142" i="4"/>
  <c r="AA77" i="4"/>
  <c r="O77" i="4"/>
  <c r="G77" i="4"/>
  <c r="AT170" i="4"/>
  <c r="AT137" i="4"/>
  <c r="CX176" i="4"/>
  <c r="CX165" i="4"/>
  <c r="CX142" i="4"/>
  <c r="CD176" i="4"/>
  <c r="CD165" i="4"/>
  <c r="CD142" i="4"/>
  <c r="BZ142" i="4"/>
  <c r="BZ176" i="4"/>
  <c r="BV176" i="4"/>
  <c r="BV142" i="4"/>
  <c r="BH165" i="4"/>
  <c r="BH142" i="4"/>
  <c r="BH176" i="4"/>
  <c r="BD176" i="4"/>
  <c r="BD142" i="4"/>
  <c r="BD165" i="4"/>
  <c r="AX176" i="4"/>
  <c r="AX165" i="4"/>
  <c r="AX142" i="4"/>
  <c r="AT176" i="4"/>
  <c r="AT165" i="4"/>
  <c r="AT142" i="4"/>
  <c r="Z139" i="4"/>
  <c r="R139" i="4"/>
  <c r="AQ170" i="4"/>
  <c r="AQ137" i="4"/>
  <c r="BL164" i="4"/>
  <c r="BL141" i="4"/>
  <c r="BY146" i="4"/>
  <c r="BY143" i="4"/>
  <c r="BQ164" i="4"/>
  <c r="BQ141" i="4"/>
  <c r="BK141" i="4"/>
  <c r="BK164" i="4"/>
  <c r="CS143" i="4"/>
  <c r="CS146" i="4"/>
  <c r="CA146" i="4"/>
  <c r="CA143" i="4"/>
  <c r="AS146" i="4"/>
  <c r="AS143" i="4"/>
  <c r="BM146" i="4"/>
  <c r="CD139" i="4"/>
  <c r="CX139" i="4"/>
  <c r="AT139" i="4"/>
  <c r="BW176" i="4"/>
  <c r="BW142" i="4"/>
  <c r="BC142" i="4"/>
  <c r="BC165" i="4"/>
  <c r="BC176" i="4"/>
  <c r="AS176" i="4"/>
  <c r="AS165" i="4"/>
  <c r="AS142" i="4"/>
  <c r="CX170" i="4"/>
  <c r="CX137" i="4"/>
  <c r="CN137" i="4"/>
  <c r="CN170" i="4"/>
  <c r="CI139" i="4"/>
  <c r="AS139" i="4"/>
  <c r="CA158" i="4"/>
  <c r="BW158" i="4"/>
  <c r="CS165" i="4"/>
  <c r="CS142" i="4"/>
  <c r="CS176" i="4"/>
  <c r="CA176" i="4"/>
  <c r="CA165" i="4"/>
  <c r="CA142" i="4"/>
  <c r="BY176" i="4"/>
  <c r="BY142" i="4"/>
  <c r="BI176" i="4"/>
  <c r="BI142" i="4"/>
  <c r="BI165" i="4"/>
  <c r="AY176" i="4"/>
  <c r="AY165" i="4"/>
  <c r="AY142" i="4"/>
  <c r="CC164" i="4"/>
  <c r="BV158" i="4"/>
  <c r="BZ137" i="4"/>
  <c r="BZ170" i="4"/>
  <c r="BV137" i="4"/>
  <c r="BV170" i="4"/>
  <c r="CA170" i="4"/>
  <c r="CA137" i="4"/>
  <c r="BW170" i="4"/>
  <c r="BW137" i="4"/>
  <c r="CB137" i="4"/>
  <c r="CB170" i="4"/>
  <c r="BX137" i="4"/>
  <c r="BX170" i="4"/>
  <c r="BP137" i="4"/>
  <c r="F19" i="21"/>
  <c r="F20" i="21" s="1"/>
  <c r="BT137" i="4"/>
  <c r="BT170" i="4"/>
  <c r="BY170" i="4"/>
  <c r="BY137" i="4"/>
  <c r="BU170" i="4"/>
  <c r="BU137" i="4"/>
  <c r="E19" i="21"/>
  <c r="E20" i="21" s="1"/>
  <c r="BO137" i="4"/>
  <c r="BC143" i="4"/>
  <c r="BC146" i="4"/>
  <c r="CC170" i="4"/>
  <c r="CC137" i="4"/>
  <c r="BJ157" i="4"/>
  <c r="BL130" i="4"/>
  <c r="BL131" i="4" s="1"/>
  <c r="BG146" i="4"/>
  <c r="BO141" i="4"/>
  <c r="BH130" i="4"/>
  <c r="BH131" i="4" s="1"/>
  <c r="BH139" i="4" s="1"/>
  <c r="BN130" i="4"/>
  <c r="BN131" i="4" s="1"/>
  <c r="BU176" i="4"/>
  <c r="BZ165" i="4"/>
  <c r="BU142" i="4"/>
  <c r="BE157" i="4"/>
  <c r="BA143" i="4"/>
  <c r="BA146" i="4"/>
  <c r="AW143" i="4"/>
  <c r="CA139" i="4"/>
  <c r="BX142" i="4"/>
  <c r="BZ139" i="4"/>
  <c r="CB139" i="4"/>
  <c r="BX176" i="4"/>
  <c r="BG130" i="4"/>
  <c r="BG131" i="4" s="1"/>
  <c r="BG139" i="4" s="1"/>
  <c r="BI143" i="4"/>
  <c r="BI146" i="4"/>
  <c r="BO157" i="4"/>
  <c r="BX141" i="4"/>
  <c r="BZ138" i="4"/>
  <c r="D41" i="4"/>
  <c r="C41" i="4" s="1"/>
  <c r="BI137" i="4"/>
  <c r="BR170" i="4"/>
  <c r="BM137" i="4"/>
  <c r="BN44" i="4"/>
  <c r="CD137" i="4"/>
  <c r="CD170" i="4"/>
  <c r="L5" i="21"/>
  <c r="L34" i="8"/>
  <c r="L36" i="8" s="1"/>
  <c r="K6" i="21"/>
  <c r="K9" i="21"/>
  <c r="K15" i="21"/>
  <c r="K13" i="21"/>
  <c r="K8" i="21"/>
  <c r="K11" i="21"/>
  <c r="K14" i="21"/>
  <c r="K10" i="21"/>
  <c r="K7" i="21"/>
  <c r="K16" i="21"/>
  <c r="K12" i="21"/>
  <c r="F38" i="8"/>
  <c r="G37" i="8"/>
  <c r="L16" i="8"/>
  <c r="L18" i="8" s="1"/>
  <c r="L19" i="8" s="1"/>
  <c r="L21" i="8" s="1"/>
  <c r="L14" i="8"/>
  <c r="M8" i="4"/>
  <c r="O8" i="4"/>
  <c r="BL44" i="4"/>
  <c r="BM44" i="4"/>
  <c r="J139" i="4"/>
  <c r="BC32" i="4"/>
  <c r="AY32" i="4"/>
  <c r="BT60" i="4"/>
  <c r="BT77" i="4" s="1"/>
  <c r="AW32" i="4"/>
  <c r="AW29" i="4"/>
  <c r="BM77" i="4"/>
  <c r="BA77" i="4"/>
  <c r="AW77" i="4"/>
  <c r="AM77" i="4"/>
  <c r="AE77" i="4"/>
  <c r="W77" i="4"/>
  <c r="S77" i="4"/>
  <c r="BB77" i="4"/>
  <c r="AR77" i="4"/>
  <c r="BU77" i="4"/>
  <c r="BI77" i="4"/>
  <c r="BC77" i="4"/>
  <c r="AY77" i="4"/>
  <c r="AS77" i="4"/>
  <c r="AO77" i="4"/>
  <c r="AG77" i="4"/>
  <c r="AC77" i="4"/>
  <c r="Y77" i="4"/>
  <c r="U77" i="4"/>
  <c r="BR104" i="4"/>
  <c r="BV77" i="4"/>
  <c r="BH77" i="4"/>
  <c r="BD77" i="4"/>
  <c r="AX77" i="4"/>
  <c r="AT77" i="4"/>
  <c r="AN77" i="4"/>
  <c r="AJ77" i="4"/>
  <c r="AB77" i="4"/>
  <c r="X77" i="4"/>
  <c r="T77" i="4"/>
  <c r="AN170" i="4"/>
  <c r="AN137" i="4"/>
  <c r="AJ170" i="4"/>
  <c r="AJ137" i="4"/>
  <c r="AF170" i="4"/>
  <c r="AF137" i="4"/>
  <c r="X170" i="4"/>
  <c r="X137" i="4"/>
  <c r="T170" i="4"/>
  <c r="T137" i="4"/>
  <c r="P170" i="4"/>
  <c r="P137" i="4"/>
  <c r="L170" i="4"/>
  <c r="L137" i="4"/>
  <c r="H137" i="4"/>
  <c r="AV145" i="4"/>
  <c r="AN176" i="4"/>
  <c r="AN165" i="4"/>
  <c r="AN142" i="4"/>
  <c r="AJ176" i="4"/>
  <c r="AJ165" i="4"/>
  <c r="AJ142" i="4"/>
  <c r="AO166" i="4"/>
  <c r="AF176" i="4"/>
  <c r="AF165" i="4"/>
  <c r="AF142" i="4"/>
  <c r="AB176" i="4"/>
  <c r="AB142" i="4"/>
  <c r="X176" i="4"/>
  <c r="X165" i="4"/>
  <c r="X142" i="4"/>
  <c r="X23" i="4"/>
  <c r="T176" i="4"/>
  <c r="T165" i="4"/>
  <c r="T142" i="4"/>
  <c r="T23" i="4"/>
  <c r="P176" i="4"/>
  <c r="P165" i="4"/>
  <c r="P142" i="4"/>
  <c r="P23" i="4"/>
  <c r="L176" i="4"/>
  <c r="L165" i="4"/>
  <c r="L142" i="4"/>
  <c r="L23" i="4"/>
  <c r="H176" i="4"/>
  <c r="H165" i="4"/>
  <c r="H142" i="4"/>
  <c r="H23" i="4"/>
  <c r="D142" i="4"/>
  <c r="D23" i="4"/>
  <c r="P121" i="4"/>
  <c r="P79" i="4"/>
  <c r="P49" i="4"/>
  <c r="P174" i="4" s="1"/>
  <c r="BP77" i="4"/>
  <c r="AO170" i="4"/>
  <c r="AO137" i="4"/>
  <c r="AK170" i="4"/>
  <c r="AK137" i="4"/>
  <c r="AG170" i="4"/>
  <c r="AG137" i="4"/>
  <c r="Y170" i="4"/>
  <c r="Y137" i="4"/>
  <c r="U170" i="4"/>
  <c r="U137" i="4"/>
  <c r="Q170" i="4"/>
  <c r="Q137" i="4"/>
  <c r="M170" i="4"/>
  <c r="M137" i="4"/>
  <c r="I137" i="4"/>
  <c r="BO164" i="4"/>
  <c r="AE176" i="4"/>
  <c r="AE142" i="4"/>
  <c r="AA176" i="4"/>
  <c r="AA142" i="4"/>
  <c r="E142" i="4"/>
  <c r="E23" i="4"/>
  <c r="BQ77" i="4"/>
  <c r="BF44" i="4"/>
  <c r="BF45" i="4"/>
  <c r="BF43" i="4"/>
  <c r="BI32" i="4"/>
  <c r="BY32" i="4"/>
  <c r="AQ32" i="4"/>
  <c r="AO146" i="4"/>
  <c r="AO143" i="4"/>
  <c r="AO32" i="4"/>
  <c r="AI146" i="4"/>
  <c r="AI143" i="4"/>
  <c r="AI32" i="4"/>
  <c r="Y145" i="4"/>
  <c r="Y32" i="4"/>
  <c r="U161" i="4"/>
  <c r="U146" i="4"/>
  <c r="U145" i="4"/>
  <c r="U143" i="4"/>
  <c r="U32" i="4"/>
  <c r="U29" i="4"/>
  <c r="Q161" i="4"/>
  <c r="Q146" i="4"/>
  <c r="Q145" i="4"/>
  <c r="Q143" i="4"/>
  <c r="Q32" i="4"/>
  <c r="Q29" i="4"/>
  <c r="M161" i="4"/>
  <c r="M146" i="4"/>
  <c r="M145" i="4"/>
  <c r="M143" i="4"/>
  <c r="M32" i="4"/>
  <c r="M29" i="4"/>
  <c r="I32" i="4"/>
  <c r="BO19" i="4"/>
  <c r="BO80" i="4" s="1"/>
  <c r="AU19" i="4"/>
  <c r="AK77" i="4"/>
  <c r="Q77" i="4"/>
  <c r="M77" i="4"/>
  <c r="AF77" i="4"/>
  <c r="P77" i="4"/>
  <c r="L77" i="4"/>
  <c r="AM139" i="4"/>
  <c r="AI139" i="4"/>
  <c r="S139" i="4"/>
  <c r="O139" i="4"/>
  <c r="K139" i="4"/>
  <c r="BJ77" i="4"/>
  <c r="BS22" i="4"/>
  <c r="AL139" i="4"/>
  <c r="BO77" i="4"/>
  <c r="BE77" i="4"/>
  <c r="AO165" i="4"/>
  <c r="Y165" i="4"/>
  <c r="U165" i="4"/>
  <c r="Q165" i="4"/>
  <c r="M165" i="4"/>
  <c r="I165" i="4"/>
  <c r="BW77" i="4"/>
  <c r="BG77" i="4"/>
  <c r="AQ77" i="4"/>
  <c r="AI77" i="4"/>
  <c r="BL104" i="4"/>
  <c r="BN77" i="4"/>
  <c r="BF77" i="4"/>
  <c r="AV77" i="4"/>
  <c r="AL77" i="4"/>
  <c r="AH77" i="4"/>
  <c r="AD77" i="4"/>
  <c r="Z77" i="4"/>
  <c r="AP151" i="4"/>
  <c r="AP150" i="4"/>
  <c r="AP60" i="4"/>
  <c r="AP77" i="4" s="1"/>
  <c r="AP170" i="4"/>
  <c r="AP137" i="4"/>
  <c r="AL170" i="4"/>
  <c r="AL137" i="4"/>
  <c r="AH170" i="4"/>
  <c r="AH137" i="4"/>
  <c r="Z170" i="4"/>
  <c r="Z137" i="4"/>
  <c r="R170" i="4"/>
  <c r="R137" i="4"/>
  <c r="N170" i="4"/>
  <c r="N137" i="4"/>
  <c r="J170" i="4"/>
  <c r="J137" i="4"/>
  <c r="AX145" i="4"/>
  <c r="AP176" i="4"/>
  <c r="AP165" i="4"/>
  <c r="AP142" i="4"/>
  <c r="AL176" i="4"/>
  <c r="AL165" i="4"/>
  <c r="AL142" i="4"/>
  <c r="AH176" i="4"/>
  <c r="AH165" i="4"/>
  <c r="AH142" i="4"/>
  <c r="AD176" i="4"/>
  <c r="AD142" i="4"/>
  <c r="Z176" i="4"/>
  <c r="Z165" i="4"/>
  <c r="Z142" i="4"/>
  <c r="Z23" i="4"/>
  <c r="V176" i="4"/>
  <c r="V142" i="4"/>
  <c r="V23" i="4"/>
  <c r="R176" i="4"/>
  <c r="R165" i="4"/>
  <c r="R142" i="4"/>
  <c r="R23" i="4"/>
  <c r="N176" i="4"/>
  <c r="N165" i="4"/>
  <c r="N142" i="4"/>
  <c r="N23" i="4"/>
  <c r="J176" i="4"/>
  <c r="J165" i="4"/>
  <c r="J142" i="4"/>
  <c r="J23" i="4"/>
  <c r="F142" i="4"/>
  <c r="F23" i="4"/>
  <c r="V79" i="4"/>
  <c r="N121" i="4"/>
  <c r="BR77" i="4"/>
  <c r="BL77" i="4"/>
  <c r="AM170" i="4"/>
  <c r="AM137" i="4"/>
  <c r="AI170" i="4"/>
  <c r="AI137" i="4"/>
  <c r="W170" i="4"/>
  <c r="W137" i="4"/>
  <c r="S170" i="4"/>
  <c r="S137" i="4"/>
  <c r="O170" i="4"/>
  <c r="O137" i="4"/>
  <c r="K170" i="4"/>
  <c r="K137" i="4"/>
  <c r="C42" i="4"/>
  <c r="C44" i="4" s="1"/>
  <c r="D44" i="4"/>
  <c r="BJ45" i="4"/>
  <c r="AZ11" i="4"/>
  <c r="AC176" i="4"/>
  <c r="AC142" i="4"/>
  <c r="G176" i="4"/>
  <c r="G142" i="4"/>
  <c r="G23" i="4"/>
  <c r="C142" i="4"/>
  <c r="C23" i="4"/>
  <c r="BK77" i="4"/>
  <c r="BK43" i="4"/>
  <c r="BJ43" i="4"/>
  <c r="BL19" i="4"/>
  <c r="BL80" i="4" s="1"/>
  <c r="BK44" i="4"/>
  <c r="BJ44" i="4"/>
  <c r="BQ19" i="4"/>
  <c r="BK19" i="4"/>
  <c r="BK80" i="4" s="1"/>
  <c r="CS32" i="4"/>
  <c r="CI32" i="4"/>
  <c r="CA32" i="4"/>
  <c r="BW32" i="4"/>
  <c r="BW144" i="4"/>
  <c r="AS32" i="4"/>
  <c r="AM32" i="4"/>
  <c r="AK32" i="4"/>
  <c r="AG32" i="4"/>
  <c r="W146" i="4"/>
  <c r="W143" i="4"/>
  <c r="W32" i="4"/>
  <c r="W29" i="4"/>
  <c r="S161" i="4"/>
  <c r="S146" i="4"/>
  <c r="S145" i="4"/>
  <c r="S143" i="4"/>
  <c r="S32" i="4"/>
  <c r="S29" i="4"/>
  <c r="O146" i="4"/>
  <c r="O32" i="4"/>
  <c r="O29" i="4"/>
  <c r="K161" i="4"/>
  <c r="K146" i="4"/>
  <c r="K145" i="4"/>
  <c r="K143" i="4"/>
  <c r="K32" i="4"/>
  <c r="K29" i="4"/>
  <c r="V77" i="4"/>
  <c r="R77" i="4"/>
  <c r="N77" i="4"/>
  <c r="BS69" i="4"/>
  <c r="BS76" i="4" s="1"/>
  <c r="BS77" i="4" s="1"/>
  <c r="AZ77" i="4"/>
  <c r="AN139" i="4"/>
  <c r="AJ139" i="4"/>
  <c r="AF139" i="4"/>
  <c r="X139" i="4"/>
  <c r="T139" i="4"/>
  <c r="P139" i="4"/>
  <c r="L139" i="4"/>
  <c r="H139" i="4"/>
  <c r="AU77" i="4"/>
  <c r="BT22" i="4"/>
  <c r="AM165" i="4"/>
  <c r="AK165" i="4"/>
  <c r="AG165" i="4"/>
  <c r="W165" i="4"/>
  <c r="S165" i="4"/>
  <c r="O165" i="4"/>
  <c r="K165" i="4"/>
  <c r="AT80" i="4" l="1"/>
  <c r="AT160" i="4"/>
  <c r="AS80" i="4"/>
  <c r="AS160" i="4"/>
  <c r="AR80" i="4"/>
  <c r="AR160" i="4"/>
  <c r="AF80" i="4"/>
  <c r="AF98" i="4" s="1"/>
  <c r="AF160" i="4"/>
  <c r="AW80" i="4"/>
  <c r="AW98" i="4" s="1"/>
  <c r="AW160" i="4"/>
  <c r="AH80" i="4"/>
  <c r="AH98" i="4" s="1"/>
  <c r="AH160" i="4"/>
  <c r="AL80" i="4"/>
  <c r="AL160" i="4"/>
  <c r="AQ80" i="4"/>
  <c r="AQ160" i="4"/>
  <c r="AN80" i="4"/>
  <c r="AN160" i="4"/>
  <c r="AJ80" i="4"/>
  <c r="AJ98" i="4" s="1"/>
  <c r="AJ160" i="4"/>
  <c r="AC80" i="4"/>
  <c r="AC160" i="4"/>
  <c r="AB80" i="4"/>
  <c r="AB98" i="4" s="1"/>
  <c r="AB160" i="4"/>
  <c r="AD80" i="4"/>
  <c r="AD160" i="4"/>
  <c r="AE80" i="4"/>
  <c r="AE98" i="4" s="1"/>
  <c r="AE160" i="4"/>
  <c r="AZ141" i="4"/>
  <c r="AZ23" i="4"/>
  <c r="AZ145" i="4" s="1"/>
  <c r="AL98" i="4"/>
  <c r="AQ98" i="4"/>
  <c r="AN98" i="4"/>
  <c r="BL98" i="4"/>
  <c r="BL127" i="4" s="1"/>
  <c r="AD98" i="4"/>
  <c r="AC98" i="4"/>
  <c r="BO98" i="4"/>
  <c r="BO127" i="4" s="1"/>
  <c r="BO138" i="4" s="1"/>
  <c r="AT98" i="4"/>
  <c r="BK98" i="4"/>
  <c r="BK115" i="4" s="1"/>
  <c r="BK118" i="4" s="1"/>
  <c r="BK119" i="4" s="1"/>
  <c r="AS98" i="4"/>
  <c r="AR98" i="4"/>
  <c r="AK146" i="4"/>
  <c r="AK143" i="4"/>
  <c r="AN177" i="4"/>
  <c r="AG143" i="4"/>
  <c r="AS177" i="4"/>
  <c r="AC177" i="4"/>
  <c r="AM146" i="4"/>
  <c r="I161" i="4"/>
  <c r="AA145" i="4"/>
  <c r="AA29" i="4"/>
  <c r="AW177" i="4"/>
  <c r="AW115" i="4"/>
  <c r="AW118" i="4" s="1"/>
  <c r="AW119" i="4" s="1"/>
  <c r="AL177" i="4"/>
  <c r="AY143" i="4"/>
  <c r="AY146" i="4"/>
  <c r="AY29" i="4"/>
  <c r="AG29" i="4"/>
  <c r="AG145" i="4"/>
  <c r="AM145" i="4"/>
  <c r="AM29" i="4"/>
  <c r="AM160" i="4" s="1"/>
  <c r="AU145" i="4"/>
  <c r="AU29" i="4"/>
  <c r="AI145" i="4"/>
  <c r="AI29" i="4"/>
  <c r="AI160" i="4" s="1"/>
  <c r="AP29" i="4"/>
  <c r="AP145" i="4"/>
  <c r="AK29" i="4"/>
  <c r="AK145" i="4"/>
  <c r="AO29" i="4"/>
  <c r="AO145" i="4"/>
  <c r="O161" i="4"/>
  <c r="O143" i="4"/>
  <c r="BC115" i="4"/>
  <c r="BC118" i="4" s="1"/>
  <c r="BC119" i="4" s="1"/>
  <c r="BC127" i="4"/>
  <c r="BY180" i="4"/>
  <c r="N49" i="4"/>
  <c r="N174" i="4" s="1"/>
  <c r="I145" i="4"/>
  <c r="BI115" i="4"/>
  <c r="BI118" i="4" s="1"/>
  <c r="BI119" i="4" s="1"/>
  <c r="BI127" i="4"/>
  <c r="BI138" i="4" s="1"/>
  <c r="BD115" i="4"/>
  <c r="BD118" i="4" s="1"/>
  <c r="BD119" i="4" s="1"/>
  <c r="BD127" i="4"/>
  <c r="BY88" i="4"/>
  <c r="BG115" i="4"/>
  <c r="BG118" i="4" s="1"/>
  <c r="BG119" i="4" s="1"/>
  <c r="BG127" i="4"/>
  <c r="BA115" i="4"/>
  <c r="BA118" i="4" s="1"/>
  <c r="BA119" i="4" s="1"/>
  <c r="BA127" i="4"/>
  <c r="BM115" i="4"/>
  <c r="BM118" i="4" s="1"/>
  <c r="BM119" i="4" s="1"/>
  <c r="BM127" i="4"/>
  <c r="BY158" i="4"/>
  <c r="BK177" i="4"/>
  <c r="BL177" i="4"/>
  <c r="BL115" i="4"/>
  <c r="BL118" i="4" s="1"/>
  <c r="BL119" i="4" s="1"/>
  <c r="BO115" i="4"/>
  <c r="BO118" i="4" s="1"/>
  <c r="BO119" i="4" s="1"/>
  <c r="BL134" i="4"/>
  <c r="BG177" i="4"/>
  <c r="BG134" i="4"/>
  <c r="BA177" i="4"/>
  <c r="BA134" i="4"/>
  <c r="BI177" i="4"/>
  <c r="BI134" i="4"/>
  <c r="BC177" i="4"/>
  <c r="BC134" i="4"/>
  <c r="BM177" i="4"/>
  <c r="BM134" i="4"/>
  <c r="BD177" i="4"/>
  <c r="BD134" i="4"/>
  <c r="I29" i="4"/>
  <c r="I146" i="4"/>
  <c r="Y29" i="4"/>
  <c r="Y144" i="4" s="1"/>
  <c r="Y146" i="4"/>
  <c r="I166" i="4"/>
  <c r="AW146" i="4"/>
  <c r="BV165" i="4"/>
  <c r="BQ80" i="4"/>
  <c r="BM143" i="4"/>
  <c r="O166" i="4"/>
  <c r="S166" i="4"/>
  <c r="M166" i="4"/>
  <c r="Q166" i="4"/>
  <c r="U166" i="4"/>
  <c r="X161" i="4"/>
  <c r="Y161" i="4"/>
  <c r="AG166" i="4"/>
  <c r="CS166" i="4"/>
  <c r="K166" i="4"/>
  <c r="AQ166" i="4"/>
  <c r="AY166" i="4"/>
  <c r="E27" i="21"/>
  <c r="BU32" i="4"/>
  <c r="BG143" i="4"/>
  <c r="W166" i="4"/>
  <c r="BC166" i="4"/>
  <c r="AK166" i="4"/>
  <c r="AS166" i="4"/>
  <c r="E25" i="21"/>
  <c r="E23" i="21"/>
  <c r="E21" i="21"/>
  <c r="V49" i="4"/>
  <c r="V174" i="4" s="1"/>
  <c r="V121" i="4"/>
  <c r="Y166" i="4"/>
  <c r="BM139" i="4"/>
  <c r="S8" i="4"/>
  <c r="S121" i="4" s="1"/>
  <c r="R8" i="4"/>
  <c r="R121" i="4" s="1"/>
  <c r="F27" i="21"/>
  <c r="BR178" i="4"/>
  <c r="U8" i="4"/>
  <c r="U49" i="4" s="1"/>
  <c r="U174" i="4" s="1"/>
  <c r="F23" i="21"/>
  <c r="BX158" i="4"/>
  <c r="CI166" i="4"/>
  <c r="AM166" i="4"/>
  <c r="BM32" i="4"/>
  <c r="BM36" i="4" s="1"/>
  <c r="BM125" i="4" s="1"/>
  <c r="BQ176" i="4"/>
  <c r="BQ165" i="4"/>
  <c r="BQ142" i="4"/>
  <c r="BP164" i="4"/>
  <c r="BP141" i="4"/>
  <c r="BU164" i="4"/>
  <c r="BZ146" i="4"/>
  <c r="BZ143" i="4"/>
  <c r="CX166" i="4"/>
  <c r="CX143" i="4"/>
  <c r="CX146" i="4"/>
  <c r="BR164" i="4"/>
  <c r="BR141" i="4"/>
  <c r="BW164" i="4"/>
  <c r="AQ144" i="4"/>
  <c r="BG32" i="4"/>
  <c r="BG35" i="4" s="1"/>
  <c r="BG124" i="4" s="1"/>
  <c r="D45" i="4"/>
  <c r="D126" i="4" s="1"/>
  <c r="D137" i="4" s="1"/>
  <c r="CB146" i="4"/>
  <c r="CB143" i="4"/>
  <c r="CB166" i="4"/>
  <c r="F25" i="21"/>
  <c r="F22" i="21"/>
  <c r="AW166" i="4"/>
  <c r="BE158" i="4"/>
  <c r="BN139" i="4"/>
  <c r="CC141" i="4"/>
  <c r="CC19" i="4"/>
  <c r="CC80" i="4" s="1"/>
  <c r="CC98" i="4" s="1"/>
  <c r="AS144" i="4"/>
  <c r="CA144" i="4"/>
  <c r="CI160" i="4"/>
  <c r="CI144" i="4"/>
  <c r="CS160" i="4"/>
  <c r="CS144" i="4"/>
  <c r="BK176" i="4"/>
  <c r="BK142" i="4"/>
  <c r="BK165" i="4"/>
  <c r="BL165" i="4"/>
  <c r="BL142" i="4"/>
  <c r="BL176" i="4"/>
  <c r="AZ164" i="4"/>
  <c r="AT166" i="4"/>
  <c r="AT146" i="4"/>
  <c r="AT143" i="4"/>
  <c r="BV146" i="4"/>
  <c r="BV143" i="4"/>
  <c r="CD166" i="4"/>
  <c r="CD146" i="4"/>
  <c r="CD143" i="4"/>
  <c r="AU176" i="4"/>
  <c r="AU165" i="4"/>
  <c r="AU142" i="4"/>
  <c r="BY160" i="4"/>
  <c r="BY144" i="4"/>
  <c r="AR166" i="4"/>
  <c r="AR146" i="4"/>
  <c r="AR143" i="4"/>
  <c r="CN146" i="4"/>
  <c r="CN166" i="4"/>
  <c r="CN143" i="4"/>
  <c r="BL139" i="4"/>
  <c r="CA166" i="4"/>
  <c r="BV119" i="4"/>
  <c r="BW118" i="4"/>
  <c r="E26" i="21"/>
  <c r="E24" i="21"/>
  <c r="E22" i="21"/>
  <c r="F26" i="21"/>
  <c r="F24" i="21"/>
  <c r="F21" i="21"/>
  <c r="BT157" i="4"/>
  <c r="CD61" i="4" s="1"/>
  <c r="CD154" i="4" s="1"/>
  <c r="BD146" i="4"/>
  <c r="BD143" i="4"/>
  <c r="BD166" i="4"/>
  <c r="AV166" i="4"/>
  <c r="AV143" i="4"/>
  <c r="AV146" i="4"/>
  <c r="BN143" i="4"/>
  <c r="BN166" i="4"/>
  <c r="BN146" i="4"/>
  <c r="BC144" i="4"/>
  <c r="BU143" i="4"/>
  <c r="BZ166" i="4"/>
  <c r="BU146" i="4"/>
  <c r="BI166" i="4"/>
  <c r="BA166" i="4"/>
  <c r="BM144" i="4"/>
  <c r="BB161" i="4"/>
  <c r="AX166" i="4"/>
  <c r="AX143" i="4"/>
  <c r="AX146" i="4"/>
  <c r="BH166" i="4"/>
  <c r="BH146" i="4"/>
  <c r="BH143" i="4"/>
  <c r="E31" i="21"/>
  <c r="BO142" i="4"/>
  <c r="BO176" i="4"/>
  <c r="BO139" i="4"/>
  <c r="BG144" i="4"/>
  <c r="BI144" i="4"/>
  <c r="BJ164" i="4"/>
  <c r="BJ141" i="4"/>
  <c r="BB146" i="4"/>
  <c r="BB143" i="4"/>
  <c r="BB166" i="4"/>
  <c r="BF166" i="4"/>
  <c r="BF146" i="4"/>
  <c r="BF143" i="4"/>
  <c r="BX143" i="4"/>
  <c r="BX146" i="4"/>
  <c r="BE141" i="4"/>
  <c r="BE164" i="4"/>
  <c r="AW144" i="4"/>
  <c r="BA144" i="4"/>
  <c r="BO158" i="4"/>
  <c r="BA161" i="4"/>
  <c r="BD161" i="4"/>
  <c r="BG166" i="4"/>
  <c r="BJ158" i="4"/>
  <c r="BC161" i="4"/>
  <c r="BM166" i="4"/>
  <c r="D43" i="4"/>
  <c r="BG137" i="4"/>
  <c r="BH137" i="4"/>
  <c r="BL170" i="4"/>
  <c r="BL137" i="4"/>
  <c r="BQ170" i="4"/>
  <c r="BS170" i="4"/>
  <c r="BN170" i="4"/>
  <c r="BN137" i="4"/>
  <c r="BM170" i="4"/>
  <c r="L24" i="8"/>
  <c r="L22" i="8"/>
  <c r="L25" i="8"/>
  <c r="L6" i="21"/>
  <c r="L7" i="21"/>
  <c r="L9" i="21"/>
  <c r="L16" i="21"/>
  <c r="L8" i="21"/>
  <c r="L15" i="21"/>
  <c r="L11" i="21"/>
  <c r="L12" i="21"/>
  <c r="L14" i="21"/>
  <c r="L10" i="21"/>
  <c r="L13" i="21"/>
  <c r="G38" i="8"/>
  <c r="G19" i="21" s="1"/>
  <c r="H37" i="8"/>
  <c r="M121" i="4"/>
  <c r="M49" i="4"/>
  <c r="M174" i="4" s="1"/>
  <c r="M79" i="4"/>
  <c r="O121" i="4"/>
  <c r="O79" i="4"/>
  <c r="O49" i="4"/>
  <c r="O174" i="4" s="1"/>
  <c r="K144" i="4"/>
  <c r="O36" i="4"/>
  <c r="O125" i="4" s="1"/>
  <c r="O35" i="4"/>
  <c r="O124" i="4" s="1"/>
  <c r="S144" i="4"/>
  <c r="W36" i="4"/>
  <c r="W125" i="4" s="1"/>
  <c r="W35" i="4"/>
  <c r="W124" i="4" s="1"/>
  <c r="AG36" i="4"/>
  <c r="AG125" i="4" s="1"/>
  <c r="AG35" i="4"/>
  <c r="AG124" i="4" s="1"/>
  <c r="AK36" i="4"/>
  <c r="AK125" i="4" s="1"/>
  <c r="AK35" i="4"/>
  <c r="AK124" i="4" s="1"/>
  <c r="CS36" i="4"/>
  <c r="CS125" i="4" s="1"/>
  <c r="CS35" i="4"/>
  <c r="CS124" i="4" s="1"/>
  <c r="AC146" i="4"/>
  <c r="AC143" i="4"/>
  <c r="AC32" i="4"/>
  <c r="BJ130" i="4"/>
  <c r="BJ131" i="4" s="1"/>
  <c r="T121" i="4"/>
  <c r="T79" i="4"/>
  <c r="T49" i="4"/>
  <c r="T174" i="4" s="1"/>
  <c r="Z166" i="4"/>
  <c r="Z146" i="4"/>
  <c r="Z145" i="4"/>
  <c r="Z143" i="4"/>
  <c r="Z32" i="4"/>
  <c r="Z29" i="4"/>
  <c r="AD146" i="4"/>
  <c r="AD143" i="4"/>
  <c r="AD32" i="4"/>
  <c r="AI167" i="4"/>
  <c r="BR19" i="4"/>
  <c r="BR80" i="4" s="1"/>
  <c r="BR98" i="4" s="1"/>
  <c r="I144" i="4"/>
  <c r="M36" i="4"/>
  <c r="M125" i="4" s="1"/>
  <c r="M35" i="4"/>
  <c r="M124" i="4" s="1"/>
  <c r="Q160" i="4"/>
  <c r="Q144" i="4"/>
  <c r="U36" i="4"/>
  <c r="U125" i="4" s="1"/>
  <c r="U35" i="4"/>
  <c r="U124" i="4" s="1"/>
  <c r="BG36" i="4"/>
  <c r="BG125" i="4" s="1"/>
  <c r="BI36" i="4"/>
  <c r="BI125" i="4" s="1"/>
  <c r="BI35" i="4"/>
  <c r="BI124" i="4" s="1"/>
  <c r="BF130" i="4"/>
  <c r="BF131" i="4" s="1"/>
  <c r="BF139" i="4" s="1"/>
  <c r="E161" i="4"/>
  <c r="E146" i="4"/>
  <c r="E145" i="4"/>
  <c r="E143" i="4"/>
  <c r="E32" i="4"/>
  <c r="E29" i="4"/>
  <c r="AA146" i="4"/>
  <c r="AA143" i="4"/>
  <c r="AA32" i="4"/>
  <c r="BJ19" i="4"/>
  <c r="BJ80" i="4" s="1"/>
  <c r="AF166" i="4"/>
  <c r="AF146" i="4"/>
  <c r="AF143" i="4"/>
  <c r="AF32" i="4"/>
  <c r="AJ166" i="4"/>
  <c r="AJ146" i="4"/>
  <c r="AJ143" i="4"/>
  <c r="AJ32" i="4"/>
  <c r="AN166" i="4"/>
  <c r="AN146" i="4"/>
  <c r="AN143" i="4"/>
  <c r="AN32" i="4"/>
  <c r="AS167" i="4"/>
  <c r="AR32" i="4"/>
  <c r="AW167" i="4"/>
  <c r="AV32" i="4"/>
  <c r="AV29" i="4"/>
  <c r="AV160" i="4" s="1"/>
  <c r="BB32" i="4"/>
  <c r="K36" i="4"/>
  <c r="K125" i="4" s="1"/>
  <c r="K35" i="4"/>
  <c r="K124" i="4" s="1"/>
  <c r="O144" i="4"/>
  <c r="S36" i="4"/>
  <c r="S125" i="4" s="1"/>
  <c r="S35" i="4"/>
  <c r="S124" i="4" s="1"/>
  <c r="W144" i="4"/>
  <c r="AM36" i="4"/>
  <c r="AM125" i="4" s="1"/>
  <c r="AM35" i="4"/>
  <c r="AM124" i="4" s="1"/>
  <c r="AS36" i="4"/>
  <c r="AS125" i="4" s="1"/>
  <c r="AS35" i="4"/>
  <c r="AS124" i="4" s="1"/>
  <c r="BW36" i="4"/>
  <c r="BW125" i="4" s="1"/>
  <c r="BW35" i="4"/>
  <c r="BW124" i="4" s="1"/>
  <c r="CA36" i="4"/>
  <c r="CA125" i="4" s="1"/>
  <c r="CA35" i="4"/>
  <c r="CA124" i="4" s="1"/>
  <c r="CI36" i="4"/>
  <c r="CI125" i="4" s="1"/>
  <c r="CI136" i="4" s="1"/>
  <c r="CI35" i="4"/>
  <c r="CI124" i="4" s="1"/>
  <c r="CI135" i="4" s="1"/>
  <c r="C161" i="4"/>
  <c r="C146" i="4"/>
  <c r="C145" i="4"/>
  <c r="C143" i="4"/>
  <c r="C32" i="4"/>
  <c r="C29" i="4"/>
  <c r="G161" i="4"/>
  <c r="G146" i="4"/>
  <c r="G145" i="4"/>
  <c r="G143" i="4"/>
  <c r="G32" i="4"/>
  <c r="G29" i="4"/>
  <c r="AZ19" i="4"/>
  <c r="BP19" i="4"/>
  <c r="BP80" i="4" s="1"/>
  <c r="BP98" i="4" s="1"/>
  <c r="BK45" i="4"/>
  <c r="AA162" i="4"/>
  <c r="AA121" i="4"/>
  <c r="AA79" i="4"/>
  <c r="AA49" i="4"/>
  <c r="AA174" i="4" s="1"/>
  <c r="AF8" i="4"/>
  <c r="Z8" i="4"/>
  <c r="X8" i="4"/>
  <c r="Y8" i="4"/>
  <c r="W8" i="4"/>
  <c r="F161" i="4"/>
  <c r="F146" i="4"/>
  <c r="F145" i="4"/>
  <c r="F143" i="4"/>
  <c r="F32" i="4"/>
  <c r="F29" i="4"/>
  <c r="K167" i="4" s="1"/>
  <c r="J166" i="4"/>
  <c r="J161" i="4"/>
  <c r="J146" i="4"/>
  <c r="J145" i="4"/>
  <c r="J143" i="4"/>
  <c r="J32" i="4"/>
  <c r="J29" i="4"/>
  <c r="N166" i="4"/>
  <c r="N161" i="4"/>
  <c r="N146" i="4"/>
  <c r="N145" i="4"/>
  <c r="N143" i="4"/>
  <c r="N32" i="4"/>
  <c r="N29" i="4"/>
  <c r="R166" i="4"/>
  <c r="R161" i="4"/>
  <c r="R146" i="4"/>
  <c r="R145" i="4"/>
  <c r="R143" i="4"/>
  <c r="R32" i="4"/>
  <c r="R29" i="4"/>
  <c r="V161" i="4"/>
  <c r="V146" i="4"/>
  <c r="V145" i="4"/>
  <c r="V143" i="4"/>
  <c r="V32" i="4"/>
  <c r="V29" i="4"/>
  <c r="AH166" i="4"/>
  <c r="AH146" i="4"/>
  <c r="AH143" i="4"/>
  <c r="AH32" i="4"/>
  <c r="AL166" i="4"/>
  <c r="AL146" i="4"/>
  <c r="AL143" i="4"/>
  <c r="AL32" i="4"/>
  <c r="AQ167" i="4"/>
  <c r="AP166" i="4"/>
  <c r="AP146" i="4"/>
  <c r="AP143" i="4"/>
  <c r="AP32" i="4"/>
  <c r="AT32" i="4"/>
  <c r="AX32" i="4"/>
  <c r="AX29" i="4"/>
  <c r="AX160" i="4" s="1"/>
  <c r="BD32" i="4"/>
  <c r="BI167" i="4"/>
  <c r="BH32" i="4"/>
  <c r="BM167" i="4"/>
  <c r="BV32" i="4"/>
  <c r="BV144" i="4"/>
  <c r="BZ32" i="4"/>
  <c r="BZ144" i="4"/>
  <c r="CD32" i="4"/>
  <c r="CX32" i="4"/>
  <c r="I36" i="4"/>
  <c r="I125" i="4" s="1"/>
  <c r="I35" i="4"/>
  <c r="I124" i="4" s="1"/>
  <c r="M144" i="4"/>
  <c r="Q36" i="4"/>
  <c r="Q125" i="4" s="1"/>
  <c r="Q35" i="4"/>
  <c r="Q124" i="4" s="1"/>
  <c r="U144" i="4"/>
  <c r="Y36" i="4"/>
  <c r="Y125" i="4" s="1"/>
  <c r="Y35" i="4"/>
  <c r="Y124" i="4" s="1"/>
  <c r="AI36" i="4"/>
  <c r="AI125" i="4" s="1"/>
  <c r="AI35" i="4"/>
  <c r="AI124" i="4" s="1"/>
  <c r="AO36" i="4"/>
  <c r="AO125" i="4" s="1"/>
  <c r="AO35" i="4"/>
  <c r="AO124" i="4" s="1"/>
  <c r="AQ36" i="4"/>
  <c r="AQ125" i="4" s="1"/>
  <c r="AQ35" i="4"/>
  <c r="AQ124" i="4" s="1"/>
  <c r="BY36" i="4"/>
  <c r="BY125" i="4" s="1"/>
  <c r="BY35" i="4"/>
  <c r="BY124" i="4" s="1"/>
  <c r="BE45" i="4"/>
  <c r="BE43" i="4"/>
  <c r="BE44" i="4"/>
  <c r="AE146" i="4"/>
  <c r="AE143" i="4"/>
  <c r="AE32" i="4"/>
  <c r="C45" i="4"/>
  <c r="C126" i="4" s="1"/>
  <c r="C43" i="4"/>
  <c r="D161" i="4"/>
  <c r="D146" i="4"/>
  <c r="D145" i="4"/>
  <c r="D143" i="4"/>
  <c r="D32" i="4"/>
  <c r="D29" i="4"/>
  <c r="H166" i="4"/>
  <c r="H161" i="4"/>
  <c r="H146" i="4"/>
  <c r="H145" i="4"/>
  <c r="H143" i="4"/>
  <c r="H32" i="4"/>
  <c r="H29" i="4"/>
  <c r="M167" i="4" s="1"/>
  <c r="L166" i="4"/>
  <c r="L161" i="4"/>
  <c r="L146" i="4"/>
  <c r="L145" i="4"/>
  <c r="L143" i="4"/>
  <c r="L32" i="4"/>
  <c r="L29" i="4"/>
  <c r="P166" i="4"/>
  <c r="P161" i="4"/>
  <c r="P146" i="4"/>
  <c r="P145" i="4"/>
  <c r="P143" i="4"/>
  <c r="P32" i="4"/>
  <c r="P29" i="4"/>
  <c r="T166" i="4"/>
  <c r="T161" i="4"/>
  <c r="T146" i="4"/>
  <c r="T145" i="4"/>
  <c r="T143" i="4"/>
  <c r="T32" i="4"/>
  <c r="T29" i="4"/>
  <c r="X166" i="4"/>
  <c r="X146" i="4"/>
  <c r="X145" i="4"/>
  <c r="X143" i="4"/>
  <c r="X32" i="4"/>
  <c r="X29" i="4"/>
  <c r="AB146" i="4"/>
  <c r="AB143" i="4"/>
  <c r="AB32" i="4"/>
  <c r="BF32" i="4"/>
  <c r="BN32" i="4"/>
  <c r="BX32" i="4"/>
  <c r="CB32" i="4"/>
  <c r="CN32" i="4"/>
  <c r="CS167" i="4"/>
  <c r="BE19" i="4"/>
  <c r="BE80" i="4" s="1"/>
  <c r="BE98" i="4" s="1"/>
  <c r="AI166" i="4"/>
  <c r="W161" i="4"/>
  <c r="Z161" i="4"/>
  <c r="AE115" i="4" l="1"/>
  <c r="AE118" i="4" s="1"/>
  <c r="AE119" i="4" s="1"/>
  <c r="AE134" i="4"/>
  <c r="AE127" i="4"/>
  <c r="AE177" i="4"/>
  <c r="AB134" i="4"/>
  <c r="AB127" i="4"/>
  <c r="AJ134" i="4"/>
  <c r="AJ127" i="4"/>
  <c r="AJ138" i="4" s="1"/>
  <c r="AJ177" i="4"/>
  <c r="AF115" i="4"/>
  <c r="AF134" i="4"/>
  <c r="AF127" i="4"/>
  <c r="AF138" i="4" s="1"/>
  <c r="AF177" i="4"/>
  <c r="AH127" i="4"/>
  <c r="AH138" i="4" s="1"/>
  <c r="AH134" i="4"/>
  <c r="AH177" i="4"/>
  <c r="AY80" i="4"/>
  <c r="AY98" i="4" s="1"/>
  <c r="AY160" i="4"/>
  <c r="AR134" i="4"/>
  <c r="AR127" i="4"/>
  <c r="AR138" i="4" s="1"/>
  <c r="AT127" i="4"/>
  <c r="AT138" i="4" s="1"/>
  <c r="AT134" i="4"/>
  <c r="AD127" i="4"/>
  <c r="AD134" i="4"/>
  <c r="AQ127" i="4"/>
  <c r="AQ134" i="4"/>
  <c r="AK80" i="4"/>
  <c r="AK160" i="4"/>
  <c r="AA80" i="4"/>
  <c r="AA160" i="4"/>
  <c r="AS115" i="4"/>
  <c r="AS118" i="4" s="1"/>
  <c r="AS119" i="4" s="1"/>
  <c r="AS134" i="4"/>
  <c r="AS127" i="4"/>
  <c r="AS138" i="4" s="1"/>
  <c r="AL115" i="4"/>
  <c r="AL118" i="4" s="1"/>
  <c r="AL119" i="4" s="1"/>
  <c r="AL127" i="4"/>
  <c r="AL138" i="4" s="1"/>
  <c r="AL134" i="4"/>
  <c r="AY144" i="4"/>
  <c r="AU80" i="4"/>
  <c r="AU98" i="4" s="1"/>
  <c r="AU160" i="4"/>
  <c r="AR177" i="4"/>
  <c r="AT177" i="4"/>
  <c r="BC160" i="4"/>
  <c r="AO80" i="4"/>
  <c r="AO160" i="4"/>
  <c r="AP80" i="4"/>
  <c r="AP160" i="4"/>
  <c r="AG80" i="4"/>
  <c r="AG160" i="4"/>
  <c r="AQ177" i="4"/>
  <c r="AC115" i="4"/>
  <c r="AC118" i="4" s="1"/>
  <c r="AC119" i="4" s="1"/>
  <c r="AC134" i="4"/>
  <c r="AC127" i="4"/>
  <c r="AN115" i="4"/>
  <c r="AN118" i="4" s="1"/>
  <c r="AN119" i="4" s="1"/>
  <c r="AN134" i="4"/>
  <c r="AN127" i="4"/>
  <c r="AN138" i="4" s="1"/>
  <c r="AW134" i="4"/>
  <c r="AW127" i="4"/>
  <c r="BO134" i="4"/>
  <c r="BO177" i="4"/>
  <c r="AZ142" i="4"/>
  <c r="BJ98" i="4"/>
  <c r="BJ127" i="4" s="1"/>
  <c r="BJ138" i="4" s="1"/>
  <c r="AH115" i="4"/>
  <c r="AH118" i="4" s="1"/>
  <c r="AH119" i="4" s="1"/>
  <c r="AR115" i="4"/>
  <c r="AR118" i="4" s="1"/>
  <c r="AR119" i="4" s="1"/>
  <c r="BK127" i="4"/>
  <c r="AT115" i="4"/>
  <c r="AT118" i="4" s="1"/>
  <c r="AT119" i="4" s="1"/>
  <c r="AB115" i="4"/>
  <c r="AB118" i="4" s="1"/>
  <c r="AB119" i="4" s="1"/>
  <c r="AD115" i="4"/>
  <c r="AD118" i="4" s="1"/>
  <c r="AD119" i="4" s="1"/>
  <c r="AJ115" i="4"/>
  <c r="AJ118" i="4" s="1"/>
  <c r="AJ119" i="4" s="1"/>
  <c r="AQ115" i="4"/>
  <c r="AQ118" i="4" s="1"/>
  <c r="AQ119" i="4" s="1"/>
  <c r="BK138" i="4"/>
  <c r="BK134" i="4"/>
  <c r="AB177" i="4"/>
  <c r="AQ138" i="4"/>
  <c r="AD177" i="4"/>
  <c r="BQ98" i="4"/>
  <c r="BQ127" i="4" s="1"/>
  <c r="BQ138" i="4" s="1"/>
  <c r="AO98" i="4"/>
  <c r="AG98" i="4"/>
  <c r="AA98" i="4"/>
  <c r="AP98" i="4"/>
  <c r="AK144" i="4"/>
  <c r="AK167" i="4"/>
  <c r="AK98" i="4"/>
  <c r="AG144" i="4"/>
  <c r="AO144" i="4"/>
  <c r="BA160" i="4"/>
  <c r="AX80" i="4"/>
  <c r="AX98" i="4" s="1"/>
  <c r="AO177" i="4"/>
  <c r="AI144" i="4"/>
  <c r="AI80" i="4"/>
  <c r="AM144" i="4"/>
  <c r="AM80" i="4"/>
  <c r="AY177" i="4"/>
  <c r="AY115" i="4"/>
  <c r="AY118" i="4" s="1"/>
  <c r="AY119" i="4" s="1"/>
  <c r="BA167" i="4"/>
  <c r="AV80" i="4"/>
  <c r="AV98" i="4" s="1"/>
  <c r="BM35" i="4"/>
  <c r="BM124" i="4" s="1"/>
  <c r="U121" i="4"/>
  <c r="S49" i="4"/>
  <c r="S174" i="4" s="1"/>
  <c r="U79" i="4"/>
  <c r="CD180" i="4"/>
  <c r="D30" i="28"/>
  <c r="B30" i="8"/>
  <c r="BY61" i="4"/>
  <c r="BX182" i="4"/>
  <c r="BX64" i="4"/>
  <c r="BX69" i="4" s="1"/>
  <c r="BX76" i="4" s="1"/>
  <c r="CC158" i="4"/>
  <c r="CD88" i="4"/>
  <c r="BP115" i="4"/>
  <c r="BP118" i="4" s="1"/>
  <c r="BP119" i="4" s="1"/>
  <c r="BP127" i="4"/>
  <c r="BP138" i="4" s="1"/>
  <c r="BR115" i="4"/>
  <c r="BR118" i="4" s="1"/>
  <c r="BR127" i="4"/>
  <c r="BE115" i="4"/>
  <c r="BE118" i="4" s="1"/>
  <c r="BE119" i="4" s="1"/>
  <c r="BE127" i="4"/>
  <c r="BE138" i="4" s="1"/>
  <c r="BQ115" i="4"/>
  <c r="BQ118" i="4" s="1"/>
  <c r="BQ119" i="4" s="1"/>
  <c r="BJ115" i="4"/>
  <c r="BJ118" i="4" s="1"/>
  <c r="BJ119" i="4" s="1"/>
  <c r="BR138" i="4"/>
  <c r="BR134" i="4"/>
  <c r="BR177" i="4"/>
  <c r="BE177" i="4"/>
  <c r="BE134" i="4"/>
  <c r="BP177" i="4"/>
  <c r="BP134" i="4"/>
  <c r="BQ177" i="4"/>
  <c r="BJ177" i="4"/>
  <c r="BJ134" i="4"/>
  <c r="BQ134" i="4"/>
  <c r="R49" i="4"/>
  <c r="R174" i="4" s="1"/>
  <c r="R79" i="4"/>
  <c r="S79" i="4"/>
  <c r="I170" i="4"/>
  <c r="BU36" i="4"/>
  <c r="BU125" i="4" s="1"/>
  <c r="BU35" i="4"/>
  <c r="BU124" i="4" s="1"/>
  <c r="BS178" i="4"/>
  <c r="BS104" i="4"/>
  <c r="CX160" i="4"/>
  <c r="CX167" i="4"/>
  <c r="CX144" i="4"/>
  <c r="CD167" i="4"/>
  <c r="CD144" i="4"/>
  <c r="CD160" i="4"/>
  <c r="AT167" i="4"/>
  <c r="AT144" i="4"/>
  <c r="BP165" i="4"/>
  <c r="BP142" i="4"/>
  <c r="BP176" i="4"/>
  <c r="BP139" i="4"/>
  <c r="BQ139" i="4"/>
  <c r="BU165" i="4"/>
  <c r="CS136" i="4"/>
  <c r="BW119" i="4"/>
  <c r="CI167" i="4"/>
  <c r="CC176" i="4"/>
  <c r="CC142" i="4"/>
  <c r="CC165" i="4"/>
  <c r="CC139" i="4"/>
  <c r="CN167" i="4"/>
  <c r="CN144" i="4"/>
  <c r="CN160" i="4"/>
  <c r="CB167" i="4"/>
  <c r="CB144" i="4"/>
  <c r="BS164" i="4"/>
  <c r="BS141" i="4"/>
  <c r="BX164" i="4"/>
  <c r="AZ176" i="4"/>
  <c r="AZ165" i="4"/>
  <c r="AR167" i="4"/>
  <c r="AR144" i="4"/>
  <c r="BR165" i="4"/>
  <c r="BR142" i="4"/>
  <c r="BR176" i="4"/>
  <c r="BR139" i="4"/>
  <c r="BW165" i="4"/>
  <c r="CS135" i="4"/>
  <c r="AY167" i="4"/>
  <c r="BT158" i="4"/>
  <c r="CA167" i="4"/>
  <c r="BM138" i="4"/>
  <c r="BN138" i="4"/>
  <c r="BL138" i="4"/>
  <c r="D19" i="21"/>
  <c r="D20" i="21" s="1"/>
  <c r="BJ137" i="4"/>
  <c r="BO170" i="4"/>
  <c r="BN167" i="4"/>
  <c r="BN144" i="4"/>
  <c r="D31" i="21"/>
  <c r="BJ142" i="4"/>
  <c r="BJ139" i="4"/>
  <c r="BJ176" i="4"/>
  <c r="BJ165" i="4"/>
  <c r="AU166" i="4"/>
  <c r="AU143" i="4"/>
  <c r="AU146" i="4"/>
  <c r="BK166" i="4"/>
  <c r="BN161" i="4"/>
  <c r="BK146" i="4"/>
  <c r="BK143" i="4"/>
  <c r="BM161" i="4"/>
  <c r="BK161" i="4"/>
  <c r="BH144" i="4"/>
  <c r="BH167" i="4"/>
  <c r="BD144" i="4"/>
  <c r="BD167" i="4"/>
  <c r="BB160" i="4"/>
  <c r="AX167" i="4"/>
  <c r="AX144" i="4"/>
  <c r="BQ143" i="4"/>
  <c r="BV166" i="4"/>
  <c r="BQ146" i="4"/>
  <c r="BQ166" i="4"/>
  <c r="BB144" i="4"/>
  <c r="BB167" i="4"/>
  <c r="AV144" i="4"/>
  <c r="AV167" i="4"/>
  <c r="BY164" i="4"/>
  <c r="BT164" i="4"/>
  <c r="BT141" i="4"/>
  <c r="BL143" i="4"/>
  <c r="BL146" i="4"/>
  <c r="BL166" i="4"/>
  <c r="BD160" i="4"/>
  <c r="BG167" i="4"/>
  <c r="BZ167" i="4"/>
  <c r="BU144" i="4"/>
  <c r="BO165" i="4"/>
  <c r="BL161" i="4"/>
  <c r="BC167" i="4"/>
  <c r="C31" i="21"/>
  <c r="BE142" i="4"/>
  <c r="BE165" i="4"/>
  <c r="BE176" i="4"/>
  <c r="BF144" i="4"/>
  <c r="BF167" i="4"/>
  <c r="BO146" i="4"/>
  <c r="BO143" i="4"/>
  <c r="BO161" i="4"/>
  <c r="BY136" i="4"/>
  <c r="AQ136" i="4"/>
  <c r="AS135" i="4"/>
  <c r="BF137" i="4"/>
  <c r="CB160" i="4"/>
  <c r="BZ160" i="4"/>
  <c r="CA160" i="4"/>
  <c r="BX160" i="4"/>
  <c r="BX144" i="4"/>
  <c r="BY135" i="4"/>
  <c r="AQ135" i="4"/>
  <c r="AS136" i="4"/>
  <c r="I37" i="8"/>
  <c r="H38" i="8"/>
  <c r="H19" i="21" s="1"/>
  <c r="G21" i="21"/>
  <c r="G24" i="21"/>
  <c r="G25" i="21"/>
  <c r="G27" i="21"/>
  <c r="G20" i="21"/>
  <c r="G22" i="21"/>
  <c r="G23" i="21"/>
  <c r="G26" i="21"/>
  <c r="M34" i="8"/>
  <c r="M36" i="8" s="1"/>
  <c r="CB36" i="4"/>
  <c r="CB125" i="4" s="1"/>
  <c r="CB35" i="4"/>
  <c r="CB124" i="4" s="1"/>
  <c r="BX36" i="4"/>
  <c r="BX125" i="4" s="1"/>
  <c r="BX35" i="4"/>
  <c r="BX124" i="4" s="1"/>
  <c r="BN36" i="4"/>
  <c r="BN125" i="4" s="1"/>
  <c r="BN35" i="4"/>
  <c r="BN124" i="4" s="1"/>
  <c r="BF36" i="4"/>
  <c r="BF125" i="4" s="1"/>
  <c r="BG136" i="4" s="1"/>
  <c r="BF35" i="4"/>
  <c r="BF124" i="4" s="1"/>
  <c r="AB36" i="4"/>
  <c r="AB125" i="4" s="1"/>
  <c r="AG169" i="4" s="1"/>
  <c r="AB35" i="4"/>
  <c r="AB124" i="4" s="1"/>
  <c r="AG168" i="4" s="1"/>
  <c r="X167" i="4"/>
  <c r="X144" i="4"/>
  <c r="T167" i="4"/>
  <c r="X160" i="4"/>
  <c r="T144" i="4"/>
  <c r="P36" i="4"/>
  <c r="P125" i="4" s="1"/>
  <c r="U169" i="4" s="1"/>
  <c r="P35" i="4"/>
  <c r="P124" i="4" s="1"/>
  <c r="U168" i="4" s="1"/>
  <c r="L167" i="4"/>
  <c r="L160" i="4"/>
  <c r="L144" i="4"/>
  <c r="H36" i="4"/>
  <c r="H125" i="4" s="1"/>
  <c r="M169" i="4" s="1"/>
  <c r="H35" i="4"/>
  <c r="H124" i="4" s="1"/>
  <c r="M168" i="4" s="1"/>
  <c r="H160" i="4"/>
  <c r="D144" i="4"/>
  <c r="AE144" i="4"/>
  <c r="AO136" i="4"/>
  <c r="AI136" i="4"/>
  <c r="Y136" i="4"/>
  <c r="Q135" i="4"/>
  <c r="I136" i="4"/>
  <c r="BO32" i="4"/>
  <c r="BS19" i="4"/>
  <c r="BS80" i="4" s="1"/>
  <c r="BS98" i="4" s="1"/>
  <c r="CX36" i="4"/>
  <c r="CX125" i="4" s="1"/>
  <c r="CX35" i="4"/>
  <c r="CX124" i="4" s="1"/>
  <c r="BZ36" i="4"/>
  <c r="BZ125" i="4" s="1"/>
  <c r="BZ35" i="4"/>
  <c r="BZ124" i="4" s="1"/>
  <c r="BV36" i="4"/>
  <c r="BV125" i="4" s="1"/>
  <c r="BV35" i="4"/>
  <c r="BV124" i="4" s="1"/>
  <c r="CA168" i="4" s="1"/>
  <c r="BH36" i="4"/>
  <c r="BH125" i="4" s="1"/>
  <c r="BH35" i="4"/>
  <c r="BH124" i="4" s="1"/>
  <c r="AT36" i="4"/>
  <c r="AT125" i="4" s="1"/>
  <c r="AT35" i="4"/>
  <c r="AT124" i="4" s="1"/>
  <c r="AP36" i="4"/>
  <c r="AP125" i="4" s="1"/>
  <c r="AP35" i="4"/>
  <c r="AP124" i="4" s="1"/>
  <c r="AL167" i="4"/>
  <c r="AL144" i="4"/>
  <c r="AH167" i="4"/>
  <c r="AH144" i="4"/>
  <c r="V160" i="4"/>
  <c r="V144" i="4"/>
  <c r="R167" i="4"/>
  <c r="U160" i="4"/>
  <c r="R144" i="4"/>
  <c r="N36" i="4"/>
  <c r="N125" i="4" s="1"/>
  <c r="S169" i="4" s="1"/>
  <c r="N35" i="4"/>
  <c r="N124" i="4" s="1"/>
  <c r="S168" i="4" s="1"/>
  <c r="J167" i="4"/>
  <c r="N160" i="4"/>
  <c r="J144" i="4"/>
  <c r="F36" i="4"/>
  <c r="F125" i="4" s="1"/>
  <c r="F136" i="4" s="1"/>
  <c r="F35" i="4"/>
  <c r="F124" i="4" s="1"/>
  <c r="F135" i="4" s="1"/>
  <c r="W121" i="4"/>
  <c r="W79" i="4"/>
  <c r="W49" i="4"/>
  <c r="W174" i="4" s="1"/>
  <c r="X121" i="4"/>
  <c r="X79" i="4"/>
  <c r="X49" i="4"/>
  <c r="X174" i="4" s="1"/>
  <c r="AF162" i="4"/>
  <c r="AF121" i="4"/>
  <c r="AF79" i="4"/>
  <c r="AD8" i="4"/>
  <c r="AB8" i="4"/>
  <c r="AF49" i="4"/>
  <c r="AF174" i="4" s="1"/>
  <c r="AK8" i="4"/>
  <c r="AE8" i="4"/>
  <c r="AC8" i="4"/>
  <c r="G36" i="4"/>
  <c r="G125" i="4" s="1"/>
  <c r="G136" i="4" s="1"/>
  <c r="G35" i="4"/>
  <c r="G124" i="4" s="1"/>
  <c r="G135" i="4" s="1"/>
  <c r="C36" i="4"/>
  <c r="C125" i="4" s="1"/>
  <c r="C136" i="4" s="1"/>
  <c r="C35" i="4"/>
  <c r="C124" i="4" s="1"/>
  <c r="C135" i="4" s="1"/>
  <c r="BQ32" i="4"/>
  <c r="AM136" i="4"/>
  <c r="S135" i="4"/>
  <c r="K136" i="4"/>
  <c r="AR36" i="4"/>
  <c r="AR125" i="4" s="1"/>
  <c r="AR35" i="4"/>
  <c r="AR124" i="4" s="1"/>
  <c r="AN36" i="4"/>
  <c r="AN125" i="4" s="1"/>
  <c r="AS169" i="4" s="1"/>
  <c r="AN35" i="4"/>
  <c r="AN124" i="4" s="1"/>
  <c r="AS168" i="4" s="1"/>
  <c r="AJ36" i="4"/>
  <c r="AJ125" i="4" s="1"/>
  <c r="AJ35" i="4"/>
  <c r="AJ124" i="4" s="1"/>
  <c r="AO168" i="4" s="1"/>
  <c r="AF36" i="4"/>
  <c r="AF125" i="4" s="1"/>
  <c r="AK169" i="4" s="1"/>
  <c r="AF35" i="4"/>
  <c r="AF124" i="4" s="1"/>
  <c r="AK168" i="4" s="1"/>
  <c r="AA144" i="4"/>
  <c r="I160" i="4"/>
  <c r="E144" i="4"/>
  <c r="U135" i="4"/>
  <c r="M136" i="4"/>
  <c r="AU32" i="4"/>
  <c r="AD144" i="4"/>
  <c r="Z36" i="4"/>
  <c r="Z125" i="4" s="1"/>
  <c r="Z35" i="4"/>
  <c r="Z124" i="4" s="1"/>
  <c r="AC144" i="4"/>
  <c r="AK136" i="4"/>
  <c r="AG136" i="4"/>
  <c r="W136" i="4"/>
  <c r="O135" i="4"/>
  <c r="Y160" i="4"/>
  <c r="AG167" i="4"/>
  <c r="Z160" i="4"/>
  <c r="O167" i="4"/>
  <c r="Q167" i="4"/>
  <c r="M160" i="4"/>
  <c r="AM167" i="4"/>
  <c r="W160" i="4"/>
  <c r="CN36" i="4"/>
  <c r="CN125" i="4" s="1"/>
  <c r="CN35" i="4"/>
  <c r="CN124" i="4" s="1"/>
  <c r="CS168" i="4" s="1"/>
  <c r="AB144" i="4"/>
  <c r="X36" i="4"/>
  <c r="X125" i="4" s="1"/>
  <c r="X35" i="4"/>
  <c r="X124" i="4" s="1"/>
  <c r="T36" i="4"/>
  <c r="T125" i="4" s="1"/>
  <c r="T35" i="4"/>
  <c r="T124" i="4" s="1"/>
  <c r="Y168" i="4" s="1"/>
  <c r="P167" i="4"/>
  <c r="T160" i="4"/>
  <c r="P144" i="4"/>
  <c r="L36" i="4"/>
  <c r="L125" i="4" s="1"/>
  <c r="Q169" i="4" s="1"/>
  <c r="L35" i="4"/>
  <c r="L124" i="4" s="1"/>
  <c r="H167" i="4"/>
  <c r="K160" i="4"/>
  <c r="H144" i="4"/>
  <c r="D36" i="4"/>
  <c r="D125" i="4" s="1"/>
  <c r="D136" i="4" s="1"/>
  <c r="D35" i="4"/>
  <c r="D124" i="4" s="1"/>
  <c r="D135" i="4" s="1"/>
  <c r="C137" i="4"/>
  <c r="H170" i="4"/>
  <c r="AE36" i="4"/>
  <c r="AE125" i="4" s="1"/>
  <c r="AE35" i="4"/>
  <c r="AE124" i="4" s="1"/>
  <c r="BD44" i="4"/>
  <c r="BD36" i="4" s="1"/>
  <c r="BD125" i="4" s="1"/>
  <c r="BE130" i="4"/>
  <c r="BE131" i="4" s="1"/>
  <c r="BE139" i="4" s="1"/>
  <c r="BD43" i="4"/>
  <c r="BD35" i="4" s="1"/>
  <c r="BD124" i="4" s="1"/>
  <c r="BD45" i="4"/>
  <c r="AO135" i="4"/>
  <c r="AI135" i="4"/>
  <c r="Y135" i="4"/>
  <c r="Q136" i="4"/>
  <c r="I135" i="4"/>
  <c r="CD36" i="4"/>
  <c r="CD125" i="4" s="1"/>
  <c r="CI169" i="4" s="1"/>
  <c r="CD35" i="4"/>
  <c r="CD124" i="4" s="1"/>
  <c r="CI168" i="4" s="1"/>
  <c r="AP167" i="4"/>
  <c r="AP144" i="4"/>
  <c r="AL36" i="4"/>
  <c r="AL125" i="4" s="1"/>
  <c r="AQ169" i="4" s="1"/>
  <c r="AL35" i="4"/>
  <c r="AL124" i="4" s="1"/>
  <c r="AQ168" i="4" s="1"/>
  <c r="AH36" i="4"/>
  <c r="AH125" i="4" s="1"/>
  <c r="AH35" i="4"/>
  <c r="AH124" i="4" s="1"/>
  <c r="AM168" i="4" s="1"/>
  <c r="V36" i="4"/>
  <c r="V125" i="4" s="1"/>
  <c r="V136" i="4" s="1"/>
  <c r="V35" i="4"/>
  <c r="V124" i="4" s="1"/>
  <c r="V135" i="4" s="1"/>
  <c r="R36" i="4"/>
  <c r="R125" i="4" s="1"/>
  <c r="W169" i="4" s="1"/>
  <c r="R35" i="4"/>
  <c r="R124" i="4" s="1"/>
  <c r="W168" i="4" s="1"/>
  <c r="N167" i="4"/>
  <c r="R160" i="4"/>
  <c r="N144" i="4"/>
  <c r="J36" i="4"/>
  <c r="J125" i="4" s="1"/>
  <c r="O169" i="4" s="1"/>
  <c r="J35" i="4"/>
  <c r="J124" i="4" s="1"/>
  <c r="O168" i="4" s="1"/>
  <c r="J160" i="4"/>
  <c r="F144" i="4"/>
  <c r="Y121" i="4"/>
  <c r="Y79" i="4"/>
  <c r="Y49" i="4"/>
  <c r="Y174" i="4" s="1"/>
  <c r="Z121" i="4"/>
  <c r="Z79" i="4"/>
  <c r="Z49" i="4"/>
  <c r="Z174" i="4" s="1"/>
  <c r="BK130" i="4"/>
  <c r="BK131" i="4" s="1"/>
  <c r="BK139" i="4" s="1"/>
  <c r="G160" i="4"/>
  <c r="G144" i="4"/>
  <c r="F160" i="4"/>
  <c r="E160" i="4"/>
  <c r="C144" i="4"/>
  <c r="AZ44" i="4"/>
  <c r="AM135" i="4"/>
  <c r="S136" i="4"/>
  <c r="K135" i="4"/>
  <c r="AN167" i="4"/>
  <c r="AN144" i="4"/>
  <c r="AJ167" i="4"/>
  <c r="AJ144" i="4"/>
  <c r="AF167" i="4"/>
  <c r="AF144" i="4"/>
  <c r="AA36" i="4"/>
  <c r="AA125" i="4" s="1"/>
  <c r="AA136" i="4" s="1"/>
  <c r="AA35" i="4"/>
  <c r="AA124" i="4" s="1"/>
  <c r="AA135" i="4" s="1"/>
  <c r="E36" i="4"/>
  <c r="E125" i="4" s="1"/>
  <c r="E136" i="4" s="1"/>
  <c r="E35" i="4"/>
  <c r="E124" i="4" s="1"/>
  <c r="E135" i="4" s="1"/>
  <c r="U136" i="4"/>
  <c r="M135" i="4"/>
  <c r="AD36" i="4"/>
  <c r="AD125" i="4" s="1"/>
  <c r="AI169" i="4" s="1"/>
  <c r="AD35" i="4"/>
  <c r="AD124" i="4" s="1"/>
  <c r="AI168" i="4" s="1"/>
  <c r="Z167" i="4"/>
  <c r="Z144" i="4"/>
  <c r="BT19" i="4"/>
  <c r="BT80" i="4" s="1"/>
  <c r="BT98" i="4" s="1"/>
  <c r="AC36" i="4"/>
  <c r="AC125" i="4" s="1"/>
  <c r="AC35" i="4"/>
  <c r="AC124" i="4" s="1"/>
  <c r="AZ43" i="4"/>
  <c r="BL32" i="4"/>
  <c r="BK32" i="4"/>
  <c r="AK135" i="4"/>
  <c r="AG135" i="4"/>
  <c r="W135" i="4"/>
  <c r="O136" i="4"/>
  <c r="U167" i="4"/>
  <c r="P160" i="4"/>
  <c r="W167" i="4"/>
  <c r="S160" i="4"/>
  <c r="AO167" i="4"/>
  <c r="Y167" i="4"/>
  <c r="I167" i="4"/>
  <c r="S167" i="4"/>
  <c r="O160" i="4"/>
  <c r="AP115" i="4" l="1"/>
  <c r="AP127" i="4"/>
  <c r="AP138" i="4" s="1"/>
  <c r="AP134" i="4"/>
  <c r="AO134" i="4"/>
  <c r="AO127" i="4"/>
  <c r="AO138" i="4" s="1"/>
  <c r="AG115" i="4"/>
  <c r="AG118" i="4" s="1"/>
  <c r="AG119" i="4" s="1"/>
  <c r="AG134" i="4"/>
  <c r="AG127" i="4"/>
  <c r="AG138" i="4" s="1"/>
  <c r="AG177" i="4"/>
  <c r="AU115" i="4"/>
  <c r="AU127" i="4"/>
  <c r="AU134" i="4"/>
  <c r="AV134" i="4"/>
  <c r="AV127" i="4"/>
  <c r="AX127" i="4"/>
  <c r="AX134" i="4"/>
  <c r="AK115" i="4"/>
  <c r="AK134" i="4"/>
  <c r="AK127" i="4"/>
  <c r="AO115" i="4"/>
  <c r="AO118" i="4" s="1"/>
  <c r="AO119" i="4" s="1"/>
  <c r="AA115" i="4"/>
  <c r="AA118" i="4" s="1"/>
  <c r="AF116" i="4" s="1"/>
  <c r="AF118" i="4" s="1"/>
  <c r="AA127" i="4"/>
  <c r="AA138" i="4" s="1"/>
  <c r="AA134" i="4"/>
  <c r="AY127" i="4"/>
  <c r="AY134" i="4"/>
  <c r="AI115" i="4"/>
  <c r="AI118" i="4" s="1"/>
  <c r="AI119" i="4" s="1"/>
  <c r="AI98" i="4"/>
  <c r="AM98" i="4"/>
  <c r="AM177" i="4" s="1"/>
  <c r="AA119" i="4"/>
  <c r="AA177" i="4"/>
  <c r="AU177" i="4"/>
  <c r="AP177" i="4"/>
  <c r="AK177" i="4"/>
  <c r="AK138" i="4"/>
  <c r="BM168" i="4"/>
  <c r="AI177" i="4"/>
  <c r="AV177" i="4"/>
  <c r="AV115" i="4"/>
  <c r="AV118" i="4" s="1"/>
  <c r="AV119" i="4" s="1"/>
  <c r="AX177" i="4"/>
  <c r="AX115" i="4"/>
  <c r="AX118" i="4" s="1"/>
  <c r="AX119" i="4" s="1"/>
  <c r="CI180" i="4"/>
  <c r="BY90" i="4"/>
  <c r="BY182" i="4"/>
  <c r="BY64" i="4"/>
  <c r="BY69" i="4" s="1"/>
  <c r="BY76" i="4" s="1"/>
  <c r="CI88" i="4"/>
  <c r="BS115" i="4"/>
  <c r="BS127" i="4"/>
  <c r="BS138" i="4" s="1"/>
  <c r="BT115" i="4"/>
  <c r="BT118" i="4" s="1"/>
  <c r="BT119" i="4" s="1"/>
  <c r="BT127" i="4"/>
  <c r="BT138" i="4" s="1"/>
  <c r="BS134" i="4"/>
  <c r="BT134" i="4"/>
  <c r="BT177" i="4"/>
  <c r="BS177" i="4"/>
  <c r="D24" i="21"/>
  <c r="K169" i="4"/>
  <c r="D21" i="21"/>
  <c r="D27" i="21"/>
  <c r="D25" i="21"/>
  <c r="D26" i="21"/>
  <c r="D23" i="21"/>
  <c r="D22" i="21"/>
  <c r="CX168" i="4"/>
  <c r="CX135" i="4"/>
  <c r="BS176" i="4"/>
  <c r="BS165" i="4"/>
  <c r="BS142" i="4"/>
  <c r="BV139" i="4"/>
  <c r="BX165" i="4"/>
  <c r="BS139" i="4"/>
  <c r="BU139" i="4"/>
  <c r="BW139" i="4"/>
  <c r="CC166" i="4"/>
  <c r="CC143" i="4"/>
  <c r="CC146" i="4"/>
  <c r="CC32" i="4"/>
  <c r="CC161" i="4"/>
  <c r="CN169" i="4"/>
  <c r="CN136" i="4"/>
  <c r="BI136" i="4"/>
  <c r="CX136" i="4"/>
  <c r="CX169" i="4"/>
  <c r="BG135" i="4"/>
  <c r="CS169" i="4"/>
  <c r="CN135" i="4"/>
  <c r="CN168" i="4"/>
  <c r="BI135" i="4"/>
  <c r="BD138" i="4"/>
  <c r="BF138" i="4"/>
  <c r="BG138" i="4"/>
  <c r="BH138" i="4"/>
  <c r="BK137" i="4"/>
  <c r="BP170" i="4"/>
  <c r="C19" i="21"/>
  <c r="C20" i="21" s="1"/>
  <c r="BE137" i="4"/>
  <c r="BJ170" i="4"/>
  <c r="BK170" i="4"/>
  <c r="BK144" i="4"/>
  <c r="BN160" i="4"/>
  <c r="BK167" i="4"/>
  <c r="BM160" i="4"/>
  <c r="BK160" i="4"/>
  <c r="BL167" i="4"/>
  <c r="BL144" i="4"/>
  <c r="BO160" i="4"/>
  <c r="BO144" i="4"/>
  <c r="F31" i="21"/>
  <c r="BT176" i="4"/>
  <c r="BT142" i="4"/>
  <c r="BT139" i="4"/>
  <c r="BT165" i="4"/>
  <c r="BY165" i="4"/>
  <c r="BW166" i="4"/>
  <c r="BR166" i="4"/>
  <c r="BR146" i="4"/>
  <c r="BR143" i="4"/>
  <c r="BJ166" i="4"/>
  <c r="BJ146" i="4"/>
  <c r="BJ143" i="4"/>
  <c r="BJ161" i="4"/>
  <c r="BP166" i="4"/>
  <c r="BP146" i="4"/>
  <c r="BP143" i="4"/>
  <c r="BR161" i="4"/>
  <c r="BU166" i="4"/>
  <c r="BQ161" i="4"/>
  <c r="BE143" i="4"/>
  <c r="BE146" i="4"/>
  <c r="AU144" i="4"/>
  <c r="AU167" i="4"/>
  <c r="BV167" i="4"/>
  <c r="BQ167" i="4"/>
  <c r="BQ144" i="4"/>
  <c r="BO166" i="4"/>
  <c r="BP161" i="4"/>
  <c r="BL160" i="4"/>
  <c r="K168" i="4"/>
  <c r="CD169" i="4"/>
  <c r="CD136" i="4"/>
  <c r="BD135" i="4"/>
  <c r="AR136" i="4"/>
  <c r="AR169" i="4"/>
  <c r="AT136" i="4"/>
  <c r="AT169" i="4"/>
  <c r="BH136" i="4"/>
  <c r="BZ169" i="4"/>
  <c r="BZ136" i="4"/>
  <c r="BF135" i="4"/>
  <c r="BN168" i="4"/>
  <c r="BX135" i="4"/>
  <c r="CB168" i="4"/>
  <c r="CB135" i="4"/>
  <c r="CA136" i="4"/>
  <c r="CD135" i="4"/>
  <c r="CD168" i="4"/>
  <c r="I168" i="4"/>
  <c r="BD136" i="4"/>
  <c r="AR168" i="4"/>
  <c r="AR135" i="4"/>
  <c r="AT168" i="4"/>
  <c r="AT135" i="4"/>
  <c r="BH135" i="4"/>
  <c r="BZ135" i="4"/>
  <c r="BZ168" i="4"/>
  <c r="BF136" i="4"/>
  <c r="BN169" i="4"/>
  <c r="BX136" i="4"/>
  <c r="CB169" i="4"/>
  <c r="CB136" i="4"/>
  <c r="BI169" i="4"/>
  <c r="BM169" i="4"/>
  <c r="CA169" i="4"/>
  <c r="BI168" i="4"/>
  <c r="CA135" i="4"/>
  <c r="H20" i="21"/>
  <c r="H22" i="21"/>
  <c r="H26" i="21"/>
  <c r="H23" i="21"/>
  <c r="H27" i="21"/>
  <c r="H21" i="21"/>
  <c r="H24" i="21"/>
  <c r="H25" i="21"/>
  <c r="J37" i="8"/>
  <c r="I38" i="8"/>
  <c r="I19" i="21" s="1"/>
  <c r="BL36" i="4"/>
  <c r="BL125" i="4" s="1"/>
  <c r="BL35" i="4"/>
  <c r="BL124" i="4" s="1"/>
  <c r="AY43" i="4"/>
  <c r="AY35" i="4" s="1"/>
  <c r="AY124" i="4" s="1"/>
  <c r="J169" i="4"/>
  <c r="J136" i="4"/>
  <c r="R168" i="4"/>
  <c r="R135" i="4"/>
  <c r="AH168" i="4"/>
  <c r="AH135" i="4"/>
  <c r="AL168" i="4"/>
  <c r="AL135" i="4"/>
  <c r="BD130" i="4"/>
  <c r="BD131" i="4" s="1"/>
  <c r="BD139" i="4" s="1"/>
  <c r="BC44" i="4"/>
  <c r="BC36" i="4" s="1"/>
  <c r="BC125" i="4" s="1"/>
  <c r="BH169" i="4" s="1"/>
  <c r="L168" i="4"/>
  <c r="L135" i="4"/>
  <c r="T169" i="4"/>
  <c r="T136" i="4"/>
  <c r="X169" i="4"/>
  <c r="X136" i="4"/>
  <c r="Z169" i="4"/>
  <c r="Z136" i="4"/>
  <c r="AF168" i="4"/>
  <c r="AF135" i="4"/>
  <c r="AJ168" i="4"/>
  <c r="AJ135" i="4"/>
  <c r="AN168" i="4"/>
  <c r="AN135" i="4"/>
  <c r="BQ36" i="4"/>
  <c r="BQ125" i="4" s="1"/>
  <c r="BQ35" i="4"/>
  <c r="BQ124" i="4" s="1"/>
  <c r="AE162" i="4"/>
  <c r="AE121" i="4"/>
  <c r="AE79" i="4"/>
  <c r="AE49" i="4"/>
  <c r="AE174" i="4" s="1"/>
  <c r="AD162" i="4"/>
  <c r="AD121" i="4"/>
  <c r="AD79" i="4"/>
  <c r="AD49" i="4"/>
  <c r="AD174" i="4" s="1"/>
  <c r="N169" i="4"/>
  <c r="N136" i="4"/>
  <c r="AP168" i="4"/>
  <c r="AP135" i="4"/>
  <c r="BO36" i="4"/>
  <c r="BO125" i="4" s="1"/>
  <c r="BO35" i="4"/>
  <c r="BO124" i="4" s="1"/>
  <c r="H168" i="4"/>
  <c r="H135" i="4"/>
  <c r="P169" i="4"/>
  <c r="P136" i="4"/>
  <c r="BK36" i="4"/>
  <c r="BK125" i="4" s="1"/>
  <c r="BK35" i="4"/>
  <c r="BK124" i="4" s="1"/>
  <c r="BR32" i="4"/>
  <c r="BJ32" i="4"/>
  <c r="BJ35" i="4" s="1"/>
  <c r="AY44" i="4"/>
  <c r="AY36" i="4" s="1"/>
  <c r="AY125" i="4" s="1"/>
  <c r="BP32" i="4"/>
  <c r="BP160" i="4"/>
  <c r="J168" i="4"/>
  <c r="J135" i="4"/>
  <c r="R169" i="4"/>
  <c r="R136" i="4"/>
  <c r="AH169" i="4"/>
  <c r="AH136" i="4"/>
  <c r="AL169" i="4"/>
  <c r="AL136" i="4"/>
  <c r="BC43" i="4"/>
  <c r="BC35" i="4" s="1"/>
  <c r="BC124" i="4" s="1"/>
  <c r="BC45" i="4"/>
  <c r="BC138" i="4" s="1"/>
  <c r="L169" i="4"/>
  <c r="L136" i="4"/>
  <c r="T168" i="4"/>
  <c r="T135" i="4"/>
  <c r="X168" i="4"/>
  <c r="X135" i="4"/>
  <c r="BE32" i="4"/>
  <c r="BR119" i="4"/>
  <c r="BS118" i="4"/>
  <c r="BS119" i="4" s="1"/>
  <c r="Z168" i="4"/>
  <c r="Z135" i="4"/>
  <c r="AF169" i="4"/>
  <c r="AF136" i="4"/>
  <c r="AJ169" i="4"/>
  <c r="AJ136" i="4"/>
  <c r="AN169" i="4"/>
  <c r="AN136" i="4"/>
  <c r="AZ32" i="4"/>
  <c r="AC162" i="4"/>
  <c r="AC121" i="4"/>
  <c r="AC79" i="4"/>
  <c r="AC49" i="4"/>
  <c r="AC174" i="4" s="1"/>
  <c r="AK162" i="4"/>
  <c r="AK121" i="4"/>
  <c r="AK79" i="4"/>
  <c r="AK49" i="4"/>
  <c r="AK174" i="4" s="1"/>
  <c r="AP8" i="4"/>
  <c r="AJ8" i="4"/>
  <c r="AH8" i="4"/>
  <c r="AI8" i="4"/>
  <c r="AG8" i="4"/>
  <c r="AB162" i="4"/>
  <c r="AB121" i="4"/>
  <c r="AB79" i="4"/>
  <c r="AB49" i="4"/>
  <c r="AB174" i="4" s="1"/>
  <c r="N168" i="4"/>
  <c r="N135" i="4"/>
  <c r="AP169" i="4"/>
  <c r="AP136" i="4"/>
  <c r="H169" i="4"/>
  <c r="H136" i="4"/>
  <c r="P168" i="4"/>
  <c r="P135" i="4"/>
  <c r="AM169" i="4"/>
  <c r="I169" i="4"/>
  <c r="Q168" i="4"/>
  <c r="Y169" i="4"/>
  <c r="AO169" i="4"/>
  <c r="AM115" i="4" l="1"/>
  <c r="AM118" i="4" s="1"/>
  <c r="AM119" i="4" s="1"/>
  <c r="AM134" i="4"/>
  <c r="AM127" i="4"/>
  <c r="AM138" i="4" s="1"/>
  <c r="AI127" i="4"/>
  <c r="AI138" i="4" s="1"/>
  <c r="AI134" i="4"/>
  <c r="AF119" i="4"/>
  <c r="AK116" i="4"/>
  <c r="AK118" i="4" s="1"/>
  <c r="CN88" i="4"/>
  <c r="CN180" i="4"/>
  <c r="BX127" i="4"/>
  <c r="BX138" i="4" s="1"/>
  <c r="BX177" i="4"/>
  <c r="BY177" i="4"/>
  <c r="BY127" i="4"/>
  <c r="BY138" i="4" s="1"/>
  <c r="E30" i="28"/>
  <c r="C30" i="8"/>
  <c r="BV138" i="4"/>
  <c r="BU138" i="4"/>
  <c r="BW138" i="4"/>
  <c r="C27" i="21"/>
  <c r="C25" i="21"/>
  <c r="BV161" i="4"/>
  <c r="C24" i="21"/>
  <c r="C21" i="21"/>
  <c r="BN136" i="4"/>
  <c r="C26" i="21"/>
  <c r="C23" i="21"/>
  <c r="C22" i="21"/>
  <c r="CC144" i="4"/>
  <c r="CC167" i="4"/>
  <c r="CC160" i="4"/>
  <c r="CC35" i="4"/>
  <c r="CC124" i="4" s="1"/>
  <c r="CC36" i="4"/>
  <c r="CC125" i="4" s="1"/>
  <c r="BM135" i="4"/>
  <c r="BM136" i="4"/>
  <c r="BN135" i="4"/>
  <c r="BJ160" i="4"/>
  <c r="BJ144" i="4"/>
  <c r="BJ167" i="4"/>
  <c r="BR144" i="4"/>
  <c r="BR167" i="4"/>
  <c r="BW167" i="4"/>
  <c r="BO167" i="4"/>
  <c r="BE144" i="4"/>
  <c r="BP144" i="4"/>
  <c r="BP167" i="4"/>
  <c r="BR160" i="4"/>
  <c r="BU167" i="4"/>
  <c r="BQ160" i="4"/>
  <c r="BS143" i="4"/>
  <c r="BS166" i="4"/>
  <c r="BW161" i="4"/>
  <c r="BS146" i="4"/>
  <c r="BX166" i="4"/>
  <c r="BY166" i="4"/>
  <c r="BT166" i="4"/>
  <c r="BT146" i="4"/>
  <c r="BT143" i="4"/>
  <c r="BT161" i="4"/>
  <c r="BU161" i="4"/>
  <c r="BS161" i="4"/>
  <c r="BC135" i="4"/>
  <c r="BK136" i="4"/>
  <c r="BK169" i="4"/>
  <c r="BO135" i="4"/>
  <c r="BQ169" i="4"/>
  <c r="BD137" i="4"/>
  <c r="BI170" i="4"/>
  <c r="BL135" i="4"/>
  <c r="BL168" i="4"/>
  <c r="BV169" i="4"/>
  <c r="AY169" i="4"/>
  <c r="AY136" i="4"/>
  <c r="BK168" i="4"/>
  <c r="BK135" i="4"/>
  <c r="BO136" i="4"/>
  <c r="BQ168" i="4"/>
  <c r="BC136" i="4"/>
  <c r="AY135" i="4"/>
  <c r="AY168" i="4"/>
  <c r="BL169" i="4"/>
  <c r="BL136" i="4"/>
  <c r="BV168" i="4"/>
  <c r="BH168" i="4"/>
  <c r="BD169" i="4"/>
  <c r="BD168" i="4"/>
  <c r="J38" i="8"/>
  <c r="J19" i="21" s="1"/>
  <c r="K37" i="8"/>
  <c r="I25" i="21"/>
  <c r="I27" i="21"/>
  <c r="I21" i="21"/>
  <c r="I23" i="21"/>
  <c r="I24" i="21"/>
  <c r="I26" i="21"/>
  <c r="I20" i="21"/>
  <c r="I22" i="21"/>
  <c r="AG162" i="4"/>
  <c r="AG121" i="4"/>
  <c r="AG79" i="4"/>
  <c r="AG49" i="4"/>
  <c r="AG174" i="4" s="1"/>
  <c r="AH162" i="4"/>
  <c r="AH121" i="4"/>
  <c r="AH79" i="4"/>
  <c r="AH49" i="4"/>
  <c r="AH174" i="4" s="1"/>
  <c r="AP162" i="4"/>
  <c r="AP121" i="4"/>
  <c r="AP79" i="4"/>
  <c r="AP49" i="4"/>
  <c r="AP174" i="4" s="1"/>
  <c r="AN8" i="4"/>
  <c r="AL8" i="4"/>
  <c r="AU8" i="4"/>
  <c r="AU162" i="4" s="1"/>
  <c r="AO8" i="4"/>
  <c r="AM8" i="4"/>
  <c r="AZ36" i="4"/>
  <c r="AZ125" i="4" s="1"/>
  <c r="AZ136" i="4" s="1"/>
  <c r="AZ35" i="4"/>
  <c r="AZ124" i="4" s="1"/>
  <c r="AZ135" i="4" s="1"/>
  <c r="BB43" i="4"/>
  <c r="BB35" i="4" s="1"/>
  <c r="BB124" i="4" s="1"/>
  <c r="BB45" i="4"/>
  <c r="BB138" i="4" s="1"/>
  <c r="AX44" i="4"/>
  <c r="AX36" i="4" s="1"/>
  <c r="AX125" i="4" s="1"/>
  <c r="BJ36" i="4"/>
  <c r="BJ125" i="4" s="1"/>
  <c r="BJ124" i="4"/>
  <c r="BS32" i="4"/>
  <c r="BV160" i="4"/>
  <c r="BB44" i="4"/>
  <c r="BB36" i="4" s="1"/>
  <c r="BB125" i="4" s="1"/>
  <c r="AI162" i="4"/>
  <c r="AI121" i="4"/>
  <c r="AI79" i="4"/>
  <c r="AI49" i="4"/>
  <c r="AI174" i="4" s="1"/>
  <c r="AJ162" i="4"/>
  <c r="AJ121" i="4"/>
  <c r="AJ79" i="4"/>
  <c r="AJ49" i="4"/>
  <c r="AJ174" i="4" s="1"/>
  <c r="BE36" i="4"/>
  <c r="BE125" i="4" s="1"/>
  <c r="BE35" i="4"/>
  <c r="BE124" i="4" s="1"/>
  <c r="BC130" i="4"/>
  <c r="BC131" i="4" s="1"/>
  <c r="BC139" i="4" s="1"/>
  <c r="BP36" i="4"/>
  <c r="BP125" i="4" s="1"/>
  <c r="BQ136" i="4" s="1"/>
  <c r="BP35" i="4"/>
  <c r="BP124" i="4" s="1"/>
  <c r="BQ135" i="4" s="1"/>
  <c r="AZ45" i="4"/>
  <c r="BR36" i="4"/>
  <c r="BR125" i="4" s="1"/>
  <c r="BR35" i="4"/>
  <c r="BR124" i="4" s="1"/>
  <c r="BT32" i="4"/>
  <c r="AX43" i="4"/>
  <c r="AX35" i="4" s="1"/>
  <c r="AX124" i="4" s="1"/>
  <c r="AK119" i="4" l="1"/>
  <c r="AP116" i="4"/>
  <c r="AP118" i="4" s="1"/>
  <c r="CS88" i="4"/>
  <c r="CS180" i="4"/>
  <c r="CC168" i="4"/>
  <c r="CC135" i="4"/>
  <c r="CC169" i="4"/>
  <c r="CC136" i="4"/>
  <c r="BS160" i="4"/>
  <c r="BU160" i="4"/>
  <c r="BY167" i="4"/>
  <c r="BT160" i="4"/>
  <c r="BT144" i="4"/>
  <c r="BT167" i="4"/>
  <c r="BS167" i="4"/>
  <c r="BW160" i="4"/>
  <c r="BS144" i="4"/>
  <c r="BX167" i="4"/>
  <c r="AX168" i="4"/>
  <c r="AX135" i="4"/>
  <c r="BR169" i="4"/>
  <c r="BR136" i="4"/>
  <c r="BW169" i="4"/>
  <c r="BP136" i="4"/>
  <c r="BP169" i="4"/>
  <c r="BU169" i="4"/>
  <c r="BE136" i="4"/>
  <c r="BE169" i="4"/>
  <c r="BJ168" i="4"/>
  <c r="BJ135" i="4"/>
  <c r="AX136" i="4"/>
  <c r="AX169" i="4"/>
  <c r="BB135" i="4"/>
  <c r="BG168" i="4"/>
  <c r="BO168" i="4"/>
  <c r="BC168" i="4"/>
  <c r="BR168" i="4"/>
  <c r="BR135" i="4"/>
  <c r="BW168" i="4"/>
  <c r="BP168" i="4"/>
  <c r="BP135" i="4"/>
  <c r="BU168" i="4"/>
  <c r="BC137" i="4"/>
  <c r="BH170" i="4"/>
  <c r="BE135" i="4"/>
  <c r="BE168" i="4"/>
  <c r="BB136" i="4"/>
  <c r="BG169" i="4"/>
  <c r="BJ136" i="4"/>
  <c r="BJ169" i="4"/>
  <c r="BC169" i="4"/>
  <c r="BO169" i="4"/>
  <c r="K38" i="8"/>
  <c r="K19" i="21" s="1"/>
  <c r="L37" i="8"/>
  <c r="J23" i="21"/>
  <c r="J21" i="21"/>
  <c r="J27" i="21"/>
  <c r="J25" i="21"/>
  <c r="J24" i="21"/>
  <c r="J22" i="21"/>
  <c r="J20" i="21"/>
  <c r="J26" i="21"/>
  <c r="AY45" i="4"/>
  <c r="AY138" i="4" s="1"/>
  <c r="BA44" i="4"/>
  <c r="BA36" i="4" s="1"/>
  <c r="BA125" i="4" s="1"/>
  <c r="BS36" i="4"/>
  <c r="BS125" i="4" s="1"/>
  <c r="BS35" i="4"/>
  <c r="BS124" i="4" s="1"/>
  <c r="AW44" i="4"/>
  <c r="AW36" i="4" s="1"/>
  <c r="AW125" i="4" s="1"/>
  <c r="BA43" i="4"/>
  <c r="BA35" i="4" s="1"/>
  <c r="BA124" i="4" s="1"/>
  <c r="BA45" i="4"/>
  <c r="BA138" i="4" s="1"/>
  <c r="AM162" i="4"/>
  <c r="AM121" i="4"/>
  <c r="AM79" i="4"/>
  <c r="AM49" i="4"/>
  <c r="AM174" i="4" s="1"/>
  <c r="AU121" i="4"/>
  <c r="AU79" i="4"/>
  <c r="AU49" i="4"/>
  <c r="AU174" i="4" s="1"/>
  <c r="AZ162" i="4"/>
  <c r="AT8" i="4"/>
  <c r="AT162" i="4" s="1"/>
  <c r="AR8" i="4"/>
  <c r="AR162" i="4" s="1"/>
  <c r="AS8" i="4"/>
  <c r="AS162" i="4" s="1"/>
  <c r="AQ8" i="4"/>
  <c r="AQ162" i="4" s="1"/>
  <c r="AN162" i="4"/>
  <c r="AN121" i="4"/>
  <c r="AN79" i="4"/>
  <c r="AN49" i="4"/>
  <c r="AN174" i="4" s="1"/>
  <c r="AW43" i="4"/>
  <c r="AW35" i="4" s="1"/>
  <c r="AW124" i="4" s="1"/>
  <c r="BT36" i="4"/>
  <c r="BT125" i="4" s="1"/>
  <c r="BT35" i="4"/>
  <c r="BT124" i="4" s="1"/>
  <c r="AZ130" i="4"/>
  <c r="AZ131" i="4" s="1"/>
  <c r="AZ139" i="4" s="1"/>
  <c r="BB130" i="4"/>
  <c r="BB131" i="4" s="1"/>
  <c r="BB139" i="4" s="1"/>
  <c r="AO162" i="4"/>
  <c r="AO121" i="4"/>
  <c r="AO79" i="4"/>
  <c r="AO49" i="4"/>
  <c r="AO174" i="4" s="1"/>
  <c r="AL162" i="4"/>
  <c r="AL121" i="4"/>
  <c r="AL79" i="4"/>
  <c r="AL49" i="4"/>
  <c r="AL174" i="4" s="1"/>
  <c r="AP119" i="4" l="1"/>
  <c r="AU116" i="4"/>
  <c r="AU118" i="4" s="1"/>
  <c r="AU119" i="4" s="1"/>
  <c r="BE170" i="4"/>
  <c r="BT136" i="4"/>
  <c r="BT169" i="4"/>
  <c r="BY169" i="4"/>
  <c r="BS168" i="4"/>
  <c r="BS135" i="4"/>
  <c r="BU135" i="4"/>
  <c r="BX168" i="4"/>
  <c r="BV135" i="4"/>
  <c r="BW135" i="4"/>
  <c r="BA136" i="4"/>
  <c r="BF169" i="4"/>
  <c r="BB137" i="4"/>
  <c r="BG170" i="4"/>
  <c r="BT168" i="4"/>
  <c r="BT135" i="4"/>
  <c r="BY168" i="4"/>
  <c r="AW135" i="4"/>
  <c r="AW168" i="4"/>
  <c r="BA135" i="4"/>
  <c r="BF168" i="4"/>
  <c r="AW169" i="4"/>
  <c r="AW136" i="4"/>
  <c r="BS169" i="4"/>
  <c r="BS136" i="4"/>
  <c r="BU136" i="4"/>
  <c r="BV136" i="4"/>
  <c r="BX169" i="4"/>
  <c r="BW136" i="4"/>
  <c r="BB169" i="4"/>
  <c r="BB168" i="4"/>
  <c r="M37" i="8"/>
  <c r="M38" i="8" s="1"/>
  <c r="L38" i="8"/>
  <c r="L19" i="21" s="1"/>
  <c r="K22" i="21"/>
  <c r="K20" i="21"/>
  <c r="K26" i="21"/>
  <c r="K24" i="21"/>
  <c r="K23" i="21"/>
  <c r="K21" i="21"/>
  <c r="K27" i="21"/>
  <c r="K25" i="21"/>
  <c r="AQ121" i="4"/>
  <c r="AQ79" i="4"/>
  <c r="AQ49" i="4"/>
  <c r="AQ174" i="4" s="1"/>
  <c r="AR121" i="4"/>
  <c r="AR79" i="4"/>
  <c r="AR49" i="4"/>
  <c r="AR174" i="4" s="1"/>
  <c r="AZ121" i="4"/>
  <c r="AZ79" i="4"/>
  <c r="AZ49" i="4"/>
  <c r="AZ174" i="4" s="1"/>
  <c r="AX8" i="4"/>
  <c r="AX162" i="4" s="1"/>
  <c r="AV8" i="4"/>
  <c r="AV162" i="4" s="1"/>
  <c r="BE8" i="4"/>
  <c r="BE162" i="4" s="1"/>
  <c r="AY8" i="4"/>
  <c r="AY162" i="4" s="1"/>
  <c r="AW8" i="4"/>
  <c r="AW162" i="4" s="1"/>
  <c r="AX45" i="4"/>
  <c r="AX138" i="4" s="1"/>
  <c r="AU43" i="4"/>
  <c r="AU35" i="4" s="1"/>
  <c r="AU124" i="4" s="1"/>
  <c r="AV43" i="4"/>
  <c r="AV35" i="4" s="1"/>
  <c r="AV124" i="4" s="1"/>
  <c r="AS121" i="4"/>
  <c r="AS79" i="4"/>
  <c r="AS49" i="4"/>
  <c r="AS174" i="4" s="1"/>
  <c r="AT121" i="4"/>
  <c r="AT79" i="4"/>
  <c r="AT49" i="4"/>
  <c r="AT174" i="4" s="1"/>
  <c r="BA130" i="4"/>
  <c r="BA131" i="4" s="1"/>
  <c r="BA139" i="4" s="1"/>
  <c r="AU44" i="4"/>
  <c r="AU36" i="4" s="1"/>
  <c r="AU125" i="4" s="1"/>
  <c r="AV44" i="4"/>
  <c r="AV36" i="4" s="1"/>
  <c r="AV125" i="4" s="1"/>
  <c r="AY130" i="4"/>
  <c r="AY131" i="4" s="1"/>
  <c r="AY139" i="4" s="1"/>
  <c r="CX180" i="4" l="1"/>
  <c r="CX88" i="4"/>
  <c r="AY137" i="4"/>
  <c r="AY170" i="4"/>
  <c r="BD170" i="4"/>
  <c r="AV136" i="4"/>
  <c r="AV169" i="4"/>
  <c r="BA137" i="4"/>
  <c r="BF170" i="4"/>
  <c r="AV168" i="4"/>
  <c r="AV135" i="4"/>
  <c r="BA168" i="4"/>
  <c r="BA169" i="4"/>
  <c r="AU169" i="4"/>
  <c r="AU136" i="4"/>
  <c r="AZ169" i="4"/>
  <c r="AU135" i="4"/>
  <c r="AU168" i="4"/>
  <c r="AZ168" i="4"/>
  <c r="L24" i="21"/>
  <c r="L22" i="21"/>
  <c r="L20" i="21"/>
  <c r="L26" i="21"/>
  <c r="L23" i="21"/>
  <c r="L21" i="21"/>
  <c r="L27" i="21"/>
  <c r="L25" i="21"/>
  <c r="AX130" i="4"/>
  <c r="AX131" i="4" s="1"/>
  <c r="AX139" i="4" s="1"/>
  <c r="AW121" i="4"/>
  <c r="AW79" i="4"/>
  <c r="AW49" i="4"/>
  <c r="AW174" i="4" s="1"/>
  <c r="BE121" i="4"/>
  <c r="BE79" i="4"/>
  <c r="BE49" i="4"/>
  <c r="BE174" i="4" s="1"/>
  <c r="BJ8" i="4"/>
  <c r="BJ162" i="4" s="1"/>
  <c r="BD8" i="4"/>
  <c r="BD162" i="4" s="1"/>
  <c r="BB8" i="4"/>
  <c r="BB162" i="4" s="1"/>
  <c r="BC8" i="4"/>
  <c r="BC162" i="4" s="1"/>
  <c r="BA8" i="4"/>
  <c r="AX121" i="4"/>
  <c r="AX79" i="4"/>
  <c r="AX49" i="4"/>
  <c r="AX174" i="4" s="1"/>
  <c r="AW45" i="4"/>
  <c r="AW138" i="4" s="1"/>
  <c r="AY121" i="4"/>
  <c r="AY79" i="4"/>
  <c r="AY49" i="4"/>
  <c r="AY174" i="4" s="1"/>
  <c r="AV121" i="4"/>
  <c r="AV79" i="4"/>
  <c r="AV49" i="4"/>
  <c r="AV174" i="4" s="1"/>
  <c r="BA49" i="4" l="1"/>
  <c r="BA174" i="4" s="1"/>
  <c r="BA162" i="4"/>
  <c r="AX170" i="4"/>
  <c r="AX137" i="4"/>
  <c r="BC170" i="4"/>
  <c r="AV45" i="4"/>
  <c r="AV138" i="4" s="1"/>
  <c r="BA121" i="4"/>
  <c r="BA79" i="4"/>
  <c r="BB121" i="4"/>
  <c r="BB79" i="4"/>
  <c r="BB49" i="4"/>
  <c r="BB174" i="4" s="1"/>
  <c r="BJ121" i="4"/>
  <c r="BJ79" i="4"/>
  <c r="BJ49" i="4"/>
  <c r="BJ174" i="4" s="1"/>
  <c r="BH8" i="4"/>
  <c r="BH162" i="4" s="1"/>
  <c r="BF8" i="4"/>
  <c r="BF162" i="4" s="1"/>
  <c r="BO8" i="4"/>
  <c r="BO162" i="4" s="1"/>
  <c r="BI8" i="4"/>
  <c r="BI162" i="4" s="1"/>
  <c r="BG8" i="4"/>
  <c r="BG162" i="4" s="1"/>
  <c r="AW130" i="4"/>
  <c r="AW131" i="4" s="1"/>
  <c r="AW139" i="4" s="1"/>
  <c r="BC121" i="4"/>
  <c r="BC79" i="4"/>
  <c r="BC49" i="4"/>
  <c r="BC174" i="4" s="1"/>
  <c r="BD121" i="4"/>
  <c r="BD79" i="4"/>
  <c r="BD49" i="4"/>
  <c r="BD174" i="4" s="1"/>
  <c r="AW137" i="4" l="1"/>
  <c r="AW170" i="4"/>
  <c r="BB170" i="4"/>
  <c r="BI121" i="4"/>
  <c r="BI79" i="4"/>
  <c r="BI49" i="4"/>
  <c r="BI174" i="4" s="1"/>
  <c r="BF121" i="4"/>
  <c r="BF79" i="4"/>
  <c r="BF49" i="4"/>
  <c r="BF174" i="4" s="1"/>
  <c r="AU45" i="4"/>
  <c r="AU138" i="4" s="1"/>
  <c r="BG121" i="4"/>
  <c r="BG79" i="4"/>
  <c r="BG49" i="4"/>
  <c r="BG174" i="4" s="1"/>
  <c r="BO121" i="4"/>
  <c r="BO79" i="4"/>
  <c r="BO49" i="4"/>
  <c r="BO174" i="4" s="1"/>
  <c r="BT8" i="4"/>
  <c r="BN8" i="4"/>
  <c r="BN162" i="4" s="1"/>
  <c r="BL8" i="4"/>
  <c r="BL162" i="4" s="1"/>
  <c r="BM8" i="4"/>
  <c r="BM162" i="4" s="1"/>
  <c r="BK8" i="4"/>
  <c r="BK162" i="4" s="1"/>
  <c r="BH121" i="4"/>
  <c r="BH79" i="4"/>
  <c r="BH49" i="4"/>
  <c r="BH174" i="4" s="1"/>
  <c r="AV130" i="4"/>
  <c r="AV131" i="4" s="1"/>
  <c r="AV139" i="4" s="1"/>
  <c r="BT162" i="4" l="1"/>
  <c r="BY8" i="4"/>
  <c r="BX8" i="4" s="1"/>
  <c r="AV170" i="4"/>
  <c r="AV137" i="4"/>
  <c r="BA170" i="4"/>
  <c r="BM121" i="4"/>
  <c r="BM79" i="4"/>
  <c r="BM49" i="4"/>
  <c r="BM174" i="4" s="1"/>
  <c r="BN121" i="4"/>
  <c r="BN79" i="4"/>
  <c r="BN49" i="4"/>
  <c r="BN174" i="4" s="1"/>
  <c r="AU130" i="4"/>
  <c r="AU131" i="4" s="1"/>
  <c r="AU139" i="4" s="1"/>
  <c r="BK121" i="4"/>
  <c r="BK79" i="4"/>
  <c r="BK49" i="4"/>
  <c r="BK174" i="4" s="1"/>
  <c r="BL121" i="4"/>
  <c r="BL79" i="4"/>
  <c r="BL49" i="4"/>
  <c r="BL174" i="4" s="1"/>
  <c r="BT121" i="4"/>
  <c r="BT79" i="4"/>
  <c r="BT49" i="4"/>
  <c r="BT174" i="4" s="1"/>
  <c r="BR8" i="4"/>
  <c r="BR162" i="4" s="1"/>
  <c r="BP8" i="4"/>
  <c r="BP162" i="4" s="1"/>
  <c r="BS8" i="4"/>
  <c r="BS162" i="4" s="1"/>
  <c r="BQ8" i="4"/>
  <c r="BQ162" i="4" s="1"/>
  <c r="BY162" i="4" l="1"/>
  <c r="AZ170" i="4"/>
  <c r="AU137" i="4"/>
  <c r="AU170" i="4"/>
  <c r="BS121" i="4"/>
  <c r="BS79" i="4"/>
  <c r="BS49" i="4"/>
  <c r="BS174" i="4" s="1"/>
  <c r="BP121" i="4"/>
  <c r="BP79" i="4"/>
  <c r="BP49" i="4"/>
  <c r="BP174" i="4" s="1"/>
  <c r="BQ121" i="4"/>
  <c r="BQ79" i="4"/>
  <c r="BQ49" i="4"/>
  <c r="BQ174" i="4" s="1"/>
  <c r="BY121" i="4"/>
  <c r="BY79" i="4"/>
  <c r="BY49" i="4"/>
  <c r="BY174" i="4" s="1"/>
  <c r="CD8" i="4"/>
  <c r="CD162" i="4" s="1"/>
  <c r="BX162" i="4"/>
  <c r="BV8" i="4"/>
  <c r="BV162" i="4" s="1"/>
  <c r="BW8" i="4"/>
  <c r="BW162" i="4" s="1"/>
  <c r="BU8" i="4"/>
  <c r="BU162" i="4" s="1"/>
  <c r="BR121" i="4"/>
  <c r="BR79" i="4"/>
  <c r="BR49" i="4"/>
  <c r="BR174" i="4" s="1"/>
  <c r="BU121" i="4" l="1"/>
  <c r="BU79" i="4"/>
  <c r="BU49" i="4"/>
  <c r="BU174" i="4" s="1"/>
  <c r="BV121" i="4"/>
  <c r="BV79" i="4"/>
  <c r="BV49" i="4"/>
  <c r="BV174" i="4" s="1"/>
  <c r="CD121" i="4"/>
  <c r="CD79" i="4"/>
  <c r="CD49" i="4"/>
  <c r="CD174" i="4" s="1"/>
  <c r="CB8" i="4"/>
  <c r="CB162" i="4" s="1"/>
  <c r="BZ8" i="4"/>
  <c r="BZ162" i="4" s="1"/>
  <c r="CI8" i="4"/>
  <c r="CI162" i="4" s="1"/>
  <c r="CC8" i="4"/>
  <c r="CC162" i="4" s="1"/>
  <c r="CA8" i="4"/>
  <c r="CA162" i="4" s="1"/>
  <c r="BW121" i="4"/>
  <c r="BW79" i="4"/>
  <c r="BW49" i="4"/>
  <c r="BW174" i="4" s="1"/>
  <c r="BX121" i="4"/>
  <c r="BX79" i="4"/>
  <c r="BX49" i="4"/>
  <c r="BX174" i="4" s="1"/>
  <c r="CC121" i="4" l="1"/>
  <c r="CC79" i="4"/>
  <c r="CC49" i="4"/>
  <c r="CC174" i="4" s="1"/>
  <c r="CA121" i="4"/>
  <c r="CA79" i="4"/>
  <c r="CA49" i="4"/>
  <c r="CA174" i="4" s="1"/>
  <c r="CI121" i="4"/>
  <c r="CI79" i="4"/>
  <c r="CI49" i="4"/>
  <c r="CI174" i="4" s="1"/>
  <c r="CN8" i="4"/>
  <c r="CN162" i="4" s="1"/>
  <c r="CB121" i="4"/>
  <c r="CB79" i="4"/>
  <c r="CB49" i="4"/>
  <c r="CB174" i="4" s="1"/>
  <c r="BZ121" i="4"/>
  <c r="BZ79" i="4"/>
  <c r="BZ49" i="4"/>
  <c r="BZ174" i="4" s="1"/>
  <c r="CN121" i="4" l="1"/>
  <c r="CN79" i="4"/>
  <c r="CN49" i="4"/>
  <c r="CN174" i="4" s="1"/>
  <c r="CS8" i="4"/>
  <c r="CS162" i="4" s="1"/>
  <c r="CS121" i="4" l="1"/>
  <c r="CS79" i="4"/>
  <c r="CS49" i="4"/>
  <c r="CS174" i="4" s="1"/>
  <c r="CX8" i="4"/>
  <c r="CX162" i="4" s="1"/>
  <c r="CX121" i="4" l="1"/>
  <c r="CX79" i="4"/>
  <c r="CX49" i="4"/>
  <c r="CX174" i="4" s="1"/>
  <c r="M119" i="20" l="1"/>
  <c r="CC115" i="4" l="1"/>
  <c r="CC127" i="4"/>
  <c r="CC177" i="4"/>
  <c r="CC134" i="4"/>
  <c r="CC138" i="4" l="1"/>
  <c r="AZ29" i="4" l="1"/>
  <c r="BE167" i="4" s="1"/>
  <c r="AZ161" i="4"/>
  <c r="AZ143" i="4"/>
  <c r="AZ146" i="4"/>
  <c r="AZ166" i="4"/>
  <c r="BE166" i="4"/>
  <c r="AZ144" i="4" l="1"/>
  <c r="AZ167" i="4"/>
  <c r="AZ80" i="4"/>
  <c r="AZ98" i="4" s="1"/>
  <c r="AZ134" i="4" s="1"/>
  <c r="AZ160" i="4"/>
  <c r="AZ115" i="4" l="1"/>
  <c r="AZ118" i="4" s="1"/>
  <c r="AZ119" i="4" s="1"/>
  <c r="AZ127" i="4"/>
  <c r="AZ138" i="4" s="1"/>
  <c r="AZ177" i="4"/>
  <c r="BX104" i="4" l="1"/>
  <c r="BX115" i="4" s="1"/>
  <c r="BX118" i="4" s="1"/>
  <c r="BX134" i="4"/>
  <c r="BY134" i="4"/>
  <c r="BX178" i="4"/>
  <c r="BY178" i="4"/>
  <c r="BY50" i="4" l="1"/>
  <c r="BX159" i="4"/>
  <c r="BX54" i="4"/>
  <c r="F30" i="28"/>
  <c r="D30" i="8"/>
  <c r="BY104" i="4"/>
  <c r="BY115" i="4" s="1"/>
  <c r="BY116" i="4"/>
  <c r="BX119" i="4"/>
  <c r="B48" i="8" l="1"/>
  <c r="B67" i="8"/>
  <c r="B68" i="8" s="1"/>
  <c r="B70" i="8" s="1"/>
  <c r="BX151" i="4"/>
  <c r="BX60" i="4"/>
  <c r="BX150" i="4"/>
  <c r="BY54" i="4"/>
  <c r="CX104" i="4"/>
  <c r="CI104" i="4"/>
  <c r="CI81" i="4"/>
  <c r="CS81" i="4"/>
  <c r="CN81" i="4"/>
  <c r="CD81" i="4"/>
  <c r="CX178" i="4"/>
  <c r="CX81" i="4"/>
  <c r="BY159" i="4" l="1"/>
  <c r="B71" i="8"/>
  <c r="C64" i="8" s="1"/>
  <c r="BX77" i="4"/>
  <c r="BX161" i="4"/>
  <c r="CA161" i="4"/>
  <c r="CB161" i="4"/>
  <c r="BZ161" i="4"/>
  <c r="BY151" i="4"/>
  <c r="BY60" i="4"/>
  <c r="BY150" i="4"/>
  <c r="CS178" i="4"/>
  <c r="CS104" i="4"/>
  <c r="CD104" i="4"/>
  <c r="CD178" i="4"/>
  <c r="CN104" i="4"/>
  <c r="CN178" i="4"/>
  <c r="CI178" i="4"/>
  <c r="BY118" i="4"/>
  <c r="BY119" i="4" s="1"/>
  <c r="N34" i="8" l="1"/>
  <c r="B64" i="8"/>
  <c r="BZ116" i="4"/>
  <c r="BZ118" i="4" s="1"/>
  <c r="CA116" i="4" s="1"/>
  <c r="CA118" i="4" s="1"/>
  <c r="BY77" i="4"/>
  <c r="BY161" i="4"/>
  <c r="K33" i="8" l="1"/>
  <c r="L33" i="8"/>
  <c r="CB116" i="4"/>
  <c r="CB118" i="4" s="1"/>
  <c r="CC116" i="4" s="1"/>
  <c r="CC118" i="4" s="1"/>
  <c r="CD116" i="4" l="1"/>
  <c r="CD64" i="4" l="1"/>
  <c r="CD69" i="4" s="1"/>
  <c r="CD76" i="4" s="1"/>
  <c r="CI61" i="4"/>
  <c r="CI154" i="4" s="1"/>
  <c r="CN61" i="4" l="1"/>
  <c r="CN154" i="4" s="1"/>
  <c r="CD90" i="4"/>
  <c r="CD182" i="4"/>
  <c r="CN64" i="4"/>
  <c r="CN69" i="4" s="1"/>
  <c r="CI64" i="4"/>
  <c r="CI69" i="4" s="1"/>
  <c r="CI90" i="4"/>
  <c r="CI182" i="4"/>
  <c r="CS61" i="4"/>
  <c r="CS154" i="4" s="1"/>
  <c r="CN76" i="4" l="1"/>
  <c r="CI76" i="4"/>
  <c r="CN90" i="4"/>
  <c r="CN182" i="4"/>
  <c r="CX61" i="4"/>
  <c r="CX154" i="4" s="1"/>
  <c r="CS90" i="4" l="1"/>
  <c r="CS64" i="4"/>
  <c r="CS69" i="4" s="1"/>
  <c r="CS182" i="4"/>
  <c r="CS76" i="4" l="1"/>
  <c r="CX64" i="4"/>
  <c r="CX69" i="4" s="1"/>
  <c r="CX90" i="4"/>
  <c r="CX182" i="4"/>
  <c r="CD158" i="4"/>
  <c r="CI158" i="4"/>
  <c r="CN158" i="4"/>
  <c r="CX158" i="4"/>
  <c r="CS158" i="4"/>
  <c r="CN89" i="4"/>
  <c r="CN94" i="4" s="1"/>
  <c r="CN98" i="4" s="1"/>
  <c r="CD89" i="4"/>
  <c r="CD94" i="4" s="1"/>
  <c r="CD98" i="4" s="1"/>
  <c r="CX89" i="4"/>
  <c r="CX76" i="4" l="1"/>
  <c r="CX94" i="4"/>
  <c r="CX98" i="4" s="1"/>
  <c r="CX127" i="4" s="1"/>
  <c r="CX138" i="4" s="1"/>
  <c r="CD127" i="4"/>
  <c r="CD138" i="4" s="1"/>
  <c r="CD177" i="4"/>
  <c r="CD115" i="4"/>
  <c r="CD118" i="4" s="1"/>
  <c r="CD134" i="4"/>
  <c r="CN134" i="4"/>
  <c r="CN177" i="4"/>
  <c r="CN127" i="4"/>
  <c r="CN138" i="4" s="1"/>
  <c r="CN115" i="4"/>
  <c r="CI89" i="4"/>
  <c r="CI94" i="4" s="1"/>
  <c r="CI98" i="4" s="1"/>
  <c r="CS89" i="4"/>
  <c r="CS94" i="4" s="1"/>
  <c r="CS98" i="4" s="1"/>
  <c r="CX134" i="4" l="1"/>
  <c r="CX177" i="4"/>
  <c r="CX115" i="4"/>
  <c r="CI115" i="4"/>
  <c r="CI127" i="4"/>
  <c r="CI138" i="4" s="1"/>
  <c r="CI134" i="4"/>
  <c r="CI177" i="4"/>
  <c r="CD50" i="4"/>
  <c r="CD119" i="4" s="1"/>
  <c r="CI116" i="4"/>
  <c r="K30" i="28"/>
  <c r="I30" i="8"/>
  <c r="E30" i="8"/>
  <c r="E33" i="8" s="1"/>
  <c r="G30" i="28"/>
  <c r="G33" i="28" s="1"/>
  <c r="CS127" i="4"/>
  <c r="CS138" i="4" s="1"/>
  <c r="CS134" i="4"/>
  <c r="CS115" i="4"/>
  <c r="CS177" i="4"/>
  <c r="G30" i="8"/>
  <c r="G33" i="8" s="1"/>
  <c r="I30" i="28"/>
  <c r="I33" i="28" s="1"/>
  <c r="H30" i="28" l="1"/>
  <c r="H33" i="28" s="1"/>
  <c r="F30" i="8"/>
  <c r="F33" i="8" s="1"/>
  <c r="I33" i="8"/>
  <c r="J30" i="8"/>
  <c r="I32" i="8"/>
  <c r="B46" i="8" s="1"/>
  <c r="J30" i="28"/>
  <c r="J33" i="28" s="1"/>
  <c r="H30" i="8"/>
  <c r="H33" i="8" s="1"/>
  <c r="CD54" i="4"/>
  <c r="CD159" i="4"/>
  <c r="K32" i="28"/>
  <c r="D39" i="28" s="1"/>
  <c r="L30" i="28"/>
  <c r="K33" i="28"/>
  <c r="CI118" i="4"/>
  <c r="D38" i="28" l="1"/>
  <c r="D40" i="28" s="1"/>
  <c r="D42" i="28" s="1"/>
  <c r="B45" i="8"/>
  <c r="B47" i="8" s="1"/>
  <c r="B49" i="8" s="1"/>
  <c r="B51" i="8" s="1"/>
  <c r="CN116" i="4"/>
  <c r="CN118" i="4" s="1"/>
  <c r="CI50" i="4"/>
  <c r="CI132" i="4" s="1"/>
  <c r="CD150" i="4"/>
  <c r="CD60" i="4"/>
  <c r="CD151" i="4"/>
  <c r="D44" i="28" l="1"/>
  <c r="C6" i="28"/>
  <c r="CI159" i="4"/>
  <c r="CI54" i="4"/>
  <c r="CI119" i="4"/>
  <c r="CD77" i="4"/>
  <c r="CD161" i="4"/>
  <c r="CN50" i="4"/>
  <c r="CN132" i="4" s="1"/>
  <c r="CS116" i="4"/>
  <c r="CS118" i="4" s="1"/>
  <c r="CS50" i="4" l="1"/>
  <c r="CX116" i="4"/>
  <c r="CX118" i="4" s="1"/>
  <c r="CN159" i="4"/>
  <c r="CN54" i="4"/>
  <c r="CI60" i="4"/>
  <c r="CI150" i="4"/>
  <c r="CI151" i="4"/>
  <c r="CN119" i="4"/>
  <c r="CS119" i="4" l="1"/>
  <c r="CS132" i="4"/>
  <c r="CS159" i="4" s="1"/>
  <c r="CX50" i="4"/>
  <c r="CX132" i="4" s="1"/>
  <c r="CI77" i="4"/>
  <c r="CI161" i="4"/>
  <c r="CS54" i="4"/>
  <c r="CN150" i="4"/>
  <c r="CN60" i="4"/>
  <c r="CN161" i="4" s="1"/>
  <c r="CN151" i="4"/>
  <c r="CS151" i="4" l="1"/>
  <c r="CS60" i="4"/>
  <c r="CS161" i="4" s="1"/>
  <c r="CS150" i="4"/>
  <c r="CX159" i="4"/>
  <c r="CX54" i="4"/>
  <c r="CN77" i="4"/>
  <c r="CX119" i="4"/>
  <c r="CS77" i="4" l="1"/>
  <c r="CX151" i="4"/>
  <c r="CX60" i="4"/>
  <c r="CX77" i="4" s="1"/>
  <c r="CX150" i="4"/>
  <c r="CX161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tc={A1C91BFC-4269-1F4F-BD8D-6D64EB775B93}</author>
  </authors>
  <commentList>
    <comment ref="B117" authorId="0" shapeId="0" xr:uid="{A1C91BFC-4269-1F4F-BD8D-6D64EB775B93}">
      <text>
        <t>[Threaded comment]
Your version of Excel allows you to read this threaded comment; however, any edits to it will get removed if the file is opened in a newer version of Excel. Learn more: https://go.microsoft.com/fwlink/?linkid=870924
Comment:
    Netting out restricted cash in AR and other assets</t>
      </text>
    </comment>
  </commentList>
</comments>
</file>

<file path=xl/sharedStrings.xml><?xml version="1.0" encoding="utf-8"?>
<sst xmlns="http://schemas.openxmlformats.org/spreadsheetml/2006/main" count="700" uniqueCount="464">
  <si>
    <t>Chapter 1: Analysis</t>
  </si>
  <si>
    <t>Company</t>
  </si>
  <si>
    <t>Year end</t>
  </si>
  <si>
    <t>Analyst</t>
  </si>
  <si>
    <t>Update Date</t>
  </si>
  <si>
    <t>Currency</t>
  </si>
  <si>
    <t>USD</t>
  </si>
  <si>
    <t>Units</t>
  </si>
  <si>
    <t>Millions (Except Per Share Data)</t>
  </si>
  <si>
    <t>S.No</t>
  </si>
  <si>
    <t>Income Statement</t>
  </si>
  <si>
    <t>Sales/Revenue/Turnover</t>
  </si>
  <si>
    <t>Cost of Sales</t>
  </si>
  <si>
    <t>Gross Profit</t>
  </si>
  <si>
    <t>Sales &amp; Marketing Expenses</t>
  </si>
  <si>
    <t>Fulfilment</t>
  </si>
  <si>
    <t>Technology and Content</t>
  </si>
  <si>
    <t>Other Expenses</t>
  </si>
  <si>
    <t>Operating Expenses</t>
  </si>
  <si>
    <t>Other Income (from operations)</t>
  </si>
  <si>
    <t>EBITDA</t>
  </si>
  <si>
    <t>Depreciation</t>
  </si>
  <si>
    <t>Amortization</t>
  </si>
  <si>
    <t>Depreciation &amp; Amrotization</t>
  </si>
  <si>
    <t>EBIT (Operating Income)</t>
  </si>
  <si>
    <t xml:space="preserve">Interest Income </t>
  </si>
  <si>
    <t>Interest Expense</t>
  </si>
  <si>
    <t>Other Income (Expense)</t>
  </si>
  <si>
    <t>Benefit (Provision) for Income Taxes</t>
  </si>
  <si>
    <t>Investment Activity, Net of Taxes</t>
  </si>
  <si>
    <t>Net Income (Loss)</t>
  </si>
  <si>
    <t>Minority Interest</t>
  </si>
  <si>
    <t>Income attributable to common shareholders</t>
  </si>
  <si>
    <t>Basic EPS</t>
  </si>
  <si>
    <t>Diluted EPS</t>
  </si>
  <si>
    <t>EPS - memo - Basic (exclu Extra Inc)</t>
  </si>
  <si>
    <t>EPS - memo - Diluted(exclu Extra Inc)</t>
  </si>
  <si>
    <t>Weighted-Average Basic Shares</t>
  </si>
  <si>
    <t>Weighted-Average Diluted Shares</t>
  </si>
  <si>
    <t>Year end Shares</t>
  </si>
  <si>
    <t>Adjustment Factors for Splits and Bonus - Basic</t>
  </si>
  <si>
    <t>Adjustment Factors for Splits and Bonus - Diluted</t>
  </si>
  <si>
    <t>Adjusted Average weighted common Shares - Basic</t>
  </si>
  <si>
    <t>Adjusted Average weighted common Shares - Diluted</t>
  </si>
  <si>
    <t>Adjusted Year end Shares</t>
  </si>
  <si>
    <t>Year End Price (Actual)</t>
  </si>
  <si>
    <t>Year End Price (Adj)</t>
  </si>
  <si>
    <t>Balance Sheet</t>
  </si>
  <si>
    <t>Cash and Cash Equivalents</t>
  </si>
  <si>
    <t xml:space="preserve">Marketable Securities </t>
  </si>
  <si>
    <t>Inventories</t>
  </si>
  <si>
    <t>Accounts Receivables, Net and Others</t>
  </si>
  <si>
    <t>Total Current Assets</t>
  </si>
  <si>
    <t>Property, Plant, &amp; Equipment</t>
  </si>
  <si>
    <t>Operating Leases</t>
  </si>
  <si>
    <t>Goodwill</t>
  </si>
  <si>
    <t>Other Non Current Assets</t>
  </si>
  <si>
    <t>Total Non Current Assets</t>
  </si>
  <si>
    <t>Total Assets</t>
  </si>
  <si>
    <t>Accounts Payable</t>
  </si>
  <si>
    <t>Accrued Expenses</t>
  </si>
  <si>
    <t>Unearned Revenue</t>
  </si>
  <si>
    <t>Total Current Liabilities</t>
  </si>
  <si>
    <t>Long-Term Lease Liabilities</t>
  </si>
  <si>
    <t>Long-Term Debt</t>
  </si>
  <si>
    <t>Other Non-Current Liabilities</t>
  </si>
  <si>
    <t>Total Liabilities</t>
  </si>
  <si>
    <t>Outstanding Shares</t>
  </si>
  <si>
    <t>Treasury Stock, At Cost</t>
  </si>
  <si>
    <t>Additional Paid-In Capital</t>
  </si>
  <si>
    <t>Accumulated Income (Loss)</t>
  </si>
  <si>
    <t>Retained Earnings</t>
  </si>
  <si>
    <t>Total Shareholder Equity</t>
  </si>
  <si>
    <t>Total Liabilities and Shareholders Equity</t>
  </si>
  <si>
    <t>Check - Balancesheet Tally</t>
  </si>
  <si>
    <t>Cashflow Statement</t>
  </si>
  <si>
    <t>Net income</t>
  </si>
  <si>
    <t>Depreciation, Amortization, &amp; other</t>
  </si>
  <si>
    <t>Stock-based Compensation</t>
  </si>
  <si>
    <t>Other Operating Expense (Income), Net</t>
  </si>
  <si>
    <t>Other Expense (income), Net</t>
  </si>
  <si>
    <t>Deferred Income Taxes</t>
  </si>
  <si>
    <t>Change in Inventories</t>
  </si>
  <si>
    <t>Changes in Receivables</t>
  </si>
  <si>
    <t>Changes in Payables</t>
  </si>
  <si>
    <t>Accrued Expenses and Others</t>
  </si>
  <si>
    <t>Net Working Capital Changes</t>
  </si>
  <si>
    <t>Interest Paid</t>
  </si>
  <si>
    <t>Taxes Paid</t>
  </si>
  <si>
    <t>Other Cash Reciepts &amp; Payments</t>
  </si>
  <si>
    <t>Cash flow from Operations</t>
  </si>
  <si>
    <t>Purchase of Property and Equipment</t>
  </si>
  <si>
    <t>Proceeds from Sales of Property &amp; equipment</t>
  </si>
  <si>
    <t>Acquisitions, Net of Cash Acquired &amp; Other</t>
  </si>
  <si>
    <t>Sales and Maturities of Marketable Securities</t>
  </si>
  <si>
    <t>Purchases of Marketable Securities</t>
  </si>
  <si>
    <t>Cash flow from Investing Activities</t>
  </si>
  <si>
    <t>Common Stock Repurchased</t>
  </si>
  <si>
    <t>Proceeds from Short-Term Debts and Others</t>
  </si>
  <si>
    <t>Repayments of Short-Term Debts and Others</t>
  </si>
  <si>
    <t>Proceeds from Long-Term Debts and Others</t>
  </si>
  <si>
    <t>Repayments of Long-Term Debts and Others</t>
  </si>
  <si>
    <t>Principal Repayments of Finance Leases</t>
  </si>
  <si>
    <t>Principal Repayments of Financing Obligations</t>
  </si>
  <si>
    <t>Cash flow from Financing  Activities</t>
  </si>
  <si>
    <t xml:space="preserve">Foreign Currency Effect on Cash &amp; Cash Equivalents </t>
  </si>
  <si>
    <t>Net Change in Cashduring year</t>
  </si>
  <si>
    <t>Cash at the beginning of Year</t>
  </si>
  <si>
    <t>Other adjustments</t>
  </si>
  <si>
    <t>Cash at the end of year</t>
  </si>
  <si>
    <t>Check - Tally Cash with BS cash</t>
  </si>
  <si>
    <t>Indicators/Ratios</t>
  </si>
  <si>
    <t>EPS - Reported - Basic</t>
  </si>
  <si>
    <t>EPS - Reported - Diluted</t>
  </si>
  <si>
    <t>EPS - memo - Diluted (exclu Extra Inc)</t>
  </si>
  <si>
    <t>BV Per share</t>
  </si>
  <si>
    <t>Cashflow Per share</t>
  </si>
  <si>
    <t>Dividend per Share - Actual</t>
  </si>
  <si>
    <t>Dividend per Share - Adj.</t>
  </si>
  <si>
    <t>Year End Market Cap</t>
  </si>
  <si>
    <t>Enterprise Value</t>
  </si>
  <si>
    <t>Net Debt</t>
  </si>
  <si>
    <t>Capex (Net)</t>
  </si>
  <si>
    <t>Free Cash Flow</t>
  </si>
  <si>
    <t>Price to Earning  - Basic</t>
  </si>
  <si>
    <t>Price to Earning  - Diluted</t>
  </si>
  <si>
    <t>Price to Book Value</t>
  </si>
  <si>
    <t>Price to Cashflow</t>
  </si>
  <si>
    <t>EV/EBITDA</t>
  </si>
  <si>
    <t>Gross Profit Margin</t>
  </si>
  <si>
    <t>EBITDA Margin</t>
  </si>
  <si>
    <t>EBIT Margin</t>
  </si>
  <si>
    <t>Net Profit Margin</t>
  </si>
  <si>
    <t>Income Tax Rate</t>
  </si>
  <si>
    <t>Interest Coverage Ratio</t>
  </si>
  <si>
    <t>Cost of Debt</t>
  </si>
  <si>
    <t>Current Ratio</t>
  </si>
  <si>
    <t>Quick Ratio</t>
  </si>
  <si>
    <t>Recievable Turnover Ratio</t>
  </si>
  <si>
    <t>Inventory turnover Ratio</t>
  </si>
  <si>
    <t>Payable Ratio</t>
  </si>
  <si>
    <t>Cash Conversion Cycle</t>
  </si>
  <si>
    <t>Net Debt/ Equity</t>
  </si>
  <si>
    <t>Return on Equity(ROE)</t>
  </si>
  <si>
    <t>Return on Capital(ROC)</t>
  </si>
  <si>
    <t>Growth</t>
  </si>
  <si>
    <t>Sales growth (YOY)</t>
  </si>
  <si>
    <t>NA</t>
  </si>
  <si>
    <t>Gross Profit Growth (YOY)</t>
  </si>
  <si>
    <t>EBITDA growth (YOY)</t>
  </si>
  <si>
    <t>EBIT Growth (YOY)</t>
  </si>
  <si>
    <t>Net income Growth (YOY)</t>
  </si>
  <si>
    <t>EPS Basic Growth (YOY)</t>
  </si>
  <si>
    <t>EPS Diluted Growth (YOY)</t>
  </si>
  <si>
    <t>BVPS Growth (YOY)</t>
  </si>
  <si>
    <t>Yearly Price Change (YOY)</t>
  </si>
  <si>
    <t>Depreciation Rate</t>
  </si>
  <si>
    <t>Summary</t>
  </si>
  <si>
    <t>Revenue</t>
  </si>
  <si>
    <t xml:space="preserve">Cash flow from operations </t>
  </si>
  <si>
    <t>Capex</t>
  </si>
  <si>
    <t xml:space="preserve">Dividends </t>
  </si>
  <si>
    <t>Inventory</t>
  </si>
  <si>
    <t>Receivables</t>
  </si>
  <si>
    <t>Payables</t>
  </si>
  <si>
    <t>Sales Breakdown</t>
  </si>
  <si>
    <t>Year</t>
  </si>
  <si>
    <t>Split into:</t>
  </si>
  <si>
    <t>Online Stores</t>
  </si>
  <si>
    <t>Physical Stores</t>
  </si>
  <si>
    <t>Seller Services</t>
  </si>
  <si>
    <t>Subscription Services</t>
  </si>
  <si>
    <t>Advertising Services</t>
  </si>
  <si>
    <t>AWS</t>
  </si>
  <si>
    <t>Others</t>
  </si>
  <si>
    <t>Total:</t>
  </si>
  <si>
    <t>DCF</t>
  </si>
  <si>
    <t>Revenues</t>
  </si>
  <si>
    <t>YOY Growth %</t>
  </si>
  <si>
    <t>COS</t>
  </si>
  <si>
    <t>Gross profit Margin %</t>
  </si>
  <si>
    <t xml:space="preserve">Gross profit </t>
  </si>
  <si>
    <t>SGA - Calculated</t>
  </si>
  <si>
    <t>SGA as %</t>
  </si>
  <si>
    <t>EBITDA Margin %</t>
  </si>
  <si>
    <t xml:space="preserve">D&amp;A </t>
  </si>
  <si>
    <t>EBIT</t>
  </si>
  <si>
    <t>interest</t>
  </si>
  <si>
    <t>PBT</t>
  </si>
  <si>
    <t>Zakat rate</t>
  </si>
  <si>
    <t>Zakat</t>
  </si>
  <si>
    <t>PAT</t>
  </si>
  <si>
    <t>Minority interest</t>
  </si>
  <si>
    <t xml:space="preserve">NP </t>
  </si>
  <si>
    <t>NP Margin</t>
  </si>
  <si>
    <t>O/S shares</t>
  </si>
  <si>
    <t>EPS</t>
  </si>
  <si>
    <t>NP+DA</t>
  </si>
  <si>
    <t>Maintenance Capex</t>
  </si>
  <si>
    <t>Loan Repayment</t>
  </si>
  <si>
    <t>Working Capital Changes</t>
  </si>
  <si>
    <t>FCFE</t>
  </si>
  <si>
    <t>Discount Period</t>
  </si>
  <si>
    <t>Discounted FCFE</t>
  </si>
  <si>
    <t>DPS</t>
  </si>
  <si>
    <t>DPR</t>
  </si>
  <si>
    <t>Shareholders Equity</t>
  </si>
  <si>
    <t xml:space="preserve">BV per share </t>
  </si>
  <si>
    <t>No. of Shares</t>
  </si>
  <si>
    <t>Value Per share</t>
  </si>
  <si>
    <t>Risk free rate</t>
  </si>
  <si>
    <t>Beta</t>
  </si>
  <si>
    <t>Risk Premium</t>
  </si>
  <si>
    <t>Cost of Equity</t>
  </si>
  <si>
    <t>WACC</t>
  </si>
  <si>
    <t>Debt</t>
  </si>
  <si>
    <t>Equity</t>
  </si>
  <si>
    <t>Multiple based valuation</t>
  </si>
  <si>
    <t>2015E</t>
  </si>
  <si>
    <t>2016E</t>
  </si>
  <si>
    <t>2017E</t>
  </si>
  <si>
    <t>2018E</t>
  </si>
  <si>
    <t>2019E</t>
  </si>
  <si>
    <t>2020E</t>
  </si>
  <si>
    <t>Price/EPS</t>
  </si>
  <si>
    <t>Book Value Per Share</t>
  </si>
  <si>
    <t>Chapter 2: Data Gathering</t>
  </si>
  <si>
    <t>ARAMCO</t>
  </si>
  <si>
    <t>Saudi Riyals</t>
  </si>
  <si>
    <t>Millons</t>
  </si>
  <si>
    <t>(Only half year data acquired from prospectus for 2019)</t>
  </si>
  <si>
    <t>Income Statement (in millions of SAR)</t>
  </si>
  <si>
    <t>Revenue and other income related to sales</t>
  </si>
  <si>
    <t>Royalties and other taxes (-)</t>
  </si>
  <si>
    <t>-</t>
  </si>
  <si>
    <t>Purchases (-)</t>
  </si>
  <si>
    <t>Producing and Manuftg. (-)</t>
  </si>
  <si>
    <t>Selling, general and adminsitrative (-)</t>
  </si>
  <si>
    <t>Exploration (-)</t>
  </si>
  <si>
    <t>Research and Development (-)</t>
  </si>
  <si>
    <t>Depreciation and Amortisation (-)</t>
  </si>
  <si>
    <t>Impairments (-)</t>
  </si>
  <si>
    <t>Total Operating Costs</t>
  </si>
  <si>
    <t xml:space="preserve">Total Operating Income </t>
  </si>
  <si>
    <t>Income after taxes (50%)</t>
  </si>
  <si>
    <t xml:space="preserve">Net Income </t>
  </si>
  <si>
    <t>Balance Sheet (in millions of SAR)</t>
  </si>
  <si>
    <t>Assets</t>
  </si>
  <si>
    <t>Non-current assets</t>
  </si>
  <si>
    <t>Property, plant, and equipment</t>
  </si>
  <si>
    <t>Intangible assets</t>
  </si>
  <si>
    <t>Investments in joint ventures and associates</t>
  </si>
  <si>
    <t>Deferred income tax assets</t>
  </si>
  <si>
    <t>Other assets an receivables</t>
  </si>
  <si>
    <t>Investment in securities</t>
  </si>
  <si>
    <t>Total non-current assets</t>
  </si>
  <si>
    <t>Current assets</t>
  </si>
  <si>
    <t>Trade receivables</t>
  </si>
  <si>
    <t>Due from the government</t>
  </si>
  <si>
    <t>Other assets and receivables</t>
  </si>
  <si>
    <t>Short-term investments</t>
  </si>
  <si>
    <t>Cash and cash equivalents</t>
  </si>
  <si>
    <t>Total current assets</t>
  </si>
  <si>
    <t xml:space="preserve">Total Assets </t>
  </si>
  <si>
    <t>Equity and liabilites</t>
  </si>
  <si>
    <t>Shareholder's equity</t>
  </si>
  <si>
    <t>Share capital</t>
  </si>
  <si>
    <t>Stated capital</t>
  </si>
  <si>
    <t>Additional paid-in capital</t>
  </si>
  <si>
    <t>Retained earnings:</t>
  </si>
  <si>
    <t xml:space="preserve">     Unappropriated</t>
  </si>
  <si>
    <t xml:space="preserve">     Appropriated</t>
  </si>
  <si>
    <t>Other reserves</t>
  </si>
  <si>
    <t>Total shareholder's equity</t>
  </si>
  <si>
    <t>Non-controlling interests</t>
  </si>
  <si>
    <t>Total equity</t>
  </si>
  <si>
    <t>Non-current liabilities</t>
  </si>
  <si>
    <t>Borrowings</t>
  </si>
  <si>
    <t>Deferred income tax liabilities</t>
  </si>
  <si>
    <t>Post-employment benefit obligations</t>
  </si>
  <si>
    <t>Provisions</t>
  </si>
  <si>
    <t>Total non-current liabilities</t>
  </si>
  <si>
    <t>Current liabilities</t>
  </si>
  <si>
    <t xml:space="preserve">Trade and other payables </t>
  </si>
  <si>
    <t>Obligations to the government:</t>
  </si>
  <si>
    <t xml:space="preserve">     Income taxes</t>
  </si>
  <si>
    <t xml:space="preserve">     Royalties</t>
  </si>
  <si>
    <t xml:space="preserve">Total current liabilities </t>
  </si>
  <si>
    <t>Total liabilities</t>
  </si>
  <si>
    <t>Total equity and liabilities</t>
  </si>
  <si>
    <t>(6-mo)</t>
  </si>
  <si>
    <t>Cash Flow Statement (in millions of SAR)</t>
  </si>
  <si>
    <t xml:space="preserve">Income before income taxes </t>
  </si>
  <si>
    <t>Adjustments to reconcile income before income taxes to net cash</t>
  </si>
  <si>
    <t>Depreciation and amortisation</t>
  </si>
  <si>
    <t>Impairments and provisions</t>
  </si>
  <si>
    <t>Exploration and evaluation costs written off</t>
  </si>
  <si>
    <t>Net loss/gain on disposal of property, plant, ad equipment</t>
  </si>
  <si>
    <t>Share of results from joint ventures and associates</t>
  </si>
  <si>
    <t>Finance income</t>
  </si>
  <si>
    <t>Finance costs</t>
  </si>
  <si>
    <t>Dividends from investments in securities</t>
  </si>
  <si>
    <t>Gain/loss on remeasurement on investment in affiliates</t>
  </si>
  <si>
    <t>Change in fair value of investments hrough profit or loss</t>
  </si>
  <si>
    <t>Change in join ventures and associates inventory profit elimination</t>
  </si>
  <si>
    <t>Other</t>
  </si>
  <si>
    <t xml:space="preserve">Change in working capital </t>
  </si>
  <si>
    <t>Trade and other payables</t>
  </si>
  <si>
    <t>Royalties payable</t>
  </si>
  <si>
    <t>Other changes</t>
  </si>
  <si>
    <t xml:space="preserve">Other assets and receivables </t>
  </si>
  <si>
    <t>Settlement of income and other taxes</t>
  </si>
  <si>
    <t>Net cash provided by operating activities</t>
  </si>
  <si>
    <t>Capital expenditures</t>
  </si>
  <si>
    <t>Acquisition of affiliates, net of cash acquired</t>
  </si>
  <si>
    <t>Distributions from joint ventures and associates</t>
  </si>
  <si>
    <t>Dividends from securities</t>
  </si>
  <si>
    <t>Interest received</t>
  </si>
  <si>
    <t>Investment in ARLANXEO</t>
  </si>
  <si>
    <t>Additional investment in joint ventures and associates</t>
  </si>
  <si>
    <t>Net investment in securities</t>
  </si>
  <si>
    <t xml:space="preserve">Net maturies/purchases of short-term investments </t>
  </si>
  <si>
    <t>Net cash used in investing activities</t>
  </si>
  <si>
    <t>Dividends</t>
  </si>
  <si>
    <t>Distributions to the government</t>
  </si>
  <si>
    <t>Dividends paid to non-controlling interests</t>
  </si>
  <si>
    <t>Interest paid</t>
  </si>
  <si>
    <t>Proceeds from borrowings</t>
  </si>
  <si>
    <t xml:space="preserve">Repayments of borrowings </t>
  </si>
  <si>
    <t xml:space="preserve">Net cash used in/provided by financing activities </t>
  </si>
  <si>
    <t>Net increase/decrease in cash and cash equivalents</t>
  </si>
  <si>
    <t>Cash and cash equivalents at beginning of period</t>
  </si>
  <si>
    <t>Cash and cash equivalents at the end of the period</t>
  </si>
  <si>
    <t xml:space="preserve">Cost of sales </t>
  </si>
  <si>
    <t xml:space="preserve">COGS </t>
  </si>
  <si>
    <t xml:space="preserve">Salaries </t>
  </si>
  <si>
    <t>Rents</t>
  </si>
  <si>
    <t xml:space="preserve">Depreciation </t>
  </si>
  <si>
    <t>Services exp.</t>
  </si>
  <si>
    <t xml:space="preserve">Discounts </t>
  </si>
  <si>
    <t xml:space="preserve">Others </t>
  </si>
  <si>
    <t xml:space="preserve">Total </t>
  </si>
  <si>
    <t>Cost of sales Growth</t>
  </si>
  <si>
    <t>COGS  %</t>
  </si>
  <si>
    <t>Adv Expenses</t>
  </si>
  <si>
    <t>Franchise sales comm</t>
  </si>
  <si>
    <t>Salaries &amp; other benefits</t>
  </si>
  <si>
    <t>EOSI</t>
  </si>
  <si>
    <t xml:space="preserve">% of sales to be disposed on the stores account &amp; </t>
  </si>
  <si>
    <t>Rent</t>
  </si>
  <si>
    <t>Other leasehold exp</t>
  </si>
  <si>
    <t>Services &amp; other exp</t>
  </si>
  <si>
    <t>Inventory Writeoff</t>
  </si>
  <si>
    <t>Pre-op Exp written off</t>
  </si>
  <si>
    <t>Provision for slowmoving &amp; shrinkage</t>
  </si>
  <si>
    <t>Doubtful debts</t>
  </si>
  <si>
    <t>D&amp;A</t>
  </si>
  <si>
    <t>Total</t>
  </si>
  <si>
    <t>Borrowings (in millions of SAR)</t>
  </si>
  <si>
    <t>2019 (6-mo)</t>
  </si>
  <si>
    <t>Non-current</t>
  </si>
  <si>
    <t>Debentures</t>
  </si>
  <si>
    <t>Sharia compliant 'sukuk'</t>
  </si>
  <si>
    <t>Financial lease liabilities</t>
  </si>
  <si>
    <t>Total non-current</t>
  </si>
  <si>
    <t>Current</t>
  </si>
  <si>
    <t xml:space="preserve">Short-term bank financing </t>
  </si>
  <si>
    <t xml:space="preserve">Sharia compliant 'sukuk' </t>
  </si>
  <si>
    <t>Total current</t>
  </si>
  <si>
    <t>Conventional borrowing</t>
  </si>
  <si>
    <t>Sharia compliant financial instruments</t>
  </si>
  <si>
    <t>Total finance costs</t>
  </si>
  <si>
    <t>Long-term loan maturities</t>
  </si>
  <si>
    <t>Not more than a year</t>
  </si>
  <si>
    <t>More than one year but less than five</t>
  </si>
  <si>
    <t>More than five years</t>
  </si>
  <si>
    <t>Total loans based on maturity per year</t>
  </si>
  <si>
    <t xml:space="preserve">Cost </t>
  </si>
  <si>
    <t xml:space="preserve">Beginning of the year </t>
  </si>
  <si>
    <t>Leasehold improvements</t>
  </si>
  <si>
    <t xml:space="preserve">Furniture &amp; Fixtures </t>
  </si>
  <si>
    <t>Computers HW &amp; SW</t>
  </si>
  <si>
    <t xml:space="preserve">Vehicles </t>
  </si>
  <si>
    <t xml:space="preserve">tools &amp; equipments </t>
  </si>
  <si>
    <t>WIP</t>
  </si>
  <si>
    <t>Land</t>
  </si>
  <si>
    <t>Additions</t>
  </si>
  <si>
    <t xml:space="preserve">Disposals </t>
  </si>
  <si>
    <t xml:space="preserve">Recalssifications </t>
  </si>
  <si>
    <t xml:space="preserve">balance at end of the year </t>
  </si>
  <si>
    <t>Renovation</t>
  </si>
  <si>
    <t xml:space="preserve">Furniture </t>
  </si>
  <si>
    <t xml:space="preserve">Computers </t>
  </si>
  <si>
    <t xml:space="preserve">tools </t>
  </si>
  <si>
    <t>Depreciation of the year</t>
  </si>
  <si>
    <t xml:space="preserve">Net Book Value </t>
  </si>
  <si>
    <t>Net Fixed Assets-openning</t>
  </si>
  <si>
    <t>Disposals</t>
  </si>
  <si>
    <t xml:space="preserve">Net fixed Assets- Closing </t>
  </si>
  <si>
    <t xml:space="preserve">Deprn Rate </t>
  </si>
  <si>
    <t>Deprn Charge for the Year</t>
  </si>
  <si>
    <t>Deprecaition Quoted by Co</t>
  </si>
  <si>
    <t>Taken as a % of Sales:</t>
  </si>
  <si>
    <t>Operating Expenses:</t>
  </si>
  <si>
    <t>Sales &amp; Marketing</t>
  </si>
  <si>
    <t>General &amp; Admin</t>
  </si>
  <si>
    <t>Tech &amp; Content</t>
  </si>
  <si>
    <t>Interest, Taxes, Provisions:</t>
  </si>
  <si>
    <t>Interest Income</t>
  </si>
  <si>
    <t>Income Tax Provision</t>
  </si>
  <si>
    <t>Investment Activity</t>
  </si>
  <si>
    <t>PPE</t>
  </si>
  <si>
    <t>Other NCA</t>
  </si>
  <si>
    <t>Accrued Expense</t>
  </si>
  <si>
    <t>Items:</t>
  </si>
  <si>
    <t>Marketable Securities</t>
  </si>
  <si>
    <t>LT Lease Liabilities</t>
  </si>
  <si>
    <t>LT Debt</t>
  </si>
  <si>
    <t>Other NCL</t>
  </si>
  <si>
    <t>Additional Paid-in Cap</t>
  </si>
  <si>
    <t>Accumulated Loss</t>
  </si>
  <si>
    <t>Weightage</t>
  </si>
  <si>
    <t>Weighted CAGR</t>
  </si>
  <si>
    <t>As a % of Capex:</t>
  </si>
  <si>
    <t>Stock-Based Comp</t>
  </si>
  <si>
    <t>Terminal Value</t>
  </si>
  <si>
    <t>Growth Rate</t>
  </si>
  <si>
    <t>Total Non Current Liabilities</t>
  </si>
  <si>
    <t>+ PV of FCFE</t>
  </si>
  <si>
    <t>+ PV of TV</t>
  </si>
  <si>
    <t>= Enterprise Value</t>
  </si>
  <si>
    <t>Equity Value</t>
  </si>
  <si>
    <t>Cash &amp; Marketable Securities</t>
  </si>
  <si>
    <t xml:space="preserve">Current price </t>
  </si>
  <si>
    <t>Terminal Growth</t>
  </si>
  <si>
    <t>+ PV of FCFs</t>
  </si>
  <si>
    <t>YoY Approach</t>
  </si>
  <si>
    <t>Terminal Growth Rate Assumption</t>
  </si>
  <si>
    <t>- Net Debt</t>
  </si>
  <si>
    <t>= Equity Value</t>
  </si>
  <si>
    <t>Amortization of Previously Unearned Revenue</t>
  </si>
  <si>
    <t>Excess Tax Benefits from Stock-Based Compensation</t>
  </si>
  <si>
    <t>Losses (gains) on Sale of Marketable Securities, Net</t>
  </si>
  <si>
    <t>General And Administrative Expenses</t>
  </si>
  <si>
    <t>CAGR</t>
  </si>
  <si>
    <t>Average Recievables Outstanding Days</t>
  </si>
  <si>
    <t>Average Payables Outstanding Days</t>
  </si>
  <si>
    <t>Average Inventory Outstanding Days</t>
  </si>
  <si>
    <t>SGA as % of Sales</t>
  </si>
  <si>
    <t>Effective Tax Rate</t>
  </si>
  <si>
    <t>TV</t>
  </si>
  <si>
    <t>Next 5 Years</t>
  </si>
  <si>
    <t>Debt/(Equity + Debt)</t>
  </si>
  <si>
    <t>Equity/(Equity + Debt)</t>
  </si>
  <si>
    <t xml:space="preserve">Average = </t>
  </si>
  <si>
    <t>Historic Average</t>
  </si>
  <si>
    <t>FY 23 Quarterly</t>
  </si>
  <si>
    <t>Components of WACC</t>
  </si>
  <si>
    <t>Effective Cost of Debt</t>
  </si>
  <si>
    <t>Amazon.com</t>
  </si>
  <si>
    <t>Year-end</t>
  </si>
  <si>
    <t>Historical CAGR</t>
  </si>
  <si>
    <t>FY '23 Quarterly CAGR =</t>
  </si>
  <si>
    <t>Girish Venkateswaran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</si>
</sst>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  <numFmt numFmtId="167" formatCode="[$-409]d\-mmm\-yy;@"/>
    <numFmt numFmtId="168" formatCode="_(* #,##0.0_);_(* \(#,##0.0\);_(* &quot;-&quot;?_);_(@_)"/>
    <numFmt numFmtId="169" formatCode="0.0%"/>
    <numFmt numFmtId="170" formatCode="_(* #,##0.0_);_(* \(#,##0.0\);_(* &quot;-&quot;??_);_(@_)"/>
    <numFmt numFmtId="171" formatCode="_(* #,##0.000_);_(* \(#,##0.000\);_(* &quot;-&quot;??_);_(@_)"/>
    <numFmt numFmtId="172" formatCode="0.000"/>
    <numFmt numFmtId="173" formatCode="_(* #,##0.0000_);_(* \(#,##0.0000\);_(* &quot;-&quot;??_);_(@_)"/>
    <numFmt numFmtId="174" formatCode="0.0"/>
    <numFmt numFmtId="175" formatCode="&quot;Price at PE of &quot;##\X"/>
    <numFmt numFmtId="176" formatCode="#,##0.0"/>
    <numFmt numFmtId="177" formatCode="&quot;Price at PB of &quot;##.0\X"/>
    <numFmt numFmtId="178" formatCode="&quot;Price at EV/EBITDA of &quot;##.0\X"/>
    <numFmt numFmtId="179" formatCode="_(&quot;$&quot;* #,##0_);_(&quot;$&quot;* \(#,##0\);_(&quot;$&quot;* &quot;-&quot;??_);_(@_)"/>
    <numFmt numFmtId="180" formatCode="0.0000%"/>
    <numFmt numFmtId="181" formatCode="_(&quot;$&quot;* #,##0.000_);_(&quot;$&quot;* \(#,##0.000\);_(&quot;$&quot;* &quot;-&quot;??_);_(@_)"/>
    <numFmt numFmtId="182" formatCode="0.000%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  <font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i/>
      <sz val="9"/>
      <color theme="3" tint="0.3999755851924192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2"/>
      <color theme="3" tint="0.3999755851924192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11"/>
      <color theme="3" tint="0.39997558519241921"/>
      <name val="Calibri"/>
      <family val="2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2D050"/>
      <name val="Calibri"/>
      <family val="2"/>
      <scheme val="minor"/>
    </font>
    <font>
      <i/>
      <sz val="11"/>
      <color rgb="FF92D05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86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1" xfId="0" applyFont="1" applyBorder="1"/>
    <xf numFmtId="43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2" applyNumberFormat="1" applyFont="1"/>
    <xf numFmtId="43" fontId="0" fillId="0" borderId="0" xfId="1" applyNumberFormat="1" applyFont="1" applyFill="1"/>
    <xf numFmtId="43" fontId="0" fillId="0" borderId="0" xfId="1" applyNumberFormat="1" applyFont="1"/>
    <xf numFmtId="43" fontId="7" fillId="0" borderId="0" xfId="1" applyNumberFormat="1" applyFont="1" applyFill="1"/>
    <xf numFmtId="43" fontId="0" fillId="3" borderId="0" xfId="1" applyNumberFormat="1" applyFont="1" applyFill="1" applyBorder="1"/>
    <xf numFmtId="0" fontId="0" fillId="0" borderId="1" xfId="0" applyBorder="1"/>
    <xf numFmtId="0" fontId="0" fillId="0" borderId="6" xfId="0" applyBorder="1"/>
    <xf numFmtId="0" fontId="0" fillId="5" borderId="0" xfId="0" applyFill="1"/>
    <xf numFmtId="0" fontId="1" fillId="0" borderId="9" xfId="0" applyFont="1" applyBorder="1"/>
    <xf numFmtId="169" fontId="1" fillId="0" borderId="0" xfId="2" applyNumberFormat="1" applyFont="1" applyBorder="1"/>
    <xf numFmtId="0" fontId="1" fillId="0" borderId="6" xfId="0" applyFont="1" applyBorder="1"/>
    <xf numFmtId="9" fontId="14" fillId="0" borderId="0" xfId="2" applyFont="1"/>
    <xf numFmtId="0" fontId="14" fillId="0" borderId="0" xfId="0" applyFont="1"/>
    <xf numFmtId="166" fontId="7" fillId="0" borderId="0" xfId="2" applyNumberFormat="1" applyFont="1"/>
    <xf numFmtId="9" fontId="4" fillId="0" borderId="0" xfId="0" applyNumberFormat="1" applyFont="1"/>
    <xf numFmtId="9" fontId="14" fillId="0" borderId="0" xfId="2" applyFont="1" applyFill="1"/>
    <xf numFmtId="43" fontId="7" fillId="0" borderId="0" xfId="2" applyNumberFormat="1" applyFont="1" applyFill="1"/>
    <xf numFmtId="43" fontId="0" fillId="0" borderId="0" xfId="2" applyNumberFormat="1" applyFont="1" applyFill="1"/>
    <xf numFmtId="169" fontId="14" fillId="0" borderId="0" xfId="2" applyNumberFormat="1" applyFont="1" applyFill="1"/>
    <xf numFmtId="9" fontId="4" fillId="0" borderId="0" xfId="2" applyFont="1" applyFill="1"/>
    <xf numFmtId="1" fontId="0" fillId="0" borderId="0" xfId="0" applyNumberFormat="1"/>
    <xf numFmtId="166" fontId="7" fillId="0" borderId="0" xfId="2" applyNumberFormat="1" applyFont="1" applyFill="1"/>
    <xf numFmtId="43" fontId="0" fillId="4" borderId="0" xfId="1" applyNumberFormat="1" applyFont="1" applyFill="1"/>
    <xf numFmtId="166" fontId="0" fillId="0" borderId="0" xfId="1" applyNumberFormat="1" applyFont="1"/>
    <xf numFmtId="174" fontId="0" fillId="0" borderId="0" xfId="0" applyNumberFormat="1"/>
    <xf numFmtId="0" fontId="1" fillId="7" borderId="7" xfId="0" applyFont="1" applyFill="1" applyBorder="1" applyAlignment="1">
      <alignment horizontal="center"/>
    </xf>
    <xf numFmtId="0" fontId="1" fillId="8" borderId="7" xfId="0" applyFont="1" applyFill="1" applyBorder="1"/>
    <xf numFmtId="0" fontId="15" fillId="5" borderId="15" xfId="0" applyFont="1" applyFill="1" applyBorder="1"/>
    <xf numFmtId="0" fontId="16" fillId="5" borderId="15" xfId="0" applyFont="1" applyFill="1" applyBorder="1"/>
    <xf numFmtId="169" fontId="14" fillId="0" borderId="0" xfId="2" applyNumberFormat="1" applyFont="1"/>
    <xf numFmtId="169" fontId="14" fillId="0" borderId="0" xfId="2" applyNumberFormat="1" applyFont="1" applyFill="1" applyBorder="1"/>
    <xf numFmtId="0" fontId="18" fillId="5" borderId="15" xfId="0" applyFont="1" applyFill="1" applyBorder="1"/>
    <xf numFmtId="0" fontId="17" fillId="5" borderId="1" xfId="0" applyFont="1" applyFill="1" applyBorder="1"/>
    <xf numFmtId="9" fontId="17" fillId="0" borderId="9" xfId="2" applyFont="1" applyBorder="1"/>
    <xf numFmtId="169" fontId="14" fillId="0" borderId="0" xfId="2" applyNumberFormat="1" applyFont="1" applyBorder="1"/>
    <xf numFmtId="169" fontId="17" fillId="0" borderId="8" xfId="2" applyNumberFormat="1" applyFont="1" applyBorder="1"/>
    <xf numFmtId="0" fontId="15" fillId="7" borderId="15" xfId="0" applyFont="1" applyFill="1" applyBorder="1" applyAlignment="1">
      <alignment horizontal="center"/>
    </xf>
    <xf numFmtId="0" fontId="15" fillId="7" borderId="15" xfId="0" applyFont="1" applyFill="1" applyBorder="1" applyAlignment="1">
      <alignment horizontal="left"/>
    </xf>
    <xf numFmtId="0" fontId="19" fillId="0" borderId="0" xfId="0" applyFont="1"/>
    <xf numFmtId="0" fontId="19" fillId="6" borderId="0" xfId="0" applyFont="1" applyFill="1"/>
    <xf numFmtId="43" fontId="7" fillId="9" borderId="0" xfId="2" applyNumberFormat="1" applyFont="1" applyFill="1"/>
    <xf numFmtId="0" fontId="20" fillId="5" borderId="7" xfId="0" applyFont="1" applyFill="1" applyBorder="1"/>
    <xf numFmtId="0" fontId="1" fillId="5" borderId="9" xfId="0" applyFont="1" applyFill="1" applyBorder="1" applyAlignment="1">
      <alignment horizontal="center"/>
    </xf>
    <xf numFmtId="171" fontId="0" fillId="0" borderId="0" xfId="1" applyNumberFormat="1" applyFont="1"/>
    <xf numFmtId="171" fontId="0" fillId="0" borderId="0" xfId="0" applyNumberFormat="1"/>
    <xf numFmtId="0" fontId="1" fillId="0" borderId="17" xfId="0" applyFont="1" applyBorder="1"/>
    <xf numFmtId="43" fontId="1" fillId="0" borderId="18" xfId="1" applyNumberFormat="1" applyFont="1" applyBorder="1"/>
    <xf numFmtId="43" fontId="1" fillId="0" borderId="19" xfId="1" applyNumberFormat="1" applyFont="1" applyBorder="1"/>
    <xf numFmtId="173" fontId="0" fillId="0" borderId="0" xfId="0" applyNumberFormat="1"/>
    <xf numFmtId="0" fontId="1" fillId="5" borderId="9" xfId="0" applyFont="1" applyFill="1" applyBorder="1"/>
    <xf numFmtId="0" fontId="1" fillId="0" borderId="20" xfId="0" applyFont="1" applyBorder="1"/>
    <xf numFmtId="43" fontId="1" fillId="0" borderId="8" xfId="1" applyNumberFormat="1" applyFont="1" applyBorder="1"/>
    <xf numFmtId="43" fontId="1" fillId="0" borderId="21" xfId="1" applyNumberFormat="1" applyFont="1" applyBorder="1"/>
    <xf numFmtId="164" fontId="1" fillId="0" borderId="17" xfId="1" applyFont="1" applyBorder="1"/>
    <xf numFmtId="164" fontId="0" fillId="0" borderId="0" xfId="1" applyFont="1"/>
    <xf numFmtId="2" fontId="0" fillId="0" borderId="0" xfId="1" applyNumberFormat="1" applyFont="1"/>
    <xf numFmtId="0" fontId="0" fillId="3" borderId="0" xfId="0" applyFill="1"/>
    <xf numFmtId="0" fontId="0" fillId="3" borderId="1" xfId="0" applyFill="1" applyBorder="1" applyAlignment="1">
      <alignment horizontal="center"/>
    </xf>
    <xf numFmtId="0" fontId="14" fillId="3" borderId="0" xfId="0" applyFont="1" applyFill="1"/>
    <xf numFmtId="0" fontId="5" fillId="3" borderId="1" xfId="0" applyFont="1" applyFill="1" applyBorder="1"/>
    <xf numFmtId="10" fontId="14" fillId="0" borderId="0" xfId="2" applyNumberFormat="1" applyFont="1"/>
    <xf numFmtId="0" fontId="0" fillId="10" borderId="0" xfId="0" applyFill="1"/>
    <xf numFmtId="43" fontId="0" fillId="10" borderId="0" xfId="0" applyNumberFormat="1" applyFill="1"/>
    <xf numFmtId="0" fontId="21" fillId="11" borderId="0" xfId="0" applyFont="1" applyFill="1" applyAlignment="1">
      <alignment horizontal="center"/>
    </xf>
    <xf numFmtId="0" fontId="22" fillId="0" borderId="0" xfId="0" applyFont="1"/>
    <xf numFmtId="0" fontId="21" fillId="0" borderId="0" xfId="0" applyFont="1" applyAlignment="1">
      <alignment horizontal="center"/>
    </xf>
    <xf numFmtId="1" fontId="22" fillId="0" borderId="0" xfId="0" applyNumberFormat="1" applyFont="1"/>
    <xf numFmtId="43" fontId="23" fillId="0" borderId="0" xfId="0" applyNumberFormat="1" applyFont="1"/>
    <xf numFmtId="170" fontId="23" fillId="0" borderId="0" xfId="0" applyNumberFormat="1" applyFont="1"/>
    <xf numFmtId="175" fontId="22" fillId="0" borderId="0" xfId="0" applyNumberFormat="1" applyFont="1" applyAlignment="1">
      <alignment horizontal="center"/>
    </xf>
    <xf numFmtId="7" fontId="22" fillId="0" borderId="0" xfId="0" applyNumberFormat="1" applyFont="1"/>
    <xf numFmtId="166" fontId="22" fillId="0" borderId="0" xfId="1" applyNumberFormat="1" applyFont="1" applyFill="1"/>
    <xf numFmtId="174" fontId="22" fillId="0" borderId="0" xfId="0" applyNumberFormat="1" applyFont="1"/>
    <xf numFmtId="176" fontId="24" fillId="0" borderId="0" xfId="0" applyNumberFormat="1" applyFont="1"/>
    <xf numFmtId="7" fontId="24" fillId="0" borderId="0" xfId="0" applyNumberFormat="1" applyFont="1"/>
    <xf numFmtId="39" fontId="23" fillId="0" borderId="0" xfId="0" applyNumberFormat="1" applyFont="1"/>
    <xf numFmtId="166" fontId="23" fillId="0" borderId="0" xfId="1" applyNumberFormat="1" applyFont="1"/>
    <xf numFmtId="0" fontId="23" fillId="0" borderId="0" xfId="0" applyFont="1"/>
    <xf numFmtId="166" fontId="22" fillId="7" borderId="0" xfId="1" applyNumberFormat="1" applyFont="1" applyFill="1"/>
    <xf numFmtId="0" fontId="21" fillId="12" borderId="7" xfId="0" applyFont="1" applyFill="1" applyBorder="1" applyAlignment="1">
      <alignment horizontal="center"/>
    </xf>
    <xf numFmtId="175" fontId="22" fillId="0" borderId="0" xfId="0" applyNumberFormat="1" applyFont="1" applyAlignment="1">
      <alignment horizontal="left"/>
    </xf>
    <xf numFmtId="175" fontId="22" fillId="7" borderId="0" xfId="0" applyNumberFormat="1" applyFont="1" applyFill="1" applyAlignment="1">
      <alignment horizontal="left"/>
    </xf>
    <xf numFmtId="177" fontId="22" fillId="0" borderId="0" xfId="0" applyNumberFormat="1" applyFont="1" applyAlignment="1">
      <alignment horizontal="left"/>
    </xf>
    <xf numFmtId="178" fontId="22" fillId="0" borderId="0" xfId="0" applyNumberFormat="1" applyFont="1" applyAlignment="1">
      <alignment horizontal="left"/>
    </xf>
    <xf numFmtId="0" fontId="23" fillId="10" borderId="0" xfId="0" applyFont="1" applyFill="1"/>
    <xf numFmtId="166" fontId="23" fillId="0" borderId="0" xfId="1" applyNumberFormat="1" applyFont="1" applyFill="1"/>
    <xf numFmtId="2" fontId="0" fillId="0" borderId="0" xfId="0" applyNumberFormat="1"/>
    <xf numFmtId="0" fontId="1" fillId="3" borderId="1" xfId="0" applyFont="1" applyFill="1" applyBorder="1"/>
    <xf numFmtId="43" fontId="0" fillId="3" borderId="0" xfId="0" applyNumberFormat="1" applyFill="1"/>
    <xf numFmtId="16" fontId="1" fillId="3" borderId="1" xfId="0" applyNumberFormat="1" applyFont="1" applyFill="1" applyBorder="1" applyAlignment="1">
      <alignment horizontal="left"/>
    </xf>
    <xf numFmtId="166" fontId="0" fillId="3" borderId="0" xfId="1" applyNumberFormat="1" applyFont="1" applyFill="1"/>
    <xf numFmtId="9" fontId="0" fillId="3" borderId="0" xfId="2" applyFont="1" applyFill="1"/>
    <xf numFmtId="10" fontId="0" fillId="3" borderId="0" xfId="2" applyNumberFormat="1" applyFont="1" applyFill="1"/>
    <xf numFmtId="167" fontId="1" fillId="3" borderId="1" xfId="0" applyNumberFormat="1" applyFont="1" applyFill="1" applyBorder="1" applyAlignment="1">
      <alignment horizontal="left"/>
    </xf>
    <xf numFmtId="2" fontId="0" fillId="3" borderId="0" xfId="0" applyNumberFormat="1" applyFill="1"/>
    <xf numFmtId="166" fontId="0" fillId="3" borderId="0" xfId="0" applyNumberFormat="1" applyFill="1"/>
    <xf numFmtId="168" fontId="0" fillId="3" borderId="0" xfId="0" applyNumberFormat="1" applyFill="1"/>
    <xf numFmtId="169" fontId="0" fillId="3" borderId="0" xfId="2" applyNumberFormat="1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3" fillId="3" borderId="0" xfId="0" applyFont="1" applyFill="1"/>
    <xf numFmtId="0" fontId="1" fillId="3" borderId="1" xfId="0" applyFont="1" applyFill="1" applyBorder="1" applyAlignment="1">
      <alignment horizontal="center"/>
    </xf>
    <xf numFmtId="170" fontId="0" fillId="3" borderId="0" xfId="1" applyNumberFormat="1" applyFont="1" applyFill="1"/>
    <xf numFmtId="43" fontId="0" fillId="3" borderId="0" xfId="1" applyNumberFormat="1" applyFont="1" applyFill="1"/>
    <xf numFmtId="0" fontId="6" fillId="3" borderId="2" xfId="0" applyFont="1" applyFill="1" applyBorder="1"/>
    <xf numFmtId="170" fontId="6" fillId="3" borderId="2" xfId="1" applyNumberFormat="1" applyFont="1" applyFill="1" applyBorder="1"/>
    <xf numFmtId="43" fontId="6" fillId="3" borderId="2" xfId="1" applyNumberFormat="1" applyFont="1" applyFill="1" applyBorder="1"/>
    <xf numFmtId="0" fontId="4" fillId="3" borderId="0" xfId="0" applyFont="1" applyFill="1"/>
    <xf numFmtId="43" fontId="7" fillId="3" borderId="0" xfId="1" applyNumberFormat="1" applyFont="1" applyFill="1"/>
    <xf numFmtId="43" fontId="6" fillId="3" borderId="0" xfId="1" applyNumberFormat="1" applyFont="1" applyFill="1" applyBorder="1"/>
    <xf numFmtId="43" fontId="8" fillId="3" borderId="0" xfId="1" applyNumberFormat="1" applyFont="1" applyFill="1" applyBorder="1"/>
    <xf numFmtId="0" fontId="7" fillId="3" borderId="0" xfId="0" applyFont="1" applyFill="1"/>
    <xf numFmtId="0" fontId="9" fillId="3" borderId="0" xfId="0" applyFont="1" applyFill="1"/>
    <xf numFmtId="170" fontId="7" fillId="3" borderId="0" xfId="1" applyNumberFormat="1" applyFont="1" applyFill="1"/>
    <xf numFmtId="0" fontId="10" fillId="3" borderId="3" xfId="0" applyFont="1" applyFill="1" applyBorder="1"/>
    <xf numFmtId="0" fontId="11" fillId="3" borderId="3" xfId="0" applyFont="1" applyFill="1" applyBorder="1"/>
    <xf numFmtId="0" fontId="10" fillId="3" borderId="4" xfId="0" applyFont="1" applyFill="1" applyBorder="1"/>
    <xf numFmtId="0" fontId="11" fillId="3" borderId="4" xfId="0" applyFont="1" applyFill="1" applyBorder="1"/>
    <xf numFmtId="0" fontId="6" fillId="3" borderId="0" xfId="0" applyFont="1" applyFill="1"/>
    <xf numFmtId="170" fontId="6" fillId="3" borderId="0" xfId="1" applyNumberFormat="1" applyFont="1" applyFill="1"/>
    <xf numFmtId="43" fontId="6" fillId="3" borderId="0" xfId="1" applyNumberFormat="1" applyFont="1" applyFill="1"/>
    <xf numFmtId="43" fontId="7" fillId="3" borderId="0" xfId="1" applyNumberFormat="1" applyFont="1" applyFill="1" applyAlignment="1">
      <alignment horizontal="right"/>
    </xf>
    <xf numFmtId="0" fontId="25" fillId="3" borderId="0" xfId="0" applyFont="1" applyFill="1"/>
    <xf numFmtId="2" fontId="17" fillId="3" borderId="0" xfId="0" applyNumberFormat="1" applyFont="1" applyFill="1"/>
    <xf numFmtId="43" fontId="1" fillId="3" borderId="1" xfId="0" applyNumberFormat="1" applyFont="1" applyFill="1" applyBorder="1" applyAlignment="1">
      <alignment horizontal="center"/>
    </xf>
    <xf numFmtId="43" fontId="4" fillId="3" borderId="0" xfId="1" applyNumberFormat="1" applyFont="1" applyFill="1"/>
    <xf numFmtId="0" fontId="12" fillId="3" borderId="0" xfId="0" applyFont="1" applyFill="1"/>
    <xf numFmtId="43" fontId="12" fillId="3" borderId="0" xfId="1" applyNumberFormat="1" applyFont="1" applyFill="1"/>
    <xf numFmtId="171" fontId="6" fillId="3" borderId="2" xfId="1" applyNumberFormat="1" applyFont="1" applyFill="1" applyBorder="1"/>
    <xf numFmtId="0" fontId="0" fillId="3" borderId="0" xfId="0" applyFill="1" applyAlignment="1">
      <alignment wrapText="1"/>
    </xf>
    <xf numFmtId="43" fontId="12" fillId="3" borderId="0" xfId="1" applyNumberFormat="1" applyFont="1" applyFill="1" applyBorder="1"/>
    <xf numFmtId="172" fontId="0" fillId="3" borderId="0" xfId="0" applyNumberFormat="1" applyFill="1"/>
    <xf numFmtId="43" fontId="14" fillId="3" borderId="0" xfId="1" applyNumberFormat="1" applyFont="1" applyFill="1"/>
    <xf numFmtId="43" fontId="12" fillId="3" borderId="0" xfId="0" applyNumberFormat="1" applyFont="1" applyFill="1"/>
    <xf numFmtId="0" fontId="6" fillId="3" borderId="2" xfId="1" applyNumberFormat="1" applyFont="1" applyFill="1" applyBorder="1"/>
    <xf numFmtId="173" fontId="6" fillId="3" borderId="2" xfId="1" applyNumberFormat="1" applyFont="1" applyFill="1" applyBorder="1"/>
    <xf numFmtId="10" fontId="12" fillId="3" borderId="0" xfId="2" applyNumberFormat="1" applyFont="1" applyFill="1"/>
    <xf numFmtId="43" fontId="12" fillId="3" borderId="0" xfId="2" applyNumberFormat="1" applyFont="1" applyFill="1"/>
    <xf numFmtId="171" fontId="12" fillId="3" borderId="0" xfId="1" applyNumberFormat="1" applyFont="1" applyFill="1"/>
    <xf numFmtId="169" fontId="12" fillId="3" borderId="0" xfId="2" applyNumberFormat="1" applyFont="1" applyFill="1"/>
    <xf numFmtId="0" fontId="13" fillId="3" borderId="2" xfId="0" applyFont="1" applyFill="1" applyBorder="1"/>
    <xf numFmtId="43" fontId="13" fillId="3" borderId="2" xfId="1" applyNumberFormat="1" applyFont="1" applyFill="1" applyBorder="1"/>
    <xf numFmtId="169" fontId="6" fillId="3" borderId="2" xfId="2" applyNumberFormat="1" applyFont="1" applyFill="1" applyBorder="1"/>
    <xf numFmtId="169" fontId="13" fillId="3" borderId="2" xfId="2" applyNumberFormat="1" applyFont="1" applyFill="1" applyBorder="1"/>
    <xf numFmtId="169" fontId="12" fillId="3" borderId="0" xfId="2" applyNumberFormat="1" applyFont="1" applyFill="1" applyAlignment="1">
      <alignment horizontal="right"/>
    </xf>
    <xf numFmtId="43" fontId="12" fillId="3" borderId="0" xfId="2" applyNumberFormat="1" applyFont="1" applyFill="1" applyAlignment="1">
      <alignment horizontal="right"/>
    </xf>
    <xf numFmtId="0" fontId="12" fillId="3" borderId="0" xfId="0" applyFont="1" applyFill="1" applyAlignment="1">
      <alignment horizontal="right"/>
    </xf>
    <xf numFmtId="169" fontId="4" fillId="3" borderId="0" xfId="0" applyNumberFormat="1" applyFont="1" applyFill="1"/>
    <xf numFmtId="43" fontId="4" fillId="3" borderId="0" xfId="0" applyNumberFormat="1" applyFont="1" applyFill="1"/>
    <xf numFmtId="170" fontId="0" fillId="3" borderId="0" xfId="0" applyNumberFormat="1" applyFill="1"/>
    <xf numFmtId="0" fontId="15" fillId="7" borderId="16" xfId="0" applyFont="1" applyFill="1" applyBorder="1" applyAlignment="1">
      <alignment horizontal="center"/>
    </xf>
    <xf numFmtId="0" fontId="15" fillId="5" borderId="16" xfId="0" applyFont="1" applyFill="1" applyBorder="1"/>
    <xf numFmtId="0" fontId="17" fillId="5" borderId="5" xfId="0" applyFont="1" applyFill="1" applyBorder="1"/>
    <xf numFmtId="0" fontId="15" fillId="0" borderId="0" xfId="0" applyFont="1" applyAlignment="1">
      <alignment horizontal="center"/>
    </xf>
    <xf numFmtId="0" fontId="15" fillId="0" borderId="0" xfId="0" applyFont="1"/>
    <xf numFmtId="169" fontId="17" fillId="0" borderId="0" xfId="2" applyNumberFormat="1" applyFont="1" applyFill="1" applyBorder="1"/>
    <xf numFmtId="0" fontId="17" fillId="0" borderId="0" xfId="0" applyFont="1"/>
    <xf numFmtId="9" fontId="14" fillId="0" borderId="0" xfId="2" applyFont="1" applyFill="1" applyBorder="1"/>
    <xf numFmtId="9" fontId="17" fillId="0" borderId="0" xfId="2" applyFont="1" applyFill="1" applyBorder="1"/>
    <xf numFmtId="0" fontId="26" fillId="2" borderId="0" xfId="0" applyFont="1" applyFill="1"/>
    <xf numFmtId="0" fontId="0" fillId="0" borderId="5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5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3" fontId="0" fillId="0" borderId="1" xfId="0" applyNumberFormat="1" applyBorder="1"/>
    <xf numFmtId="0" fontId="0" fillId="0" borderId="0" xfId="0" quotePrefix="1"/>
    <xf numFmtId="3" fontId="0" fillId="0" borderId="0" xfId="0" applyNumberFormat="1"/>
    <xf numFmtId="3" fontId="0" fillId="13" borderId="1" xfId="0" applyNumberFormat="1" applyFill="1" applyBorder="1"/>
    <xf numFmtId="3" fontId="0" fillId="0" borderId="23" xfId="0" applyNumberFormat="1" applyBorder="1"/>
    <xf numFmtId="3" fontId="0" fillId="13" borderId="24" xfId="0" applyNumberFormat="1" applyFill="1" applyBorder="1"/>
    <xf numFmtId="0" fontId="0" fillId="13" borderId="24" xfId="0" applyFill="1" applyBorder="1"/>
    <xf numFmtId="0" fontId="0" fillId="0" borderId="29" xfId="0" applyBorder="1"/>
    <xf numFmtId="0" fontId="0" fillId="13" borderId="1" xfId="0" applyFill="1" applyBorder="1"/>
    <xf numFmtId="0" fontId="1" fillId="0" borderId="24" xfId="0" applyFont="1" applyBorder="1"/>
    <xf numFmtId="0" fontId="1" fillId="0" borderId="5" xfId="0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29" xfId="0" applyFont="1" applyBorder="1"/>
    <xf numFmtId="0" fontId="1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44" fontId="8" fillId="3" borderId="0" xfId="1" applyNumberFormat="1" applyFont="1" applyFill="1" applyBorder="1"/>
    <xf numFmtId="179" fontId="0" fillId="3" borderId="0" xfId="1" applyNumberFormat="1" applyFont="1" applyFill="1"/>
    <xf numFmtId="179" fontId="6" fillId="3" borderId="2" xfId="1" applyNumberFormat="1" applyFont="1" applyFill="1" applyBorder="1"/>
    <xf numFmtId="179" fontId="0" fillId="3" borderId="0" xfId="1" quotePrefix="1" applyNumberFormat="1" applyFont="1" applyFill="1"/>
    <xf numFmtId="179" fontId="6" fillId="3" borderId="0" xfId="1" applyNumberFormat="1" applyFont="1" applyFill="1"/>
    <xf numFmtId="179" fontId="4" fillId="3" borderId="0" xfId="1" applyNumberFormat="1" applyFont="1" applyFill="1"/>
    <xf numFmtId="179" fontId="12" fillId="3" borderId="0" xfId="1" applyNumberFormat="1" applyFont="1" applyFill="1"/>
    <xf numFmtId="179" fontId="0" fillId="3" borderId="0" xfId="1" applyNumberFormat="1" applyFont="1" applyFill="1" applyBorder="1"/>
    <xf numFmtId="179" fontId="0" fillId="3" borderId="0" xfId="0" applyNumberFormat="1" applyFill="1"/>
    <xf numFmtId="179" fontId="12" fillId="3" borderId="0" xfId="1" applyNumberFormat="1" applyFont="1" applyFill="1" applyBorder="1"/>
    <xf numFmtId="179" fontId="0" fillId="3" borderId="0" xfId="2" applyNumberFormat="1" applyFont="1" applyFill="1"/>
    <xf numFmtId="170" fontId="6" fillId="3" borderId="0" xfId="1" applyNumberFormat="1" applyFont="1" applyFill="1" applyBorder="1"/>
    <xf numFmtId="0" fontId="27" fillId="3" borderId="0" xfId="0" applyFont="1" applyFill="1"/>
    <xf numFmtId="179" fontId="27" fillId="3" borderId="0" xfId="1" applyNumberFormat="1" applyFont="1" applyFill="1" applyBorder="1"/>
    <xf numFmtId="3" fontId="7" fillId="3" borderId="0" xfId="1" applyNumberFormat="1" applyFont="1" applyFill="1"/>
    <xf numFmtId="179" fontId="0" fillId="0" borderId="0" xfId="0" applyNumberFormat="1"/>
    <xf numFmtId="10" fontId="0" fillId="0" borderId="0" xfId="2" applyNumberFormat="1" applyFont="1"/>
    <xf numFmtId="0" fontId="0" fillId="0" borderId="37" xfId="0" applyBorder="1"/>
    <xf numFmtId="0" fontId="0" fillId="0" borderId="38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4" xfId="0" applyBorder="1"/>
    <xf numFmtId="43" fontId="0" fillId="0" borderId="38" xfId="0" applyNumberFormat="1" applyBorder="1"/>
    <xf numFmtId="166" fontId="0" fillId="0" borderId="38" xfId="0" applyNumberFormat="1" applyBorder="1"/>
    <xf numFmtId="0" fontId="0" fillId="0" borderId="39" xfId="0" applyBorder="1"/>
    <xf numFmtId="0" fontId="1" fillId="7" borderId="14" xfId="0" applyFont="1" applyFill="1" applyBorder="1" applyAlignment="1">
      <alignment horizontal="center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13" xfId="0" applyBorder="1"/>
    <xf numFmtId="0" fontId="0" fillId="0" borderId="7" xfId="0" applyBorder="1"/>
    <xf numFmtId="0" fontId="0" fillId="0" borderId="51" xfId="0" applyBorder="1"/>
    <xf numFmtId="43" fontId="0" fillId="0" borderId="51" xfId="0" applyNumberFormat="1" applyBorder="1"/>
    <xf numFmtId="179" fontId="29" fillId="3" borderId="0" xfId="1" applyNumberFormat="1" applyFont="1" applyFill="1"/>
    <xf numFmtId="179" fontId="30" fillId="3" borderId="2" xfId="1" applyNumberFormat="1" applyFont="1" applyFill="1" applyBorder="1"/>
    <xf numFmtId="44" fontId="29" fillId="3" borderId="0" xfId="1" applyNumberFormat="1" applyFont="1" applyFill="1"/>
    <xf numFmtId="3" fontId="29" fillId="3" borderId="0" xfId="1" applyNumberFormat="1" applyFont="1" applyFill="1"/>
    <xf numFmtId="179" fontId="30" fillId="3" borderId="0" xfId="1" applyNumberFormat="1" applyFont="1" applyFill="1" applyBorder="1"/>
    <xf numFmtId="179" fontId="29" fillId="3" borderId="0" xfId="1" quotePrefix="1" applyNumberFormat="1" applyFont="1" applyFill="1"/>
    <xf numFmtId="179" fontId="29" fillId="3" borderId="0" xfId="1" applyNumberFormat="1" applyFont="1" applyFill="1" applyBorder="1"/>
    <xf numFmtId="179" fontId="29" fillId="3" borderId="0" xfId="1" applyNumberFormat="1" applyFont="1" applyFill="1" applyBorder="1" applyAlignment="1">
      <alignment vertical="center"/>
    </xf>
    <xf numFmtId="10" fontId="0" fillId="0" borderId="45" xfId="2" quotePrefix="1" applyNumberFormat="1" applyFont="1" applyBorder="1"/>
    <xf numFmtId="10" fontId="0" fillId="0" borderId="45" xfId="2" applyNumberFormat="1" applyFont="1" applyBorder="1"/>
    <xf numFmtId="0" fontId="0" fillId="0" borderId="46" xfId="0" applyBorder="1"/>
    <xf numFmtId="10" fontId="0" fillId="0" borderId="47" xfId="2" applyNumberFormat="1" applyFont="1" applyBorder="1"/>
    <xf numFmtId="179" fontId="0" fillId="0" borderId="1" xfId="0" applyNumberFormat="1" applyBorder="1"/>
    <xf numFmtId="10" fontId="0" fillId="0" borderId="38" xfId="2" applyNumberFormat="1" applyFont="1" applyBorder="1"/>
    <xf numFmtId="0" fontId="0" fillId="0" borderId="37" xfId="0" quotePrefix="1" applyBorder="1"/>
    <xf numFmtId="180" fontId="0" fillId="0" borderId="38" xfId="2" applyNumberFormat="1" applyFont="1" applyBorder="1"/>
    <xf numFmtId="0" fontId="0" fillId="0" borderId="36" xfId="0" applyBorder="1"/>
    <xf numFmtId="0" fontId="0" fillId="0" borderId="14" xfId="0" applyBorder="1"/>
    <xf numFmtId="10" fontId="0" fillId="0" borderId="14" xfId="2" applyNumberFormat="1" applyFont="1" applyBorder="1"/>
    <xf numFmtId="9" fontId="12" fillId="0" borderId="0" xfId="2" applyFont="1" applyBorder="1"/>
    <xf numFmtId="9" fontId="14" fillId="0" borderId="38" xfId="2" applyFont="1" applyFill="1" applyBorder="1"/>
    <xf numFmtId="166" fontId="7" fillId="0" borderId="0" xfId="2" applyNumberFormat="1" applyFont="1" applyBorder="1"/>
    <xf numFmtId="166" fontId="7" fillId="0" borderId="38" xfId="2" applyNumberFormat="1" applyFont="1" applyBorder="1"/>
    <xf numFmtId="9" fontId="4" fillId="9" borderId="0" xfId="0" applyNumberFormat="1" applyFont="1" applyFill="1"/>
    <xf numFmtId="9" fontId="4" fillId="0" borderId="38" xfId="0" applyNumberFormat="1" applyFont="1" applyBorder="1"/>
    <xf numFmtId="43" fontId="7" fillId="0" borderId="0" xfId="0" applyNumberFormat="1" applyFont="1"/>
    <xf numFmtId="43" fontId="7" fillId="0" borderId="0" xfId="1" applyNumberFormat="1" applyFont="1" applyFill="1" applyBorder="1"/>
    <xf numFmtId="43" fontId="7" fillId="0" borderId="38" xfId="1" applyNumberFormat="1" applyFont="1" applyFill="1" applyBorder="1"/>
    <xf numFmtId="9" fontId="12" fillId="0" borderId="0" xfId="0" applyNumberFormat="1" applyFont="1"/>
    <xf numFmtId="170" fontId="12" fillId="0" borderId="0" xfId="1" applyNumberFormat="1" applyFont="1" applyBorder="1"/>
    <xf numFmtId="9" fontId="4" fillId="9" borderId="0" xfId="2" applyFont="1" applyFill="1" applyBorder="1"/>
    <xf numFmtId="9" fontId="4" fillId="0" borderId="0" xfId="2" applyFont="1" applyFill="1" applyBorder="1"/>
    <xf numFmtId="9" fontId="4" fillId="0" borderId="38" xfId="2" applyFont="1" applyFill="1" applyBorder="1"/>
    <xf numFmtId="43" fontId="7" fillId="0" borderId="0" xfId="2" applyNumberFormat="1" applyFont="1" applyFill="1" applyBorder="1"/>
    <xf numFmtId="43" fontId="7" fillId="0" borderId="38" xfId="2" applyNumberFormat="1" applyFont="1" applyFill="1" applyBorder="1"/>
    <xf numFmtId="169" fontId="12" fillId="0" borderId="0" xfId="0" applyNumberFormat="1" applyFont="1"/>
    <xf numFmtId="43" fontId="7" fillId="9" borderId="0" xfId="2" applyNumberFormat="1" applyFont="1" applyFill="1" applyBorder="1"/>
    <xf numFmtId="43" fontId="7" fillId="9" borderId="38" xfId="2" applyNumberFormat="1" applyFont="1" applyFill="1" applyBorder="1"/>
    <xf numFmtId="10" fontId="12" fillId="0" borderId="0" xfId="2" applyNumberFormat="1" applyFont="1" applyBorder="1"/>
    <xf numFmtId="43" fontId="0" fillId="0" borderId="0" xfId="2" applyNumberFormat="1" applyFont="1" applyFill="1" applyBorder="1"/>
    <xf numFmtId="43" fontId="0" fillId="0" borderId="38" xfId="2" applyNumberFormat="1" applyFont="1" applyFill="1" applyBorder="1"/>
    <xf numFmtId="169" fontId="14" fillId="0" borderId="38" xfId="2" applyNumberFormat="1" applyFont="1" applyFill="1" applyBorder="1"/>
    <xf numFmtId="9" fontId="14" fillId="0" borderId="0" xfId="2" applyFont="1" applyBorder="1"/>
    <xf numFmtId="43" fontId="0" fillId="0" borderId="0" xfId="1" applyNumberFormat="1" applyFont="1" applyFill="1" applyBorder="1"/>
    <xf numFmtId="43" fontId="0" fillId="0" borderId="38" xfId="1" applyNumberFormat="1" applyFont="1" applyFill="1" applyBorder="1"/>
    <xf numFmtId="9" fontId="14" fillId="0" borderId="0" xfId="0" applyNumberFormat="1" applyFont="1"/>
    <xf numFmtId="9" fontId="0" fillId="0" borderId="0" xfId="2" applyFont="1" applyBorder="1"/>
    <xf numFmtId="165" fontId="0" fillId="0" borderId="0" xfId="1" applyNumberFormat="1" applyFont="1" applyBorder="1"/>
    <xf numFmtId="166" fontId="7" fillId="0" borderId="0" xfId="2" applyNumberFormat="1" applyFont="1" applyFill="1" applyBorder="1"/>
    <xf numFmtId="166" fontId="7" fillId="0" borderId="38" xfId="2" applyNumberFormat="1" applyFont="1" applyFill="1" applyBorder="1"/>
    <xf numFmtId="43" fontId="0" fillId="0" borderId="0" xfId="2" applyNumberFormat="1" applyFont="1" applyBorder="1"/>
    <xf numFmtId="164" fontId="0" fillId="0" borderId="0" xfId="1" applyFont="1" applyBorder="1"/>
    <xf numFmtId="43" fontId="0" fillId="0" borderId="0" xfId="1" applyNumberFormat="1" applyFont="1" applyBorder="1"/>
    <xf numFmtId="43" fontId="0" fillId="4" borderId="0" xfId="1" applyNumberFormat="1" applyFont="1" applyFill="1" applyBorder="1"/>
    <xf numFmtId="43" fontId="0" fillId="4" borderId="38" xfId="1" applyNumberFormat="1" applyFont="1" applyFill="1" applyBorder="1"/>
    <xf numFmtId="0" fontId="14" fillId="0" borderId="49" xfId="0" applyFont="1" applyBorder="1"/>
    <xf numFmtId="0" fontId="7" fillId="0" borderId="49" xfId="0" applyFont="1" applyBorder="1"/>
    <xf numFmtId="43" fontId="0" fillId="0" borderId="35" xfId="0" applyNumberFormat="1" applyBorder="1"/>
    <xf numFmtId="166" fontId="0" fillId="0" borderId="40" xfId="0" applyNumberFormat="1" applyBorder="1"/>
    <xf numFmtId="166" fontId="0" fillId="0" borderId="41" xfId="0" applyNumberFormat="1" applyBorder="1"/>
    <xf numFmtId="0" fontId="1" fillId="0" borderId="13" xfId="0" applyFont="1" applyBorder="1"/>
    <xf numFmtId="0" fontId="1" fillId="0" borderId="14" xfId="0" applyFont="1" applyBorder="1"/>
    <xf numFmtId="0" fontId="1" fillId="0" borderId="7" xfId="0" applyFont="1" applyBorder="1"/>
    <xf numFmtId="0" fontId="1" fillId="0" borderId="48" xfId="0" applyFont="1" applyBorder="1"/>
    <xf numFmtId="0" fontId="1" fillId="0" borderId="44" xfId="0" applyFont="1" applyBorder="1"/>
    <xf numFmtId="0" fontId="1" fillId="0" borderId="52" xfId="0" applyFont="1" applyBorder="1"/>
    <xf numFmtId="166" fontId="2" fillId="0" borderId="54" xfId="1" applyNumberFormat="1" applyFont="1" applyBorder="1"/>
    <xf numFmtId="166" fontId="2" fillId="0" borderId="55" xfId="1" applyNumberFormat="1" applyFont="1" applyBorder="1"/>
    <xf numFmtId="0" fontId="0" fillId="0" borderId="56" xfId="0" quotePrefix="1" applyBorder="1"/>
    <xf numFmtId="0" fontId="0" fillId="0" borderId="57" xfId="0" quotePrefix="1" applyBorder="1"/>
    <xf numFmtId="0" fontId="0" fillId="0" borderId="58" xfId="0" applyBorder="1"/>
    <xf numFmtId="170" fontId="2" fillId="0" borderId="59" xfId="1" applyNumberFormat="1" applyFont="1" applyBorder="1"/>
    <xf numFmtId="0" fontId="0" fillId="2" borderId="0" xfId="0" applyFill="1"/>
    <xf numFmtId="0" fontId="0" fillId="0" borderId="64" xfId="0" applyBorder="1"/>
    <xf numFmtId="10" fontId="0" fillId="0" borderId="62" xfId="2" quotePrefix="1" applyNumberFormat="1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4" xfId="0" quotePrefix="1" applyFont="1" applyBorder="1"/>
    <xf numFmtId="0" fontId="0" fillId="0" borderId="67" xfId="0" applyBorder="1"/>
    <xf numFmtId="166" fontId="0" fillId="0" borderId="51" xfId="0" applyNumberFormat="1" applyBorder="1"/>
    <xf numFmtId="166" fontId="0" fillId="0" borderId="14" xfId="0" applyNumberFormat="1" applyBorder="1"/>
    <xf numFmtId="43" fontId="0" fillId="0" borderId="34" xfId="0" applyNumberFormat="1" applyBorder="1"/>
    <xf numFmtId="43" fontId="0" fillId="15" borderId="7" xfId="0" applyNumberFormat="1" applyFill="1" applyBorder="1"/>
    <xf numFmtId="10" fontId="1" fillId="0" borderId="57" xfId="0" applyNumberFormat="1" applyFont="1" applyBorder="1"/>
    <xf numFmtId="10" fontId="1" fillId="0" borderId="61" xfId="0" applyNumberFormat="1" applyFont="1" applyBorder="1"/>
    <xf numFmtId="10" fontId="1" fillId="0" borderId="58" xfId="0" applyNumberFormat="1" applyFont="1" applyBorder="1"/>
    <xf numFmtId="10" fontId="1" fillId="0" borderId="11" xfId="2" applyNumberFormat="1" applyFont="1" applyBorder="1"/>
    <xf numFmtId="10" fontId="1" fillId="0" borderId="68" xfId="2" applyNumberFormat="1" applyFont="1" applyBorder="1"/>
    <xf numFmtId="10" fontId="1" fillId="0" borderId="63" xfId="2" applyNumberFormat="1" applyFont="1" applyBorder="1"/>
    <xf numFmtId="10" fontId="1" fillId="0" borderId="12" xfId="2" applyNumberFormat="1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79" fontId="2" fillId="3" borderId="0" xfId="1" applyNumberFormat="1" applyFont="1" applyFill="1"/>
    <xf numFmtId="44" fontId="2" fillId="3" borderId="0" xfId="1" applyNumberFormat="1" applyFont="1" applyFill="1"/>
    <xf numFmtId="179" fontId="27" fillId="3" borderId="2" xfId="1" applyNumberFormat="1" applyFont="1" applyFill="1" applyBorder="1"/>
    <xf numFmtId="3" fontId="2" fillId="3" borderId="0" xfId="1" applyNumberFormat="1" applyFont="1" applyFill="1"/>
    <xf numFmtId="179" fontId="2" fillId="3" borderId="0" xfId="1" applyNumberFormat="1" applyFont="1" applyFill="1" applyBorder="1"/>
    <xf numFmtId="0" fontId="1" fillId="0" borderId="1" xfId="0" applyFont="1" applyBorder="1" applyAlignment="1">
      <alignment horizontal="center"/>
    </xf>
    <xf numFmtId="44" fontId="0" fillId="3" borderId="0" xfId="1" applyNumberFormat="1" applyFont="1" applyFill="1"/>
    <xf numFmtId="3" fontId="0" fillId="3" borderId="0" xfId="1" applyNumberFormat="1" applyFont="1" applyFill="1"/>
    <xf numFmtId="179" fontId="31" fillId="17" borderId="0" xfId="0" applyNumberFormat="1" applyFont="1" applyFill="1"/>
    <xf numFmtId="179" fontId="12" fillId="0" borderId="0" xfId="1" applyNumberFormat="1" applyFont="1" applyFill="1"/>
    <xf numFmtId="0" fontId="12" fillId="0" borderId="0" xfId="0" applyFont="1"/>
    <xf numFmtId="179" fontId="6" fillId="3" borderId="0" xfId="1" applyNumberFormat="1" applyFont="1" applyFill="1" applyBorder="1"/>
    <xf numFmtId="179" fontId="32" fillId="3" borderId="0" xfId="1" applyNumberFormat="1" applyFont="1" applyFill="1" applyBorder="1"/>
    <xf numFmtId="8" fontId="8" fillId="3" borderId="0" xfId="1" applyNumberFormat="1" applyFont="1" applyFill="1" applyBorder="1"/>
    <xf numFmtId="10" fontId="0" fillId="0" borderId="0" xfId="0" applyNumberFormat="1"/>
    <xf numFmtId="43" fontId="1" fillId="16" borderId="7" xfId="0" applyNumberFormat="1" applyFont="1" applyFill="1" applyBorder="1"/>
    <xf numFmtId="44" fontId="0" fillId="0" borderId="38" xfId="0" applyNumberFormat="1" applyBorder="1"/>
    <xf numFmtId="44" fontId="0" fillId="0" borderId="40" xfId="0" applyNumberFormat="1" applyBorder="1"/>
    <xf numFmtId="44" fontId="0" fillId="0" borderId="41" xfId="0" applyNumberFormat="1" applyBorder="1"/>
    <xf numFmtId="170" fontId="0" fillId="0" borderId="0" xfId="0" applyNumberFormat="1"/>
    <xf numFmtId="165" fontId="7" fillId="3" borderId="0" xfId="1" applyNumberFormat="1" applyFont="1" applyFill="1"/>
    <xf numFmtId="0" fontId="0" fillId="0" borderId="60" xfId="0" quotePrefix="1" applyBorder="1" applyAlignment="1">
      <alignment vertical="center" wrapText="1"/>
    </xf>
    <xf numFmtId="44" fontId="4" fillId="3" borderId="0" xfId="1" applyNumberFormat="1" applyFont="1" applyFill="1"/>
    <xf numFmtId="44" fontId="0" fillId="0" borderId="0" xfId="0" applyNumberFormat="1"/>
    <xf numFmtId="0" fontId="1" fillId="4" borderId="13" xfId="0" applyFont="1" applyFill="1" applyBorder="1" applyAlignment="1">
      <alignment vertical="center"/>
    </xf>
    <xf numFmtId="10" fontId="1" fillId="4" borderId="7" xfId="2" applyNumberFormat="1" applyFont="1" applyFill="1" applyBorder="1" applyAlignment="1">
      <alignment vertical="center"/>
    </xf>
    <xf numFmtId="0" fontId="1" fillId="4" borderId="7" xfId="0" applyFont="1" applyFill="1" applyBorder="1" applyAlignment="1">
      <alignment vertical="center" wrapText="1"/>
    </xf>
    <xf numFmtId="169" fontId="1" fillId="4" borderId="14" xfId="2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57" xfId="0" quotePrefix="1" applyBorder="1" applyAlignment="1">
      <alignment vertical="center"/>
    </xf>
    <xf numFmtId="166" fontId="2" fillId="0" borderId="57" xfId="1" applyNumberFormat="1" applyFont="1" applyBorder="1" applyAlignment="1">
      <alignment vertical="center"/>
    </xf>
    <xf numFmtId="0" fontId="0" fillId="0" borderId="57" xfId="0" quotePrefix="1" applyBorder="1" applyAlignment="1">
      <alignment vertical="center" wrapText="1"/>
    </xf>
    <xf numFmtId="166" fontId="2" fillId="0" borderId="60" xfId="1" applyNumberFormat="1" applyFont="1" applyBorder="1" applyAlignment="1">
      <alignment vertical="center"/>
    </xf>
    <xf numFmtId="0" fontId="0" fillId="0" borderId="60" xfId="0" applyBorder="1" applyAlignment="1">
      <alignment vertical="center" wrapText="1"/>
    </xf>
    <xf numFmtId="0" fontId="1" fillId="0" borderId="49" xfId="0" applyFont="1" applyBorder="1"/>
    <xf numFmtId="10" fontId="1" fillId="0" borderId="51" xfId="2" applyNumberFormat="1" applyFont="1" applyBorder="1"/>
    <xf numFmtId="181" fontId="0" fillId="3" borderId="0" xfId="1" applyNumberFormat="1" applyFont="1" applyFill="1"/>
    <xf numFmtId="0" fontId="1" fillId="0" borderId="0" xfId="0" applyFont="1" applyAlignment="1">
      <alignment vertical="center"/>
    </xf>
    <xf numFmtId="44" fontId="0" fillId="0" borderId="13" xfId="2" applyNumberFormat="1" applyFont="1" applyFill="1" applyBorder="1"/>
    <xf numFmtId="10" fontId="0" fillId="0" borderId="51" xfId="2" applyNumberFormat="1" applyFont="1" applyBorder="1"/>
    <xf numFmtId="44" fontId="0" fillId="0" borderId="51" xfId="0" applyNumberFormat="1" applyBorder="1"/>
    <xf numFmtId="44" fontId="1" fillId="0" borderId="7" xfId="0" applyNumberFormat="1" applyFont="1" applyBorder="1" applyAlignment="1">
      <alignment horizontal="center" vertical="center"/>
    </xf>
    <xf numFmtId="0" fontId="0" fillId="14" borderId="1" xfId="0" applyFill="1" applyBorder="1"/>
    <xf numFmtId="179" fontId="29" fillId="0" borderId="1" xfId="0" applyNumberFormat="1" applyFont="1" applyBorder="1"/>
    <xf numFmtId="0" fontId="0" fillId="14" borderId="5" xfId="0" applyFill="1" applyBorder="1"/>
    <xf numFmtId="179" fontId="0" fillId="0" borderId="5" xfId="0" applyNumberFormat="1" applyBorder="1"/>
    <xf numFmtId="179" fontId="29" fillId="0" borderId="5" xfId="0" applyNumberFormat="1" applyFont="1" applyBorder="1"/>
    <xf numFmtId="0" fontId="1" fillId="0" borderId="72" xfId="0" quotePrefix="1" applyFont="1" applyBorder="1"/>
    <xf numFmtId="0" fontId="0" fillId="0" borderId="73" xfId="0" applyBorder="1"/>
    <xf numFmtId="2" fontId="0" fillId="0" borderId="64" xfId="0" applyNumberFormat="1" applyBorder="1"/>
    <xf numFmtId="10" fontId="0" fillId="0" borderId="62" xfId="2" applyNumberFormat="1" applyFont="1" applyBorder="1"/>
    <xf numFmtId="0" fontId="0" fillId="0" borderId="10" xfId="0" applyBorder="1"/>
    <xf numFmtId="0" fontId="0" fillId="0" borderId="12" xfId="0" applyBorder="1"/>
    <xf numFmtId="44" fontId="29" fillId="0" borderId="51" xfId="0" applyNumberFormat="1" applyFont="1" applyBorder="1"/>
    <xf numFmtId="44" fontId="29" fillId="0" borderId="13" xfId="0" applyNumberFormat="1" applyFont="1" applyBorder="1"/>
    <xf numFmtId="44" fontId="29" fillId="0" borderId="14" xfId="0" applyNumberFormat="1" applyFont="1" applyBorder="1"/>
    <xf numFmtId="10" fontId="1" fillId="0" borderId="7" xfId="2" applyNumberFormat="1" applyFont="1" applyBorder="1"/>
    <xf numFmtId="0" fontId="1" fillId="0" borderId="34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43" fontId="29" fillId="3" borderId="0" xfId="1" applyNumberFormat="1" applyFont="1" applyFill="1"/>
    <xf numFmtId="43" fontId="29" fillId="3" borderId="0" xfId="1" applyNumberFormat="1" applyFont="1" applyFill="1" applyBorder="1"/>
    <xf numFmtId="43" fontId="29" fillId="3" borderId="0" xfId="0" applyNumberFormat="1" applyFont="1" applyFill="1"/>
    <xf numFmtId="43" fontId="30" fillId="3" borderId="2" xfId="1" applyNumberFormat="1" applyFont="1" applyFill="1" applyBorder="1"/>
    <xf numFmtId="0" fontId="29" fillId="3" borderId="0" xfId="0" applyFont="1" applyFill="1"/>
    <xf numFmtId="10" fontId="29" fillId="3" borderId="0" xfId="2" applyNumberFormat="1" applyFont="1" applyFill="1"/>
    <xf numFmtId="171" fontId="29" fillId="3" borderId="0" xfId="1" applyNumberFormat="1" applyFont="1" applyFill="1"/>
    <xf numFmtId="169" fontId="29" fillId="3" borderId="0" xfId="2" applyNumberFormat="1" applyFont="1" applyFill="1"/>
    <xf numFmtId="169" fontId="30" fillId="3" borderId="2" xfId="2" applyNumberFormat="1" applyFont="1" applyFill="1" applyBorder="1"/>
    <xf numFmtId="0" fontId="1" fillId="4" borderId="75" xfId="0" applyFont="1" applyFill="1" applyBorder="1"/>
    <xf numFmtId="0" fontId="26" fillId="0" borderId="24" xfId="0" applyFont="1" applyBorder="1"/>
    <xf numFmtId="179" fontId="26" fillId="0" borderId="1" xfId="0" applyNumberFormat="1" applyFont="1" applyBorder="1"/>
    <xf numFmtId="0" fontId="0" fillId="0" borderId="74" xfId="0" applyBorder="1"/>
    <xf numFmtId="0" fontId="0" fillId="0" borderId="77" xfId="0" applyBorder="1"/>
    <xf numFmtId="43" fontId="0" fillId="0" borderId="76" xfId="0" applyNumberFormat="1" applyBorder="1"/>
    <xf numFmtId="166" fontId="0" fillId="14" borderId="49" xfId="0" applyNumberFormat="1" applyFill="1" applyBorder="1"/>
    <xf numFmtId="43" fontId="0" fillId="14" borderId="77" xfId="0" applyNumberFormat="1" applyFill="1" applyBorder="1"/>
    <xf numFmtId="43" fontId="0" fillId="14" borderId="14" xfId="0" applyNumberFormat="1" applyFill="1" applyBorder="1"/>
    <xf numFmtId="0" fontId="0" fillId="0" borderId="65" xfId="0" applyBorder="1" applyAlignment="1">
      <alignment vertical="center"/>
    </xf>
    <xf numFmtId="166" fontId="0" fillId="9" borderId="56" xfId="1" applyNumberFormat="1" applyFont="1" applyFill="1" applyBorder="1" applyAlignment="1">
      <alignment vertical="center"/>
    </xf>
    <xf numFmtId="0" fontId="0" fillId="0" borderId="66" xfId="0" applyBorder="1" applyAlignment="1">
      <alignment vertical="center"/>
    </xf>
    <xf numFmtId="166" fontId="0" fillId="9" borderId="57" xfId="1" applyNumberFormat="1" applyFont="1" applyFill="1" applyBorder="1" applyAlignment="1">
      <alignment vertical="center"/>
    </xf>
    <xf numFmtId="166" fontId="0" fillId="9" borderId="57" xfId="0" applyNumberFormat="1" applyFill="1" applyBorder="1" applyAlignment="1">
      <alignment vertical="center"/>
    </xf>
    <xf numFmtId="10" fontId="0" fillId="9" borderId="57" xfId="2" applyNumberFormat="1" applyFont="1" applyFill="1" applyBorder="1" applyAlignment="1">
      <alignment vertical="center"/>
    </xf>
    <xf numFmtId="0" fontId="0" fillId="0" borderId="75" xfId="0" applyBorder="1" applyAlignment="1">
      <alignment vertical="center"/>
    </xf>
    <xf numFmtId="10" fontId="0" fillId="9" borderId="74" xfId="2" applyNumberFormat="1" applyFont="1" applyFill="1" applyBorder="1" applyAlignment="1">
      <alignment vertical="center"/>
    </xf>
    <xf numFmtId="0" fontId="0" fillId="0" borderId="37" xfId="0" applyBorder="1" applyAlignment="1">
      <alignment vertical="center"/>
    </xf>
    <xf numFmtId="9" fontId="0" fillId="0" borderId="0" xfId="2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78" xfId="0" applyFont="1" applyFill="1" applyBorder="1"/>
    <xf numFmtId="0" fontId="1" fillId="0" borderId="34" xfId="0" applyFont="1" applyBorder="1"/>
    <xf numFmtId="10" fontId="0" fillId="0" borderId="70" xfId="0" applyNumberFormat="1" applyBorder="1"/>
    <xf numFmtId="2" fontId="0" fillId="0" borderId="5" xfId="0" applyNumberFormat="1" applyBorder="1"/>
    <xf numFmtId="10" fontId="0" fillId="0" borderId="5" xfId="0" applyNumberFormat="1" applyBorder="1"/>
    <xf numFmtId="10" fontId="1" fillId="0" borderId="5" xfId="0" applyNumberFormat="1" applyFont="1" applyBorder="1"/>
    <xf numFmtId="10" fontId="1" fillId="0" borderId="26" xfId="2" applyNumberFormat="1" applyFont="1" applyBorder="1"/>
    <xf numFmtId="10" fontId="0" fillId="0" borderId="56" xfId="0" applyNumberFormat="1" applyBorder="1"/>
    <xf numFmtId="2" fontId="0" fillId="0" borderId="57" xfId="0" applyNumberFormat="1" applyBorder="1"/>
    <xf numFmtId="10" fontId="0" fillId="0" borderId="57" xfId="0" applyNumberFormat="1" applyBorder="1"/>
    <xf numFmtId="10" fontId="1" fillId="0" borderId="60" xfId="2" applyNumberFormat="1" applyFont="1" applyBorder="1"/>
    <xf numFmtId="43" fontId="0" fillId="14" borderId="75" xfId="0" applyNumberFormat="1" applyFill="1" applyBorder="1"/>
    <xf numFmtId="43" fontId="0" fillId="14" borderId="76" xfId="0" applyNumberFormat="1" applyFill="1" applyBorder="1"/>
    <xf numFmtId="44" fontId="0" fillId="0" borderId="49" xfId="0" applyNumberFormat="1" applyBorder="1"/>
    <xf numFmtId="10" fontId="1" fillId="0" borderId="60" xfId="0" applyNumberFormat="1" applyFont="1" applyBorder="1"/>
    <xf numFmtId="44" fontId="33" fillId="0" borderId="7" xfId="0" applyNumberFormat="1" applyFont="1" applyBorder="1"/>
    <xf numFmtId="182" fontId="1" fillId="4" borderId="75" xfId="2" quotePrefix="1" applyNumberFormat="1" applyFont="1" applyFill="1" applyBorder="1"/>
    <xf numFmtId="182" fontId="1" fillId="4" borderId="74" xfId="2" applyNumberFormat="1" applyFont="1" applyFill="1" applyBorder="1"/>
    <xf numFmtId="182" fontId="1" fillId="14" borderId="7" xfId="2" applyNumberFormat="1" applyFont="1" applyFill="1" applyBorder="1"/>
    <xf numFmtId="10" fontId="1" fillId="14" borderId="7" xfId="0" applyNumberFormat="1" applyFont="1" applyFill="1" applyBorder="1"/>
    <xf numFmtId="2" fontId="1" fillId="14" borderId="79" xfId="0" applyNumberFormat="1" applyFont="1" applyFill="1" applyBorder="1"/>
    <xf numFmtId="0" fontId="0" fillId="14" borderId="58" xfId="0" applyFill="1" applyBorder="1"/>
    <xf numFmtId="43" fontId="0" fillId="0" borderId="13" xfId="0" applyNumberFormat="1" applyBorder="1"/>
    <xf numFmtId="166" fontId="0" fillId="15" borderId="49" xfId="0" applyNumberFormat="1" applyFill="1" applyBorder="1"/>
    <xf numFmtId="0" fontId="1" fillId="0" borderId="74" xfId="0" applyFont="1" applyBorder="1"/>
    <xf numFmtId="43" fontId="0" fillId="15" borderId="75" xfId="0" applyNumberFormat="1" applyFill="1" applyBorder="1"/>
    <xf numFmtId="43" fontId="0" fillId="15" borderId="76" xfId="0" applyNumberFormat="1" applyFill="1" applyBorder="1"/>
    <xf numFmtId="0" fontId="1" fillId="4" borderId="79" xfId="0" applyFont="1" applyFill="1" applyBorder="1" applyAlignment="1">
      <alignment vertical="center" wrapText="1"/>
    </xf>
    <xf numFmtId="2" fontId="1" fillId="14" borderId="79" xfId="0" applyNumberFormat="1" applyFont="1" applyFill="1" applyBorder="1" applyAlignment="1">
      <alignment vertical="center"/>
    </xf>
    <xf numFmtId="0" fontId="1" fillId="14" borderId="65" xfId="0" applyFont="1" applyFill="1" applyBorder="1"/>
    <xf numFmtId="0" fontId="0" fillId="14" borderId="66" xfId="0" applyFill="1" applyBorder="1"/>
    <xf numFmtId="10" fontId="0" fillId="14" borderId="66" xfId="2" applyNumberFormat="1" applyFont="1" applyFill="1" applyBorder="1"/>
    <xf numFmtId="0" fontId="0" fillId="0" borderId="52" xfId="0" applyBorder="1"/>
    <xf numFmtId="179" fontId="0" fillId="0" borderId="6" xfId="0" applyNumberFormat="1" applyBorder="1"/>
    <xf numFmtId="179" fontId="29" fillId="0" borderId="6" xfId="0" applyNumberFormat="1" applyFont="1" applyBorder="1"/>
    <xf numFmtId="179" fontId="29" fillId="0" borderId="26" xfId="0" applyNumberFormat="1" applyFont="1" applyBorder="1"/>
    <xf numFmtId="10" fontId="0" fillId="14" borderId="80" xfId="2" applyNumberFormat="1" applyFont="1" applyFill="1" applyBorder="1"/>
    <xf numFmtId="2" fontId="0" fillId="0" borderId="81" xfId="0" applyNumberFormat="1" applyBorder="1"/>
    <xf numFmtId="10" fontId="0" fillId="0" borderId="53" xfId="2" applyNumberFormat="1" applyFont="1" applyBorder="1"/>
    <xf numFmtId="179" fontId="0" fillId="0" borderId="63" xfId="0" applyNumberFormat="1" applyBorder="1"/>
    <xf numFmtId="179" fontId="0" fillId="0" borderId="11" xfId="0" applyNumberFormat="1" applyBorder="1"/>
    <xf numFmtId="179" fontId="29" fillId="0" borderId="11" xfId="0" applyNumberFormat="1" applyFont="1" applyBorder="1"/>
    <xf numFmtId="179" fontId="29" fillId="0" borderId="68" xfId="0" applyNumberFormat="1" applyFont="1" applyBorder="1"/>
    <xf numFmtId="10" fontId="1" fillId="14" borderId="13" xfId="2" applyNumberFormat="1" applyFont="1" applyFill="1" applyBorder="1"/>
    <xf numFmtId="2" fontId="0" fillId="0" borderId="10" xfId="0" applyNumberFormat="1" applyBorder="1"/>
    <xf numFmtId="10" fontId="0" fillId="14" borderId="7" xfId="2" applyNumberFormat="1" applyFont="1" applyFill="1" applyBorder="1"/>
    <xf numFmtId="10" fontId="0" fillId="14" borderId="49" xfId="2" applyNumberFormat="1" applyFont="1" applyFill="1" applyBorder="1"/>
    <xf numFmtId="180" fontId="0" fillId="14" borderId="49" xfId="2" applyNumberFormat="1" applyFont="1" applyFill="1" applyBorder="1"/>
    <xf numFmtId="10" fontId="0" fillId="14" borderId="7" xfId="2" quotePrefix="1" applyNumberFormat="1" applyFont="1" applyFill="1" applyBorder="1"/>
    <xf numFmtId="179" fontId="29" fillId="3" borderId="33" xfId="1" applyNumberFormat="1" applyFont="1" applyFill="1" applyBorder="1" applyAlignment="1">
      <alignment horizontal="center" vertical="center"/>
    </xf>
    <xf numFmtId="179" fontId="29" fillId="3" borderId="0" xfId="1" applyNumberFormat="1" applyFont="1" applyFill="1" applyBorder="1" applyAlignment="1">
      <alignment horizontal="center" vertical="center"/>
    </xf>
    <xf numFmtId="179" fontId="29" fillId="3" borderId="33" xfId="1" quotePrefix="1" applyNumberFormat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10" fontId="1" fillId="0" borderId="13" xfId="0" applyNumberFormat="1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" fillId="0" borderId="34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41" xfId="0" applyFont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9FFF7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114300</xdr:rowOff>
    </xdr:to>
    <xdr:sp macro="" textlink="">
      <xdr:nvSpPr>
        <xdr:cNvPr id="8193" name="AutoShape 1">
          <a:extLst>
            <a:ext uri="{FF2B5EF4-FFF2-40B4-BE49-F238E27FC236}">
              <a16:creationId xmlns:a16="http://schemas.microsoft.com/office/drawing/2014/main" id="{D8E72591-A3CC-9827-E1ED-1E97A0FA7D7C}"/>
            </a:ext>
          </a:extLst>
        </xdr:cNvPr>
        <xdr:cNvSpPr>
          <a:spLocks noChangeAspect="1" noChangeArrowheads="1"/>
        </xdr:cNvSpPr>
      </xdr:nvSpPr>
      <xdr:spPr bwMode="auto">
        <a:xfrm>
          <a:off x="5232400" y="38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114300</xdr:rowOff>
    </xdr:to>
    <xdr:sp macro="" textlink="">
      <xdr:nvSpPr>
        <xdr:cNvPr id="8194" name="AutoShape 2">
          <a:extLst>
            <a:ext uri="{FF2B5EF4-FFF2-40B4-BE49-F238E27FC236}">
              <a16:creationId xmlns:a16="http://schemas.microsoft.com/office/drawing/2014/main" id="{FBC48E1E-CC10-BEA1-7E97-DB9D1446F5D3}"/>
            </a:ext>
          </a:extLst>
        </xdr:cNvPr>
        <xdr:cNvSpPr>
          <a:spLocks noChangeAspect="1" noChangeArrowheads="1"/>
        </xdr:cNvSpPr>
      </xdr:nvSpPr>
      <xdr:spPr bwMode="auto">
        <a:xfrm>
          <a:off x="5232400" y="36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114300</xdr:rowOff>
    </xdr:to>
    <xdr:sp macro="" textlink="">
      <xdr:nvSpPr>
        <xdr:cNvPr id="8195" name="AutoShape 3">
          <a:extLst>
            <a:ext uri="{FF2B5EF4-FFF2-40B4-BE49-F238E27FC236}">
              <a16:creationId xmlns:a16="http://schemas.microsoft.com/office/drawing/2014/main" id="{163941D0-D838-0EA8-F7A0-B790E54A61E9}"/>
            </a:ext>
          </a:extLst>
        </xdr:cNvPr>
        <xdr:cNvSpPr>
          <a:spLocks noChangeAspect="1" noChangeArrowheads="1"/>
        </xdr:cNvSpPr>
      </xdr:nvSpPr>
      <xdr:spPr bwMode="auto">
        <a:xfrm>
          <a:off x="5232400" y="28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rsridhar/Desktop/Yanbu%20Ceme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rsridhar/Desktop/Saudi%20Ceramic%20Co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"/>
      <sheetName val="Things to do"/>
      <sheetName val="Notes"/>
      <sheetName val="Capacity"/>
      <sheetName val="DCF"/>
      <sheetName val="DDM"/>
      <sheetName val="EV per Ton"/>
      <sheetName val="Multiples"/>
      <sheetName val="Valuation Summary"/>
      <sheetName val="Replacement Value"/>
      <sheetName val="Debt"/>
      <sheetName val="Deprn"/>
      <sheetName val="Sheet1"/>
      <sheetName val="QC"/>
    </sheetNames>
    <sheetDataSet>
      <sheetData sheetId="0">
        <row r="35">
          <cell r="AK35" t="e">
            <v>#DIV/0!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"/>
      <sheetName val="Prelim"/>
      <sheetName val="Notes"/>
      <sheetName val="News"/>
      <sheetName val="Business Discription"/>
      <sheetName val="Operational"/>
      <sheetName val="Plants"/>
      <sheetName val="Deprn1"/>
      <sheetName val="Loans1"/>
      <sheetName val="Valuation DCF"/>
      <sheetName val="Valuation Multiple"/>
      <sheetName val="Valuation- DDM"/>
      <sheetName val="Observations"/>
      <sheetName val="Sheet2"/>
      <sheetName val="Bedourwork"/>
      <sheetName val="Market"/>
      <sheetName val="Sheet1"/>
    </sheetNames>
    <sheetDataSet>
      <sheetData sheetId="0" refreshError="1">
        <row r="120">
          <cell r="BF120">
            <v>16.345013333333334</v>
          </cell>
        </row>
        <row r="132">
          <cell r="BF132">
            <v>25.659931419502939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irish Venkateswaran" id="{DF2DE958-B927-F745-8C4F-A3E938163624}" userId="S::gva12@sfu.ca::d54cdc6e-812b-4878-8db3-774bf71510b4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7" dT="2024-01-20T22:25:04.47" personId="{DF2DE958-B927-F745-8C4F-A3E938163624}" id="{A1C91BFC-4269-1F4F-BD8D-6D64EB775B93}">
    <text>Netting out restricted cash in AR and other assets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1590-B944-4C28-94C4-5619093A32CE}">
  <sheetPr>
    <tabColor theme="3" tint="0.39997558519241921"/>
  </sheetPr>
  <dimension ref="D12"/>
  <sheetViews>
    <sheetView workbookViewId="0">
      <selection activeCell="E30" sqref="E30"/>
    </sheetView>
  </sheetViews>
  <sheetFormatPr baseColWidth="10" defaultColWidth="9.1640625" defaultRowHeight="15" x14ac:dyDescent="0.2"/>
  <cols>
    <col min="1" max="16384" width="9.1640625" style="166"/>
  </cols>
  <sheetData>
    <row r="12" spans="4:4" x14ac:dyDescent="0.2">
      <c r="D12" s="16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183"/>
  <sheetViews>
    <sheetView tabSelected="1" zoomScale="80" zoomScaleNormal="80" workbookViewId="0">
      <pane xSplit="2" ySplit="8" topLeftCell="AP9" activePane="bottomRight" state="frozen"/>
      <selection pane="topRight" activeCell="C1" sqref="C1"/>
      <selection pane="bottomLeft" activeCell="A9" sqref="A9"/>
      <selection pane="bottomRight" activeCell="AZ2" sqref="AZ2"/>
    </sheetView>
  </sheetViews>
  <sheetFormatPr baseColWidth="10" defaultColWidth="9.1640625" defaultRowHeight="15" outlineLevelCol="1" x14ac:dyDescent="0.2"/>
  <cols>
    <col min="1" max="1" width="12" style="63" customWidth="1"/>
    <col min="2" max="2" width="49" style="63" customWidth="1"/>
    <col min="3" max="5" width="12.6640625" style="63" hidden="1" customWidth="1" outlineLevel="1"/>
    <col min="6" max="6" width="8.33203125" style="63" hidden="1" customWidth="1" outlineLevel="1"/>
    <col min="7" max="11" width="12.6640625" style="63" hidden="1" customWidth="1" outlineLevel="1"/>
    <col min="12" max="12" width="12.6640625" style="63" hidden="1" customWidth="1" outlineLevel="1" collapsed="1"/>
    <col min="13" max="16" width="12.6640625" style="63" hidden="1" customWidth="1" outlineLevel="1"/>
    <col min="17" max="17" width="12.6640625" style="63" hidden="1" customWidth="1" outlineLevel="1" collapsed="1"/>
    <col min="18" max="21" width="12.6640625" style="63" hidden="1" customWidth="1" outlineLevel="1"/>
    <col min="22" max="22" width="12.6640625" style="63" hidden="1" customWidth="1" outlineLevel="1" collapsed="1"/>
    <col min="23" max="26" width="12.6640625" style="63" hidden="1" customWidth="1" outlineLevel="1"/>
    <col min="27" max="27" width="12.6640625" style="63" customWidth="1" collapsed="1"/>
    <col min="28" max="31" width="12.6640625" style="63" hidden="1" customWidth="1" outlineLevel="1"/>
    <col min="32" max="32" width="12.6640625" style="95" customWidth="1" collapsed="1"/>
    <col min="33" max="36" width="12.6640625" style="63" hidden="1" customWidth="1" outlineLevel="1"/>
    <col min="37" max="37" width="12.6640625" style="63" customWidth="1" collapsed="1"/>
    <col min="38" max="41" width="12.6640625" style="63" hidden="1" customWidth="1" outlineLevel="1"/>
    <col min="42" max="42" width="12.6640625" style="63" customWidth="1" collapsed="1"/>
    <col min="43" max="46" width="12.6640625" style="63" hidden="1" customWidth="1" outlineLevel="1"/>
    <col min="47" max="47" width="12.6640625" style="63" customWidth="1" collapsed="1"/>
    <col min="48" max="51" width="12.6640625" style="63" hidden="1" customWidth="1" outlineLevel="1"/>
    <col min="52" max="52" width="12.6640625" style="63" customWidth="1" collapsed="1"/>
    <col min="53" max="56" width="12.6640625" style="63" hidden="1" customWidth="1" outlineLevel="1"/>
    <col min="57" max="57" width="12.6640625" style="95" customWidth="1" collapsed="1"/>
    <col min="58" max="61" width="12.6640625" style="63" hidden="1" customWidth="1" outlineLevel="1"/>
    <col min="62" max="62" width="12.6640625" style="63" customWidth="1" collapsed="1"/>
    <col min="63" max="66" width="12.6640625" style="63" hidden="1" customWidth="1" outlineLevel="1"/>
    <col min="67" max="67" width="12.6640625" style="63" customWidth="1" collapsed="1"/>
    <col min="68" max="71" width="12.6640625" style="63" hidden="1" customWidth="1" outlineLevel="1"/>
    <col min="72" max="72" width="12.6640625" style="63" customWidth="1" collapsed="1"/>
    <col min="73" max="73" width="11.83203125" style="63" customWidth="1" outlineLevel="1"/>
    <col min="74" max="74" width="11.6640625" style="63" customWidth="1" outlineLevel="1"/>
    <col min="75" max="76" width="11.83203125" style="63" customWidth="1" outlineLevel="1"/>
    <col min="77" max="77" width="11.5" style="63" customWidth="1"/>
    <col min="78" max="78" width="9.5" style="63" hidden="1" customWidth="1" outlineLevel="1"/>
    <col min="79" max="81" width="0.1640625" style="63" hidden="1" customWidth="1" outlineLevel="1"/>
    <col min="82" max="82" width="11.83203125" style="63" customWidth="1" collapsed="1"/>
    <col min="83" max="83" width="20" style="63" hidden="1" customWidth="1" outlineLevel="1"/>
    <col min="84" max="84" width="14.33203125" style="63" hidden="1" customWidth="1" outlineLevel="1"/>
    <col min="85" max="85" width="7.5" style="63" hidden="1" customWidth="1" outlineLevel="1"/>
    <col min="86" max="86" width="12.1640625" style="63" hidden="1" customWidth="1" outlineLevel="1"/>
    <col min="87" max="87" width="12.6640625" style="63" customWidth="1" collapsed="1"/>
    <col min="88" max="88" width="22.5" style="63" hidden="1" customWidth="1" outlineLevel="1"/>
    <col min="89" max="89" width="23.5" style="63" hidden="1" customWidth="1" outlineLevel="1"/>
    <col min="90" max="90" width="16.83203125" style="63" hidden="1" customWidth="1" outlineLevel="1"/>
    <col min="91" max="91" width="10.83203125" style="63" hidden="1" customWidth="1" outlineLevel="1"/>
    <col min="92" max="92" width="12.6640625" style="63" customWidth="1" collapsed="1"/>
    <col min="93" max="93" width="18.6640625" style="63" hidden="1" customWidth="1" outlineLevel="1"/>
    <col min="94" max="94" width="15.6640625" style="63" hidden="1" customWidth="1" outlineLevel="1"/>
    <col min="95" max="95" width="16.6640625" style="63" hidden="1" customWidth="1" outlineLevel="1"/>
    <col min="96" max="96" width="12.5" style="63" hidden="1" customWidth="1" outlineLevel="1"/>
    <col min="97" max="97" width="12.6640625" style="63" customWidth="1" collapsed="1"/>
    <col min="98" max="98" width="20.6640625" style="63" hidden="1" customWidth="1" outlineLevel="1"/>
    <col min="99" max="99" width="27.6640625" style="63" hidden="1" customWidth="1" outlineLevel="1"/>
    <col min="100" max="100" width="25.1640625" style="63" hidden="1" customWidth="1" outlineLevel="1"/>
    <col min="101" max="101" width="23.33203125" style="63" hidden="1" customWidth="1" outlineLevel="1"/>
    <col min="102" max="102" width="12.6640625" style="63" customWidth="1" collapsed="1"/>
    <col min="103" max="16384" width="9.1640625" style="63"/>
  </cols>
  <sheetData>
    <row r="1" spans="1:102" x14ac:dyDescent="0.2">
      <c r="A1" s="94" t="s">
        <v>1</v>
      </c>
      <c r="B1" s="94" t="s">
        <v>459</v>
      </c>
    </row>
    <row r="2" spans="1:102" x14ac:dyDescent="0.2">
      <c r="A2" s="94" t="s">
        <v>460</v>
      </c>
      <c r="B2" s="96">
        <v>45291</v>
      </c>
    </row>
    <row r="3" spans="1:102" x14ac:dyDescent="0.2">
      <c r="A3" s="94" t="s">
        <v>3</v>
      </c>
      <c r="B3" s="94" t="s">
        <v>463</v>
      </c>
    </row>
    <row r="4" spans="1:102" x14ac:dyDescent="0.2">
      <c r="A4" s="94" t="s">
        <v>4</v>
      </c>
      <c r="B4" s="100">
        <v>45351</v>
      </c>
    </row>
    <row r="5" spans="1:102" x14ac:dyDescent="0.2">
      <c r="A5" s="66" t="s">
        <v>5</v>
      </c>
      <c r="B5" s="66" t="s">
        <v>6</v>
      </c>
      <c r="AK5" s="95"/>
      <c r="AV5" s="103"/>
      <c r="BJ5" s="95"/>
      <c r="BY5" s="95"/>
    </row>
    <row r="6" spans="1:102" x14ac:dyDescent="0.2">
      <c r="A6" s="66" t="s">
        <v>7</v>
      </c>
      <c r="B6" s="66" t="s">
        <v>8</v>
      </c>
      <c r="AH6" s="104"/>
      <c r="AK6" s="95"/>
      <c r="AW6" s="95"/>
      <c r="BG6" s="104"/>
      <c r="BJ6" s="95"/>
    </row>
    <row r="7" spans="1:102" x14ac:dyDescent="0.2"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</row>
    <row r="8" spans="1:102" x14ac:dyDescent="0.2">
      <c r="A8" s="94" t="s">
        <v>9</v>
      </c>
      <c r="B8" s="94" t="s">
        <v>10</v>
      </c>
      <c r="C8" s="64" t="str">
        <f>"Q1-"&amp;G8</f>
        <v>Q1-2001</v>
      </c>
      <c r="D8" s="64" t="str">
        <f>"Q2-"&amp;G8</f>
        <v>Q2-2001</v>
      </c>
      <c r="E8" s="64" t="str">
        <f>"Q3-"&amp;G8</f>
        <v>Q3-2001</v>
      </c>
      <c r="F8" s="64" t="str">
        <f>"Q4-"&amp;G8</f>
        <v>Q4-2001</v>
      </c>
      <c r="G8" s="108">
        <v>2001</v>
      </c>
      <c r="H8" s="64" t="str">
        <f>"Q1-"&amp;L8</f>
        <v>Q1-2002</v>
      </c>
      <c r="I8" s="64" t="str">
        <f>"Q2-"&amp;L8</f>
        <v>Q2-2002</v>
      </c>
      <c r="J8" s="64" t="str">
        <f>"Q3-"&amp;L8</f>
        <v>Q3-2002</v>
      </c>
      <c r="K8" s="64" t="str">
        <f>"Q4-"&amp;L8</f>
        <v>Q4-2002</v>
      </c>
      <c r="L8" s="108">
        <f>+G8+1</f>
        <v>2002</v>
      </c>
      <c r="M8" s="64" t="str">
        <f>"Q1-"&amp;Q8</f>
        <v>Q1-2003</v>
      </c>
      <c r="N8" s="64" t="str">
        <f>"Q2-"&amp;Q8</f>
        <v>Q2-2003</v>
      </c>
      <c r="O8" s="64" t="str">
        <f>"Q3-"&amp;Q8</f>
        <v>Q3-2003</v>
      </c>
      <c r="P8" s="64" t="str">
        <f>"Q4-"&amp;Q8</f>
        <v>Q4-2003</v>
      </c>
      <c r="Q8" s="108">
        <f>+L8+1</f>
        <v>2003</v>
      </c>
      <c r="R8" s="64" t="str">
        <f>"Q1-"&amp;V8</f>
        <v>Q1-2004</v>
      </c>
      <c r="S8" s="64" t="str">
        <f>"Q2-"&amp;V8</f>
        <v>Q2-2004</v>
      </c>
      <c r="T8" s="64" t="str">
        <f>"Q3-"&amp;V8</f>
        <v>Q3-2004</v>
      </c>
      <c r="U8" s="64" t="str">
        <f>"Q4-"&amp;V8</f>
        <v>Q4-2004</v>
      </c>
      <c r="V8" s="108">
        <f>+Q8+1</f>
        <v>2004</v>
      </c>
      <c r="W8" s="64" t="str">
        <f>"Q1-"&amp;AA8</f>
        <v>Q1-2013</v>
      </c>
      <c r="X8" s="64" t="str">
        <f>"Q2-"&amp;AA8</f>
        <v>Q2-2013</v>
      </c>
      <c r="Y8" s="64" t="str">
        <f>"Q3-"&amp;AA8</f>
        <v>Q3-2013</v>
      </c>
      <c r="Z8" s="64" t="str">
        <f>"Q4-"&amp;AA8</f>
        <v>Q4-2013</v>
      </c>
      <c r="AA8" s="108">
        <v>2013</v>
      </c>
      <c r="AB8" s="64" t="str">
        <f>"Q1-"&amp;AF8</f>
        <v>Q1-2014</v>
      </c>
      <c r="AC8" s="64" t="str">
        <f>"Q2-"&amp;AF8</f>
        <v>Q2-2014</v>
      </c>
      <c r="AD8" s="64" t="str">
        <f>"Q3-"&amp;AF8</f>
        <v>Q3-2014</v>
      </c>
      <c r="AE8" s="64" t="str">
        <f>"Q4-"&amp;AF8</f>
        <v>Q4-2014</v>
      </c>
      <c r="AF8" s="108">
        <f>+AA8+1</f>
        <v>2014</v>
      </c>
      <c r="AG8" s="64" t="str">
        <f>"Q1-"&amp;AK8</f>
        <v>Q1-2015</v>
      </c>
      <c r="AH8" s="64" t="str">
        <f>"Q2-"&amp;AK8</f>
        <v>Q2-2015</v>
      </c>
      <c r="AI8" s="64" t="str">
        <f>"Q3-"&amp;AK8</f>
        <v>Q3-2015</v>
      </c>
      <c r="AJ8" s="64" t="str">
        <f>"Q4-"&amp;AK8</f>
        <v>Q4-2015</v>
      </c>
      <c r="AK8" s="108">
        <f>+AF8+1</f>
        <v>2015</v>
      </c>
      <c r="AL8" s="64" t="str">
        <f>"Q1-"&amp;AP8</f>
        <v>Q1-2016</v>
      </c>
      <c r="AM8" s="64" t="str">
        <f>"Q2-"&amp;AP8</f>
        <v>Q2-2016</v>
      </c>
      <c r="AN8" s="64" t="str">
        <f>"Q3-"&amp;AP8</f>
        <v>Q3-2016</v>
      </c>
      <c r="AO8" s="64" t="str">
        <f>"Q4-"&amp;AP8</f>
        <v>Q4-2016</v>
      </c>
      <c r="AP8" s="108">
        <f>+AK8+1</f>
        <v>2016</v>
      </c>
      <c r="AQ8" s="64" t="str">
        <f>"Q1-"&amp;AU8</f>
        <v>Q1-2017</v>
      </c>
      <c r="AR8" s="64" t="str">
        <f>"Q2-"&amp;AU8</f>
        <v>Q2-2017</v>
      </c>
      <c r="AS8" s="64" t="str">
        <f>"Q3-"&amp;AU8</f>
        <v>Q3-2017</v>
      </c>
      <c r="AT8" s="64" t="str">
        <f>"Q4-"&amp;AU8</f>
        <v>Q4-2017</v>
      </c>
      <c r="AU8" s="108">
        <f>+AP8+1</f>
        <v>2017</v>
      </c>
      <c r="AV8" s="64" t="str">
        <f>"Q1-"&amp;AZ8</f>
        <v>Q1-2018</v>
      </c>
      <c r="AW8" s="64" t="str">
        <f>"Q2-"&amp;AZ8</f>
        <v>Q2-2018</v>
      </c>
      <c r="AX8" s="64" t="str">
        <f>"Q3-"&amp;AZ8</f>
        <v>Q3-2018</v>
      </c>
      <c r="AY8" s="64" t="str">
        <f>"Q4-"&amp;AZ8</f>
        <v>Q4-2018</v>
      </c>
      <c r="AZ8" s="108">
        <v>2018</v>
      </c>
      <c r="BA8" s="64" t="str">
        <f>"Q1-"&amp;BE8</f>
        <v>Q1-2019</v>
      </c>
      <c r="BB8" s="64" t="str">
        <f>"Q2-"&amp;BE8</f>
        <v>Q2-2019</v>
      </c>
      <c r="BC8" s="64" t="str">
        <f>"Q3-"&amp;BE8</f>
        <v>Q3-2019</v>
      </c>
      <c r="BD8" s="64" t="str">
        <f>"Q4-"&amp;BE8</f>
        <v>Q4-2019</v>
      </c>
      <c r="BE8" s="108">
        <f>+AZ8+1</f>
        <v>2019</v>
      </c>
      <c r="BF8" s="64" t="str">
        <f>"Q1-"&amp;BJ8</f>
        <v>Q1-2020</v>
      </c>
      <c r="BG8" s="64" t="str">
        <f>"Q2-"&amp;BJ8</f>
        <v>Q2-2020</v>
      </c>
      <c r="BH8" s="64" t="str">
        <f>"Q3-"&amp;BJ8</f>
        <v>Q3-2020</v>
      </c>
      <c r="BI8" s="64" t="str">
        <f>"Q4-"&amp;BJ8</f>
        <v>Q4-2020</v>
      </c>
      <c r="BJ8" s="108">
        <f>+BE8+1</f>
        <v>2020</v>
      </c>
      <c r="BK8" s="64" t="str">
        <f>"Q1-"&amp;BO8</f>
        <v>Q1-2021</v>
      </c>
      <c r="BL8" s="64" t="str">
        <f>"Q2-"&amp;BO8</f>
        <v>Q2-2021</v>
      </c>
      <c r="BM8" s="64" t="str">
        <f>"Q3-"&amp;BO8</f>
        <v>Q3-2021</v>
      </c>
      <c r="BN8" s="64" t="str">
        <f>"Q4-"&amp;BO8</f>
        <v>Q4-2021</v>
      </c>
      <c r="BO8" s="108">
        <f>+BJ8+1</f>
        <v>2021</v>
      </c>
      <c r="BP8" s="64" t="str">
        <f>"Q1-"&amp;BT8</f>
        <v>Q1-2022</v>
      </c>
      <c r="BQ8" s="64" t="str">
        <f>"Q2-"&amp;BT8</f>
        <v>Q2-2022</v>
      </c>
      <c r="BR8" s="64" t="str">
        <f>"Q3-"&amp;BT8</f>
        <v>Q3-2022</v>
      </c>
      <c r="BS8" s="64" t="str">
        <f>"Q4-"&amp;BT8</f>
        <v>Q4-2022</v>
      </c>
      <c r="BT8" s="108">
        <f>+BO8+1</f>
        <v>2022</v>
      </c>
      <c r="BU8" s="64" t="str">
        <f>"Q1-"&amp;BY8</f>
        <v>Q1-2023</v>
      </c>
      <c r="BV8" s="64" t="str">
        <f>"Q2-"&amp;BY8</f>
        <v>Q2-2023</v>
      </c>
      <c r="BW8" s="64" t="str">
        <f>"Q3-"&amp;BY8</f>
        <v>Q3-2023</v>
      </c>
      <c r="BX8" s="318" t="str">
        <f>"Q4-"&amp;BY8</f>
        <v>Q4-2023</v>
      </c>
      <c r="BY8" s="324">
        <f>+BT8+1</f>
        <v>2023</v>
      </c>
      <c r="BZ8" s="192" t="str">
        <f>"Q1-"&amp;CD8</f>
        <v>Q1-2024</v>
      </c>
      <c r="CA8" s="192" t="str">
        <f>"Q2-"&amp;CD8</f>
        <v>Q2-2024</v>
      </c>
      <c r="CB8" s="192" t="str">
        <f>"Q3-"&amp;CD8</f>
        <v>Q3-2024</v>
      </c>
      <c r="CC8" s="192" t="str">
        <f>"Q4-"&amp;CD8</f>
        <v>Q4-2024</v>
      </c>
      <c r="CD8" s="191">
        <f>+BY8+1</f>
        <v>2024</v>
      </c>
      <c r="CE8" s="192"/>
      <c r="CF8" s="192"/>
      <c r="CG8" s="192"/>
      <c r="CH8" s="192"/>
      <c r="CI8" s="191">
        <f>+CD8+1</f>
        <v>2025</v>
      </c>
      <c r="CJ8" s="192"/>
      <c r="CK8" s="192"/>
      <c r="CL8" s="192"/>
      <c r="CM8" s="192"/>
      <c r="CN8" s="191">
        <f>+CI8+1</f>
        <v>2026</v>
      </c>
      <c r="CO8" s="192"/>
      <c r="CP8" s="192"/>
      <c r="CQ8" s="192"/>
      <c r="CR8" s="192"/>
      <c r="CS8" s="191">
        <f>+CN8+1</f>
        <v>2027</v>
      </c>
      <c r="CT8" s="192"/>
      <c r="CU8" s="192"/>
      <c r="CV8" s="192"/>
      <c r="CW8" s="192"/>
      <c r="CX8" s="191">
        <f>+CS8+1</f>
        <v>2028</v>
      </c>
    </row>
    <row r="9" spans="1:102" x14ac:dyDescent="0.2">
      <c r="B9" s="63" t="s">
        <v>11</v>
      </c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94">
        <v>74452</v>
      </c>
      <c r="AB9" s="194"/>
      <c r="AC9" s="194"/>
      <c r="AD9" s="194"/>
      <c r="AE9" s="194"/>
      <c r="AF9" s="194">
        <v>88988</v>
      </c>
      <c r="AG9" s="194"/>
      <c r="AH9" s="194"/>
      <c r="AI9" s="194"/>
      <c r="AJ9" s="194"/>
      <c r="AK9" s="194">
        <v>107006</v>
      </c>
      <c r="AL9" s="194"/>
      <c r="AM9" s="194"/>
      <c r="AN9" s="194"/>
      <c r="AO9" s="194"/>
      <c r="AP9" s="194">
        <v>135987</v>
      </c>
      <c r="AQ9" s="194"/>
      <c r="AR9" s="194"/>
      <c r="AS9" s="194"/>
      <c r="AT9" s="194"/>
      <c r="AU9" s="194">
        <v>177866</v>
      </c>
      <c r="AV9" s="110"/>
      <c r="AW9" s="110"/>
      <c r="AX9" s="110"/>
      <c r="AY9" s="110"/>
      <c r="AZ9" s="194">
        <f>'Segmental Revenue'!G11</f>
        <v>232887</v>
      </c>
      <c r="BA9" s="194"/>
      <c r="BB9" s="194"/>
      <c r="BC9" s="194"/>
      <c r="BD9" s="194"/>
      <c r="BE9" s="194">
        <f>'Segmental Revenue'!H11</f>
        <v>280522</v>
      </c>
      <c r="BF9" s="194"/>
      <c r="BG9" s="194"/>
      <c r="BH9" s="194"/>
      <c r="BI9" s="194"/>
      <c r="BJ9" s="194">
        <f>'Segmental Revenue'!I11</f>
        <v>386064</v>
      </c>
      <c r="BK9" s="194"/>
      <c r="BL9" s="194"/>
      <c r="BM9" s="194"/>
      <c r="BN9" s="194"/>
      <c r="BO9" s="194">
        <f>'Segmental Revenue'!J11</f>
        <v>469822</v>
      </c>
      <c r="BP9" s="194"/>
      <c r="BQ9" s="194"/>
      <c r="BR9" s="194"/>
      <c r="BS9" s="194"/>
      <c r="BT9" s="194">
        <f>'Segmental Revenue'!K11</f>
        <v>513983</v>
      </c>
      <c r="BU9" s="194">
        <v>127358</v>
      </c>
      <c r="BV9" s="194">
        <v>134383</v>
      </c>
      <c r="BW9" s="194">
        <v>143083</v>
      </c>
      <c r="BX9" s="319">
        <v>169961</v>
      </c>
      <c r="BY9" s="194">
        <f>SUM(BU9:BX9)</f>
        <v>574785</v>
      </c>
      <c r="BZ9" s="227"/>
      <c r="CA9" s="227"/>
      <c r="CB9" s="227"/>
      <c r="CC9" s="227"/>
      <c r="CD9" s="227">
        <f>'Segmental Revenue'!M11</f>
        <v>638413.69949999999</v>
      </c>
      <c r="CE9" s="227"/>
      <c r="CF9" s="227"/>
      <c r="CG9" s="227"/>
      <c r="CH9" s="227"/>
      <c r="CI9" s="227">
        <f>'Segmental Revenue'!N11</f>
        <v>791894.26742635737</v>
      </c>
      <c r="CJ9" s="227"/>
      <c r="CK9" s="227"/>
      <c r="CL9" s="227"/>
      <c r="CM9" s="227"/>
      <c r="CN9" s="227">
        <f>'Segmental Revenue'!O11</f>
        <v>986867.98117921012</v>
      </c>
      <c r="CO9" s="227"/>
      <c r="CP9" s="227"/>
      <c r="CQ9" s="227"/>
      <c r="CR9" s="227"/>
      <c r="CS9" s="227">
        <f>'Segmental Revenue'!P11</f>
        <v>1235471.1861829089</v>
      </c>
      <c r="CT9" s="227"/>
      <c r="CU9" s="227"/>
      <c r="CV9" s="227"/>
      <c r="CW9" s="227"/>
      <c r="CX9" s="227">
        <f>'Segmental Revenue'!Q11</f>
        <v>1553561.9982693219</v>
      </c>
    </row>
    <row r="10" spans="1:102" x14ac:dyDescent="0.2">
      <c r="B10" s="63" t="s">
        <v>12</v>
      </c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94">
        <v>54181</v>
      </c>
      <c r="AB10" s="194"/>
      <c r="AC10" s="194"/>
      <c r="AD10" s="194"/>
      <c r="AE10" s="194"/>
      <c r="AF10" s="194">
        <v>62752</v>
      </c>
      <c r="AG10" s="194"/>
      <c r="AH10" s="194"/>
      <c r="AI10" s="194"/>
      <c r="AJ10" s="194"/>
      <c r="AK10" s="194">
        <v>71651</v>
      </c>
      <c r="AL10" s="194"/>
      <c r="AM10" s="194"/>
      <c r="AN10" s="194"/>
      <c r="AO10" s="194"/>
      <c r="AP10" s="194">
        <v>88265</v>
      </c>
      <c r="AQ10" s="194"/>
      <c r="AR10" s="194"/>
      <c r="AS10" s="194"/>
      <c r="AT10" s="194"/>
      <c r="AU10" s="194">
        <v>111934</v>
      </c>
      <c r="AV10" s="110"/>
      <c r="AW10" s="110"/>
      <c r="AX10" s="110"/>
      <c r="AY10" s="110"/>
      <c r="AZ10" s="194">
        <v>139156</v>
      </c>
      <c r="BA10" s="194"/>
      <c r="BB10" s="194"/>
      <c r="BC10" s="194"/>
      <c r="BD10" s="194"/>
      <c r="BE10" s="194">
        <v>165536</v>
      </c>
      <c r="BF10" s="194"/>
      <c r="BG10" s="194"/>
      <c r="BH10" s="194"/>
      <c r="BI10" s="194"/>
      <c r="BJ10" s="194">
        <v>233307</v>
      </c>
      <c r="BK10" s="194"/>
      <c r="BL10" s="194"/>
      <c r="BM10" s="194"/>
      <c r="BN10" s="194"/>
      <c r="BO10" s="194">
        <v>272344</v>
      </c>
      <c r="BP10" s="194"/>
      <c r="BQ10" s="194"/>
      <c r="BR10" s="194"/>
      <c r="BS10" s="194"/>
      <c r="BT10" s="194">
        <v>288831</v>
      </c>
      <c r="BU10" s="194">
        <v>67791</v>
      </c>
      <c r="BV10" s="194">
        <v>69373</v>
      </c>
      <c r="BW10" s="194">
        <v>75022</v>
      </c>
      <c r="BX10" s="319">
        <v>92553</v>
      </c>
      <c r="BY10" s="194">
        <f>SUM(BU10:BX10)</f>
        <v>304739</v>
      </c>
      <c r="BZ10" s="227"/>
      <c r="CA10" s="227"/>
      <c r="CB10" s="227"/>
      <c r="CC10" s="227"/>
      <c r="CD10" s="227">
        <f>CD9*'As % of Revenue'!$C$2</f>
        <v>397246.33938177099</v>
      </c>
      <c r="CE10" s="227"/>
      <c r="CF10" s="227"/>
      <c r="CG10" s="227"/>
      <c r="CH10" s="227"/>
      <c r="CI10" s="227">
        <f>CI9*'As % of Revenue'!$C$2</f>
        <v>492748.03964718129</v>
      </c>
      <c r="CJ10" s="227"/>
      <c r="CK10" s="227"/>
      <c r="CL10" s="227"/>
      <c r="CM10" s="227"/>
      <c r="CN10" s="227">
        <f>CN9*'As % of Revenue'!$C$2</f>
        <v>614068.42190816684</v>
      </c>
      <c r="CO10" s="227"/>
      <c r="CP10" s="227"/>
      <c r="CQ10" s="227"/>
      <c r="CR10" s="227"/>
      <c r="CS10" s="227">
        <f>CS9*'As % of Revenue'!$C$2</f>
        <v>768759.20192062703</v>
      </c>
      <c r="CT10" s="227"/>
      <c r="CU10" s="227"/>
      <c r="CV10" s="227"/>
      <c r="CW10" s="227"/>
      <c r="CX10" s="227">
        <f>CX9*'As % of Revenue'!$C$2</f>
        <v>966687.92868709005</v>
      </c>
    </row>
    <row r="11" spans="1:102" x14ac:dyDescent="0.2">
      <c r="A11" s="111"/>
      <c r="B11" s="111" t="s">
        <v>13</v>
      </c>
      <c r="C11" s="112">
        <f t="shared" ref="C11:AY11" si="0">C9-C10</f>
        <v>0</v>
      </c>
      <c r="D11" s="112">
        <f t="shared" si="0"/>
        <v>0</v>
      </c>
      <c r="E11" s="112">
        <f t="shared" si="0"/>
        <v>0</v>
      </c>
      <c r="F11" s="112">
        <f t="shared" si="0"/>
        <v>0</v>
      </c>
      <c r="G11" s="112">
        <f t="shared" si="0"/>
        <v>0</v>
      </c>
      <c r="H11" s="112">
        <f t="shared" si="0"/>
        <v>0</v>
      </c>
      <c r="I11" s="112">
        <f t="shared" si="0"/>
        <v>0</v>
      </c>
      <c r="J11" s="112">
        <f t="shared" si="0"/>
        <v>0</v>
      </c>
      <c r="K11" s="112">
        <f t="shared" si="0"/>
        <v>0</v>
      </c>
      <c r="L11" s="112">
        <f t="shared" si="0"/>
        <v>0</v>
      </c>
      <c r="M11" s="112">
        <f t="shared" si="0"/>
        <v>0</v>
      </c>
      <c r="N11" s="112">
        <f t="shared" si="0"/>
        <v>0</v>
      </c>
      <c r="O11" s="112">
        <f t="shared" si="0"/>
        <v>0</v>
      </c>
      <c r="P11" s="112">
        <f t="shared" si="0"/>
        <v>0</v>
      </c>
      <c r="Q11" s="112">
        <f t="shared" si="0"/>
        <v>0</v>
      </c>
      <c r="R11" s="112">
        <f t="shared" si="0"/>
        <v>0</v>
      </c>
      <c r="S11" s="112">
        <f t="shared" si="0"/>
        <v>0</v>
      </c>
      <c r="T11" s="112">
        <f t="shared" si="0"/>
        <v>0</v>
      </c>
      <c r="U11" s="112">
        <f t="shared" si="0"/>
        <v>0</v>
      </c>
      <c r="V11" s="112">
        <f t="shared" si="0"/>
        <v>0</v>
      </c>
      <c r="W11" s="112">
        <f t="shared" si="0"/>
        <v>0</v>
      </c>
      <c r="X11" s="112">
        <f t="shared" si="0"/>
        <v>0</v>
      </c>
      <c r="Y11" s="112">
        <f t="shared" si="0"/>
        <v>0</v>
      </c>
      <c r="Z11" s="112">
        <f t="shared" si="0"/>
        <v>0</v>
      </c>
      <c r="AA11" s="195">
        <f t="shared" si="0"/>
        <v>20271</v>
      </c>
      <c r="AB11" s="195">
        <f t="shared" si="0"/>
        <v>0</v>
      </c>
      <c r="AC11" s="195">
        <f t="shared" si="0"/>
        <v>0</v>
      </c>
      <c r="AD11" s="195">
        <f t="shared" si="0"/>
        <v>0</v>
      </c>
      <c r="AE11" s="195">
        <f t="shared" si="0"/>
        <v>0</v>
      </c>
      <c r="AF11" s="195">
        <f t="shared" si="0"/>
        <v>26236</v>
      </c>
      <c r="AG11" s="195">
        <f t="shared" si="0"/>
        <v>0</v>
      </c>
      <c r="AH11" s="195">
        <f t="shared" si="0"/>
        <v>0</v>
      </c>
      <c r="AI11" s="195">
        <f t="shared" si="0"/>
        <v>0</v>
      </c>
      <c r="AJ11" s="195">
        <f t="shared" si="0"/>
        <v>0</v>
      </c>
      <c r="AK11" s="195">
        <f t="shared" si="0"/>
        <v>35355</v>
      </c>
      <c r="AL11" s="195">
        <f t="shared" si="0"/>
        <v>0</v>
      </c>
      <c r="AM11" s="195">
        <f t="shared" si="0"/>
        <v>0</v>
      </c>
      <c r="AN11" s="195">
        <f t="shared" si="0"/>
        <v>0</v>
      </c>
      <c r="AO11" s="195">
        <f t="shared" si="0"/>
        <v>0</v>
      </c>
      <c r="AP11" s="195">
        <f t="shared" si="0"/>
        <v>47722</v>
      </c>
      <c r="AQ11" s="195">
        <f t="shared" si="0"/>
        <v>0</v>
      </c>
      <c r="AR11" s="195">
        <f t="shared" si="0"/>
        <v>0</v>
      </c>
      <c r="AS11" s="195">
        <f t="shared" si="0"/>
        <v>0</v>
      </c>
      <c r="AT11" s="195">
        <f t="shared" si="0"/>
        <v>0</v>
      </c>
      <c r="AU11" s="195">
        <f t="shared" si="0"/>
        <v>65932</v>
      </c>
      <c r="AV11" s="195">
        <f t="shared" si="0"/>
        <v>0</v>
      </c>
      <c r="AW11" s="195">
        <f t="shared" si="0"/>
        <v>0</v>
      </c>
      <c r="AX11" s="195">
        <f t="shared" si="0"/>
        <v>0</v>
      </c>
      <c r="AY11" s="195">
        <f t="shared" si="0"/>
        <v>0</v>
      </c>
      <c r="AZ11" s="195">
        <f t="shared" ref="AZ11:CS11" si="1">AZ9-AZ10</f>
        <v>93731</v>
      </c>
      <c r="BA11" s="195">
        <f t="shared" si="1"/>
        <v>0</v>
      </c>
      <c r="BB11" s="195">
        <f t="shared" si="1"/>
        <v>0</v>
      </c>
      <c r="BC11" s="195">
        <f t="shared" si="1"/>
        <v>0</v>
      </c>
      <c r="BD11" s="195">
        <f t="shared" si="1"/>
        <v>0</v>
      </c>
      <c r="BE11" s="195">
        <f t="shared" si="1"/>
        <v>114986</v>
      </c>
      <c r="BF11" s="195">
        <f t="shared" si="1"/>
        <v>0</v>
      </c>
      <c r="BG11" s="195">
        <f t="shared" si="1"/>
        <v>0</v>
      </c>
      <c r="BH11" s="195">
        <f t="shared" si="1"/>
        <v>0</v>
      </c>
      <c r="BI11" s="195">
        <f t="shared" si="1"/>
        <v>0</v>
      </c>
      <c r="BJ11" s="195">
        <f t="shared" si="1"/>
        <v>152757</v>
      </c>
      <c r="BK11" s="195">
        <f t="shared" si="1"/>
        <v>0</v>
      </c>
      <c r="BL11" s="195">
        <f t="shared" si="1"/>
        <v>0</v>
      </c>
      <c r="BM11" s="195">
        <f t="shared" si="1"/>
        <v>0</v>
      </c>
      <c r="BN11" s="195">
        <f t="shared" si="1"/>
        <v>0</v>
      </c>
      <c r="BO11" s="195">
        <f t="shared" si="1"/>
        <v>197478</v>
      </c>
      <c r="BP11" s="195">
        <f t="shared" si="1"/>
        <v>0</v>
      </c>
      <c r="BQ11" s="195">
        <f t="shared" si="1"/>
        <v>0</v>
      </c>
      <c r="BR11" s="195">
        <f t="shared" si="1"/>
        <v>0</v>
      </c>
      <c r="BS11" s="195">
        <f t="shared" si="1"/>
        <v>0</v>
      </c>
      <c r="BT11" s="195">
        <f t="shared" si="1"/>
        <v>225152</v>
      </c>
      <c r="BU11" s="195">
        <f t="shared" si="1"/>
        <v>59567</v>
      </c>
      <c r="BV11" s="195">
        <f t="shared" si="1"/>
        <v>65010</v>
      </c>
      <c r="BW11" s="195">
        <f t="shared" si="1"/>
        <v>68061</v>
      </c>
      <c r="BX11" s="195">
        <f t="shared" si="1"/>
        <v>77408</v>
      </c>
      <c r="BY11" s="195">
        <f t="shared" si="1"/>
        <v>270046</v>
      </c>
      <c r="BZ11" s="195">
        <f t="shared" si="1"/>
        <v>0</v>
      </c>
      <c r="CA11" s="195">
        <f t="shared" si="1"/>
        <v>0</v>
      </c>
      <c r="CB11" s="195">
        <f t="shared" si="1"/>
        <v>0</v>
      </c>
      <c r="CC11" s="195">
        <f t="shared" si="1"/>
        <v>0</v>
      </c>
      <c r="CD11" s="195">
        <f t="shared" si="1"/>
        <v>241167.360118229</v>
      </c>
      <c r="CE11" s="195"/>
      <c r="CF11" s="195"/>
      <c r="CG11" s="195"/>
      <c r="CH11" s="195"/>
      <c r="CI11" s="195">
        <f t="shared" si="1"/>
        <v>299146.22777917609</v>
      </c>
      <c r="CJ11" s="195"/>
      <c r="CK11" s="195"/>
      <c r="CL11" s="195"/>
      <c r="CM11" s="195"/>
      <c r="CN11" s="195">
        <f t="shared" si="1"/>
        <v>372799.55927104328</v>
      </c>
      <c r="CO11" s="195"/>
      <c r="CP11" s="195"/>
      <c r="CQ11" s="195"/>
      <c r="CR11" s="195"/>
      <c r="CS11" s="195">
        <f t="shared" si="1"/>
        <v>466711.98426228191</v>
      </c>
      <c r="CT11" s="195"/>
      <c r="CU11" s="195"/>
      <c r="CV11" s="195"/>
      <c r="CW11" s="195"/>
      <c r="CX11" s="195">
        <f t="shared" ref="CX11" si="2">CX9-CX10</f>
        <v>586874.06958223181</v>
      </c>
    </row>
    <row r="12" spans="1:102" x14ac:dyDescent="0.2">
      <c r="B12" s="63" t="s">
        <v>14</v>
      </c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94">
        <v>3133</v>
      </c>
      <c r="AB12" s="194"/>
      <c r="AC12" s="194"/>
      <c r="AD12" s="194"/>
      <c r="AE12" s="194"/>
      <c r="AF12" s="194">
        <v>4332</v>
      </c>
      <c r="AG12" s="194"/>
      <c r="AH12" s="194"/>
      <c r="AI12" s="194"/>
      <c r="AJ12" s="194"/>
      <c r="AK12" s="194">
        <v>5254</v>
      </c>
      <c r="AL12" s="194"/>
      <c r="AM12" s="194"/>
      <c r="AN12" s="194"/>
      <c r="AO12" s="194"/>
      <c r="AP12" s="194">
        <v>7233</v>
      </c>
      <c r="AQ12" s="194"/>
      <c r="AR12" s="194"/>
      <c r="AS12" s="194"/>
      <c r="AT12" s="194"/>
      <c r="AU12" s="194">
        <v>10069</v>
      </c>
      <c r="AV12" s="110"/>
      <c r="AW12" s="110"/>
      <c r="AX12" s="110"/>
      <c r="AY12" s="110"/>
      <c r="AZ12" s="194">
        <v>13814</v>
      </c>
      <c r="BA12" s="194"/>
      <c r="BB12" s="194"/>
      <c r="BC12" s="194"/>
      <c r="BD12" s="194"/>
      <c r="BE12" s="194">
        <v>18878</v>
      </c>
      <c r="BF12" s="194"/>
      <c r="BG12" s="194"/>
      <c r="BH12" s="194"/>
      <c r="BI12" s="194"/>
      <c r="BJ12" s="194">
        <v>22008</v>
      </c>
      <c r="BK12" s="194"/>
      <c r="BL12" s="194"/>
      <c r="BM12" s="194"/>
      <c r="BN12" s="194"/>
      <c r="BO12" s="194">
        <v>32551</v>
      </c>
      <c r="BP12" s="194"/>
      <c r="BQ12" s="194"/>
      <c r="BR12" s="194"/>
      <c r="BS12" s="194"/>
      <c r="BT12" s="194">
        <v>42238</v>
      </c>
      <c r="BU12" s="194">
        <v>10172</v>
      </c>
      <c r="BV12" s="194">
        <v>10745</v>
      </c>
      <c r="BW12" s="194">
        <v>10551</v>
      </c>
      <c r="BX12" s="319">
        <v>12902</v>
      </c>
      <c r="BY12" s="194">
        <f>SUM(BU12:BX12)</f>
        <v>44370</v>
      </c>
      <c r="BZ12" s="227"/>
      <c r="CA12" s="227"/>
      <c r="CB12" s="227"/>
      <c r="CC12" s="227"/>
      <c r="CD12" s="227">
        <f>CD$9*'As % of Revenue'!$C$4</f>
        <v>38417.094597770731</v>
      </c>
      <c r="CE12" s="227">
        <f>CE$9*'As % of Revenue'!$C$4</f>
        <v>0</v>
      </c>
      <c r="CF12" s="227">
        <f>CF$9*'As % of Revenue'!$C$4</f>
        <v>0</v>
      </c>
      <c r="CG12" s="227">
        <f>CG$9*'As % of Revenue'!$C$4</f>
        <v>0</v>
      </c>
      <c r="CH12" s="227">
        <f>CH$9*'As % of Revenue'!$C$4</f>
        <v>0</v>
      </c>
      <c r="CI12" s="227">
        <f>CI$9*'As % of Revenue'!$C$4</f>
        <v>47652.920053214999</v>
      </c>
      <c r="CJ12" s="227">
        <f>CJ$9*'As % of Revenue'!$C$4</f>
        <v>0</v>
      </c>
      <c r="CK12" s="227">
        <f>CK$9*'As % of Revenue'!$C$4</f>
        <v>0</v>
      </c>
      <c r="CL12" s="227">
        <f>CL$9*'As % of Revenue'!$C$4</f>
        <v>0</v>
      </c>
      <c r="CM12" s="227">
        <f>CM$9*'As % of Revenue'!$C$4</f>
        <v>0</v>
      </c>
      <c r="CN12" s="227">
        <f>CN$9*'As % of Revenue'!$C$4</f>
        <v>59385.631320514512</v>
      </c>
      <c r="CO12" s="227">
        <f>CO$9*'As % of Revenue'!$C$4</f>
        <v>0</v>
      </c>
      <c r="CP12" s="227">
        <f>CP$9*'As % of Revenue'!$C$4</f>
        <v>0</v>
      </c>
      <c r="CQ12" s="227">
        <f>CQ$9*'As % of Revenue'!$C$4</f>
        <v>0</v>
      </c>
      <c r="CR12" s="227">
        <f>CR$9*'As % of Revenue'!$C$4</f>
        <v>0</v>
      </c>
      <c r="CS12" s="227">
        <f>CS$9*'As % of Revenue'!$C$4</f>
        <v>74345.543445545729</v>
      </c>
      <c r="CT12" s="227">
        <f>CT$9*'As % of Revenue'!$C$4</f>
        <v>0</v>
      </c>
      <c r="CU12" s="227">
        <f>CU$9*'As % of Revenue'!$C$4</f>
        <v>0</v>
      </c>
      <c r="CV12" s="227">
        <f>CV$9*'As % of Revenue'!$C$4</f>
        <v>0</v>
      </c>
      <c r="CW12" s="227">
        <f>CW$9*'As % of Revenue'!$C$4</f>
        <v>0</v>
      </c>
      <c r="CX12" s="227">
        <f>CX$9*'As % of Revenue'!$C$4</f>
        <v>93486.932216144065</v>
      </c>
    </row>
    <row r="13" spans="1:102" x14ac:dyDescent="0.2">
      <c r="B13" s="63" t="s">
        <v>443</v>
      </c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94">
        <v>1129</v>
      </c>
      <c r="AB13" s="194"/>
      <c r="AC13" s="194"/>
      <c r="AD13" s="194"/>
      <c r="AE13" s="194"/>
      <c r="AF13" s="194">
        <v>1552</v>
      </c>
      <c r="AG13" s="194"/>
      <c r="AH13" s="194"/>
      <c r="AI13" s="194"/>
      <c r="AJ13" s="194"/>
      <c r="AK13" s="194">
        <v>1747</v>
      </c>
      <c r="AL13" s="194"/>
      <c r="AM13" s="194"/>
      <c r="AN13" s="194"/>
      <c r="AO13" s="194"/>
      <c r="AP13" s="194">
        <v>2432</v>
      </c>
      <c r="AQ13" s="194"/>
      <c r="AR13" s="194"/>
      <c r="AS13" s="194"/>
      <c r="AT13" s="194"/>
      <c r="AU13" s="194">
        <v>3674</v>
      </c>
      <c r="AV13" s="110"/>
      <c r="AW13" s="110"/>
      <c r="AX13" s="110"/>
      <c r="AY13" s="110"/>
      <c r="AZ13" s="194">
        <v>4336</v>
      </c>
      <c r="BA13" s="194"/>
      <c r="BB13" s="194"/>
      <c r="BC13" s="194"/>
      <c r="BD13" s="194"/>
      <c r="BE13" s="194">
        <v>5203</v>
      </c>
      <c r="BF13" s="194"/>
      <c r="BG13" s="194"/>
      <c r="BH13" s="194"/>
      <c r="BI13" s="194"/>
      <c r="BJ13" s="194">
        <v>6668</v>
      </c>
      <c r="BK13" s="194"/>
      <c r="BL13" s="194"/>
      <c r="BM13" s="194"/>
      <c r="BN13" s="194"/>
      <c r="BO13" s="194">
        <v>8823</v>
      </c>
      <c r="BP13" s="194"/>
      <c r="BQ13" s="194"/>
      <c r="BR13" s="194"/>
      <c r="BS13" s="194"/>
      <c r="BT13" s="194">
        <v>11891</v>
      </c>
      <c r="BU13" s="194">
        <v>3043</v>
      </c>
      <c r="BV13" s="194">
        <v>3202</v>
      </c>
      <c r="BW13" s="194">
        <v>2561</v>
      </c>
      <c r="BX13" s="319">
        <v>3010</v>
      </c>
      <c r="BY13" s="194">
        <f t="shared" ref="BY13:BY16" si="3">SUM(BU13:BX13)</f>
        <v>11816</v>
      </c>
      <c r="BZ13" s="227"/>
      <c r="CA13" s="227"/>
      <c r="CB13" s="227"/>
      <c r="CC13" s="227"/>
      <c r="CD13" s="227">
        <f>CD$9*'As % of Revenue'!$C$5</f>
        <v>11861.751533750656</v>
      </c>
      <c r="CE13" s="227">
        <f>CE$9*'As % of Revenue'!$C$5</f>
        <v>0</v>
      </c>
      <c r="CF13" s="227">
        <f>CF$9*'As % of Revenue'!$C$5</f>
        <v>0</v>
      </c>
      <c r="CG13" s="227">
        <f>CG$9*'As % of Revenue'!$C$5</f>
        <v>0</v>
      </c>
      <c r="CH13" s="227">
        <f>CH$9*'As % of Revenue'!$C$5</f>
        <v>0</v>
      </c>
      <c r="CI13" s="227">
        <f>CI$9*'As % of Revenue'!$C$5</f>
        <v>14713.426495342534</v>
      </c>
      <c r="CJ13" s="227">
        <f>CJ$9*'As % of Revenue'!$C$5</f>
        <v>0</v>
      </c>
      <c r="CK13" s="227">
        <f>CK$9*'As % of Revenue'!$C$5</f>
        <v>0</v>
      </c>
      <c r="CL13" s="227">
        <f>CL$9*'As % of Revenue'!$C$5</f>
        <v>0</v>
      </c>
      <c r="CM13" s="227">
        <f>CM$9*'As % of Revenue'!$C$5</f>
        <v>0</v>
      </c>
      <c r="CN13" s="227">
        <f>CN$9*'As % of Revenue'!$C$5</f>
        <v>18336.045731051716</v>
      </c>
      <c r="CO13" s="227">
        <f>CO$9*'As % of Revenue'!$C$5</f>
        <v>0</v>
      </c>
      <c r="CP13" s="227">
        <f>CP$9*'As % of Revenue'!$C$5</f>
        <v>0</v>
      </c>
      <c r="CQ13" s="227">
        <f>CQ$9*'As % of Revenue'!$C$5</f>
        <v>0</v>
      </c>
      <c r="CR13" s="227">
        <f>CR$9*'As % of Revenue'!$C$5</f>
        <v>0</v>
      </c>
      <c r="CS13" s="227">
        <f>CS$9*'As % of Revenue'!$C$5</f>
        <v>22955.10301406034</v>
      </c>
      <c r="CT13" s="227">
        <f>CT$9*'As % of Revenue'!$C$5</f>
        <v>0</v>
      </c>
      <c r="CU13" s="227">
        <f>CU$9*'As % of Revenue'!$C$5</f>
        <v>0</v>
      </c>
      <c r="CV13" s="227">
        <f>CV$9*'As % of Revenue'!$C$5</f>
        <v>0</v>
      </c>
      <c r="CW13" s="227">
        <f>CW$9*'As % of Revenue'!$C$5</f>
        <v>0</v>
      </c>
      <c r="CX13" s="227">
        <f>CX$9*'As % of Revenue'!$C$5</f>
        <v>28865.24275744785</v>
      </c>
    </row>
    <row r="14" spans="1:102" x14ac:dyDescent="0.2">
      <c r="B14" s="63" t="s">
        <v>15</v>
      </c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94">
        <v>8585</v>
      </c>
      <c r="AB14" s="194"/>
      <c r="AC14" s="194"/>
      <c r="AD14" s="194"/>
      <c r="AE14" s="194"/>
      <c r="AF14" s="194">
        <v>10766</v>
      </c>
      <c r="AG14" s="194"/>
      <c r="AH14" s="194"/>
      <c r="AI14" s="194"/>
      <c r="AJ14" s="194"/>
      <c r="AK14" s="194">
        <v>13410</v>
      </c>
      <c r="AL14" s="194"/>
      <c r="AM14" s="194"/>
      <c r="AN14" s="194"/>
      <c r="AO14" s="194"/>
      <c r="AP14" s="194">
        <v>17619</v>
      </c>
      <c r="AQ14" s="194"/>
      <c r="AR14" s="194"/>
      <c r="AS14" s="194"/>
      <c r="AT14" s="194"/>
      <c r="AU14" s="194">
        <v>25249</v>
      </c>
      <c r="AV14" s="110"/>
      <c r="AW14" s="110"/>
      <c r="AX14" s="110"/>
      <c r="AY14" s="110"/>
      <c r="AZ14" s="194">
        <v>34027</v>
      </c>
      <c r="BA14" s="194"/>
      <c r="BB14" s="194"/>
      <c r="BC14" s="194"/>
      <c r="BD14" s="194"/>
      <c r="BE14" s="194">
        <v>40232</v>
      </c>
      <c r="BF14" s="194"/>
      <c r="BG14" s="194"/>
      <c r="BH14" s="194"/>
      <c r="BI14" s="194"/>
      <c r="BJ14" s="194">
        <v>58517</v>
      </c>
      <c r="BK14" s="194"/>
      <c r="BL14" s="194"/>
      <c r="BM14" s="194"/>
      <c r="BN14" s="194"/>
      <c r="BO14" s="194">
        <v>75111</v>
      </c>
      <c r="BP14" s="194"/>
      <c r="BQ14" s="194"/>
      <c r="BR14" s="194"/>
      <c r="BS14" s="194"/>
      <c r="BT14" s="194">
        <v>84299</v>
      </c>
      <c r="BU14" s="194">
        <v>20905</v>
      </c>
      <c r="BV14" s="194">
        <v>21305</v>
      </c>
      <c r="BW14" s="194">
        <v>22314</v>
      </c>
      <c r="BX14" s="319">
        <v>26095</v>
      </c>
      <c r="BY14" s="194">
        <f t="shared" si="3"/>
        <v>90619</v>
      </c>
      <c r="BZ14" s="227"/>
      <c r="CA14" s="227"/>
      <c r="CB14" s="227"/>
      <c r="CC14" s="227"/>
      <c r="CD14" s="227">
        <f>CD$9*'As % of Revenue'!$C$6</f>
        <v>90293.27010461461</v>
      </c>
      <c r="CE14" s="227">
        <f>CE$9*'As % of Revenue'!$C$6</f>
        <v>0</v>
      </c>
      <c r="CF14" s="227">
        <f>CF$9*'As % of Revenue'!$C$6</f>
        <v>0</v>
      </c>
      <c r="CG14" s="227">
        <f>CG$9*'As % of Revenue'!$C$6</f>
        <v>0</v>
      </c>
      <c r="CH14" s="227">
        <f>CH$9*'As % of Revenue'!$C$6</f>
        <v>0</v>
      </c>
      <c r="CI14" s="227">
        <f>CI$9*'As % of Revenue'!$C$6</f>
        <v>112000.60875733761</v>
      </c>
      <c r="CJ14" s="227">
        <f>CJ$9*'As % of Revenue'!$C$6</f>
        <v>0</v>
      </c>
      <c r="CK14" s="227">
        <f>CK$9*'As % of Revenue'!$C$6</f>
        <v>0</v>
      </c>
      <c r="CL14" s="227">
        <f>CL$9*'As % of Revenue'!$C$6</f>
        <v>0</v>
      </c>
      <c r="CM14" s="227">
        <f>CM$9*'As % of Revenue'!$C$6</f>
        <v>0</v>
      </c>
      <c r="CN14" s="227">
        <f>CN$9*'As % of Revenue'!$C$6</f>
        <v>139576.48034808526</v>
      </c>
      <c r="CO14" s="227">
        <f>CO$9*'As % of Revenue'!$C$6</f>
        <v>0</v>
      </c>
      <c r="CP14" s="227">
        <f>CP$9*'As % of Revenue'!$C$6</f>
        <v>0</v>
      </c>
      <c r="CQ14" s="227">
        <f>CQ$9*'As % of Revenue'!$C$6</f>
        <v>0</v>
      </c>
      <c r="CR14" s="227">
        <f>CR$9*'As % of Revenue'!$C$6</f>
        <v>0</v>
      </c>
      <c r="CS14" s="227">
        <f>CS$9*'As % of Revenue'!$C$6</f>
        <v>174737.37422591448</v>
      </c>
      <c r="CT14" s="227">
        <f>CT$9*'As % of Revenue'!$C$6</f>
        <v>0</v>
      </c>
      <c r="CU14" s="227">
        <f>CU$9*'As % of Revenue'!$C$6</f>
        <v>0</v>
      </c>
      <c r="CV14" s="227">
        <f>CV$9*'As % of Revenue'!$C$6</f>
        <v>0</v>
      </c>
      <c r="CW14" s="227">
        <f>CW$9*'As % of Revenue'!$C$6</f>
        <v>0</v>
      </c>
      <c r="CX14" s="227">
        <f>CX$9*'As % of Revenue'!$C$6</f>
        <v>219726.16383993605</v>
      </c>
    </row>
    <row r="15" spans="1:102" x14ac:dyDescent="0.2">
      <c r="B15" s="63" t="s">
        <v>16</v>
      </c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94">
        <v>6565</v>
      </c>
      <c r="AB15" s="194"/>
      <c r="AC15" s="194"/>
      <c r="AD15" s="194"/>
      <c r="AE15" s="194"/>
      <c r="AF15" s="194">
        <v>9275</v>
      </c>
      <c r="AG15" s="194"/>
      <c r="AH15" s="194"/>
      <c r="AI15" s="194"/>
      <c r="AJ15" s="194"/>
      <c r="AK15" s="194">
        <v>12540</v>
      </c>
      <c r="AL15" s="194"/>
      <c r="AM15" s="194"/>
      <c r="AN15" s="194"/>
      <c r="AO15" s="194"/>
      <c r="AP15" s="194">
        <v>16085</v>
      </c>
      <c r="AQ15" s="194"/>
      <c r="AR15" s="194"/>
      <c r="AS15" s="194"/>
      <c r="AT15" s="194"/>
      <c r="AU15" s="194">
        <v>22620</v>
      </c>
      <c r="AV15" s="110"/>
      <c r="AW15" s="110"/>
      <c r="AX15" s="110"/>
      <c r="AY15" s="110"/>
      <c r="AZ15" s="194">
        <v>28837</v>
      </c>
      <c r="BA15" s="194"/>
      <c r="BB15" s="194"/>
      <c r="BC15" s="194"/>
      <c r="BD15" s="194"/>
      <c r="BE15" s="194">
        <v>35931</v>
      </c>
      <c r="BF15" s="194"/>
      <c r="BG15" s="194"/>
      <c r="BH15" s="194"/>
      <c r="BI15" s="194"/>
      <c r="BJ15" s="194">
        <v>42740</v>
      </c>
      <c r="BK15" s="194"/>
      <c r="BL15" s="194"/>
      <c r="BM15" s="194"/>
      <c r="BN15" s="194"/>
      <c r="BO15" s="194">
        <v>56052</v>
      </c>
      <c r="BP15" s="194"/>
      <c r="BQ15" s="194"/>
      <c r="BR15" s="194"/>
      <c r="BS15" s="194"/>
      <c r="BT15" s="194">
        <v>73213</v>
      </c>
      <c r="BU15" s="194">
        <v>20450</v>
      </c>
      <c r="BV15" s="194">
        <v>21931</v>
      </c>
      <c r="BW15" s="194">
        <v>21203</v>
      </c>
      <c r="BX15" s="319">
        <v>22038</v>
      </c>
      <c r="BY15" s="194">
        <f t="shared" si="3"/>
        <v>85622</v>
      </c>
      <c r="BZ15" s="227"/>
      <c r="CA15" s="227"/>
      <c r="CB15" s="227"/>
      <c r="CC15" s="227"/>
      <c r="CD15" s="227">
        <f>CD$9*'As % of Revenue'!$C$7</f>
        <v>77096.032848329269</v>
      </c>
      <c r="CE15" s="227">
        <f>CE$9*'As % of Revenue'!$C$7</f>
        <v>0</v>
      </c>
      <c r="CF15" s="227">
        <f>CF$9*'As % of Revenue'!$C$7</f>
        <v>0</v>
      </c>
      <c r="CG15" s="227">
        <f>CG$9*'As % of Revenue'!$C$7</f>
        <v>0</v>
      </c>
      <c r="CH15" s="227">
        <f>CH$9*'As % of Revenue'!$C$7</f>
        <v>0</v>
      </c>
      <c r="CI15" s="227">
        <f>CI$9*'As % of Revenue'!$C$7</f>
        <v>95630.633399191487</v>
      </c>
      <c r="CJ15" s="227">
        <f>CJ$9*'As % of Revenue'!$C$7</f>
        <v>0</v>
      </c>
      <c r="CK15" s="227">
        <f>CK$9*'As % of Revenue'!$C$7</f>
        <v>0</v>
      </c>
      <c r="CL15" s="227">
        <f>CL$9*'As % of Revenue'!$C$7</f>
        <v>0</v>
      </c>
      <c r="CM15" s="227">
        <f>CM$9*'As % of Revenue'!$C$7</f>
        <v>0</v>
      </c>
      <c r="CN15" s="227">
        <f>CN$9*'As % of Revenue'!$C$7</f>
        <v>119176.02387534101</v>
      </c>
      <c r="CO15" s="227">
        <f>CO$9*'As % of Revenue'!$C$7</f>
        <v>0</v>
      </c>
      <c r="CP15" s="227">
        <f>CP$9*'As % of Revenue'!$C$7</f>
        <v>0</v>
      </c>
      <c r="CQ15" s="227">
        <f>CQ$9*'As % of Revenue'!$C$7</f>
        <v>0</v>
      </c>
      <c r="CR15" s="227">
        <f>CR$9*'As % of Revenue'!$C$7</f>
        <v>0</v>
      </c>
      <c r="CS15" s="227">
        <f>CS$9*'As % of Revenue'!$C$7</f>
        <v>149197.81205779387</v>
      </c>
      <c r="CT15" s="227">
        <f>CT$9*'As % of Revenue'!$C$7</f>
        <v>0</v>
      </c>
      <c r="CU15" s="227">
        <f>CU$9*'As % of Revenue'!$C$7</f>
        <v>0</v>
      </c>
      <c r="CV15" s="227">
        <f>CV$9*'As % of Revenue'!$C$7</f>
        <v>0</v>
      </c>
      <c r="CW15" s="227">
        <f>CW$9*'As % of Revenue'!$C$7</f>
        <v>0</v>
      </c>
      <c r="CX15" s="227">
        <f>CX$9*'As % of Revenue'!$C$7</f>
        <v>187611.0536855541</v>
      </c>
    </row>
    <row r="16" spans="1:102" x14ac:dyDescent="0.2">
      <c r="B16" s="63" t="s">
        <v>17</v>
      </c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94">
        <v>114</v>
      </c>
      <c r="AB16" s="194"/>
      <c r="AC16" s="194"/>
      <c r="AD16" s="194"/>
      <c r="AE16" s="194"/>
      <c r="AF16" s="194">
        <v>133</v>
      </c>
      <c r="AG16" s="194"/>
      <c r="AH16" s="194"/>
      <c r="AI16" s="194"/>
      <c r="AJ16" s="194"/>
      <c r="AK16" s="194">
        <v>171</v>
      </c>
      <c r="AL16" s="194"/>
      <c r="AM16" s="194"/>
      <c r="AN16" s="194"/>
      <c r="AO16" s="194"/>
      <c r="AP16" s="194">
        <v>167</v>
      </c>
      <c r="AQ16" s="194"/>
      <c r="AR16" s="194"/>
      <c r="AS16" s="194"/>
      <c r="AT16" s="194"/>
      <c r="AU16" s="194">
        <v>214</v>
      </c>
      <c r="AV16" s="110"/>
      <c r="AW16" s="110"/>
      <c r="AX16" s="110"/>
      <c r="AY16" s="110"/>
      <c r="AZ16" s="194">
        <v>296</v>
      </c>
      <c r="BA16" s="194"/>
      <c r="BB16" s="194"/>
      <c r="BC16" s="194"/>
      <c r="BD16" s="194"/>
      <c r="BE16" s="194">
        <v>201</v>
      </c>
      <c r="BF16" s="194"/>
      <c r="BG16" s="194"/>
      <c r="BH16" s="194"/>
      <c r="BI16" s="194"/>
      <c r="BJ16" s="194">
        <v>-75</v>
      </c>
      <c r="BK16" s="194"/>
      <c r="BL16" s="194"/>
      <c r="BM16" s="194"/>
      <c r="BN16" s="194"/>
      <c r="BO16" s="194">
        <v>62</v>
      </c>
      <c r="BP16" s="194"/>
      <c r="BQ16" s="194"/>
      <c r="BR16" s="194"/>
      <c r="BS16" s="194"/>
      <c r="BT16" s="194">
        <v>1263</v>
      </c>
      <c r="BU16" s="194">
        <v>223</v>
      </c>
      <c r="BV16" s="194">
        <v>146</v>
      </c>
      <c r="BW16" s="194">
        <v>244</v>
      </c>
      <c r="BX16" s="319">
        <v>154</v>
      </c>
      <c r="BY16" s="194">
        <f t="shared" si="3"/>
        <v>767</v>
      </c>
      <c r="BZ16" s="227"/>
      <c r="CA16" s="227"/>
      <c r="CB16" s="227"/>
      <c r="CC16" s="227"/>
      <c r="CD16" s="227">
        <f>CD$9*'As % of Revenue'!$C$8</f>
        <v>741.25265410990266</v>
      </c>
      <c r="CE16" s="227">
        <f>CE$9*'As % of Revenue'!$C$8</f>
        <v>0</v>
      </c>
      <c r="CF16" s="227">
        <f>CF$9*'As % of Revenue'!$C$8</f>
        <v>0</v>
      </c>
      <c r="CG16" s="227">
        <f>CG$9*'As % of Revenue'!$C$8</f>
        <v>0</v>
      </c>
      <c r="CH16" s="227">
        <f>CH$9*'As % of Revenue'!$C$8</f>
        <v>0</v>
      </c>
      <c r="CI16" s="227">
        <f>CI$9*'As % of Revenue'!$C$8</f>
        <v>919.45665947321118</v>
      </c>
      <c r="CJ16" s="227">
        <f>CJ$9*'As % of Revenue'!$C$8</f>
        <v>0</v>
      </c>
      <c r="CK16" s="227">
        <f>CK$9*'As % of Revenue'!$C$8</f>
        <v>0</v>
      </c>
      <c r="CL16" s="227">
        <f>CL$9*'As % of Revenue'!$C$8</f>
        <v>0</v>
      </c>
      <c r="CM16" s="227">
        <f>CM$9*'As % of Revenue'!$C$8</f>
        <v>0</v>
      </c>
      <c r="CN16" s="227">
        <f>CN$9*'As % of Revenue'!$C$8</f>
        <v>1145.8377395066707</v>
      </c>
      <c r="CO16" s="227">
        <f>CO$9*'As % of Revenue'!$C$8</f>
        <v>0</v>
      </c>
      <c r="CP16" s="227">
        <f>CP$9*'As % of Revenue'!$C$8</f>
        <v>0</v>
      </c>
      <c r="CQ16" s="227">
        <f>CQ$9*'As % of Revenue'!$C$8</f>
        <v>0</v>
      </c>
      <c r="CR16" s="227">
        <f>CR$9*'As % of Revenue'!$C$8</f>
        <v>0</v>
      </c>
      <c r="CS16" s="227">
        <f>CS$9*'As % of Revenue'!$C$8</f>
        <v>1434.4872244308583</v>
      </c>
      <c r="CT16" s="227">
        <f>CT$9*'As % of Revenue'!$C$8</f>
        <v>0</v>
      </c>
      <c r="CU16" s="227">
        <f>CU$9*'As % of Revenue'!$C$8</f>
        <v>0</v>
      </c>
      <c r="CV16" s="227">
        <f>CV$9*'As % of Revenue'!$C$8</f>
        <v>0</v>
      </c>
      <c r="CW16" s="227">
        <f>CW$9*'As % of Revenue'!$C$8</f>
        <v>0</v>
      </c>
      <c r="CX16" s="227">
        <f>CX$9*'As % of Revenue'!$C$8</f>
        <v>1803.8177367486439</v>
      </c>
    </row>
    <row r="17" spans="1:102" x14ac:dyDescent="0.2">
      <c r="A17" s="111"/>
      <c r="B17" s="111" t="s">
        <v>18</v>
      </c>
      <c r="C17" s="112">
        <f t="shared" ref="C17:AY17" si="4">SUM(C12:C16)</f>
        <v>0</v>
      </c>
      <c r="D17" s="112">
        <f t="shared" si="4"/>
        <v>0</v>
      </c>
      <c r="E17" s="112">
        <f t="shared" si="4"/>
        <v>0</v>
      </c>
      <c r="F17" s="112">
        <f t="shared" si="4"/>
        <v>0</v>
      </c>
      <c r="G17" s="112">
        <f t="shared" si="4"/>
        <v>0</v>
      </c>
      <c r="H17" s="112">
        <f t="shared" si="4"/>
        <v>0</v>
      </c>
      <c r="I17" s="112">
        <f t="shared" si="4"/>
        <v>0</v>
      </c>
      <c r="J17" s="112">
        <f t="shared" si="4"/>
        <v>0</v>
      </c>
      <c r="K17" s="112">
        <f t="shared" si="4"/>
        <v>0</v>
      </c>
      <c r="L17" s="112">
        <f t="shared" si="4"/>
        <v>0</v>
      </c>
      <c r="M17" s="112">
        <f t="shared" si="4"/>
        <v>0</v>
      </c>
      <c r="N17" s="112">
        <f t="shared" si="4"/>
        <v>0</v>
      </c>
      <c r="O17" s="112">
        <f t="shared" si="4"/>
        <v>0</v>
      </c>
      <c r="P17" s="112">
        <f t="shared" si="4"/>
        <v>0</v>
      </c>
      <c r="Q17" s="112">
        <f t="shared" si="4"/>
        <v>0</v>
      </c>
      <c r="R17" s="112">
        <f t="shared" si="4"/>
        <v>0</v>
      </c>
      <c r="S17" s="112">
        <f t="shared" si="4"/>
        <v>0</v>
      </c>
      <c r="T17" s="112">
        <f t="shared" si="4"/>
        <v>0</v>
      </c>
      <c r="U17" s="112">
        <f t="shared" si="4"/>
        <v>0</v>
      </c>
      <c r="V17" s="112">
        <f t="shared" si="4"/>
        <v>0</v>
      </c>
      <c r="W17" s="112">
        <f t="shared" si="4"/>
        <v>0</v>
      </c>
      <c r="X17" s="112">
        <f t="shared" si="4"/>
        <v>0</v>
      </c>
      <c r="Y17" s="112">
        <f t="shared" si="4"/>
        <v>0</v>
      </c>
      <c r="Z17" s="112">
        <f t="shared" si="4"/>
        <v>0</v>
      </c>
      <c r="AA17" s="195">
        <f t="shared" si="4"/>
        <v>19526</v>
      </c>
      <c r="AB17" s="195">
        <f t="shared" si="4"/>
        <v>0</v>
      </c>
      <c r="AC17" s="195">
        <f t="shared" si="4"/>
        <v>0</v>
      </c>
      <c r="AD17" s="195">
        <f t="shared" si="4"/>
        <v>0</v>
      </c>
      <c r="AE17" s="195">
        <f t="shared" si="4"/>
        <v>0</v>
      </c>
      <c r="AF17" s="195">
        <f t="shared" si="4"/>
        <v>26058</v>
      </c>
      <c r="AG17" s="195">
        <f t="shared" si="4"/>
        <v>0</v>
      </c>
      <c r="AH17" s="195">
        <f t="shared" si="4"/>
        <v>0</v>
      </c>
      <c r="AI17" s="195">
        <f t="shared" si="4"/>
        <v>0</v>
      </c>
      <c r="AJ17" s="195">
        <f t="shared" si="4"/>
        <v>0</v>
      </c>
      <c r="AK17" s="195">
        <f t="shared" si="4"/>
        <v>33122</v>
      </c>
      <c r="AL17" s="195">
        <f t="shared" si="4"/>
        <v>0</v>
      </c>
      <c r="AM17" s="195">
        <f t="shared" si="4"/>
        <v>0</v>
      </c>
      <c r="AN17" s="195">
        <f t="shared" si="4"/>
        <v>0</v>
      </c>
      <c r="AO17" s="195">
        <f t="shared" si="4"/>
        <v>0</v>
      </c>
      <c r="AP17" s="195">
        <f t="shared" si="4"/>
        <v>43536</v>
      </c>
      <c r="AQ17" s="195">
        <f t="shared" si="4"/>
        <v>0</v>
      </c>
      <c r="AR17" s="195">
        <f t="shared" si="4"/>
        <v>0</v>
      </c>
      <c r="AS17" s="195">
        <f t="shared" si="4"/>
        <v>0</v>
      </c>
      <c r="AT17" s="195">
        <f t="shared" si="4"/>
        <v>0</v>
      </c>
      <c r="AU17" s="195">
        <f t="shared" si="4"/>
        <v>61826</v>
      </c>
      <c r="AV17" s="195">
        <f t="shared" si="4"/>
        <v>0</v>
      </c>
      <c r="AW17" s="195">
        <f t="shared" si="4"/>
        <v>0</v>
      </c>
      <c r="AX17" s="195">
        <f t="shared" si="4"/>
        <v>0</v>
      </c>
      <c r="AY17" s="195">
        <f t="shared" si="4"/>
        <v>0</v>
      </c>
      <c r="AZ17" s="195">
        <f t="shared" ref="AZ17" si="5">SUM(AZ12:AZ16)</f>
        <v>81310</v>
      </c>
      <c r="BA17" s="195">
        <f t="shared" ref="BA17:CX17" si="6">SUM(BA12:BA16)</f>
        <v>0</v>
      </c>
      <c r="BB17" s="195">
        <f t="shared" si="6"/>
        <v>0</v>
      </c>
      <c r="BC17" s="195">
        <f t="shared" si="6"/>
        <v>0</v>
      </c>
      <c r="BD17" s="195">
        <f t="shared" si="6"/>
        <v>0</v>
      </c>
      <c r="BE17" s="195">
        <f t="shared" si="6"/>
        <v>100445</v>
      </c>
      <c r="BF17" s="195">
        <f t="shared" si="6"/>
        <v>0</v>
      </c>
      <c r="BG17" s="195">
        <f t="shared" si="6"/>
        <v>0</v>
      </c>
      <c r="BH17" s="195">
        <f t="shared" si="6"/>
        <v>0</v>
      </c>
      <c r="BI17" s="195">
        <f t="shared" si="6"/>
        <v>0</v>
      </c>
      <c r="BJ17" s="195">
        <f t="shared" si="6"/>
        <v>129858</v>
      </c>
      <c r="BK17" s="195">
        <f t="shared" si="6"/>
        <v>0</v>
      </c>
      <c r="BL17" s="195">
        <f t="shared" si="6"/>
        <v>0</v>
      </c>
      <c r="BM17" s="195">
        <f t="shared" si="6"/>
        <v>0</v>
      </c>
      <c r="BN17" s="195">
        <f t="shared" si="6"/>
        <v>0</v>
      </c>
      <c r="BO17" s="195">
        <f t="shared" si="6"/>
        <v>172599</v>
      </c>
      <c r="BP17" s="195">
        <f t="shared" si="6"/>
        <v>0</v>
      </c>
      <c r="BQ17" s="195">
        <f t="shared" si="6"/>
        <v>0</v>
      </c>
      <c r="BR17" s="195">
        <f t="shared" si="6"/>
        <v>0</v>
      </c>
      <c r="BS17" s="195">
        <f t="shared" si="6"/>
        <v>0</v>
      </c>
      <c r="BT17" s="195">
        <f t="shared" si="6"/>
        <v>212904</v>
      </c>
      <c r="BU17" s="195">
        <f t="shared" si="6"/>
        <v>54793</v>
      </c>
      <c r="BV17" s="195">
        <f t="shared" si="6"/>
        <v>57329</v>
      </c>
      <c r="BW17" s="195">
        <f t="shared" si="6"/>
        <v>56873</v>
      </c>
      <c r="BX17" s="195">
        <f t="shared" si="6"/>
        <v>64199</v>
      </c>
      <c r="BY17" s="195">
        <f t="shared" si="6"/>
        <v>233194</v>
      </c>
      <c r="BZ17" s="195">
        <f t="shared" si="6"/>
        <v>0</v>
      </c>
      <c r="CA17" s="195">
        <f t="shared" si="6"/>
        <v>0</v>
      </c>
      <c r="CB17" s="195">
        <f t="shared" si="6"/>
        <v>0</v>
      </c>
      <c r="CC17" s="195">
        <f t="shared" si="6"/>
        <v>0</v>
      </c>
      <c r="CD17" s="195">
        <f t="shared" si="6"/>
        <v>218409.40173857519</v>
      </c>
      <c r="CE17" s="195"/>
      <c r="CF17" s="195"/>
      <c r="CG17" s="195"/>
      <c r="CH17" s="195"/>
      <c r="CI17" s="195">
        <f t="shared" si="6"/>
        <v>270917.0453645598</v>
      </c>
      <c r="CJ17" s="195"/>
      <c r="CK17" s="195"/>
      <c r="CL17" s="195"/>
      <c r="CM17" s="195"/>
      <c r="CN17" s="195">
        <f t="shared" si="6"/>
        <v>337620.01901449915</v>
      </c>
      <c r="CO17" s="195"/>
      <c r="CP17" s="195"/>
      <c r="CQ17" s="195"/>
      <c r="CR17" s="195"/>
      <c r="CS17" s="195">
        <f t="shared" si="6"/>
        <v>422670.31996774528</v>
      </c>
      <c r="CT17" s="195"/>
      <c r="CU17" s="195"/>
      <c r="CV17" s="195"/>
      <c r="CW17" s="195"/>
      <c r="CX17" s="195">
        <f t="shared" si="6"/>
        <v>531493.21023583063</v>
      </c>
    </row>
    <row r="18" spans="1:102" hidden="1" x14ac:dyDescent="0.2">
      <c r="B18" s="63" t="s">
        <v>19</v>
      </c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96"/>
      <c r="AB18" s="194"/>
      <c r="AC18" s="194">
        <v>0</v>
      </c>
      <c r="AD18" s="194">
        <v>0</v>
      </c>
      <c r="AE18" s="194">
        <v>0</v>
      </c>
      <c r="AF18" s="194"/>
      <c r="AG18" s="194">
        <v>0</v>
      </c>
      <c r="AH18" s="194">
        <v>0</v>
      </c>
      <c r="AI18" s="194"/>
      <c r="AJ18" s="194"/>
      <c r="AK18" s="194"/>
      <c r="AL18" s="194">
        <v>0</v>
      </c>
      <c r="AM18" s="194">
        <v>0</v>
      </c>
      <c r="AN18" s="194">
        <v>0</v>
      </c>
      <c r="AO18" s="194">
        <f>AP18-SUM(AL18:AN18)</f>
        <v>0</v>
      </c>
      <c r="AP18" s="194"/>
      <c r="AQ18" s="194">
        <v>0</v>
      </c>
      <c r="AR18" s="194">
        <v>0</v>
      </c>
      <c r="AS18" s="194">
        <v>0</v>
      </c>
      <c r="AT18" s="194">
        <f>AU18-SUM(AQ18:AS18)</f>
        <v>0</v>
      </c>
      <c r="AU18" s="194">
        <v>0</v>
      </c>
      <c r="AV18" s="110">
        <v>0</v>
      </c>
      <c r="AW18" s="110"/>
      <c r="AX18" s="110"/>
      <c r="AY18" s="110"/>
      <c r="AZ18" s="196">
        <v>0</v>
      </c>
      <c r="BA18" s="194"/>
      <c r="BB18" s="194"/>
      <c r="BC18" s="194"/>
      <c r="BD18" s="194"/>
      <c r="BE18" s="194">
        <v>0</v>
      </c>
      <c r="BF18" s="194"/>
      <c r="BG18" s="194"/>
      <c r="BH18" s="194"/>
      <c r="BI18" s="194"/>
      <c r="BJ18" s="194"/>
      <c r="BK18" s="194"/>
      <c r="BL18" s="194"/>
      <c r="BM18" s="194"/>
      <c r="BN18" s="194"/>
      <c r="BO18" s="194"/>
      <c r="BP18" s="194"/>
      <c r="BQ18" s="194"/>
      <c r="BR18" s="194"/>
      <c r="BS18" s="194"/>
      <c r="BT18" s="194"/>
      <c r="BU18" s="194"/>
      <c r="BV18" s="194"/>
      <c r="BW18" s="194"/>
      <c r="BX18" s="194"/>
      <c r="BY18" s="194"/>
      <c r="BZ18" s="194"/>
      <c r="CA18" s="194"/>
      <c r="CB18" s="194"/>
      <c r="CC18" s="194"/>
      <c r="CD18" s="194"/>
      <c r="CE18" s="194"/>
      <c r="CF18" s="194"/>
      <c r="CG18" s="194"/>
      <c r="CH18" s="194"/>
      <c r="CI18" s="194"/>
      <c r="CJ18" s="194"/>
      <c r="CK18" s="194"/>
      <c r="CL18" s="194"/>
      <c r="CM18" s="194"/>
      <c r="CN18" s="194"/>
      <c r="CO18" s="194"/>
      <c r="CP18" s="194"/>
      <c r="CQ18" s="194"/>
      <c r="CR18" s="194"/>
      <c r="CS18" s="194"/>
      <c r="CT18" s="194"/>
      <c r="CU18" s="194"/>
      <c r="CV18" s="194"/>
      <c r="CW18" s="194"/>
      <c r="CX18" s="194"/>
    </row>
    <row r="19" spans="1:102" hidden="1" x14ac:dyDescent="0.2">
      <c r="A19" s="111"/>
      <c r="B19" s="111" t="s">
        <v>20</v>
      </c>
      <c r="C19" s="112">
        <f t="shared" ref="C19:AH19" si="7">C11+C18-C17</f>
        <v>0</v>
      </c>
      <c r="D19" s="112">
        <f t="shared" si="7"/>
        <v>0</v>
      </c>
      <c r="E19" s="112">
        <f t="shared" si="7"/>
        <v>0</v>
      </c>
      <c r="F19" s="112">
        <f t="shared" si="7"/>
        <v>0</v>
      </c>
      <c r="G19" s="112">
        <f t="shared" si="7"/>
        <v>0</v>
      </c>
      <c r="H19" s="112">
        <f t="shared" si="7"/>
        <v>0</v>
      </c>
      <c r="I19" s="112">
        <f t="shared" si="7"/>
        <v>0</v>
      </c>
      <c r="J19" s="112">
        <f t="shared" si="7"/>
        <v>0</v>
      </c>
      <c r="K19" s="112">
        <f t="shared" si="7"/>
        <v>0</v>
      </c>
      <c r="L19" s="112">
        <f t="shared" si="7"/>
        <v>0</v>
      </c>
      <c r="M19" s="112">
        <f t="shared" si="7"/>
        <v>0</v>
      </c>
      <c r="N19" s="112">
        <f t="shared" si="7"/>
        <v>0</v>
      </c>
      <c r="O19" s="112">
        <f t="shared" si="7"/>
        <v>0</v>
      </c>
      <c r="P19" s="112">
        <f t="shared" si="7"/>
        <v>0</v>
      </c>
      <c r="Q19" s="112">
        <f t="shared" si="7"/>
        <v>0</v>
      </c>
      <c r="R19" s="112">
        <f t="shared" si="7"/>
        <v>0</v>
      </c>
      <c r="S19" s="112">
        <f t="shared" si="7"/>
        <v>0</v>
      </c>
      <c r="T19" s="112">
        <f t="shared" si="7"/>
        <v>0</v>
      </c>
      <c r="U19" s="112">
        <f t="shared" si="7"/>
        <v>0</v>
      </c>
      <c r="V19" s="112">
        <f t="shared" si="7"/>
        <v>0</v>
      </c>
      <c r="W19" s="112">
        <f t="shared" si="7"/>
        <v>0</v>
      </c>
      <c r="X19" s="112">
        <f t="shared" si="7"/>
        <v>0</v>
      </c>
      <c r="Y19" s="112">
        <f t="shared" si="7"/>
        <v>0</v>
      </c>
      <c r="Z19" s="112">
        <f t="shared" si="7"/>
        <v>0</v>
      </c>
      <c r="AA19" s="195">
        <f t="shared" si="7"/>
        <v>745</v>
      </c>
      <c r="AB19" s="195">
        <f t="shared" si="7"/>
        <v>0</v>
      </c>
      <c r="AC19" s="195">
        <f t="shared" si="7"/>
        <v>0</v>
      </c>
      <c r="AD19" s="195">
        <f t="shared" si="7"/>
        <v>0</v>
      </c>
      <c r="AE19" s="195">
        <f t="shared" si="7"/>
        <v>0</v>
      </c>
      <c r="AF19" s="195">
        <f t="shared" si="7"/>
        <v>178</v>
      </c>
      <c r="AG19" s="195">
        <f t="shared" si="7"/>
        <v>0</v>
      </c>
      <c r="AH19" s="195">
        <f t="shared" si="7"/>
        <v>0</v>
      </c>
      <c r="AI19" s="195">
        <f t="shared" ref="AI19:BN19" si="8">AI11+AI18-AI17</f>
        <v>0</v>
      </c>
      <c r="AJ19" s="195">
        <f t="shared" si="8"/>
        <v>0</v>
      </c>
      <c r="AK19" s="195">
        <f t="shared" si="8"/>
        <v>2233</v>
      </c>
      <c r="AL19" s="195">
        <f t="shared" si="8"/>
        <v>0</v>
      </c>
      <c r="AM19" s="195">
        <f t="shared" si="8"/>
        <v>0</v>
      </c>
      <c r="AN19" s="195">
        <f t="shared" si="8"/>
        <v>0</v>
      </c>
      <c r="AO19" s="195">
        <f t="shared" si="8"/>
        <v>0</v>
      </c>
      <c r="AP19" s="195">
        <f t="shared" si="8"/>
        <v>4186</v>
      </c>
      <c r="AQ19" s="195">
        <f t="shared" si="8"/>
        <v>0</v>
      </c>
      <c r="AR19" s="195">
        <f t="shared" si="8"/>
        <v>0</v>
      </c>
      <c r="AS19" s="195">
        <f t="shared" si="8"/>
        <v>0</v>
      </c>
      <c r="AT19" s="195">
        <f t="shared" si="8"/>
        <v>0</v>
      </c>
      <c r="AU19" s="195">
        <f t="shared" si="8"/>
        <v>4106</v>
      </c>
      <c r="AV19" s="113">
        <f t="shared" si="8"/>
        <v>0</v>
      </c>
      <c r="AW19" s="113">
        <f t="shared" si="8"/>
        <v>0</v>
      </c>
      <c r="AX19" s="113">
        <f t="shared" si="8"/>
        <v>0</v>
      </c>
      <c r="AY19" s="113">
        <f t="shared" si="8"/>
        <v>0</v>
      </c>
      <c r="AZ19" s="195">
        <f t="shared" si="8"/>
        <v>12421</v>
      </c>
      <c r="BA19" s="195">
        <f t="shared" si="8"/>
        <v>0</v>
      </c>
      <c r="BB19" s="195">
        <f t="shared" si="8"/>
        <v>0</v>
      </c>
      <c r="BC19" s="195">
        <f t="shared" si="8"/>
        <v>0</v>
      </c>
      <c r="BD19" s="195">
        <f t="shared" si="8"/>
        <v>0</v>
      </c>
      <c r="BE19" s="195">
        <f t="shared" si="8"/>
        <v>14541</v>
      </c>
      <c r="BF19" s="195">
        <f t="shared" si="8"/>
        <v>0</v>
      </c>
      <c r="BG19" s="195">
        <f t="shared" si="8"/>
        <v>0</v>
      </c>
      <c r="BH19" s="195">
        <f t="shared" si="8"/>
        <v>0</v>
      </c>
      <c r="BI19" s="195">
        <f t="shared" si="8"/>
        <v>0</v>
      </c>
      <c r="BJ19" s="195">
        <f t="shared" si="8"/>
        <v>22899</v>
      </c>
      <c r="BK19" s="195">
        <f t="shared" si="8"/>
        <v>0</v>
      </c>
      <c r="BL19" s="195">
        <f t="shared" si="8"/>
        <v>0</v>
      </c>
      <c r="BM19" s="195">
        <f t="shared" si="8"/>
        <v>0</v>
      </c>
      <c r="BN19" s="195">
        <f t="shared" si="8"/>
        <v>0</v>
      </c>
      <c r="BO19" s="195">
        <f t="shared" ref="BO19:CS19" si="9">BO11+BO18-BO17</f>
        <v>24879</v>
      </c>
      <c r="BP19" s="195">
        <f t="shared" si="9"/>
        <v>0</v>
      </c>
      <c r="BQ19" s="195">
        <f t="shared" si="9"/>
        <v>0</v>
      </c>
      <c r="BR19" s="195">
        <f t="shared" si="9"/>
        <v>0</v>
      </c>
      <c r="BS19" s="195">
        <f t="shared" si="9"/>
        <v>0</v>
      </c>
      <c r="BT19" s="195">
        <f t="shared" si="9"/>
        <v>12248</v>
      </c>
      <c r="BU19" s="195">
        <f t="shared" si="9"/>
        <v>4774</v>
      </c>
      <c r="BV19" s="195">
        <f t="shared" si="9"/>
        <v>7681</v>
      </c>
      <c r="BW19" s="195">
        <f t="shared" si="9"/>
        <v>11188</v>
      </c>
      <c r="BX19" s="195">
        <f t="shared" si="9"/>
        <v>13209</v>
      </c>
      <c r="BY19" s="195">
        <f t="shared" si="9"/>
        <v>36852</v>
      </c>
      <c r="BZ19" s="195">
        <f t="shared" si="9"/>
        <v>0</v>
      </c>
      <c r="CA19" s="195">
        <f t="shared" si="9"/>
        <v>0</v>
      </c>
      <c r="CB19" s="195">
        <f t="shared" si="9"/>
        <v>0</v>
      </c>
      <c r="CC19" s="195">
        <f t="shared" si="9"/>
        <v>0</v>
      </c>
      <c r="CD19" s="195">
        <f t="shared" si="9"/>
        <v>22757.958379653806</v>
      </c>
      <c r="CE19" s="195"/>
      <c r="CF19" s="195"/>
      <c r="CG19" s="195"/>
      <c r="CH19" s="195"/>
      <c r="CI19" s="195">
        <f t="shared" si="9"/>
        <v>28229.182414616283</v>
      </c>
      <c r="CJ19" s="195"/>
      <c r="CK19" s="195"/>
      <c r="CL19" s="195"/>
      <c r="CM19" s="195"/>
      <c r="CN19" s="195">
        <f t="shared" si="9"/>
        <v>35179.540256544133</v>
      </c>
      <c r="CO19" s="195"/>
      <c r="CP19" s="195"/>
      <c r="CQ19" s="195"/>
      <c r="CR19" s="195"/>
      <c r="CS19" s="195">
        <f t="shared" si="9"/>
        <v>44041.664294536633</v>
      </c>
      <c r="CT19" s="195"/>
      <c r="CU19" s="195"/>
      <c r="CV19" s="195"/>
      <c r="CW19" s="195"/>
      <c r="CX19" s="195">
        <f t="shared" ref="CX19" si="10">CX11+CX18-CX17</f>
        <v>55380.859346401179</v>
      </c>
    </row>
    <row r="20" spans="1:102" hidden="1" x14ac:dyDescent="0.2">
      <c r="B20" s="63" t="s">
        <v>21</v>
      </c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  <c r="AN20" s="194"/>
      <c r="AO20" s="194"/>
      <c r="AP20" s="194"/>
      <c r="AQ20" s="194"/>
      <c r="AR20" s="194"/>
      <c r="AS20" s="194"/>
      <c r="AT20" s="194"/>
      <c r="AU20" s="194">
        <f t="shared" ref="AU20:BD21" si="11">AU81</f>
        <v>11478</v>
      </c>
      <c r="AV20" s="110">
        <f t="shared" si="11"/>
        <v>0</v>
      </c>
      <c r="AW20" s="110">
        <f t="shared" si="11"/>
        <v>0</v>
      </c>
      <c r="AX20" s="110">
        <f t="shared" si="11"/>
        <v>0</v>
      </c>
      <c r="AY20" s="110">
        <f t="shared" si="11"/>
        <v>0</v>
      </c>
      <c r="AZ20" s="194">
        <f t="shared" si="11"/>
        <v>15341</v>
      </c>
      <c r="BA20" s="194">
        <f t="shared" si="11"/>
        <v>0</v>
      </c>
      <c r="BB20" s="194">
        <f t="shared" si="11"/>
        <v>0</v>
      </c>
      <c r="BC20" s="194">
        <f t="shared" si="11"/>
        <v>0</v>
      </c>
      <c r="BD20" s="194">
        <f t="shared" si="11"/>
        <v>0</v>
      </c>
      <c r="BE20" s="194"/>
      <c r="BF20" s="194"/>
      <c r="BG20" s="194"/>
      <c r="BH20" s="194"/>
      <c r="BI20" s="194"/>
      <c r="BJ20" s="194"/>
      <c r="BK20" s="194"/>
      <c r="BL20" s="194"/>
      <c r="BM20" s="194"/>
      <c r="BN20" s="194"/>
      <c r="BO20" s="194"/>
      <c r="BP20" s="194"/>
      <c r="BQ20" s="194"/>
      <c r="BR20" s="194"/>
      <c r="BS20" s="194"/>
      <c r="BT20" s="194"/>
      <c r="BU20" s="194"/>
      <c r="BV20" s="194"/>
      <c r="BW20" s="194"/>
      <c r="BX20" s="194"/>
      <c r="BY20" s="194"/>
      <c r="BZ20" s="194"/>
      <c r="CA20" s="194"/>
      <c r="CB20" s="194"/>
      <c r="CC20" s="194"/>
      <c r="CD20" s="194"/>
      <c r="CE20" s="194"/>
      <c r="CF20" s="194"/>
      <c r="CG20" s="194"/>
      <c r="CH20" s="194"/>
      <c r="CI20" s="194"/>
      <c r="CJ20" s="194"/>
      <c r="CK20" s="194"/>
      <c r="CL20" s="194"/>
      <c r="CM20" s="194"/>
      <c r="CN20" s="194"/>
      <c r="CO20" s="194"/>
      <c r="CP20" s="194"/>
      <c r="CQ20" s="194"/>
      <c r="CR20" s="194"/>
      <c r="CS20" s="194"/>
      <c r="CT20" s="194"/>
      <c r="CU20" s="194"/>
      <c r="CV20" s="194"/>
      <c r="CW20" s="194"/>
      <c r="CX20" s="194"/>
    </row>
    <row r="21" spans="1:102" hidden="1" x14ac:dyDescent="0.2">
      <c r="B21" s="63" t="s">
        <v>22</v>
      </c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4"/>
      <c r="AL21" s="194"/>
      <c r="AM21" s="194"/>
      <c r="AN21" s="194"/>
      <c r="AO21" s="194"/>
      <c r="AP21" s="194"/>
      <c r="AQ21" s="194"/>
      <c r="AR21" s="194"/>
      <c r="AS21" s="194"/>
      <c r="AT21" s="194"/>
      <c r="AU21" s="194">
        <f t="shared" si="11"/>
        <v>4215</v>
      </c>
      <c r="AV21" s="110">
        <f t="shared" si="11"/>
        <v>0</v>
      </c>
      <c r="AW21" s="110">
        <f t="shared" si="11"/>
        <v>0</v>
      </c>
      <c r="AX21" s="110">
        <f t="shared" si="11"/>
        <v>0</v>
      </c>
      <c r="AY21" s="110">
        <f t="shared" si="11"/>
        <v>0</v>
      </c>
      <c r="AZ21" s="194">
        <f t="shared" si="11"/>
        <v>5418</v>
      </c>
      <c r="BA21" s="194">
        <f t="shared" si="11"/>
        <v>0</v>
      </c>
      <c r="BB21" s="194">
        <f t="shared" si="11"/>
        <v>0</v>
      </c>
      <c r="BC21" s="194">
        <f t="shared" si="11"/>
        <v>0</v>
      </c>
      <c r="BD21" s="194">
        <f t="shared" si="11"/>
        <v>0</v>
      </c>
      <c r="BE21" s="194"/>
      <c r="BF21" s="194"/>
      <c r="BG21" s="194"/>
      <c r="BH21" s="194"/>
      <c r="BI21" s="194"/>
      <c r="BJ21" s="194"/>
      <c r="BK21" s="194"/>
      <c r="BL21" s="194"/>
      <c r="BM21" s="194"/>
      <c r="BN21" s="194"/>
      <c r="BO21" s="194"/>
      <c r="BP21" s="194"/>
      <c r="BQ21" s="194"/>
      <c r="BR21" s="194"/>
      <c r="BS21" s="194"/>
      <c r="BT21" s="194"/>
      <c r="BU21" s="194"/>
      <c r="BV21" s="194"/>
      <c r="BW21" s="194"/>
      <c r="BX21" s="194"/>
      <c r="BY21" s="194"/>
      <c r="BZ21" s="194"/>
      <c r="CA21" s="194"/>
      <c r="CB21" s="194"/>
      <c r="CC21" s="194"/>
      <c r="CD21" s="194"/>
      <c r="CE21" s="194"/>
      <c r="CF21" s="194"/>
      <c r="CG21" s="194"/>
      <c r="CH21" s="194"/>
      <c r="CI21" s="194"/>
      <c r="CJ21" s="194"/>
      <c r="CK21" s="194"/>
      <c r="CL21" s="194"/>
      <c r="CM21" s="194"/>
      <c r="CN21" s="194"/>
      <c r="CO21" s="194"/>
      <c r="CP21" s="194"/>
      <c r="CQ21" s="194"/>
      <c r="CR21" s="194"/>
      <c r="CS21" s="194"/>
      <c r="CT21" s="194"/>
      <c r="CU21" s="194"/>
      <c r="CV21" s="194"/>
      <c r="CW21" s="194"/>
      <c r="CX21" s="194"/>
    </row>
    <row r="22" spans="1:102" hidden="1" x14ac:dyDescent="0.2">
      <c r="A22" s="111"/>
      <c r="B22" s="111" t="s">
        <v>23</v>
      </c>
      <c r="C22" s="112">
        <f>SUM(C20:C21)</f>
        <v>0</v>
      </c>
      <c r="D22" s="112">
        <f t="shared" ref="D22:BO22" si="12">SUM(D20:D21)</f>
        <v>0</v>
      </c>
      <c r="E22" s="112">
        <f t="shared" si="12"/>
        <v>0</v>
      </c>
      <c r="F22" s="112">
        <f t="shared" si="12"/>
        <v>0</v>
      </c>
      <c r="G22" s="112">
        <f t="shared" si="12"/>
        <v>0</v>
      </c>
      <c r="H22" s="112">
        <f t="shared" si="12"/>
        <v>0</v>
      </c>
      <c r="I22" s="112">
        <f t="shared" si="12"/>
        <v>0</v>
      </c>
      <c r="J22" s="112">
        <f t="shared" si="12"/>
        <v>0</v>
      </c>
      <c r="K22" s="112">
        <f t="shared" si="12"/>
        <v>0</v>
      </c>
      <c r="L22" s="112">
        <f t="shared" si="12"/>
        <v>0</v>
      </c>
      <c r="M22" s="112">
        <f t="shared" si="12"/>
        <v>0</v>
      </c>
      <c r="N22" s="112">
        <f t="shared" si="12"/>
        <v>0</v>
      </c>
      <c r="O22" s="112">
        <f t="shared" si="12"/>
        <v>0</v>
      </c>
      <c r="P22" s="112">
        <f t="shared" si="12"/>
        <v>0</v>
      </c>
      <c r="Q22" s="112">
        <f t="shared" si="12"/>
        <v>0</v>
      </c>
      <c r="R22" s="112">
        <f t="shared" si="12"/>
        <v>0</v>
      </c>
      <c r="S22" s="112">
        <f t="shared" si="12"/>
        <v>0</v>
      </c>
      <c r="T22" s="112">
        <f t="shared" si="12"/>
        <v>0</v>
      </c>
      <c r="U22" s="112">
        <f t="shared" si="12"/>
        <v>0</v>
      </c>
      <c r="V22" s="112">
        <f t="shared" si="12"/>
        <v>0</v>
      </c>
      <c r="W22" s="112">
        <f t="shared" si="12"/>
        <v>0</v>
      </c>
      <c r="X22" s="112">
        <f t="shared" si="12"/>
        <v>0</v>
      </c>
      <c r="Y22" s="112">
        <f t="shared" si="12"/>
        <v>0</v>
      </c>
      <c r="Z22" s="112">
        <f t="shared" si="12"/>
        <v>0</v>
      </c>
      <c r="AA22" s="195">
        <f t="shared" si="12"/>
        <v>0</v>
      </c>
      <c r="AB22" s="195">
        <f t="shared" si="12"/>
        <v>0</v>
      </c>
      <c r="AC22" s="195">
        <f t="shared" si="12"/>
        <v>0</v>
      </c>
      <c r="AD22" s="195">
        <f t="shared" si="12"/>
        <v>0</v>
      </c>
      <c r="AE22" s="195">
        <f t="shared" si="12"/>
        <v>0</v>
      </c>
      <c r="AF22" s="195">
        <f t="shared" si="12"/>
        <v>0</v>
      </c>
      <c r="AG22" s="195">
        <f t="shared" si="12"/>
        <v>0</v>
      </c>
      <c r="AH22" s="195">
        <f t="shared" si="12"/>
        <v>0</v>
      </c>
      <c r="AI22" s="195">
        <f t="shared" si="12"/>
        <v>0</v>
      </c>
      <c r="AJ22" s="195">
        <f t="shared" si="12"/>
        <v>0</v>
      </c>
      <c r="AK22" s="195">
        <f t="shared" si="12"/>
        <v>0</v>
      </c>
      <c r="AL22" s="195">
        <f t="shared" si="12"/>
        <v>0</v>
      </c>
      <c r="AM22" s="195">
        <f t="shared" si="12"/>
        <v>0</v>
      </c>
      <c r="AN22" s="195">
        <f>SUM(AN20:AN21)</f>
        <v>0</v>
      </c>
      <c r="AO22" s="195">
        <f t="shared" si="12"/>
        <v>0</v>
      </c>
      <c r="AP22" s="195">
        <f t="shared" si="12"/>
        <v>0</v>
      </c>
      <c r="AQ22" s="195">
        <f t="shared" si="12"/>
        <v>0</v>
      </c>
      <c r="AR22" s="195">
        <f t="shared" si="12"/>
        <v>0</v>
      </c>
      <c r="AS22" s="195">
        <f>SUM(AS20:AS21)</f>
        <v>0</v>
      </c>
      <c r="AT22" s="195">
        <f>SUM(AT20:AT21)</f>
        <v>0</v>
      </c>
      <c r="AU22" s="195">
        <f>SUM(AU20:AU21)</f>
        <v>15693</v>
      </c>
      <c r="AV22" s="113">
        <f t="shared" si="12"/>
        <v>0</v>
      </c>
      <c r="AW22" s="113">
        <f t="shared" si="12"/>
        <v>0</v>
      </c>
      <c r="AX22" s="113">
        <f t="shared" si="12"/>
        <v>0</v>
      </c>
      <c r="AY22" s="113">
        <f t="shared" si="12"/>
        <v>0</v>
      </c>
      <c r="AZ22" s="195">
        <f t="shared" si="12"/>
        <v>20759</v>
      </c>
      <c r="BA22" s="195">
        <f t="shared" si="12"/>
        <v>0</v>
      </c>
      <c r="BB22" s="195">
        <f t="shared" si="12"/>
        <v>0</v>
      </c>
      <c r="BC22" s="195">
        <f>SUM(BC20:BC21)</f>
        <v>0</v>
      </c>
      <c r="BD22" s="195">
        <f t="shared" si="12"/>
        <v>0</v>
      </c>
      <c r="BE22" s="195">
        <f t="shared" si="12"/>
        <v>0</v>
      </c>
      <c r="BF22" s="195">
        <f t="shared" si="12"/>
        <v>0</v>
      </c>
      <c r="BG22" s="195">
        <f t="shared" si="12"/>
        <v>0</v>
      </c>
      <c r="BH22" s="195">
        <f t="shared" si="12"/>
        <v>0</v>
      </c>
      <c r="BI22" s="195">
        <f t="shared" si="12"/>
        <v>0</v>
      </c>
      <c r="BJ22" s="195">
        <f t="shared" si="12"/>
        <v>0</v>
      </c>
      <c r="BK22" s="195">
        <f t="shared" si="12"/>
        <v>0</v>
      </c>
      <c r="BL22" s="195">
        <f t="shared" si="12"/>
        <v>0</v>
      </c>
      <c r="BM22" s="195">
        <f t="shared" si="12"/>
        <v>0</v>
      </c>
      <c r="BN22" s="195">
        <f t="shared" si="12"/>
        <v>0</v>
      </c>
      <c r="BO22" s="195">
        <f t="shared" si="12"/>
        <v>0</v>
      </c>
      <c r="BP22" s="195">
        <f t="shared" ref="BP22:CX22" si="13">SUM(BP20:BP21)</f>
        <v>0</v>
      </c>
      <c r="BQ22" s="195">
        <f t="shared" si="13"/>
        <v>0</v>
      </c>
      <c r="BR22" s="195">
        <f t="shared" si="13"/>
        <v>0</v>
      </c>
      <c r="BS22" s="195">
        <f t="shared" si="13"/>
        <v>0</v>
      </c>
      <c r="BT22" s="195">
        <f t="shared" si="13"/>
        <v>0</v>
      </c>
      <c r="BU22" s="195">
        <f t="shared" si="13"/>
        <v>0</v>
      </c>
      <c r="BV22" s="195">
        <f t="shared" si="13"/>
        <v>0</v>
      </c>
      <c r="BW22" s="195">
        <f t="shared" si="13"/>
        <v>0</v>
      </c>
      <c r="BX22" s="195">
        <f t="shared" si="13"/>
        <v>0</v>
      </c>
      <c r="BY22" s="195">
        <f t="shared" si="13"/>
        <v>0</v>
      </c>
      <c r="BZ22" s="195">
        <f t="shared" si="13"/>
        <v>0</v>
      </c>
      <c r="CA22" s="195">
        <f t="shared" si="13"/>
        <v>0</v>
      </c>
      <c r="CB22" s="195">
        <f t="shared" si="13"/>
        <v>0</v>
      </c>
      <c r="CC22" s="195">
        <f t="shared" si="13"/>
        <v>0</v>
      </c>
      <c r="CD22" s="195">
        <f t="shared" si="13"/>
        <v>0</v>
      </c>
      <c r="CE22" s="195"/>
      <c r="CF22" s="195"/>
      <c r="CG22" s="195"/>
      <c r="CH22" s="195"/>
      <c r="CI22" s="195">
        <f t="shared" si="13"/>
        <v>0</v>
      </c>
      <c r="CJ22" s="195"/>
      <c r="CK22" s="195"/>
      <c r="CL22" s="195"/>
      <c r="CM22" s="195"/>
      <c r="CN22" s="195">
        <f t="shared" si="13"/>
        <v>0</v>
      </c>
      <c r="CO22" s="195"/>
      <c r="CP22" s="195"/>
      <c r="CQ22" s="195"/>
      <c r="CR22" s="195"/>
      <c r="CS22" s="195">
        <f t="shared" si="13"/>
        <v>0</v>
      </c>
      <c r="CT22" s="195"/>
      <c r="CU22" s="195"/>
      <c r="CV22" s="195"/>
      <c r="CW22" s="195"/>
      <c r="CX22" s="195">
        <f t="shared" si="13"/>
        <v>0</v>
      </c>
    </row>
    <row r="23" spans="1:102" x14ac:dyDescent="0.2">
      <c r="A23" s="111"/>
      <c r="B23" s="111" t="s">
        <v>24</v>
      </c>
      <c r="C23" s="112">
        <f>C19-C22</f>
        <v>0</v>
      </c>
      <c r="D23" s="112">
        <f>D19-D22</f>
        <v>0</v>
      </c>
      <c r="E23" s="112">
        <f>E19-E22</f>
        <v>0</v>
      </c>
      <c r="F23" s="112">
        <f>F19-F22</f>
        <v>0</v>
      </c>
      <c r="G23" s="112">
        <f>G19-G22</f>
        <v>0</v>
      </c>
      <c r="H23" s="112">
        <f t="shared" ref="H23:Z23" si="14">H19-H22</f>
        <v>0</v>
      </c>
      <c r="I23" s="112">
        <f t="shared" si="14"/>
        <v>0</v>
      </c>
      <c r="J23" s="112">
        <f t="shared" si="14"/>
        <v>0</v>
      </c>
      <c r="K23" s="112">
        <f t="shared" si="14"/>
        <v>0</v>
      </c>
      <c r="L23" s="112">
        <f t="shared" si="14"/>
        <v>0</v>
      </c>
      <c r="M23" s="112">
        <f t="shared" si="14"/>
        <v>0</v>
      </c>
      <c r="N23" s="112">
        <f t="shared" si="14"/>
        <v>0</v>
      </c>
      <c r="O23" s="112">
        <f t="shared" si="14"/>
        <v>0</v>
      </c>
      <c r="P23" s="112">
        <f t="shared" si="14"/>
        <v>0</v>
      </c>
      <c r="Q23" s="112">
        <f t="shared" si="14"/>
        <v>0</v>
      </c>
      <c r="R23" s="112">
        <f t="shared" si="14"/>
        <v>0</v>
      </c>
      <c r="S23" s="112">
        <f t="shared" si="14"/>
        <v>0</v>
      </c>
      <c r="T23" s="112">
        <f t="shared" si="14"/>
        <v>0</v>
      </c>
      <c r="U23" s="112">
        <f t="shared" si="14"/>
        <v>0</v>
      </c>
      <c r="V23" s="112">
        <f t="shared" si="14"/>
        <v>0</v>
      </c>
      <c r="W23" s="112">
        <f t="shared" si="14"/>
        <v>0</v>
      </c>
      <c r="X23" s="112">
        <f t="shared" si="14"/>
        <v>0</v>
      </c>
      <c r="Y23" s="112">
        <f t="shared" si="14"/>
        <v>0</v>
      </c>
      <c r="Z23" s="112">
        <f t="shared" si="14"/>
        <v>0</v>
      </c>
      <c r="AA23" s="195">
        <f>AA11-AA17</f>
        <v>745</v>
      </c>
      <c r="AB23" s="195">
        <f t="shared" ref="AB23:CM23" si="15">AB11-AB17</f>
        <v>0</v>
      </c>
      <c r="AC23" s="195">
        <f t="shared" si="15"/>
        <v>0</v>
      </c>
      <c r="AD23" s="195">
        <f t="shared" si="15"/>
        <v>0</v>
      </c>
      <c r="AE23" s="195">
        <f t="shared" si="15"/>
        <v>0</v>
      </c>
      <c r="AF23" s="195">
        <f t="shared" si="15"/>
        <v>178</v>
      </c>
      <c r="AG23" s="195">
        <f t="shared" si="15"/>
        <v>0</v>
      </c>
      <c r="AH23" s="195">
        <f t="shared" si="15"/>
        <v>0</v>
      </c>
      <c r="AI23" s="195">
        <f t="shared" si="15"/>
        <v>0</v>
      </c>
      <c r="AJ23" s="195">
        <f t="shared" si="15"/>
        <v>0</v>
      </c>
      <c r="AK23" s="195">
        <f t="shared" si="15"/>
        <v>2233</v>
      </c>
      <c r="AL23" s="195">
        <f t="shared" si="15"/>
        <v>0</v>
      </c>
      <c r="AM23" s="195">
        <f t="shared" si="15"/>
        <v>0</v>
      </c>
      <c r="AN23" s="195">
        <f t="shared" si="15"/>
        <v>0</v>
      </c>
      <c r="AO23" s="195">
        <f t="shared" si="15"/>
        <v>0</v>
      </c>
      <c r="AP23" s="195">
        <f t="shared" si="15"/>
        <v>4186</v>
      </c>
      <c r="AQ23" s="195">
        <f t="shared" si="15"/>
        <v>0</v>
      </c>
      <c r="AR23" s="195">
        <f t="shared" si="15"/>
        <v>0</v>
      </c>
      <c r="AS23" s="195">
        <f t="shared" si="15"/>
        <v>0</v>
      </c>
      <c r="AT23" s="195">
        <f t="shared" si="15"/>
        <v>0</v>
      </c>
      <c r="AU23" s="195">
        <f t="shared" si="15"/>
        <v>4106</v>
      </c>
      <c r="AV23" s="195">
        <f t="shared" si="15"/>
        <v>0</v>
      </c>
      <c r="AW23" s="195">
        <f t="shared" si="15"/>
        <v>0</v>
      </c>
      <c r="AX23" s="195">
        <f t="shared" si="15"/>
        <v>0</v>
      </c>
      <c r="AY23" s="195">
        <f t="shared" si="15"/>
        <v>0</v>
      </c>
      <c r="AZ23" s="195">
        <f t="shared" si="15"/>
        <v>12421</v>
      </c>
      <c r="BA23" s="195">
        <f t="shared" si="15"/>
        <v>0</v>
      </c>
      <c r="BB23" s="195">
        <f t="shared" si="15"/>
        <v>0</v>
      </c>
      <c r="BC23" s="195">
        <f t="shared" si="15"/>
        <v>0</v>
      </c>
      <c r="BD23" s="195">
        <f t="shared" si="15"/>
        <v>0</v>
      </c>
      <c r="BE23" s="195">
        <f t="shared" si="15"/>
        <v>14541</v>
      </c>
      <c r="BF23" s="195">
        <f t="shared" si="15"/>
        <v>0</v>
      </c>
      <c r="BG23" s="195">
        <f t="shared" si="15"/>
        <v>0</v>
      </c>
      <c r="BH23" s="195">
        <f t="shared" si="15"/>
        <v>0</v>
      </c>
      <c r="BI23" s="195">
        <f t="shared" si="15"/>
        <v>0</v>
      </c>
      <c r="BJ23" s="195">
        <f t="shared" si="15"/>
        <v>22899</v>
      </c>
      <c r="BK23" s="195">
        <f t="shared" si="15"/>
        <v>0</v>
      </c>
      <c r="BL23" s="195">
        <f t="shared" si="15"/>
        <v>0</v>
      </c>
      <c r="BM23" s="195">
        <f t="shared" si="15"/>
        <v>0</v>
      </c>
      <c r="BN23" s="195">
        <f t="shared" si="15"/>
        <v>0</v>
      </c>
      <c r="BO23" s="195">
        <f t="shared" si="15"/>
        <v>24879</v>
      </c>
      <c r="BP23" s="195">
        <f t="shared" si="15"/>
        <v>0</v>
      </c>
      <c r="BQ23" s="195">
        <f t="shared" si="15"/>
        <v>0</v>
      </c>
      <c r="BR23" s="195">
        <f t="shared" si="15"/>
        <v>0</v>
      </c>
      <c r="BS23" s="195">
        <f t="shared" si="15"/>
        <v>0</v>
      </c>
      <c r="BT23" s="195">
        <f t="shared" si="15"/>
        <v>12248</v>
      </c>
      <c r="BU23" s="195">
        <f t="shared" si="15"/>
        <v>4774</v>
      </c>
      <c r="BV23" s="195">
        <f t="shared" si="15"/>
        <v>7681</v>
      </c>
      <c r="BW23" s="195">
        <f t="shared" si="15"/>
        <v>11188</v>
      </c>
      <c r="BX23" s="195">
        <f t="shared" si="15"/>
        <v>13209</v>
      </c>
      <c r="BY23" s="195">
        <f t="shared" si="15"/>
        <v>36852</v>
      </c>
      <c r="BZ23" s="195">
        <f t="shared" si="15"/>
        <v>0</v>
      </c>
      <c r="CA23" s="195">
        <f t="shared" si="15"/>
        <v>0</v>
      </c>
      <c r="CB23" s="195">
        <f t="shared" si="15"/>
        <v>0</v>
      </c>
      <c r="CC23" s="195">
        <f t="shared" si="15"/>
        <v>0</v>
      </c>
      <c r="CD23" s="195">
        <f t="shared" si="15"/>
        <v>22757.958379653806</v>
      </c>
      <c r="CE23" s="195">
        <f t="shared" si="15"/>
        <v>0</v>
      </c>
      <c r="CF23" s="195">
        <f t="shared" si="15"/>
        <v>0</v>
      </c>
      <c r="CG23" s="195">
        <f t="shared" si="15"/>
        <v>0</v>
      </c>
      <c r="CH23" s="195">
        <f t="shared" si="15"/>
        <v>0</v>
      </c>
      <c r="CI23" s="195">
        <f t="shared" si="15"/>
        <v>28229.182414616283</v>
      </c>
      <c r="CJ23" s="195">
        <f t="shared" si="15"/>
        <v>0</v>
      </c>
      <c r="CK23" s="195">
        <f t="shared" si="15"/>
        <v>0</v>
      </c>
      <c r="CL23" s="195">
        <f t="shared" si="15"/>
        <v>0</v>
      </c>
      <c r="CM23" s="195">
        <f t="shared" si="15"/>
        <v>0</v>
      </c>
      <c r="CN23" s="195">
        <f t="shared" ref="CN23:CX23" si="16">CN11-CN17</f>
        <v>35179.540256544133</v>
      </c>
      <c r="CO23" s="195">
        <f t="shared" si="16"/>
        <v>0</v>
      </c>
      <c r="CP23" s="195">
        <f t="shared" si="16"/>
        <v>0</v>
      </c>
      <c r="CQ23" s="195">
        <f t="shared" si="16"/>
        <v>0</v>
      </c>
      <c r="CR23" s="195">
        <f t="shared" si="16"/>
        <v>0</v>
      </c>
      <c r="CS23" s="195">
        <f t="shared" si="16"/>
        <v>44041.664294536633</v>
      </c>
      <c r="CT23" s="195">
        <f t="shared" si="16"/>
        <v>0</v>
      </c>
      <c r="CU23" s="195">
        <f t="shared" si="16"/>
        <v>0</v>
      </c>
      <c r="CV23" s="195">
        <f t="shared" si="16"/>
        <v>0</v>
      </c>
      <c r="CW23" s="195">
        <f t="shared" si="16"/>
        <v>0</v>
      </c>
      <c r="CX23" s="195">
        <f t="shared" si="16"/>
        <v>55380.859346401179</v>
      </c>
    </row>
    <row r="24" spans="1:102" x14ac:dyDescent="0.2">
      <c r="B24" s="63" t="s">
        <v>25</v>
      </c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94">
        <v>38</v>
      </c>
      <c r="AB24" s="194"/>
      <c r="AC24" s="194"/>
      <c r="AD24" s="194"/>
      <c r="AE24" s="194"/>
      <c r="AF24" s="194">
        <v>39</v>
      </c>
      <c r="AG24" s="194"/>
      <c r="AH24" s="194"/>
      <c r="AI24" s="194"/>
      <c r="AJ24" s="194"/>
      <c r="AK24" s="194">
        <v>50</v>
      </c>
      <c r="AL24" s="194"/>
      <c r="AM24" s="194"/>
      <c r="AN24" s="194"/>
      <c r="AO24" s="194"/>
      <c r="AP24" s="194">
        <v>100</v>
      </c>
      <c r="AQ24" s="194"/>
      <c r="AR24" s="194"/>
      <c r="AS24" s="194"/>
      <c r="AT24" s="194"/>
      <c r="AU24" s="194">
        <v>202</v>
      </c>
      <c r="AV24" s="110"/>
      <c r="AW24" s="110"/>
      <c r="AX24" s="110"/>
      <c r="AY24" s="110"/>
      <c r="AZ24" s="194">
        <v>440</v>
      </c>
      <c r="BA24" s="194"/>
      <c r="BB24" s="194"/>
      <c r="BC24" s="194"/>
      <c r="BD24" s="194"/>
      <c r="BE24" s="194">
        <v>832</v>
      </c>
      <c r="BF24" s="194"/>
      <c r="BG24" s="194"/>
      <c r="BH24" s="194"/>
      <c r="BI24" s="194"/>
      <c r="BJ24" s="194">
        <v>555</v>
      </c>
      <c r="BK24" s="194"/>
      <c r="BL24" s="194"/>
      <c r="BM24" s="194"/>
      <c r="BN24" s="194"/>
      <c r="BO24" s="194">
        <v>448</v>
      </c>
      <c r="BP24" s="194"/>
      <c r="BQ24" s="194"/>
      <c r="BR24" s="194"/>
      <c r="BS24" s="194"/>
      <c r="BT24" s="194">
        <v>989</v>
      </c>
      <c r="BU24" s="194">
        <v>611</v>
      </c>
      <c r="BV24" s="194">
        <v>661</v>
      </c>
      <c r="BW24" s="194">
        <v>776</v>
      </c>
      <c r="BX24" s="319">
        <v>901</v>
      </c>
      <c r="BY24" s="194">
        <f>SUM(BU24:BX24)</f>
        <v>2949</v>
      </c>
      <c r="BZ24" s="227"/>
      <c r="CA24" s="227"/>
      <c r="CB24" s="227"/>
      <c r="CC24" s="227"/>
      <c r="CD24" s="227">
        <f>CD$9*'As % of Revenue'!$C$11</f>
        <v>1020.7735664765647</v>
      </c>
      <c r="CE24" s="227">
        <f>CE$9*'As % of Revenue'!$C$11</f>
        <v>0</v>
      </c>
      <c r="CF24" s="227">
        <f>CF$9*'As % of Revenue'!$C$11</f>
        <v>0</v>
      </c>
      <c r="CG24" s="227">
        <f>CG$9*'As % of Revenue'!$C$11</f>
        <v>0</v>
      </c>
      <c r="CH24" s="227">
        <f>CH$9*'As % of Revenue'!$C$11</f>
        <v>0</v>
      </c>
      <c r="CI24" s="227">
        <f>CI$9*'As % of Revenue'!$C$11</f>
        <v>1266.1769887867974</v>
      </c>
      <c r="CJ24" s="227">
        <f>CJ$9*'As % of Revenue'!$C$11</f>
        <v>0</v>
      </c>
      <c r="CK24" s="227">
        <f>CK$9*'As % of Revenue'!$C$11</f>
        <v>0</v>
      </c>
      <c r="CL24" s="227">
        <f>CL$9*'As % of Revenue'!$C$11</f>
        <v>0</v>
      </c>
      <c r="CM24" s="227">
        <f>CM$9*'As % of Revenue'!$C$11</f>
        <v>0</v>
      </c>
      <c r="CN24" s="227">
        <f>CN$9*'As % of Revenue'!$C$11</f>
        <v>1577.9247055299597</v>
      </c>
      <c r="CO24" s="227">
        <f>CO$9*'As % of Revenue'!$C$11</f>
        <v>0</v>
      </c>
      <c r="CP24" s="227">
        <f>CP$9*'As % of Revenue'!$C$11</f>
        <v>0</v>
      </c>
      <c r="CQ24" s="227">
        <f>CQ$9*'As % of Revenue'!$C$11</f>
        <v>0</v>
      </c>
      <c r="CR24" s="227">
        <f>CR$9*'As % of Revenue'!$C$11</f>
        <v>0</v>
      </c>
      <c r="CS24" s="227">
        <f>CS$9*'As % of Revenue'!$C$11</f>
        <v>1975.4217836908431</v>
      </c>
      <c r="CT24" s="227">
        <f>CT$9*'As % of Revenue'!$C$11</f>
        <v>0</v>
      </c>
      <c r="CU24" s="227">
        <f>CU$9*'As % of Revenue'!$C$11</f>
        <v>0</v>
      </c>
      <c r="CV24" s="227">
        <f>CV$9*'As % of Revenue'!$C$11</f>
        <v>0</v>
      </c>
      <c r="CW24" s="227">
        <f>CW$9*'As % of Revenue'!$C$11</f>
        <v>0</v>
      </c>
      <c r="CX24" s="227">
        <f>CX$9*'As % of Revenue'!$C$11</f>
        <v>2484.0241100055441</v>
      </c>
    </row>
    <row r="25" spans="1:102" x14ac:dyDescent="0.2">
      <c r="B25" s="63" t="s">
        <v>26</v>
      </c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94">
        <v>-141</v>
      </c>
      <c r="AB25" s="194"/>
      <c r="AC25" s="194"/>
      <c r="AD25" s="194"/>
      <c r="AE25" s="194"/>
      <c r="AF25" s="194">
        <v>-210</v>
      </c>
      <c r="AG25" s="194"/>
      <c r="AH25" s="194"/>
      <c r="AI25" s="194"/>
      <c r="AJ25" s="194"/>
      <c r="AK25" s="194">
        <v>-459</v>
      </c>
      <c r="AL25" s="194"/>
      <c r="AM25" s="194"/>
      <c r="AN25" s="194"/>
      <c r="AO25" s="194"/>
      <c r="AP25" s="194">
        <v>-484</v>
      </c>
      <c r="AQ25" s="194"/>
      <c r="AR25" s="194"/>
      <c r="AS25" s="194"/>
      <c r="AT25" s="194"/>
      <c r="AU25" s="194">
        <v>-848</v>
      </c>
      <c r="AV25" s="110"/>
      <c r="AW25" s="110"/>
      <c r="AX25" s="110"/>
      <c r="AY25" s="110"/>
      <c r="AZ25" s="194">
        <v>1417</v>
      </c>
      <c r="BA25" s="194"/>
      <c r="BB25" s="194"/>
      <c r="BC25" s="194"/>
      <c r="BD25" s="194"/>
      <c r="BE25" s="194">
        <v>1600</v>
      </c>
      <c r="BF25" s="194"/>
      <c r="BG25" s="194"/>
      <c r="BH25" s="194"/>
      <c r="BI25" s="194"/>
      <c r="BJ25" s="194">
        <v>-1647</v>
      </c>
      <c r="BK25" s="194"/>
      <c r="BL25" s="194"/>
      <c r="BM25" s="194"/>
      <c r="BN25" s="194"/>
      <c r="BO25" s="194">
        <v>-1809</v>
      </c>
      <c r="BP25" s="194"/>
      <c r="BQ25" s="194"/>
      <c r="BR25" s="194"/>
      <c r="BS25" s="194"/>
      <c r="BT25" s="194">
        <v>-2367</v>
      </c>
      <c r="BU25" s="194">
        <v>-823</v>
      </c>
      <c r="BV25" s="194">
        <v>-840</v>
      </c>
      <c r="BW25" s="194">
        <v>-806</v>
      </c>
      <c r="BX25" s="319">
        <v>-713</v>
      </c>
      <c r="BY25" s="194">
        <f t="shared" ref="BY25:BY28" si="17">SUM(BU25:BX25)</f>
        <v>-3182</v>
      </c>
      <c r="BZ25" s="227"/>
      <c r="CA25" s="227"/>
      <c r="CB25" s="227"/>
      <c r="CC25" s="227"/>
      <c r="CD25" s="227">
        <f>CD$9*'As % of Revenue'!$C$12</f>
        <v>-1354.5719706268615</v>
      </c>
      <c r="CE25" s="227">
        <f>CE$9*'As % of Revenue'!$C$12</f>
        <v>0</v>
      </c>
      <c r="CF25" s="227">
        <f>CF$9*'As % of Revenue'!$C$12</f>
        <v>0</v>
      </c>
      <c r="CG25" s="227">
        <f>CG$9*'As % of Revenue'!$C$12</f>
        <v>0</v>
      </c>
      <c r="CH25" s="227">
        <f>CH$9*'As % of Revenue'!$C$12</f>
        <v>0</v>
      </c>
      <c r="CI25" s="227">
        <f>CI$9*'As % of Revenue'!$C$12</f>
        <v>-1680.2236217611676</v>
      </c>
      <c r="CJ25" s="227">
        <f>CJ$9*'As % of Revenue'!$C$12</f>
        <v>0</v>
      </c>
      <c r="CK25" s="227">
        <f>CK$9*'As % of Revenue'!$C$12</f>
        <v>0</v>
      </c>
      <c r="CL25" s="227">
        <f>CL$9*'As % of Revenue'!$C$12</f>
        <v>0</v>
      </c>
      <c r="CM25" s="227">
        <f>CM$9*'As % of Revenue'!$C$12</f>
        <v>0</v>
      </c>
      <c r="CN25" s="227">
        <f>CN$9*'As % of Revenue'!$C$12</f>
        <v>-2093.9145056903262</v>
      </c>
      <c r="CO25" s="227">
        <f>CO$9*'As % of Revenue'!$C$12</f>
        <v>0</v>
      </c>
      <c r="CP25" s="227">
        <f>CP$9*'As % of Revenue'!$C$12</f>
        <v>0</v>
      </c>
      <c r="CQ25" s="227">
        <f>CQ$9*'As % of Revenue'!$C$12</f>
        <v>0</v>
      </c>
      <c r="CR25" s="227">
        <f>CR$9*'As % of Revenue'!$C$12</f>
        <v>0</v>
      </c>
      <c r="CS25" s="227">
        <f>CS$9*'As % of Revenue'!$C$12</f>
        <v>-2621.3952498688336</v>
      </c>
      <c r="CT25" s="227">
        <f>CT$9*'As % of Revenue'!$C$12</f>
        <v>0</v>
      </c>
      <c r="CU25" s="227">
        <f>CU$9*'As % of Revenue'!$C$12</f>
        <v>0</v>
      </c>
      <c r="CV25" s="227">
        <f>CV$9*'As % of Revenue'!$C$12</f>
        <v>0</v>
      </c>
      <c r="CW25" s="227">
        <f>CW$9*'As % of Revenue'!$C$12</f>
        <v>0</v>
      </c>
      <c r="CX25" s="227">
        <f>CX$9*'As % of Revenue'!$C$12</f>
        <v>-3296.3132513209484</v>
      </c>
    </row>
    <row r="26" spans="1:102" x14ac:dyDescent="0.2">
      <c r="B26" s="63" t="s">
        <v>27</v>
      </c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94">
        <v>-136</v>
      </c>
      <c r="AB26" s="194"/>
      <c r="AC26" s="194"/>
      <c r="AD26" s="194"/>
      <c r="AE26" s="194"/>
      <c r="AF26" s="194">
        <v>-118</v>
      </c>
      <c r="AG26" s="194"/>
      <c r="AH26" s="194"/>
      <c r="AI26" s="194"/>
      <c r="AJ26" s="194"/>
      <c r="AK26" s="194">
        <v>-256</v>
      </c>
      <c r="AL26" s="194"/>
      <c r="AM26" s="194"/>
      <c r="AN26" s="194"/>
      <c r="AO26" s="194"/>
      <c r="AP26" s="194">
        <v>90</v>
      </c>
      <c r="AQ26" s="194"/>
      <c r="AR26" s="194"/>
      <c r="AS26" s="194"/>
      <c r="AT26" s="194"/>
      <c r="AU26" s="194">
        <v>346</v>
      </c>
      <c r="AV26" s="110"/>
      <c r="AW26" s="110"/>
      <c r="AX26" s="110"/>
      <c r="AY26" s="110"/>
      <c r="AZ26" s="194">
        <v>-183</v>
      </c>
      <c r="BA26" s="194"/>
      <c r="BB26" s="194"/>
      <c r="BC26" s="194"/>
      <c r="BD26" s="194"/>
      <c r="BE26" s="194">
        <v>203</v>
      </c>
      <c r="BF26" s="194"/>
      <c r="BG26" s="194"/>
      <c r="BH26" s="194"/>
      <c r="BI26" s="194"/>
      <c r="BJ26" s="194">
        <v>2371</v>
      </c>
      <c r="BK26" s="194"/>
      <c r="BL26" s="194"/>
      <c r="BM26" s="194"/>
      <c r="BN26" s="194"/>
      <c r="BO26" s="194">
        <v>14633</v>
      </c>
      <c r="BP26" s="194"/>
      <c r="BQ26" s="194"/>
      <c r="BR26" s="194"/>
      <c r="BS26" s="194"/>
      <c r="BT26" s="194">
        <v>-16806</v>
      </c>
      <c r="BU26" s="194">
        <v>-443</v>
      </c>
      <c r="BV26" s="194">
        <v>61</v>
      </c>
      <c r="BW26" s="194">
        <v>1031</v>
      </c>
      <c r="BX26" s="319">
        <v>289</v>
      </c>
      <c r="BY26" s="194">
        <f t="shared" si="17"/>
        <v>938</v>
      </c>
      <c r="BZ26" s="227"/>
      <c r="CA26" s="227"/>
      <c r="CB26" s="227"/>
      <c r="CC26" s="227"/>
      <c r="CD26" s="227">
        <f>CD$9*'As % of Revenue'!$C$13</f>
        <v>186.96965324353442</v>
      </c>
      <c r="CE26" s="227">
        <f>CE$9*'As % of Revenue'!$C$13</f>
        <v>0</v>
      </c>
      <c r="CF26" s="227">
        <f>CF$9*'As % of Revenue'!$C$13</f>
        <v>0</v>
      </c>
      <c r="CG26" s="227">
        <f>CG$9*'As % of Revenue'!$C$13</f>
        <v>0</v>
      </c>
      <c r="CH26" s="227">
        <f>CH$9*'As % of Revenue'!$C$13</f>
        <v>0</v>
      </c>
      <c r="CI26" s="227">
        <f>CI$9*'As % of Revenue'!$C$13</f>
        <v>231.91889005860651</v>
      </c>
      <c r="CJ26" s="227">
        <f>CJ$9*'As % of Revenue'!$C$13</f>
        <v>0</v>
      </c>
      <c r="CK26" s="227">
        <f>CK$9*'As % of Revenue'!$C$13</f>
        <v>0</v>
      </c>
      <c r="CL26" s="227">
        <f>CL$9*'As % of Revenue'!$C$13</f>
        <v>0</v>
      </c>
      <c r="CM26" s="227">
        <f>CM$9*'As % of Revenue'!$C$13</f>
        <v>0</v>
      </c>
      <c r="CN26" s="227">
        <f>CN$9*'As % of Revenue'!$C$13</f>
        <v>289.02005765655372</v>
      </c>
      <c r="CO26" s="227">
        <f>CO$9*'As % of Revenue'!$C$13</f>
        <v>0</v>
      </c>
      <c r="CP26" s="227">
        <f>CP$9*'As % of Revenue'!$C$13</f>
        <v>0</v>
      </c>
      <c r="CQ26" s="227">
        <f>CQ$9*'As % of Revenue'!$C$13</f>
        <v>0</v>
      </c>
      <c r="CR26" s="227">
        <f>CR$9*'As % of Revenue'!$C$13</f>
        <v>0</v>
      </c>
      <c r="CS26" s="227">
        <f>CS$9*'As % of Revenue'!$C$13</f>
        <v>361.82747872407873</v>
      </c>
      <c r="CT26" s="227">
        <f>CT$9*'As % of Revenue'!$C$13</f>
        <v>0</v>
      </c>
      <c r="CU26" s="227">
        <f>CU$9*'As % of Revenue'!$C$13</f>
        <v>0</v>
      </c>
      <c r="CV26" s="227">
        <f>CV$9*'As % of Revenue'!$C$13</f>
        <v>0</v>
      </c>
      <c r="CW26" s="227">
        <f>CW$9*'As % of Revenue'!$C$13</f>
        <v>0</v>
      </c>
      <c r="CX26" s="227">
        <f>CX$9*'As % of Revenue'!$C$13</f>
        <v>454.98545588266711</v>
      </c>
    </row>
    <row r="27" spans="1:102" x14ac:dyDescent="0.2">
      <c r="B27" s="63" t="s">
        <v>28</v>
      </c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94">
        <v>-161</v>
      </c>
      <c r="AB27" s="194"/>
      <c r="AC27" s="194"/>
      <c r="AD27" s="194"/>
      <c r="AE27" s="194"/>
      <c r="AF27" s="194">
        <v>-167</v>
      </c>
      <c r="AG27" s="194"/>
      <c r="AH27" s="194"/>
      <c r="AI27" s="194"/>
      <c r="AJ27" s="194"/>
      <c r="AK27" s="194">
        <v>-950</v>
      </c>
      <c r="AL27" s="194"/>
      <c r="AM27" s="194"/>
      <c r="AN27" s="194"/>
      <c r="AO27" s="194"/>
      <c r="AP27" s="194">
        <v>-1425</v>
      </c>
      <c r="AQ27" s="194"/>
      <c r="AR27" s="194"/>
      <c r="AS27" s="194"/>
      <c r="AT27" s="194"/>
      <c r="AU27" s="194">
        <v>-769</v>
      </c>
      <c r="AV27" s="110"/>
      <c r="AW27" s="110"/>
      <c r="AX27" s="110"/>
      <c r="AY27" s="110"/>
      <c r="AZ27" s="194">
        <v>-1197</v>
      </c>
      <c r="BA27" s="194"/>
      <c r="BB27" s="194"/>
      <c r="BC27" s="194"/>
      <c r="BD27" s="194"/>
      <c r="BE27" s="194">
        <v>-2374</v>
      </c>
      <c r="BF27" s="194"/>
      <c r="BG27" s="194"/>
      <c r="BH27" s="194"/>
      <c r="BI27" s="194"/>
      <c r="BJ27" s="194">
        <v>-2863</v>
      </c>
      <c r="BK27" s="194"/>
      <c r="BL27" s="194"/>
      <c r="BM27" s="194"/>
      <c r="BN27" s="194"/>
      <c r="BO27" s="194">
        <v>-4791</v>
      </c>
      <c r="BP27" s="194"/>
      <c r="BQ27" s="194"/>
      <c r="BR27" s="194"/>
      <c r="BS27" s="194"/>
      <c r="BT27" s="194">
        <v>3217</v>
      </c>
      <c r="BU27" s="194">
        <v>-948</v>
      </c>
      <c r="BV27" s="194">
        <v>-804</v>
      </c>
      <c r="BW27" s="194">
        <v>-2306</v>
      </c>
      <c r="BX27" s="319">
        <v>-3062</v>
      </c>
      <c r="BY27" s="194">
        <f t="shared" si="17"/>
        <v>-7120</v>
      </c>
      <c r="BZ27" s="227"/>
      <c r="CA27" s="227"/>
      <c r="CB27" s="227"/>
      <c r="CC27" s="227"/>
      <c r="CD27" s="227">
        <f>CD$9*'As % of Revenue'!$C$14</f>
        <v>-3776.1477583097708</v>
      </c>
      <c r="CE27" s="227">
        <f>CE$9*'As % of Revenue'!$C$14</f>
        <v>0</v>
      </c>
      <c r="CF27" s="227">
        <f>CF$9*'As % of Revenue'!$C$14</f>
        <v>0</v>
      </c>
      <c r="CG27" s="227">
        <f>CG$9*'As % of Revenue'!$C$14</f>
        <v>0</v>
      </c>
      <c r="CH27" s="227">
        <f>CH$9*'As % of Revenue'!$C$14</f>
        <v>0</v>
      </c>
      <c r="CI27" s="227">
        <f>CI$9*'As % of Revenue'!$C$14</f>
        <v>-4683.9686634268373</v>
      </c>
      <c r="CJ27" s="227">
        <f>CJ$9*'As % of Revenue'!$C$14</f>
        <v>0</v>
      </c>
      <c r="CK27" s="227">
        <f>CK$9*'As % of Revenue'!$C$14</f>
        <v>0</v>
      </c>
      <c r="CL27" s="227">
        <f>CL$9*'As % of Revenue'!$C$14</f>
        <v>0</v>
      </c>
      <c r="CM27" s="227">
        <f>CM$9*'As % of Revenue'!$C$14</f>
        <v>0</v>
      </c>
      <c r="CN27" s="227">
        <f>CN$9*'As % of Revenue'!$C$14</f>
        <v>-5837.2170236888269</v>
      </c>
      <c r="CO27" s="227">
        <f>CO$9*'As % of Revenue'!$C$14</f>
        <v>0</v>
      </c>
      <c r="CP27" s="227">
        <f>CP$9*'As % of Revenue'!$C$14</f>
        <v>0</v>
      </c>
      <c r="CQ27" s="227">
        <f>CQ$9*'As % of Revenue'!$C$14</f>
        <v>0</v>
      </c>
      <c r="CR27" s="227">
        <f>CR$9*'As % of Revenue'!$C$14</f>
        <v>0</v>
      </c>
      <c r="CS27" s="227">
        <f>CS$9*'As % of Revenue'!$C$14</f>
        <v>-7307.6780053666516</v>
      </c>
      <c r="CT27" s="227">
        <f>CT$9*'As % of Revenue'!$C$14</f>
        <v>0</v>
      </c>
      <c r="CU27" s="227">
        <f>CU$9*'As % of Revenue'!$C$14</f>
        <v>0</v>
      </c>
      <c r="CV27" s="227">
        <f>CV$9*'As % of Revenue'!$C$14</f>
        <v>0</v>
      </c>
      <c r="CW27" s="227">
        <f>CW$9*'As % of Revenue'!$C$14</f>
        <v>0</v>
      </c>
      <c r="CX27" s="227">
        <f>CX$9*'As % of Revenue'!$C$14</f>
        <v>-9189.1506428426001</v>
      </c>
    </row>
    <row r="28" spans="1:102" x14ac:dyDescent="0.2">
      <c r="B28" s="63" t="s">
        <v>29</v>
      </c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94">
        <v>-71</v>
      </c>
      <c r="AB28" s="194"/>
      <c r="AC28" s="194"/>
      <c r="AD28" s="194"/>
      <c r="AE28" s="194"/>
      <c r="AF28" s="194">
        <v>37</v>
      </c>
      <c r="AG28" s="194"/>
      <c r="AH28" s="194"/>
      <c r="AI28" s="194"/>
      <c r="AJ28" s="194"/>
      <c r="AK28" s="194">
        <v>-22</v>
      </c>
      <c r="AL28" s="194"/>
      <c r="AM28" s="194"/>
      <c r="AN28" s="194"/>
      <c r="AO28" s="194"/>
      <c r="AP28" s="194">
        <v>-96</v>
      </c>
      <c r="AQ28" s="194"/>
      <c r="AR28" s="194"/>
      <c r="AS28" s="194"/>
      <c r="AT28" s="194"/>
      <c r="AU28" s="194">
        <v>-4</v>
      </c>
      <c r="AV28" s="110"/>
      <c r="AW28" s="110"/>
      <c r="AX28" s="110"/>
      <c r="AY28" s="110"/>
      <c r="AZ28" s="194">
        <v>9</v>
      </c>
      <c r="BA28" s="194"/>
      <c r="BB28" s="194"/>
      <c r="BC28" s="194"/>
      <c r="BD28" s="194"/>
      <c r="BE28" s="194">
        <v>-14</v>
      </c>
      <c r="BF28" s="194"/>
      <c r="BG28" s="194"/>
      <c r="BH28" s="194"/>
      <c r="BI28" s="194"/>
      <c r="BJ28" s="194">
        <v>16</v>
      </c>
      <c r="BK28" s="194"/>
      <c r="BL28" s="194"/>
      <c r="BM28" s="194"/>
      <c r="BN28" s="194"/>
      <c r="BO28" s="194">
        <v>4</v>
      </c>
      <c r="BP28" s="194"/>
      <c r="BQ28" s="194"/>
      <c r="BR28" s="194"/>
      <c r="BS28" s="194"/>
      <c r="BT28" s="194">
        <v>-3</v>
      </c>
      <c r="BU28" s="194">
        <v>1</v>
      </c>
      <c r="BV28" s="194">
        <v>-9</v>
      </c>
      <c r="BW28" s="194">
        <v>-4</v>
      </c>
      <c r="BX28" s="319">
        <v>0</v>
      </c>
      <c r="BY28" s="194">
        <f t="shared" si="17"/>
        <v>-12</v>
      </c>
      <c r="BZ28" s="227"/>
      <c r="CA28" s="227"/>
      <c r="CB28" s="227"/>
      <c r="CC28" s="227"/>
      <c r="CD28" s="227">
        <f>CD$9*'As % of Revenue'!$C$15</f>
        <v>-84.729149508774498</v>
      </c>
      <c r="CE28" s="227">
        <f>CE$9*'As % of Revenue'!$C$15</f>
        <v>0</v>
      </c>
      <c r="CF28" s="227">
        <f>CF$9*'As % of Revenue'!$C$15</f>
        <v>0</v>
      </c>
      <c r="CG28" s="227">
        <f>CG$9*'As % of Revenue'!$C$15</f>
        <v>0</v>
      </c>
      <c r="CH28" s="227">
        <f>CH$9*'As % of Revenue'!$C$15</f>
        <v>0</v>
      </c>
      <c r="CI28" s="227">
        <f>CI$9*'As % of Revenue'!$C$15</f>
        <v>-105.09882202161184</v>
      </c>
      <c r="CJ28" s="227">
        <f>CJ$9*'As % of Revenue'!$C$15</f>
        <v>0</v>
      </c>
      <c r="CK28" s="227">
        <f>CK$9*'As % of Revenue'!$C$15</f>
        <v>0</v>
      </c>
      <c r="CL28" s="227">
        <f>CL$9*'As % of Revenue'!$C$15</f>
        <v>0</v>
      </c>
      <c r="CM28" s="227">
        <f>CM$9*'As % of Revenue'!$C$15</f>
        <v>0</v>
      </c>
      <c r="CN28" s="227">
        <f>CN$9*'As % of Revenue'!$C$15</f>
        <v>-130.97539227031538</v>
      </c>
      <c r="CO28" s="227">
        <f>CO$9*'As % of Revenue'!$C$15</f>
        <v>0</v>
      </c>
      <c r="CP28" s="227">
        <f>CP$9*'As % of Revenue'!$C$15</f>
        <v>0</v>
      </c>
      <c r="CQ28" s="227">
        <f>CQ$9*'As % of Revenue'!$C$15</f>
        <v>0</v>
      </c>
      <c r="CR28" s="227">
        <f>CR$9*'As % of Revenue'!$C$15</f>
        <v>0</v>
      </c>
      <c r="CS28" s="227">
        <f>CS$9*'As % of Revenue'!$C$15</f>
        <v>-163.96957479117293</v>
      </c>
      <c r="CT28" s="227">
        <f>CT$9*'As % of Revenue'!$C$15</f>
        <v>0</v>
      </c>
      <c r="CU28" s="227">
        <f>CU$9*'As % of Revenue'!$C$15</f>
        <v>0</v>
      </c>
      <c r="CV28" s="227">
        <f>CV$9*'As % of Revenue'!$C$15</f>
        <v>0</v>
      </c>
      <c r="CW28" s="227">
        <f>CW$9*'As % of Revenue'!$C$15</f>
        <v>0</v>
      </c>
      <c r="CX28" s="227">
        <f>CX$9*'As % of Revenue'!$C$15</f>
        <v>-206.18603097897937</v>
      </c>
    </row>
    <row r="29" spans="1:102" x14ac:dyDescent="0.2">
      <c r="A29" s="111"/>
      <c r="B29" s="111" t="s">
        <v>30</v>
      </c>
      <c r="C29" s="112">
        <f t="shared" ref="C29:Z29" si="18">C23-SUM(C24,C26,C27)</f>
        <v>0</v>
      </c>
      <c r="D29" s="112">
        <f t="shared" si="18"/>
        <v>0</v>
      </c>
      <c r="E29" s="112">
        <f t="shared" si="18"/>
        <v>0</v>
      </c>
      <c r="F29" s="112">
        <f t="shared" si="18"/>
        <v>0</v>
      </c>
      <c r="G29" s="112">
        <f t="shared" si="18"/>
        <v>0</v>
      </c>
      <c r="H29" s="112">
        <f t="shared" si="18"/>
        <v>0</v>
      </c>
      <c r="I29" s="112">
        <f t="shared" si="18"/>
        <v>0</v>
      </c>
      <c r="J29" s="112">
        <f t="shared" si="18"/>
        <v>0</v>
      </c>
      <c r="K29" s="112">
        <f t="shared" si="18"/>
        <v>0</v>
      </c>
      <c r="L29" s="112">
        <f t="shared" si="18"/>
        <v>0</v>
      </c>
      <c r="M29" s="112">
        <f t="shared" si="18"/>
        <v>0</v>
      </c>
      <c r="N29" s="112">
        <f t="shared" si="18"/>
        <v>0</v>
      </c>
      <c r="O29" s="112">
        <f t="shared" si="18"/>
        <v>0</v>
      </c>
      <c r="P29" s="112">
        <f t="shared" si="18"/>
        <v>0</v>
      </c>
      <c r="Q29" s="112">
        <f t="shared" si="18"/>
        <v>0</v>
      </c>
      <c r="R29" s="112">
        <f t="shared" si="18"/>
        <v>0</v>
      </c>
      <c r="S29" s="112">
        <f t="shared" si="18"/>
        <v>0</v>
      </c>
      <c r="T29" s="112">
        <f t="shared" si="18"/>
        <v>0</v>
      </c>
      <c r="U29" s="112">
        <f t="shared" si="18"/>
        <v>0</v>
      </c>
      <c r="V29" s="112">
        <f t="shared" si="18"/>
        <v>0</v>
      </c>
      <c r="W29" s="112">
        <f t="shared" si="18"/>
        <v>0</v>
      </c>
      <c r="X29" s="112">
        <f t="shared" si="18"/>
        <v>0</v>
      </c>
      <c r="Y29" s="112">
        <f t="shared" si="18"/>
        <v>0</v>
      </c>
      <c r="Z29" s="112">
        <f t="shared" si="18"/>
        <v>0</v>
      </c>
      <c r="AA29" s="195">
        <f>AA23+SUM(AA24:AA28)</f>
        <v>274</v>
      </c>
      <c r="AB29" s="195">
        <f t="shared" ref="AB29:AU29" si="19">AB23+SUM(AB24:AB28)</f>
        <v>0</v>
      </c>
      <c r="AC29" s="195">
        <f t="shared" si="19"/>
        <v>0</v>
      </c>
      <c r="AD29" s="195">
        <f t="shared" si="19"/>
        <v>0</v>
      </c>
      <c r="AE29" s="195">
        <f t="shared" si="19"/>
        <v>0</v>
      </c>
      <c r="AF29" s="195">
        <f t="shared" si="19"/>
        <v>-241</v>
      </c>
      <c r="AG29" s="195">
        <f t="shared" si="19"/>
        <v>0</v>
      </c>
      <c r="AH29" s="195">
        <f t="shared" si="19"/>
        <v>0</v>
      </c>
      <c r="AI29" s="195">
        <f t="shared" si="19"/>
        <v>0</v>
      </c>
      <c r="AJ29" s="195">
        <f t="shared" si="19"/>
        <v>0</v>
      </c>
      <c r="AK29" s="195">
        <f t="shared" si="19"/>
        <v>596</v>
      </c>
      <c r="AL29" s="195">
        <f t="shared" si="19"/>
        <v>0</v>
      </c>
      <c r="AM29" s="195">
        <f t="shared" si="19"/>
        <v>0</v>
      </c>
      <c r="AN29" s="195">
        <f t="shared" si="19"/>
        <v>0</v>
      </c>
      <c r="AO29" s="195">
        <f t="shared" si="19"/>
        <v>0</v>
      </c>
      <c r="AP29" s="195">
        <f t="shared" si="19"/>
        <v>2371</v>
      </c>
      <c r="AQ29" s="195">
        <f t="shared" si="19"/>
        <v>0</v>
      </c>
      <c r="AR29" s="195">
        <f t="shared" si="19"/>
        <v>0</v>
      </c>
      <c r="AS29" s="195">
        <f t="shared" si="19"/>
        <v>0</v>
      </c>
      <c r="AT29" s="195">
        <f t="shared" si="19"/>
        <v>0</v>
      </c>
      <c r="AU29" s="195">
        <f t="shared" si="19"/>
        <v>3033</v>
      </c>
      <c r="AV29" s="113">
        <f>AV23-SUM(AV24,AV26,AV27)</f>
        <v>0</v>
      </c>
      <c r="AW29" s="113">
        <f>AW23-SUM(AW24,AW26,AW27)</f>
        <v>0</v>
      </c>
      <c r="AX29" s="113">
        <f>AX23-SUM(AX24,AX26,AX27)</f>
        <v>0</v>
      </c>
      <c r="AY29" s="113">
        <f>AY23-SUM(AY24,AY26,AY27)</f>
        <v>0</v>
      </c>
      <c r="AZ29" s="195">
        <f>AZ23+AZ24-AZ25+AZ26+AZ27+AZ28</f>
        <v>10073</v>
      </c>
      <c r="BA29" s="195">
        <f t="shared" ref="BA29:BI29" si="20">BA23+BA24-BA25+BA26+BA27+BA28</f>
        <v>0</v>
      </c>
      <c r="BB29" s="195">
        <f t="shared" si="20"/>
        <v>0</v>
      </c>
      <c r="BC29" s="195">
        <f t="shared" si="20"/>
        <v>0</v>
      </c>
      <c r="BD29" s="195">
        <f t="shared" si="20"/>
        <v>0</v>
      </c>
      <c r="BE29" s="195">
        <f t="shared" si="20"/>
        <v>11588</v>
      </c>
      <c r="BF29" s="195">
        <f t="shared" si="20"/>
        <v>0</v>
      </c>
      <c r="BG29" s="195">
        <f t="shared" si="20"/>
        <v>0</v>
      </c>
      <c r="BH29" s="195">
        <f t="shared" si="20"/>
        <v>0</v>
      </c>
      <c r="BI29" s="195">
        <f t="shared" si="20"/>
        <v>0</v>
      </c>
      <c r="BJ29" s="195">
        <f>BJ23+SUM(BJ24:BJ28)</f>
        <v>21331</v>
      </c>
      <c r="BK29" s="195">
        <f t="shared" ref="BK29:CX29" si="21">BK23+SUM(BK24:BK28)</f>
        <v>0</v>
      </c>
      <c r="BL29" s="195">
        <f t="shared" si="21"/>
        <v>0</v>
      </c>
      <c r="BM29" s="195">
        <f t="shared" si="21"/>
        <v>0</v>
      </c>
      <c r="BN29" s="195">
        <f t="shared" si="21"/>
        <v>0</v>
      </c>
      <c r="BO29" s="195">
        <f t="shared" si="21"/>
        <v>33364</v>
      </c>
      <c r="BP29" s="195">
        <f t="shared" si="21"/>
        <v>0</v>
      </c>
      <c r="BQ29" s="195">
        <f t="shared" si="21"/>
        <v>0</v>
      </c>
      <c r="BR29" s="195">
        <f t="shared" si="21"/>
        <v>0</v>
      </c>
      <c r="BS29" s="195">
        <f t="shared" si="21"/>
        <v>0</v>
      </c>
      <c r="BT29" s="195">
        <f t="shared" si="21"/>
        <v>-2722</v>
      </c>
      <c r="BU29" s="195">
        <f t="shared" si="21"/>
        <v>3172</v>
      </c>
      <c r="BV29" s="195">
        <f t="shared" si="21"/>
        <v>6750</v>
      </c>
      <c r="BW29" s="195">
        <f t="shared" si="21"/>
        <v>9879</v>
      </c>
      <c r="BX29" s="195">
        <f t="shared" si="21"/>
        <v>10624</v>
      </c>
      <c r="BY29" s="195">
        <f t="shared" si="21"/>
        <v>30425</v>
      </c>
      <c r="BZ29" s="195">
        <f t="shared" si="21"/>
        <v>0</v>
      </c>
      <c r="CA29" s="195">
        <f t="shared" si="21"/>
        <v>0</v>
      </c>
      <c r="CB29" s="195">
        <f t="shared" si="21"/>
        <v>0</v>
      </c>
      <c r="CC29" s="195">
        <f t="shared" si="21"/>
        <v>0</v>
      </c>
      <c r="CD29" s="195">
        <f t="shared" si="21"/>
        <v>18750.2527209285</v>
      </c>
      <c r="CE29" s="195"/>
      <c r="CF29" s="195"/>
      <c r="CG29" s="195"/>
      <c r="CH29" s="195"/>
      <c r="CI29" s="195">
        <f t="shared" si="21"/>
        <v>23257.98718625207</v>
      </c>
      <c r="CJ29" s="195"/>
      <c r="CK29" s="195"/>
      <c r="CL29" s="195"/>
      <c r="CM29" s="195"/>
      <c r="CN29" s="195">
        <f t="shared" si="21"/>
        <v>28984.378098081179</v>
      </c>
      <c r="CO29" s="195"/>
      <c r="CP29" s="195"/>
      <c r="CQ29" s="195"/>
      <c r="CR29" s="195"/>
      <c r="CS29" s="195">
        <f t="shared" si="21"/>
        <v>36285.870726924899</v>
      </c>
      <c r="CT29" s="195"/>
      <c r="CU29" s="195"/>
      <c r="CV29" s="195"/>
      <c r="CW29" s="195"/>
      <c r="CX29" s="195">
        <f t="shared" si="21"/>
        <v>45628.218987146865</v>
      </c>
    </row>
    <row r="30" spans="1:102" ht="15.75" hidden="1" customHeight="1" x14ac:dyDescent="0.2">
      <c r="A30" s="111"/>
      <c r="B30" s="111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13"/>
      <c r="AW30" s="113"/>
      <c r="AX30" s="113"/>
      <c r="AY30" s="113"/>
      <c r="AZ30" s="195"/>
      <c r="BA30" s="195"/>
      <c r="BB30" s="195"/>
      <c r="BC30" s="195"/>
      <c r="BD30" s="195"/>
      <c r="BE30" s="195"/>
      <c r="BF30" s="195"/>
      <c r="BG30" s="195"/>
      <c r="BH30" s="195"/>
      <c r="BI30" s="195"/>
      <c r="BJ30" s="195"/>
      <c r="BK30" s="195"/>
      <c r="BL30" s="195"/>
      <c r="BM30" s="195"/>
      <c r="BN30" s="195"/>
      <c r="BO30" s="195"/>
      <c r="BP30" s="195"/>
      <c r="BQ30" s="195"/>
      <c r="BR30" s="195"/>
      <c r="BS30" s="195"/>
      <c r="BT30" s="195"/>
      <c r="BU30" s="195"/>
      <c r="BV30" s="195"/>
      <c r="BW30" s="195"/>
      <c r="BX30" s="195"/>
      <c r="BY30" s="195"/>
      <c r="BZ30" s="195"/>
      <c r="CA30" s="195"/>
      <c r="CB30" s="195"/>
      <c r="CC30" s="195"/>
      <c r="CD30" s="195"/>
      <c r="CE30" s="195"/>
      <c r="CF30" s="195"/>
      <c r="CG30" s="195"/>
      <c r="CH30" s="195"/>
      <c r="CI30" s="195"/>
      <c r="CJ30" s="195"/>
      <c r="CK30" s="195"/>
      <c r="CL30" s="195"/>
      <c r="CM30" s="195"/>
      <c r="CN30" s="195"/>
      <c r="CO30" s="195"/>
      <c r="CP30" s="195"/>
      <c r="CQ30" s="195"/>
      <c r="CR30" s="195"/>
      <c r="CS30" s="195"/>
      <c r="CT30" s="195"/>
      <c r="CU30" s="195"/>
      <c r="CV30" s="195"/>
      <c r="CW30" s="195"/>
      <c r="CX30" s="195"/>
    </row>
    <row r="31" spans="1:102" hidden="1" x14ac:dyDescent="0.2">
      <c r="B31" s="63" t="s">
        <v>31</v>
      </c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94"/>
      <c r="AB31" s="194">
        <v>0</v>
      </c>
      <c r="AC31" s="194"/>
      <c r="AD31" s="194"/>
      <c r="AE31" s="194"/>
      <c r="AF31" s="194"/>
      <c r="AG31" s="194"/>
      <c r="AH31" s="194"/>
      <c r="AI31" s="194"/>
      <c r="AJ31" s="194"/>
      <c r="AK31" s="194"/>
      <c r="AL31" s="194"/>
      <c r="AM31" s="194">
        <v>0</v>
      </c>
      <c r="AN31" s="194">
        <v>0</v>
      </c>
      <c r="AO31" s="194"/>
      <c r="AP31" s="194"/>
      <c r="AQ31" s="194">
        <v>0</v>
      </c>
      <c r="AR31" s="194">
        <v>0</v>
      </c>
      <c r="AS31" s="194">
        <v>0</v>
      </c>
      <c r="AT31" s="194">
        <f>AU31-SUM(AQ31:AS31)</f>
        <v>0</v>
      </c>
      <c r="AU31" s="194">
        <v>0</v>
      </c>
      <c r="AV31" s="110">
        <v>0</v>
      </c>
      <c r="AW31" s="110"/>
      <c r="AX31" s="110"/>
      <c r="AY31" s="110"/>
      <c r="AZ31" s="194">
        <v>0</v>
      </c>
      <c r="BA31" s="194">
        <v>0</v>
      </c>
      <c r="BB31" s="194">
        <v>0</v>
      </c>
      <c r="BC31" s="194">
        <v>0</v>
      </c>
      <c r="BD31" s="194">
        <v>0</v>
      </c>
      <c r="BE31" s="194">
        <v>0</v>
      </c>
      <c r="BF31" s="194">
        <v>0</v>
      </c>
      <c r="BG31" s="194">
        <v>0</v>
      </c>
      <c r="BH31" s="194">
        <v>0</v>
      </c>
      <c r="BI31" s="194">
        <v>0</v>
      </c>
      <c r="BJ31" s="194">
        <v>0</v>
      </c>
      <c r="BK31" s="194">
        <v>0</v>
      </c>
      <c r="BL31" s="194">
        <v>0</v>
      </c>
      <c r="BM31" s="194">
        <v>0</v>
      </c>
      <c r="BN31" s="194">
        <v>0</v>
      </c>
      <c r="BO31" s="194">
        <v>0</v>
      </c>
      <c r="BP31" s="194">
        <v>0</v>
      </c>
      <c r="BQ31" s="194">
        <v>0</v>
      </c>
      <c r="BR31" s="194">
        <v>0</v>
      </c>
      <c r="BS31" s="194">
        <v>0</v>
      </c>
      <c r="BT31" s="194">
        <v>0</v>
      </c>
      <c r="BU31" s="194">
        <v>0</v>
      </c>
      <c r="BV31" s="194">
        <v>0</v>
      </c>
      <c r="BW31" s="194">
        <v>0</v>
      </c>
      <c r="BX31" s="227">
        <v>0</v>
      </c>
      <c r="BY31" s="227">
        <v>0</v>
      </c>
      <c r="BZ31" s="227">
        <v>0</v>
      </c>
      <c r="CA31" s="227">
        <v>0</v>
      </c>
      <c r="CB31" s="227">
        <v>0</v>
      </c>
      <c r="CC31" s="227">
        <v>0</v>
      </c>
      <c r="CD31" s="227">
        <v>0</v>
      </c>
      <c r="CE31" s="227"/>
      <c r="CF31" s="227"/>
      <c r="CG31" s="227"/>
      <c r="CH31" s="227"/>
      <c r="CI31" s="227">
        <v>0</v>
      </c>
      <c r="CJ31" s="227"/>
      <c r="CK31" s="227"/>
      <c r="CL31" s="227"/>
      <c r="CM31" s="227"/>
      <c r="CN31" s="227">
        <v>0</v>
      </c>
      <c r="CO31" s="227"/>
      <c r="CP31" s="227"/>
      <c r="CQ31" s="227"/>
      <c r="CR31" s="227"/>
      <c r="CS31" s="227">
        <v>0</v>
      </c>
      <c r="CT31" s="227"/>
      <c r="CU31" s="227"/>
      <c r="CV31" s="227"/>
      <c r="CW31" s="227"/>
      <c r="CX31" s="227">
        <v>0</v>
      </c>
    </row>
    <row r="32" spans="1:102" hidden="1" x14ac:dyDescent="0.2">
      <c r="A32" s="111"/>
      <c r="B32" s="111" t="s">
        <v>32</v>
      </c>
      <c r="C32" s="112">
        <f t="shared" ref="C32:AH32" si="22">+C30-C31</f>
        <v>0</v>
      </c>
      <c r="D32" s="112">
        <f t="shared" si="22"/>
        <v>0</v>
      </c>
      <c r="E32" s="112">
        <f t="shared" si="22"/>
        <v>0</v>
      </c>
      <c r="F32" s="112">
        <f t="shared" si="22"/>
        <v>0</v>
      </c>
      <c r="G32" s="112">
        <f t="shared" si="22"/>
        <v>0</v>
      </c>
      <c r="H32" s="112">
        <f t="shared" si="22"/>
        <v>0</v>
      </c>
      <c r="I32" s="112">
        <f t="shared" si="22"/>
        <v>0</v>
      </c>
      <c r="J32" s="112">
        <f t="shared" si="22"/>
        <v>0</v>
      </c>
      <c r="K32" s="112">
        <f t="shared" si="22"/>
        <v>0</v>
      </c>
      <c r="L32" s="112">
        <f t="shared" si="22"/>
        <v>0</v>
      </c>
      <c r="M32" s="112">
        <f t="shared" si="22"/>
        <v>0</v>
      </c>
      <c r="N32" s="112">
        <f t="shared" si="22"/>
        <v>0</v>
      </c>
      <c r="O32" s="112">
        <f t="shared" si="22"/>
        <v>0</v>
      </c>
      <c r="P32" s="112">
        <f t="shared" si="22"/>
        <v>0</v>
      </c>
      <c r="Q32" s="112">
        <f t="shared" si="22"/>
        <v>0</v>
      </c>
      <c r="R32" s="112">
        <f t="shared" si="22"/>
        <v>0</v>
      </c>
      <c r="S32" s="112">
        <f t="shared" si="22"/>
        <v>0</v>
      </c>
      <c r="T32" s="112">
        <f t="shared" si="22"/>
        <v>0</v>
      </c>
      <c r="U32" s="112">
        <f t="shared" si="22"/>
        <v>0</v>
      </c>
      <c r="V32" s="112">
        <f t="shared" si="22"/>
        <v>0</v>
      </c>
      <c r="W32" s="112">
        <f t="shared" si="22"/>
        <v>0</v>
      </c>
      <c r="X32" s="112">
        <f t="shared" si="22"/>
        <v>0</v>
      </c>
      <c r="Y32" s="112">
        <f t="shared" si="22"/>
        <v>0</v>
      </c>
      <c r="Z32" s="112">
        <f t="shared" si="22"/>
        <v>0</v>
      </c>
      <c r="AA32" s="195">
        <f t="shared" si="22"/>
        <v>0</v>
      </c>
      <c r="AB32" s="195">
        <f t="shared" si="22"/>
        <v>0</v>
      </c>
      <c r="AC32" s="195">
        <f t="shared" si="22"/>
        <v>0</v>
      </c>
      <c r="AD32" s="195">
        <f t="shared" si="22"/>
        <v>0</v>
      </c>
      <c r="AE32" s="195">
        <f t="shared" si="22"/>
        <v>0</v>
      </c>
      <c r="AF32" s="195">
        <f t="shared" si="22"/>
        <v>0</v>
      </c>
      <c r="AG32" s="195">
        <f t="shared" si="22"/>
        <v>0</v>
      </c>
      <c r="AH32" s="195">
        <f t="shared" si="22"/>
        <v>0</v>
      </c>
      <c r="AI32" s="195">
        <f t="shared" ref="AI32:BN32" si="23">+AI30-AI31</f>
        <v>0</v>
      </c>
      <c r="AJ32" s="195">
        <f t="shared" si="23"/>
        <v>0</v>
      </c>
      <c r="AK32" s="195">
        <f t="shared" si="23"/>
        <v>0</v>
      </c>
      <c r="AL32" s="195">
        <f t="shared" si="23"/>
        <v>0</v>
      </c>
      <c r="AM32" s="195">
        <f t="shared" si="23"/>
        <v>0</v>
      </c>
      <c r="AN32" s="195">
        <f t="shared" si="23"/>
        <v>0</v>
      </c>
      <c r="AO32" s="195">
        <f t="shared" si="23"/>
        <v>0</v>
      </c>
      <c r="AP32" s="195">
        <f t="shared" si="23"/>
        <v>0</v>
      </c>
      <c r="AQ32" s="195">
        <f t="shared" si="23"/>
        <v>0</v>
      </c>
      <c r="AR32" s="195">
        <f t="shared" si="23"/>
        <v>0</v>
      </c>
      <c r="AS32" s="195">
        <f t="shared" si="23"/>
        <v>0</v>
      </c>
      <c r="AT32" s="195">
        <f t="shared" si="23"/>
        <v>0</v>
      </c>
      <c r="AU32" s="195">
        <f t="shared" si="23"/>
        <v>0</v>
      </c>
      <c r="AV32" s="113">
        <f t="shared" si="23"/>
        <v>0</v>
      </c>
      <c r="AW32" s="113">
        <f t="shared" si="23"/>
        <v>0</v>
      </c>
      <c r="AX32" s="113">
        <f t="shared" si="23"/>
        <v>0</v>
      </c>
      <c r="AY32" s="113">
        <f t="shared" si="23"/>
        <v>0</v>
      </c>
      <c r="AZ32" s="195">
        <f t="shared" si="23"/>
        <v>0</v>
      </c>
      <c r="BA32" s="195">
        <f t="shared" si="23"/>
        <v>0</v>
      </c>
      <c r="BB32" s="195">
        <f t="shared" si="23"/>
        <v>0</v>
      </c>
      <c r="BC32" s="195">
        <f t="shared" si="23"/>
        <v>0</v>
      </c>
      <c r="BD32" s="195">
        <f t="shared" si="23"/>
        <v>0</v>
      </c>
      <c r="BE32" s="195">
        <f t="shared" si="23"/>
        <v>0</v>
      </c>
      <c r="BF32" s="195">
        <f t="shared" si="23"/>
        <v>0</v>
      </c>
      <c r="BG32" s="195">
        <f t="shared" si="23"/>
        <v>0</v>
      </c>
      <c r="BH32" s="195">
        <f t="shared" si="23"/>
        <v>0</v>
      </c>
      <c r="BI32" s="195">
        <f t="shared" si="23"/>
        <v>0</v>
      </c>
      <c r="BJ32" s="195">
        <f t="shared" si="23"/>
        <v>0</v>
      </c>
      <c r="BK32" s="195">
        <f t="shared" si="23"/>
        <v>0</v>
      </c>
      <c r="BL32" s="195">
        <f t="shared" si="23"/>
        <v>0</v>
      </c>
      <c r="BM32" s="195">
        <f t="shared" si="23"/>
        <v>0</v>
      </c>
      <c r="BN32" s="195">
        <f t="shared" si="23"/>
        <v>0</v>
      </c>
      <c r="BO32" s="195">
        <f t="shared" ref="BO32:CD32" si="24">+BO30-BO31</f>
        <v>0</v>
      </c>
      <c r="BP32" s="195">
        <f t="shared" si="24"/>
        <v>0</v>
      </c>
      <c r="BQ32" s="195">
        <f t="shared" si="24"/>
        <v>0</v>
      </c>
      <c r="BR32" s="195">
        <f t="shared" si="24"/>
        <v>0</v>
      </c>
      <c r="BS32" s="195">
        <f t="shared" si="24"/>
        <v>0</v>
      </c>
      <c r="BT32" s="195">
        <f t="shared" si="24"/>
        <v>0</v>
      </c>
      <c r="BU32" s="195">
        <f t="shared" si="24"/>
        <v>0</v>
      </c>
      <c r="BV32" s="195">
        <f t="shared" si="24"/>
        <v>0</v>
      </c>
      <c r="BW32" s="195">
        <f t="shared" si="24"/>
        <v>0</v>
      </c>
      <c r="BX32" s="228">
        <f t="shared" si="24"/>
        <v>0</v>
      </c>
      <c r="BY32" s="228">
        <f t="shared" si="24"/>
        <v>0</v>
      </c>
      <c r="BZ32" s="228">
        <f t="shared" si="24"/>
        <v>0</v>
      </c>
      <c r="CA32" s="228">
        <f t="shared" si="24"/>
        <v>0</v>
      </c>
      <c r="CB32" s="228">
        <f t="shared" si="24"/>
        <v>0</v>
      </c>
      <c r="CC32" s="228">
        <f t="shared" si="24"/>
        <v>0</v>
      </c>
      <c r="CD32" s="228">
        <f t="shared" si="24"/>
        <v>0</v>
      </c>
      <c r="CE32" s="228"/>
      <c r="CF32" s="228"/>
      <c r="CG32" s="228"/>
      <c r="CH32" s="228"/>
      <c r="CI32" s="228">
        <f>+CI30-CI31</f>
        <v>0</v>
      </c>
      <c r="CJ32" s="228"/>
      <c r="CK32" s="228"/>
      <c r="CL32" s="228"/>
      <c r="CM32" s="228"/>
      <c r="CN32" s="228">
        <f>+CN30-CN31</f>
        <v>0</v>
      </c>
      <c r="CO32" s="228"/>
      <c r="CP32" s="228"/>
      <c r="CQ32" s="228"/>
      <c r="CR32" s="228"/>
      <c r="CS32" s="228">
        <f>+CS30-CS31</f>
        <v>0</v>
      </c>
      <c r="CT32" s="228"/>
      <c r="CU32" s="228"/>
      <c r="CV32" s="228"/>
      <c r="CW32" s="228"/>
      <c r="CX32" s="228">
        <f>+CX30-CX31</f>
        <v>0</v>
      </c>
    </row>
    <row r="33" spans="1:103" x14ac:dyDescent="0.2">
      <c r="B33" s="63" t="s">
        <v>33</v>
      </c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93">
        <v>0.6</v>
      </c>
      <c r="AB33" s="193"/>
      <c r="AC33" s="193"/>
      <c r="AD33" s="193"/>
      <c r="AE33" s="193"/>
      <c r="AF33" s="193">
        <v>-0.52</v>
      </c>
      <c r="AG33" s="193"/>
      <c r="AH33" s="193"/>
      <c r="AI33" s="193"/>
      <c r="AJ33" s="193"/>
      <c r="AK33" s="193">
        <v>1.28</v>
      </c>
      <c r="AL33" s="193"/>
      <c r="AM33" s="193"/>
      <c r="AN33" s="193"/>
      <c r="AO33" s="193"/>
      <c r="AP33" s="332">
        <v>5.01</v>
      </c>
      <c r="AQ33" s="193"/>
      <c r="AR33" s="193"/>
      <c r="AS33" s="193"/>
      <c r="AT33" s="193"/>
      <c r="AU33" s="332">
        <v>6.32</v>
      </c>
      <c r="AV33" s="117"/>
      <c r="AW33" s="117"/>
      <c r="AX33" s="117"/>
      <c r="AY33" s="117"/>
      <c r="AZ33" s="193">
        <v>20.68</v>
      </c>
      <c r="BA33" s="193"/>
      <c r="BB33" s="193"/>
      <c r="BC33" s="193"/>
      <c r="BD33" s="193"/>
      <c r="BE33" s="193">
        <v>23.46</v>
      </c>
      <c r="BF33" s="193"/>
      <c r="BG33" s="193"/>
      <c r="BH33" s="193"/>
      <c r="BI33" s="193"/>
      <c r="BJ33" s="193">
        <v>2.13</v>
      </c>
      <c r="BK33" s="193"/>
      <c r="BL33" s="193"/>
      <c r="BM33" s="193"/>
      <c r="BN33" s="193"/>
      <c r="BO33" s="193">
        <v>3.3</v>
      </c>
      <c r="BP33" s="193"/>
      <c r="BQ33" s="193"/>
      <c r="BR33" s="193"/>
      <c r="BS33" s="193"/>
      <c r="BT33" s="193">
        <v>-0.27</v>
      </c>
      <c r="BU33" s="193">
        <v>0.31</v>
      </c>
      <c r="BV33" s="193">
        <v>0.66</v>
      </c>
      <c r="BW33" s="193">
        <v>0.96</v>
      </c>
      <c r="BX33" s="320">
        <f t="shared" ref="BX33:CD33" si="25">BX29/BX38</f>
        <v>1.0258787176516029</v>
      </c>
      <c r="BY33" s="325">
        <f t="shared" si="25"/>
        <v>2.9527368012422359</v>
      </c>
      <c r="BZ33" s="229">
        <f t="shared" si="25"/>
        <v>0</v>
      </c>
      <c r="CA33" s="229">
        <f t="shared" si="25"/>
        <v>0</v>
      </c>
      <c r="CB33" s="229">
        <f t="shared" si="25"/>
        <v>0</v>
      </c>
      <c r="CC33" s="229">
        <f t="shared" si="25"/>
        <v>0</v>
      </c>
      <c r="CD33" s="229">
        <f t="shared" si="25"/>
        <v>1.8197062035062597</v>
      </c>
      <c r="CE33" s="229"/>
      <c r="CF33" s="229"/>
      <c r="CG33" s="229"/>
      <c r="CH33" s="229"/>
      <c r="CI33" s="229">
        <f>CI29/CI38</f>
        <v>2.2571804334483763</v>
      </c>
      <c r="CJ33" s="229"/>
      <c r="CK33" s="229"/>
      <c r="CL33" s="229"/>
      <c r="CM33" s="229"/>
      <c r="CN33" s="229">
        <f>CN29/CN38</f>
        <v>2.8129248930591206</v>
      </c>
      <c r="CO33" s="229"/>
      <c r="CP33" s="229"/>
      <c r="CQ33" s="229"/>
      <c r="CR33" s="229"/>
      <c r="CS33" s="229">
        <f>CS29/CS38</f>
        <v>3.521532485144109</v>
      </c>
      <c r="CT33" s="229"/>
      <c r="CU33" s="229"/>
      <c r="CV33" s="229"/>
      <c r="CW33" s="229"/>
      <c r="CX33" s="229">
        <f>CX29/CX38</f>
        <v>4.4282044824482591</v>
      </c>
    </row>
    <row r="34" spans="1:103" x14ac:dyDescent="0.2">
      <c r="B34" s="63" t="s">
        <v>34</v>
      </c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93">
        <v>0.59</v>
      </c>
      <c r="AB34" s="193"/>
      <c r="AC34" s="193"/>
      <c r="AD34" s="193"/>
      <c r="AE34" s="193"/>
      <c r="AF34" s="193">
        <v>-0.52</v>
      </c>
      <c r="AG34" s="193"/>
      <c r="AH34" s="193"/>
      <c r="AI34" s="193"/>
      <c r="AJ34" s="193"/>
      <c r="AK34" s="193">
        <v>1.25</v>
      </c>
      <c r="AL34" s="193"/>
      <c r="AM34" s="193"/>
      <c r="AN34" s="193"/>
      <c r="AO34" s="193"/>
      <c r="AP34" s="332">
        <v>4.9000000000000004</v>
      </c>
      <c r="AQ34" s="193"/>
      <c r="AR34" s="193"/>
      <c r="AS34" s="193"/>
      <c r="AT34" s="193"/>
      <c r="AU34" s="332">
        <v>6.15</v>
      </c>
      <c r="AV34" s="117"/>
      <c r="AW34" s="117"/>
      <c r="AX34" s="117"/>
      <c r="AY34" s="117"/>
      <c r="AZ34" s="193">
        <v>20.14</v>
      </c>
      <c r="BA34" s="193"/>
      <c r="BB34" s="193"/>
      <c r="BC34" s="193"/>
      <c r="BD34" s="193"/>
      <c r="BE34" s="193">
        <v>23.01</v>
      </c>
      <c r="BF34" s="193"/>
      <c r="BG34" s="193"/>
      <c r="BH34" s="193"/>
      <c r="BI34" s="193"/>
      <c r="BJ34" s="193">
        <v>2.09</v>
      </c>
      <c r="BK34" s="193"/>
      <c r="BL34" s="193"/>
      <c r="BM34" s="193"/>
      <c r="BN34" s="193"/>
      <c r="BO34" s="193">
        <v>3.24</v>
      </c>
      <c r="BP34" s="193"/>
      <c r="BQ34" s="193"/>
      <c r="BR34" s="193"/>
      <c r="BS34" s="193"/>
      <c r="BT34" s="193">
        <v>-0.27</v>
      </c>
      <c r="BU34" s="193">
        <v>0.31</v>
      </c>
      <c r="BV34" s="193">
        <v>0.65</v>
      </c>
      <c r="BW34" s="193">
        <v>0.94</v>
      </c>
      <c r="BX34" s="320">
        <f t="shared" ref="BX34:CD34" si="26">BX29/BX39</f>
        <v>1.0013195098963241</v>
      </c>
      <c r="BY34" s="325">
        <f t="shared" si="26"/>
        <v>2.8998284407167367</v>
      </c>
      <c r="BZ34" s="229">
        <f t="shared" si="26"/>
        <v>0</v>
      </c>
      <c r="CA34" s="229">
        <f t="shared" si="26"/>
        <v>0</v>
      </c>
      <c r="CB34" s="229">
        <f t="shared" si="26"/>
        <v>0</v>
      </c>
      <c r="CC34" s="229">
        <f t="shared" si="26"/>
        <v>0</v>
      </c>
      <c r="CD34" s="229">
        <f t="shared" si="26"/>
        <v>1.7870999543393538</v>
      </c>
      <c r="CE34" s="229"/>
      <c r="CF34" s="229"/>
      <c r="CG34" s="229"/>
      <c r="CH34" s="229"/>
      <c r="CI34" s="229">
        <f>CI29/CI39</f>
        <v>2.2167353399020273</v>
      </c>
      <c r="CJ34" s="229"/>
      <c r="CK34" s="229"/>
      <c r="CL34" s="229"/>
      <c r="CM34" s="229"/>
      <c r="CN34" s="229">
        <f>CN29/CN39</f>
        <v>2.7625217401907336</v>
      </c>
      <c r="CO34" s="229"/>
      <c r="CP34" s="229"/>
      <c r="CQ34" s="229"/>
      <c r="CR34" s="229"/>
      <c r="CS34" s="229">
        <f>CS29/CS39</f>
        <v>3.4584322080561285</v>
      </c>
      <c r="CT34" s="229"/>
      <c r="CU34" s="229"/>
      <c r="CV34" s="229"/>
      <c r="CW34" s="229"/>
      <c r="CX34" s="229">
        <f>CX29/CX39</f>
        <v>4.3488580811234145</v>
      </c>
    </row>
    <row r="35" spans="1:103" hidden="1" x14ac:dyDescent="0.2">
      <c r="A35" s="111"/>
      <c r="B35" s="111" t="s">
        <v>35</v>
      </c>
      <c r="C35" s="113" t="e">
        <f>C32/C43</f>
        <v>#DIV/0!</v>
      </c>
      <c r="D35" s="113" t="e">
        <f t="shared" ref="D35:BO35" si="27">D32/D43</f>
        <v>#DIV/0!</v>
      </c>
      <c r="E35" s="113" t="e">
        <f t="shared" si="27"/>
        <v>#DIV/0!</v>
      </c>
      <c r="F35" s="113" t="e">
        <f t="shared" si="27"/>
        <v>#DIV/0!</v>
      </c>
      <c r="G35" s="113" t="e">
        <f t="shared" si="27"/>
        <v>#DIV/0!</v>
      </c>
      <c r="H35" s="113" t="e">
        <f t="shared" si="27"/>
        <v>#DIV/0!</v>
      </c>
      <c r="I35" s="113" t="e">
        <f t="shared" si="27"/>
        <v>#DIV/0!</v>
      </c>
      <c r="J35" s="113" t="e">
        <f t="shared" si="27"/>
        <v>#DIV/0!</v>
      </c>
      <c r="K35" s="113" t="e">
        <f t="shared" si="27"/>
        <v>#DIV/0!</v>
      </c>
      <c r="L35" s="113" t="e">
        <f t="shared" si="27"/>
        <v>#DIV/0!</v>
      </c>
      <c r="M35" s="113" t="e">
        <f t="shared" si="27"/>
        <v>#DIV/0!</v>
      </c>
      <c r="N35" s="113" t="e">
        <f t="shared" si="27"/>
        <v>#DIV/0!</v>
      </c>
      <c r="O35" s="113" t="e">
        <f t="shared" si="27"/>
        <v>#DIV/0!</v>
      </c>
      <c r="P35" s="113" t="e">
        <f t="shared" si="27"/>
        <v>#DIV/0!</v>
      </c>
      <c r="Q35" s="113" t="e">
        <f t="shared" si="27"/>
        <v>#DIV/0!</v>
      </c>
      <c r="R35" s="113" t="e">
        <f t="shared" si="27"/>
        <v>#DIV/0!</v>
      </c>
      <c r="S35" s="113" t="e">
        <f t="shared" si="27"/>
        <v>#DIV/0!</v>
      </c>
      <c r="T35" s="113" t="e">
        <f t="shared" si="27"/>
        <v>#DIV/0!</v>
      </c>
      <c r="U35" s="113" t="e">
        <f t="shared" si="27"/>
        <v>#DIV/0!</v>
      </c>
      <c r="V35" s="113" t="e">
        <f t="shared" si="27"/>
        <v>#DIV/0!</v>
      </c>
      <c r="W35" s="113" t="e">
        <f t="shared" si="27"/>
        <v>#DIV/0!</v>
      </c>
      <c r="X35" s="113" t="e">
        <f t="shared" si="27"/>
        <v>#DIV/0!</v>
      </c>
      <c r="Y35" s="113" t="e">
        <f t="shared" si="27"/>
        <v>#DIV/0!</v>
      </c>
      <c r="Z35" s="113" t="e">
        <f t="shared" si="27"/>
        <v>#DIV/0!</v>
      </c>
      <c r="AA35" s="195" t="e">
        <f t="shared" si="27"/>
        <v>#DIV/0!</v>
      </c>
      <c r="AB35" s="195" t="e">
        <f t="shared" si="27"/>
        <v>#DIV/0!</v>
      </c>
      <c r="AC35" s="195" t="e">
        <f t="shared" si="27"/>
        <v>#DIV/0!</v>
      </c>
      <c r="AD35" s="195" t="e">
        <f t="shared" si="27"/>
        <v>#DIV/0!</v>
      </c>
      <c r="AE35" s="195" t="e">
        <f t="shared" si="27"/>
        <v>#DIV/0!</v>
      </c>
      <c r="AF35" s="195" t="e">
        <f t="shared" si="27"/>
        <v>#DIV/0!</v>
      </c>
      <c r="AG35" s="195" t="e">
        <f t="shared" si="27"/>
        <v>#DIV/0!</v>
      </c>
      <c r="AH35" s="195" t="e">
        <f t="shared" si="27"/>
        <v>#DIV/0!</v>
      </c>
      <c r="AI35" s="195" t="e">
        <f t="shared" si="27"/>
        <v>#DIV/0!</v>
      </c>
      <c r="AJ35" s="195" t="e">
        <f t="shared" si="27"/>
        <v>#DIV/0!</v>
      </c>
      <c r="AK35" s="195" t="e">
        <f t="shared" si="27"/>
        <v>#DIV/0!</v>
      </c>
      <c r="AL35" s="195" t="e">
        <f t="shared" si="27"/>
        <v>#DIV/0!</v>
      </c>
      <c r="AM35" s="195" t="e">
        <f t="shared" si="27"/>
        <v>#DIV/0!</v>
      </c>
      <c r="AN35" s="195" t="e">
        <f t="shared" si="27"/>
        <v>#DIV/0!</v>
      </c>
      <c r="AO35" s="195" t="e">
        <f t="shared" si="27"/>
        <v>#DIV/0!</v>
      </c>
      <c r="AP35" s="195" t="e">
        <f t="shared" si="27"/>
        <v>#DIV/0!</v>
      </c>
      <c r="AQ35" s="195" t="e">
        <f t="shared" si="27"/>
        <v>#DIV/0!</v>
      </c>
      <c r="AR35" s="195" t="e">
        <f t="shared" si="27"/>
        <v>#DIV/0!</v>
      </c>
      <c r="AS35" s="195" t="e">
        <f t="shared" si="27"/>
        <v>#DIV/0!</v>
      </c>
      <c r="AT35" s="195" t="e">
        <f t="shared" si="27"/>
        <v>#DIV/0!</v>
      </c>
      <c r="AU35" s="195" t="e">
        <f t="shared" si="27"/>
        <v>#DIV/0!</v>
      </c>
      <c r="AV35" s="113" t="e">
        <f t="shared" si="27"/>
        <v>#DIV/0!</v>
      </c>
      <c r="AW35" s="113" t="e">
        <f t="shared" si="27"/>
        <v>#DIV/0!</v>
      </c>
      <c r="AX35" s="113" t="e">
        <f t="shared" si="27"/>
        <v>#DIV/0!</v>
      </c>
      <c r="AY35" s="113" t="e">
        <f t="shared" si="27"/>
        <v>#DIV/0!</v>
      </c>
      <c r="AZ35" s="195" t="e">
        <f t="shared" si="27"/>
        <v>#DIV/0!</v>
      </c>
      <c r="BA35" s="195" t="e">
        <f t="shared" si="27"/>
        <v>#DIV/0!</v>
      </c>
      <c r="BB35" s="195" t="e">
        <f t="shared" si="27"/>
        <v>#DIV/0!</v>
      </c>
      <c r="BC35" s="195" t="e">
        <f t="shared" si="27"/>
        <v>#DIV/0!</v>
      </c>
      <c r="BD35" s="195" t="e">
        <f t="shared" si="27"/>
        <v>#DIV/0!</v>
      </c>
      <c r="BE35" s="195" t="e">
        <f t="shared" si="27"/>
        <v>#DIV/0!</v>
      </c>
      <c r="BF35" s="195" t="e">
        <f t="shared" si="27"/>
        <v>#DIV/0!</v>
      </c>
      <c r="BG35" s="195" t="e">
        <f t="shared" si="27"/>
        <v>#DIV/0!</v>
      </c>
      <c r="BH35" s="195" t="e">
        <f t="shared" si="27"/>
        <v>#DIV/0!</v>
      </c>
      <c r="BI35" s="195" t="e">
        <f t="shared" si="27"/>
        <v>#DIV/0!</v>
      </c>
      <c r="BJ35" s="195" t="e">
        <f>BJ32/BJ43</f>
        <v>#DIV/0!</v>
      </c>
      <c r="BK35" s="195" t="e">
        <f t="shared" si="27"/>
        <v>#DIV/0!</v>
      </c>
      <c r="BL35" s="195" t="e">
        <f t="shared" si="27"/>
        <v>#DIV/0!</v>
      </c>
      <c r="BM35" s="195" t="e">
        <f t="shared" si="27"/>
        <v>#DIV/0!</v>
      </c>
      <c r="BN35" s="195" t="e">
        <f t="shared" si="27"/>
        <v>#DIV/0!</v>
      </c>
      <c r="BO35" s="195" t="e">
        <f t="shared" si="27"/>
        <v>#DIV/0!</v>
      </c>
      <c r="BP35" s="195" t="e">
        <f t="shared" ref="BP35:CX35" si="28">BP32/BP43</f>
        <v>#DIV/0!</v>
      </c>
      <c r="BQ35" s="195" t="e">
        <f t="shared" si="28"/>
        <v>#DIV/0!</v>
      </c>
      <c r="BR35" s="195" t="e">
        <f t="shared" si="28"/>
        <v>#DIV/0!</v>
      </c>
      <c r="BS35" s="195" t="e">
        <f t="shared" si="28"/>
        <v>#DIV/0!</v>
      </c>
      <c r="BT35" s="195" t="e">
        <f t="shared" si="28"/>
        <v>#DIV/0!</v>
      </c>
      <c r="BU35" s="195" t="e">
        <f t="shared" si="28"/>
        <v>#DIV/0!</v>
      </c>
      <c r="BV35" s="195" t="e">
        <f t="shared" si="28"/>
        <v>#DIV/0!</v>
      </c>
      <c r="BW35" s="195" t="e">
        <f t="shared" si="28"/>
        <v>#DIV/0!</v>
      </c>
      <c r="BX35" s="321" t="e">
        <f t="shared" si="28"/>
        <v>#DIV/0!</v>
      </c>
      <c r="BY35" s="321" t="e">
        <f t="shared" si="28"/>
        <v>#DIV/0!</v>
      </c>
      <c r="BZ35" s="228" t="e">
        <f t="shared" si="28"/>
        <v>#DIV/0!</v>
      </c>
      <c r="CA35" s="228" t="e">
        <f t="shared" si="28"/>
        <v>#DIV/0!</v>
      </c>
      <c r="CB35" s="228" t="e">
        <f t="shared" si="28"/>
        <v>#DIV/0!</v>
      </c>
      <c r="CC35" s="228" t="e">
        <f t="shared" si="28"/>
        <v>#DIV/0!</v>
      </c>
      <c r="CD35" s="228" t="e">
        <f t="shared" si="28"/>
        <v>#DIV/0!</v>
      </c>
      <c r="CE35" s="228"/>
      <c r="CF35" s="228"/>
      <c r="CG35" s="228"/>
      <c r="CH35" s="228"/>
      <c r="CI35" s="228" t="e">
        <f t="shared" si="28"/>
        <v>#DIV/0!</v>
      </c>
      <c r="CJ35" s="228"/>
      <c r="CK35" s="228"/>
      <c r="CL35" s="228"/>
      <c r="CM35" s="228"/>
      <c r="CN35" s="228" t="e">
        <f t="shared" si="28"/>
        <v>#DIV/0!</v>
      </c>
      <c r="CO35" s="228"/>
      <c r="CP35" s="228"/>
      <c r="CQ35" s="228"/>
      <c r="CR35" s="228"/>
      <c r="CS35" s="228" t="e">
        <f t="shared" si="28"/>
        <v>#DIV/0!</v>
      </c>
      <c r="CT35" s="228"/>
      <c r="CU35" s="228"/>
      <c r="CV35" s="228"/>
      <c r="CW35" s="228"/>
      <c r="CX35" s="228" t="e">
        <f t="shared" si="28"/>
        <v>#DIV/0!</v>
      </c>
    </row>
    <row r="36" spans="1:103" hidden="1" x14ac:dyDescent="0.2">
      <c r="A36" s="111"/>
      <c r="B36" s="111" t="s">
        <v>36</v>
      </c>
      <c r="C36" s="113" t="e">
        <f>C32/C44</f>
        <v>#DIV/0!</v>
      </c>
      <c r="D36" s="113" t="e">
        <f t="shared" ref="D36:BO36" si="29">D32/D44</f>
        <v>#DIV/0!</v>
      </c>
      <c r="E36" s="113" t="e">
        <f t="shared" si="29"/>
        <v>#DIV/0!</v>
      </c>
      <c r="F36" s="113" t="e">
        <f t="shared" si="29"/>
        <v>#DIV/0!</v>
      </c>
      <c r="G36" s="113" t="e">
        <f t="shared" si="29"/>
        <v>#DIV/0!</v>
      </c>
      <c r="H36" s="113" t="e">
        <f t="shared" si="29"/>
        <v>#DIV/0!</v>
      </c>
      <c r="I36" s="113" t="e">
        <f t="shared" si="29"/>
        <v>#DIV/0!</v>
      </c>
      <c r="J36" s="113" t="e">
        <f t="shared" si="29"/>
        <v>#DIV/0!</v>
      </c>
      <c r="K36" s="113" t="e">
        <f t="shared" si="29"/>
        <v>#DIV/0!</v>
      </c>
      <c r="L36" s="113" t="e">
        <f t="shared" si="29"/>
        <v>#DIV/0!</v>
      </c>
      <c r="M36" s="113" t="e">
        <f t="shared" si="29"/>
        <v>#DIV/0!</v>
      </c>
      <c r="N36" s="113" t="e">
        <f t="shared" si="29"/>
        <v>#DIV/0!</v>
      </c>
      <c r="O36" s="113" t="e">
        <f t="shared" si="29"/>
        <v>#DIV/0!</v>
      </c>
      <c r="P36" s="113" t="e">
        <f t="shared" si="29"/>
        <v>#DIV/0!</v>
      </c>
      <c r="Q36" s="113" t="e">
        <f t="shared" si="29"/>
        <v>#DIV/0!</v>
      </c>
      <c r="R36" s="113" t="e">
        <f t="shared" si="29"/>
        <v>#DIV/0!</v>
      </c>
      <c r="S36" s="113" t="e">
        <f t="shared" si="29"/>
        <v>#DIV/0!</v>
      </c>
      <c r="T36" s="113" t="e">
        <f t="shared" si="29"/>
        <v>#DIV/0!</v>
      </c>
      <c r="U36" s="113" t="e">
        <f t="shared" si="29"/>
        <v>#DIV/0!</v>
      </c>
      <c r="V36" s="113" t="e">
        <f t="shared" si="29"/>
        <v>#DIV/0!</v>
      </c>
      <c r="W36" s="113" t="e">
        <f t="shared" si="29"/>
        <v>#DIV/0!</v>
      </c>
      <c r="X36" s="113" t="e">
        <f t="shared" si="29"/>
        <v>#DIV/0!</v>
      </c>
      <c r="Y36" s="113" t="e">
        <f t="shared" si="29"/>
        <v>#DIV/0!</v>
      </c>
      <c r="Z36" s="113" t="e">
        <f t="shared" si="29"/>
        <v>#DIV/0!</v>
      </c>
      <c r="AA36" s="195" t="e">
        <f t="shared" si="29"/>
        <v>#DIV/0!</v>
      </c>
      <c r="AB36" s="195" t="e">
        <f t="shared" si="29"/>
        <v>#DIV/0!</v>
      </c>
      <c r="AC36" s="195" t="e">
        <f t="shared" si="29"/>
        <v>#DIV/0!</v>
      </c>
      <c r="AD36" s="195" t="e">
        <f t="shared" si="29"/>
        <v>#DIV/0!</v>
      </c>
      <c r="AE36" s="195" t="e">
        <f t="shared" si="29"/>
        <v>#DIV/0!</v>
      </c>
      <c r="AF36" s="195" t="e">
        <f t="shared" si="29"/>
        <v>#DIV/0!</v>
      </c>
      <c r="AG36" s="195" t="e">
        <f t="shared" si="29"/>
        <v>#DIV/0!</v>
      </c>
      <c r="AH36" s="195" t="e">
        <f t="shared" si="29"/>
        <v>#DIV/0!</v>
      </c>
      <c r="AI36" s="195" t="e">
        <f t="shared" si="29"/>
        <v>#DIV/0!</v>
      </c>
      <c r="AJ36" s="195" t="e">
        <f t="shared" si="29"/>
        <v>#DIV/0!</v>
      </c>
      <c r="AK36" s="195" t="e">
        <f t="shared" si="29"/>
        <v>#DIV/0!</v>
      </c>
      <c r="AL36" s="195" t="e">
        <f t="shared" si="29"/>
        <v>#DIV/0!</v>
      </c>
      <c r="AM36" s="195" t="e">
        <f t="shared" si="29"/>
        <v>#DIV/0!</v>
      </c>
      <c r="AN36" s="195" t="e">
        <f t="shared" si="29"/>
        <v>#DIV/0!</v>
      </c>
      <c r="AO36" s="195" t="e">
        <f t="shared" si="29"/>
        <v>#DIV/0!</v>
      </c>
      <c r="AP36" s="195" t="e">
        <f t="shared" si="29"/>
        <v>#DIV/0!</v>
      </c>
      <c r="AQ36" s="195" t="e">
        <f t="shared" si="29"/>
        <v>#DIV/0!</v>
      </c>
      <c r="AR36" s="195" t="e">
        <f t="shared" si="29"/>
        <v>#DIV/0!</v>
      </c>
      <c r="AS36" s="195" t="e">
        <f t="shared" si="29"/>
        <v>#DIV/0!</v>
      </c>
      <c r="AT36" s="195" t="e">
        <f t="shared" si="29"/>
        <v>#DIV/0!</v>
      </c>
      <c r="AU36" s="195" t="e">
        <f t="shared" si="29"/>
        <v>#DIV/0!</v>
      </c>
      <c r="AV36" s="113" t="e">
        <f t="shared" si="29"/>
        <v>#DIV/0!</v>
      </c>
      <c r="AW36" s="113" t="e">
        <f t="shared" si="29"/>
        <v>#DIV/0!</v>
      </c>
      <c r="AX36" s="113" t="e">
        <f t="shared" si="29"/>
        <v>#DIV/0!</v>
      </c>
      <c r="AY36" s="113" t="e">
        <f t="shared" si="29"/>
        <v>#DIV/0!</v>
      </c>
      <c r="AZ36" s="195" t="e">
        <f t="shared" si="29"/>
        <v>#DIV/0!</v>
      </c>
      <c r="BA36" s="195" t="e">
        <f t="shared" si="29"/>
        <v>#DIV/0!</v>
      </c>
      <c r="BB36" s="195" t="e">
        <f t="shared" si="29"/>
        <v>#DIV/0!</v>
      </c>
      <c r="BC36" s="195" t="e">
        <f t="shared" si="29"/>
        <v>#DIV/0!</v>
      </c>
      <c r="BD36" s="195" t="e">
        <f t="shared" si="29"/>
        <v>#DIV/0!</v>
      </c>
      <c r="BE36" s="195" t="e">
        <f t="shared" si="29"/>
        <v>#DIV/0!</v>
      </c>
      <c r="BF36" s="195" t="e">
        <f t="shared" si="29"/>
        <v>#DIV/0!</v>
      </c>
      <c r="BG36" s="195" t="e">
        <f t="shared" si="29"/>
        <v>#DIV/0!</v>
      </c>
      <c r="BH36" s="195" t="e">
        <f t="shared" si="29"/>
        <v>#DIV/0!</v>
      </c>
      <c r="BI36" s="195" t="e">
        <f t="shared" si="29"/>
        <v>#DIV/0!</v>
      </c>
      <c r="BJ36" s="195" t="e">
        <f t="shared" si="29"/>
        <v>#DIV/0!</v>
      </c>
      <c r="BK36" s="195" t="e">
        <f t="shared" si="29"/>
        <v>#DIV/0!</v>
      </c>
      <c r="BL36" s="195" t="e">
        <f t="shared" si="29"/>
        <v>#DIV/0!</v>
      </c>
      <c r="BM36" s="195" t="e">
        <f t="shared" si="29"/>
        <v>#DIV/0!</v>
      </c>
      <c r="BN36" s="195" t="e">
        <f t="shared" si="29"/>
        <v>#DIV/0!</v>
      </c>
      <c r="BO36" s="195" t="e">
        <f t="shared" si="29"/>
        <v>#DIV/0!</v>
      </c>
      <c r="BP36" s="195" t="e">
        <f t="shared" ref="BP36:CX36" si="30">BP32/BP44</f>
        <v>#DIV/0!</v>
      </c>
      <c r="BQ36" s="195" t="e">
        <f t="shared" si="30"/>
        <v>#DIV/0!</v>
      </c>
      <c r="BR36" s="195" t="e">
        <f t="shared" si="30"/>
        <v>#DIV/0!</v>
      </c>
      <c r="BS36" s="195" t="e">
        <f t="shared" si="30"/>
        <v>#DIV/0!</v>
      </c>
      <c r="BT36" s="195" t="e">
        <f t="shared" si="30"/>
        <v>#DIV/0!</v>
      </c>
      <c r="BU36" s="195" t="e">
        <f t="shared" si="30"/>
        <v>#DIV/0!</v>
      </c>
      <c r="BV36" s="195" t="e">
        <f t="shared" si="30"/>
        <v>#DIV/0!</v>
      </c>
      <c r="BW36" s="195" t="e">
        <f t="shared" si="30"/>
        <v>#DIV/0!</v>
      </c>
      <c r="BX36" s="321" t="e">
        <f t="shared" si="30"/>
        <v>#DIV/0!</v>
      </c>
      <c r="BY36" s="321" t="e">
        <f t="shared" si="30"/>
        <v>#DIV/0!</v>
      </c>
      <c r="BZ36" s="228" t="e">
        <f t="shared" si="30"/>
        <v>#DIV/0!</v>
      </c>
      <c r="CA36" s="228" t="e">
        <f t="shared" si="30"/>
        <v>#DIV/0!</v>
      </c>
      <c r="CB36" s="228" t="e">
        <f t="shared" si="30"/>
        <v>#DIV/0!</v>
      </c>
      <c r="CC36" s="228" t="e">
        <f t="shared" si="30"/>
        <v>#DIV/0!</v>
      </c>
      <c r="CD36" s="228" t="e">
        <f t="shared" si="30"/>
        <v>#DIV/0!</v>
      </c>
      <c r="CE36" s="228"/>
      <c r="CF36" s="228"/>
      <c r="CG36" s="228"/>
      <c r="CH36" s="228"/>
      <c r="CI36" s="228" t="e">
        <f t="shared" si="30"/>
        <v>#DIV/0!</v>
      </c>
      <c r="CJ36" s="228"/>
      <c r="CK36" s="228"/>
      <c r="CL36" s="228"/>
      <c r="CM36" s="228"/>
      <c r="CN36" s="228" t="e">
        <f t="shared" si="30"/>
        <v>#DIV/0!</v>
      </c>
      <c r="CO36" s="228"/>
      <c r="CP36" s="228"/>
      <c r="CQ36" s="228"/>
      <c r="CR36" s="228"/>
      <c r="CS36" s="228" t="e">
        <f t="shared" si="30"/>
        <v>#DIV/0!</v>
      </c>
      <c r="CT36" s="228"/>
      <c r="CU36" s="228"/>
      <c r="CV36" s="228"/>
      <c r="CW36" s="228"/>
      <c r="CX36" s="228" t="e">
        <f t="shared" si="30"/>
        <v>#DIV/0!</v>
      </c>
    </row>
    <row r="37" spans="1:103" hidden="1" x14ac:dyDescent="0.2"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94"/>
      <c r="AB37" s="194"/>
      <c r="AC37" s="194"/>
      <c r="AD37" s="194"/>
      <c r="AE37" s="194"/>
      <c r="AF37" s="194"/>
      <c r="AG37" s="194"/>
      <c r="AH37" s="194"/>
      <c r="AI37" s="194"/>
      <c r="AJ37" s="194"/>
      <c r="AK37" s="194"/>
      <c r="AL37" s="194"/>
      <c r="AM37" s="194"/>
      <c r="AN37" s="194"/>
      <c r="AO37" s="194"/>
      <c r="AP37" s="194"/>
      <c r="AQ37" s="194"/>
      <c r="AR37" s="194"/>
      <c r="AS37" s="194"/>
      <c r="AT37" s="194"/>
      <c r="AU37" s="194"/>
      <c r="AV37" s="110"/>
      <c r="AW37" s="110"/>
      <c r="AX37" s="110"/>
      <c r="AY37" s="110"/>
      <c r="AZ37" s="194"/>
      <c r="BA37" s="194"/>
      <c r="BB37" s="194"/>
      <c r="BC37" s="194"/>
      <c r="BD37" s="194"/>
      <c r="BE37" s="194"/>
      <c r="BF37" s="194"/>
      <c r="BG37" s="194"/>
      <c r="BH37" s="194"/>
      <c r="BI37" s="194"/>
      <c r="BJ37" s="194"/>
      <c r="BK37" s="194"/>
      <c r="BL37" s="194"/>
      <c r="BM37" s="194"/>
      <c r="BN37" s="194"/>
      <c r="BO37" s="194"/>
      <c r="BP37" s="194"/>
      <c r="BQ37" s="194"/>
      <c r="BR37" s="194"/>
      <c r="BS37" s="194"/>
      <c r="BT37" s="194"/>
      <c r="BU37" s="194"/>
      <c r="BV37" s="194"/>
      <c r="BW37" s="194"/>
      <c r="BX37" s="319"/>
      <c r="BY37" s="194"/>
      <c r="BZ37" s="227"/>
      <c r="CA37" s="227"/>
      <c r="CB37" s="227"/>
      <c r="CC37" s="227"/>
      <c r="CD37" s="227"/>
      <c r="CE37" s="227"/>
      <c r="CF37" s="227"/>
      <c r="CG37" s="227"/>
      <c r="CH37" s="227"/>
      <c r="CI37" s="227"/>
      <c r="CJ37" s="227"/>
      <c r="CK37" s="227"/>
      <c r="CL37" s="227"/>
      <c r="CM37" s="227"/>
      <c r="CN37" s="227"/>
      <c r="CO37" s="227"/>
      <c r="CP37" s="227"/>
      <c r="CQ37" s="227"/>
      <c r="CR37" s="227"/>
      <c r="CS37" s="227"/>
      <c r="CT37" s="227"/>
      <c r="CU37" s="227"/>
      <c r="CV37" s="227"/>
      <c r="CW37" s="227"/>
      <c r="CX37" s="227"/>
    </row>
    <row r="38" spans="1:103" x14ac:dyDescent="0.2">
      <c r="A38" s="118"/>
      <c r="B38" s="119" t="s">
        <v>37</v>
      </c>
      <c r="C38" s="118"/>
      <c r="D38" s="118"/>
      <c r="E38" s="118"/>
      <c r="F38" s="118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207">
        <v>457</v>
      </c>
      <c r="AB38" s="207"/>
      <c r="AC38" s="207"/>
      <c r="AD38" s="207"/>
      <c r="AE38" s="207"/>
      <c r="AF38" s="207">
        <v>462</v>
      </c>
      <c r="AG38" s="207"/>
      <c r="AH38" s="207"/>
      <c r="AI38" s="207"/>
      <c r="AJ38" s="207"/>
      <c r="AK38" s="207">
        <v>467</v>
      </c>
      <c r="AL38" s="207"/>
      <c r="AM38" s="207"/>
      <c r="AN38" s="207"/>
      <c r="AO38" s="207"/>
      <c r="AP38" s="207">
        <v>474</v>
      </c>
      <c r="AQ38" s="207"/>
      <c r="AR38" s="207"/>
      <c r="AS38" s="207"/>
      <c r="AT38" s="207"/>
      <c r="AU38" s="207">
        <v>480</v>
      </c>
      <c r="AV38" s="115"/>
      <c r="AW38" s="115"/>
      <c r="AX38" s="115"/>
      <c r="AY38" s="115"/>
      <c r="AZ38" s="207">
        <v>487</v>
      </c>
      <c r="BA38" s="207"/>
      <c r="BB38" s="207"/>
      <c r="BC38" s="207"/>
      <c r="BD38" s="207"/>
      <c r="BE38" s="207">
        <v>494</v>
      </c>
      <c r="BF38" s="207"/>
      <c r="BG38" s="207"/>
      <c r="BH38" s="207"/>
      <c r="BI38" s="207"/>
      <c r="BJ38" s="207">
        <v>10005</v>
      </c>
      <c r="BK38" s="207"/>
      <c r="BL38" s="207"/>
      <c r="BM38" s="207"/>
      <c r="BN38" s="207"/>
      <c r="BO38" s="207">
        <v>10117</v>
      </c>
      <c r="BP38" s="207"/>
      <c r="BQ38" s="207"/>
      <c r="BR38" s="207"/>
      <c r="BS38" s="207"/>
      <c r="BT38" s="207">
        <v>10189</v>
      </c>
      <c r="BU38" s="207">
        <v>10250</v>
      </c>
      <c r="BV38" s="207">
        <v>10285</v>
      </c>
      <c r="BW38" s="207">
        <v>10322</v>
      </c>
      <c r="BX38" s="322">
        <v>10356</v>
      </c>
      <c r="BY38" s="326">
        <v>10304</v>
      </c>
      <c r="BZ38" s="326">
        <v>10304</v>
      </c>
      <c r="CA38" s="326">
        <v>10304</v>
      </c>
      <c r="CB38" s="326">
        <v>10304</v>
      </c>
      <c r="CC38" s="326">
        <v>10304</v>
      </c>
      <c r="CD38" s="230">
        <v>10304</v>
      </c>
      <c r="CE38" s="230">
        <v>10304</v>
      </c>
      <c r="CF38" s="230">
        <v>10304</v>
      </c>
      <c r="CG38" s="230">
        <v>10304</v>
      </c>
      <c r="CH38" s="230">
        <v>10304</v>
      </c>
      <c r="CI38" s="230">
        <v>10304</v>
      </c>
      <c r="CJ38" s="230">
        <v>10304</v>
      </c>
      <c r="CK38" s="230">
        <v>10304</v>
      </c>
      <c r="CL38" s="230">
        <v>10304</v>
      </c>
      <c r="CM38" s="230">
        <v>10304</v>
      </c>
      <c r="CN38" s="230">
        <v>10304</v>
      </c>
      <c r="CO38" s="230">
        <v>10304</v>
      </c>
      <c r="CP38" s="230">
        <v>10304</v>
      </c>
      <c r="CQ38" s="230">
        <v>10304</v>
      </c>
      <c r="CR38" s="230">
        <v>10304</v>
      </c>
      <c r="CS38" s="230">
        <v>10304</v>
      </c>
      <c r="CT38" s="230">
        <v>10304</v>
      </c>
      <c r="CU38" s="230">
        <v>10304</v>
      </c>
      <c r="CV38" s="230">
        <v>10304</v>
      </c>
      <c r="CW38" s="230">
        <v>10304</v>
      </c>
      <c r="CX38" s="230">
        <v>10304</v>
      </c>
    </row>
    <row r="39" spans="1:103" x14ac:dyDescent="0.2">
      <c r="A39" s="118"/>
      <c r="B39" s="119" t="s">
        <v>38</v>
      </c>
      <c r="C39" s="118"/>
      <c r="D39" s="118"/>
      <c r="E39" s="118"/>
      <c r="F39" s="118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207">
        <v>465</v>
      </c>
      <c r="AB39" s="207"/>
      <c r="AC39" s="207"/>
      <c r="AD39" s="207"/>
      <c r="AE39" s="207"/>
      <c r="AF39" s="207">
        <v>462</v>
      </c>
      <c r="AG39" s="207"/>
      <c r="AH39" s="207"/>
      <c r="AI39" s="207"/>
      <c r="AJ39" s="207"/>
      <c r="AK39" s="207">
        <v>477</v>
      </c>
      <c r="AL39" s="207"/>
      <c r="AM39" s="207"/>
      <c r="AN39" s="207"/>
      <c r="AO39" s="207"/>
      <c r="AP39" s="207">
        <v>484</v>
      </c>
      <c r="AQ39" s="207"/>
      <c r="AR39" s="207"/>
      <c r="AS39" s="207"/>
      <c r="AT39" s="207"/>
      <c r="AU39" s="207">
        <v>493</v>
      </c>
      <c r="AV39" s="115"/>
      <c r="AW39" s="115"/>
      <c r="AX39" s="115"/>
      <c r="AY39" s="115"/>
      <c r="AZ39" s="207">
        <v>500</v>
      </c>
      <c r="BA39" s="207"/>
      <c r="BB39" s="207"/>
      <c r="BC39" s="207"/>
      <c r="BD39" s="207"/>
      <c r="BE39" s="207">
        <v>504</v>
      </c>
      <c r="BF39" s="207"/>
      <c r="BG39" s="207"/>
      <c r="BH39" s="207"/>
      <c r="BI39" s="207"/>
      <c r="BJ39" s="207">
        <v>10198</v>
      </c>
      <c r="BK39" s="207"/>
      <c r="BL39" s="207"/>
      <c r="BM39" s="207"/>
      <c r="BN39" s="207"/>
      <c r="BO39" s="207">
        <v>10296</v>
      </c>
      <c r="BP39" s="207"/>
      <c r="BQ39" s="207"/>
      <c r="BR39" s="207"/>
      <c r="BS39" s="207"/>
      <c r="BT39" s="207">
        <v>10189</v>
      </c>
      <c r="BU39" s="207">
        <v>10347</v>
      </c>
      <c r="BV39" s="207">
        <v>10449</v>
      </c>
      <c r="BW39" s="207">
        <v>10558</v>
      </c>
      <c r="BX39" s="322">
        <v>10610</v>
      </c>
      <c r="BY39" s="326">
        <v>10492</v>
      </c>
      <c r="BZ39" s="326">
        <v>10492</v>
      </c>
      <c r="CA39" s="326">
        <v>10492</v>
      </c>
      <c r="CB39" s="326">
        <v>10492</v>
      </c>
      <c r="CC39" s="326">
        <v>10492</v>
      </c>
      <c r="CD39" s="230">
        <v>10492</v>
      </c>
      <c r="CE39" s="230">
        <v>10492</v>
      </c>
      <c r="CF39" s="230">
        <v>10492</v>
      </c>
      <c r="CG39" s="230">
        <v>10492</v>
      </c>
      <c r="CH39" s="230">
        <v>10492</v>
      </c>
      <c r="CI39" s="230">
        <v>10492</v>
      </c>
      <c r="CJ39" s="230">
        <v>10492</v>
      </c>
      <c r="CK39" s="230">
        <v>10492</v>
      </c>
      <c r="CL39" s="230">
        <v>10492</v>
      </c>
      <c r="CM39" s="230">
        <v>10492</v>
      </c>
      <c r="CN39" s="230">
        <v>10492</v>
      </c>
      <c r="CO39" s="230">
        <v>10492</v>
      </c>
      <c r="CP39" s="230">
        <v>10492</v>
      </c>
      <c r="CQ39" s="230">
        <v>10492</v>
      </c>
      <c r="CR39" s="230">
        <v>10492</v>
      </c>
      <c r="CS39" s="230">
        <v>10492</v>
      </c>
      <c r="CT39" s="230">
        <v>10492</v>
      </c>
      <c r="CU39" s="230">
        <v>10492</v>
      </c>
      <c r="CV39" s="230">
        <v>10492</v>
      </c>
      <c r="CW39" s="230">
        <v>10492</v>
      </c>
      <c r="CX39" s="230">
        <v>10492</v>
      </c>
    </row>
    <row r="40" spans="1:103" x14ac:dyDescent="0.2">
      <c r="A40" s="118"/>
      <c r="B40" s="119" t="s">
        <v>39</v>
      </c>
      <c r="C40" s="118"/>
      <c r="D40" s="118"/>
      <c r="E40" s="118"/>
      <c r="F40" s="118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339">
        <f>AA38</f>
        <v>457</v>
      </c>
      <c r="AB40" s="339">
        <f t="shared" ref="AB40:CM40" si="31">AB38</f>
        <v>0</v>
      </c>
      <c r="AC40" s="339">
        <f t="shared" si="31"/>
        <v>0</v>
      </c>
      <c r="AD40" s="339">
        <f t="shared" si="31"/>
        <v>0</v>
      </c>
      <c r="AE40" s="339">
        <f t="shared" si="31"/>
        <v>0</v>
      </c>
      <c r="AF40" s="339">
        <f t="shared" si="31"/>
        <v>462</v>
      </c>
      <c r="AG40" s="339">
        <f t="shared" si="31"/>
        <v>0</v>
      </c>
      <c r="AH40" s="339">
        <f t="shared" si="31"/>
        <v>0</v>
      </c>
      <c r="AI40" s="339">
        <f t="shared" si="31"/>
        <v>0</v>
      </c>
      <c r="AJ40" s="339">
        <f t="shared" si="31"/>
        <v>0</v>
      </c>
      <c r="AK40" s="339">
        <f t="shared" si="31"/>
        <v>467</v>
      </c>
      <c r="AL40" s="339">
        <f t="shared" si="31"/>
        <v>0</v>
      </c>
      <c r="AM40" s="339">
        <f t="shared" si="31"/>
        <v>0</v>
      </c>
      <c r="AN40" s="339">
        <f t="shared" si="31"/>
        <v>0</v>
      </c>
      <c r="AO40" s="339">
        <f t="shared" si="31"/>
        <v>0</v>
      </c>
      <c r="AP40" s="339">
        <f t="shared" si="31"/>
        <v>474</v>
      </c>
      <c r="AQ40" s="339">
        <f t="shared" si="31"/>
        <v>0</v>
      </c>
      <c r="AR40" s="339">
        <f t="shared" si="31"/>
        <v>0</v>
      </c>
      <c r="AS40" s="339">
        <f t="shared" si="31"/>
        <v>0</v>
      </c>
      <c r="AT40" s="339">
        <f t="shared" si="31"/>
        <v>0</v>
      </c>
      <c r="AU40" s="339">
        <f t="shared" si="31"/>
        <v>480</v>
      </c>
      <c r="AV40" s="339">
        <f t="shared" si="31"/>
        <v>0</v>
      </c>
      <c r="AW40" s="339">
        <f t="shared" si="31"/>
        <v>0</v>
      </c>
      <c r="AX40" s="339">
        <f t="shared" si="31"/>
        <v>0</v>
      </c>
      <c r="AY40" s="339">
        <f t="shared" si="31"/>
        <v>0</v>
      </c>
      <c r="AZ40" s="339">
        <f t="shared" si="31"/>
        <v>487</v>
      </c>
      <c r="BA40" s="339">
        <f t="shared" si="31"/>
        <v>0</v>
      </c>
      <c r="BB40" s="339">
        <f t="shared" si="31"/>
        <v>0</v>
      </c>
      <c r="BC40" s="339">
        <f t="shared" si="31"/>
        <v>0</v>
      </c>
      <c r="BD40" s="339">
        <f t="shared" si="31"/>
        <v>0</v>
      </c>
      <c r="BE40" s="339">
        <f t="shared" si="31"/>
        <v>494</v>
      </c>
      <c r="BF40" s="339">
        <f t="shared" si="31"/>
        <v>0</v>
      </c>
      <c r="BG40" s="339">
        <f t="shared" si="31"/>
        <v>0</v>
      </c>
      <c r="BH40" s="339">
        <f t="shared" si="31"/>
        <v>0</v>
      </c>
      <c r="BI40" s="339">
        <f t="shared" si="31"/>
        <v>0</v>
      </c>
      <c r="BJ40" s="339">
        <f t="shared" si="31"/>
        <v>10005</v>
      </c>
      <c r="BK40" s="339">
        <f t="shared" si="31"/>
        <v>0</v>
      </c>
      <c r="BL40" s="339">
        <f t="shared" si="31"/>
        <v>0</v>
      </c>
      <c r="BM40" s="339">
        <f t="shared" si="31"/>
        <v>0</v>
      </c>
      <c r="BN40" s="339">
        <f t="shared" si="31"/>
        <v>0</v>
      </c>
      <c r="BO40" s="339">
        <f t="shared" si="31"/>
        <v>10117</v>
      </c>
      <c r="BP40" s="339">
        <f t="shared" si="31"/>
        <v>0</v>
      </c>
      <c r="BQ40" s="339">
        <f t="shared" si="31"/>
        <v>0</v>
      </c>
      <c r="BR40" s="339">
        <f t="shared" si="31"/>
        <v>0</v>
      </c>
      <c r="BS40" s="339">
        <f t="shared" si="31"/>
        <v>0</v>
      </c>
      <c r="BT40" s="339">
        <f t="shared" si="31"/>
        <v>10189</v>
      </c>
      <c r="BU40" s="339">
        <f t="shared" si="31"/>
        <v>10250</v>
      </c>
      <c r="BV40" s="339">
        <f t="shared" si="31"/>
        <v>10285</v>
      </c>
      <c r="BW40" s="339">
        <f t="shared" si="31"/>
        <v>10322</v>
      </c>
      <c r="BX40" s="339">
        <f t="shared" si="31"/>
        <v>10356</v>
      </c>
      <c r="BY40" s="339">
        <f t="shared" si="31"/>
        <v>10304</v>
      </c>
      <c r="BZ40" s="339">
        <f t="shared" si="31"/>
        <v>10304</v>
      </c>
      <c r="CA40" s="339">
        <f t="shared" si="31"/>
        <v>10304</v>
      </c>
      <c r="CB40" s="339">
        <f t="shared" si="31"/>
        <v>10304</v>
      </c>
      <c r="CC40" s="339">
        <f t="shared" si="31"/>
        <v>10304</v>
      </c>
      <c r="CD40" s="230">
        <f t="shared" si="31"/>
        <v>10304</v>
      </c>
      <c r="CE40" s="230">
        <f t="shared" si="31"/>
        <v>10304</v>
      </c>
      <c r="CF40" s="230">
        <f t="shared" si="31"/>
        <v>10304</v>
      </c>
      <c r="CG40" s="230">
        <f t="shared" si="31"/>
        <v>10304</v>
      </c>
      <c r="CH40" s="230">
        <f t="shared" si="31"/>
        <v>10304</v>
      </c>
      <c r="CI40" s="230">
        <f t="shared" si="31"/>
        <v>10304</v>
      </c>
      <c r="CJ40" s="230">
        <f t="shared" si="31"/>
        <v>10304</v>
      </c>
      <c r="CK40" s="230">
        <f t="shared" si="31"/>
        <v>10304</v>
      </c>
      <c r="CL40" s="230">
        <f t="shared" si="31"/>
        <v>10304</v>
      </c>
      <c r="CM40" s="230">
        <f t="shared" si="31"/>
        <v>10304</v>
      </c>
      <c r="CN40" s="230">
        <f t="shared" ref="CN40:CX40" si="32">CN38</f>
        <v>10304</v>
      </c>
      <c r="CO40" s="230">
        <f t="shared" si="32"/>
        <v>10304</v>
      </c>
      <c r="CP40" s="230">
        <f t="shared" si="32"/>
        <v>10304</v>
      </c>
      <c r="CQ40" s="230">
        <f t="shared" si="32"/>
        <v>10304</v>
      </c>
      <c r="CR40" s="230">
        <f t="shared" si="32"/>
        <v>10304</v>
      </c>
      <c r="CS40" s="230">
        <f t="shared" si="32"/>
        <v>10304</v>
      </c>
      <c r="CT40" s="230">
        <f t="shared" si="32"/>
        <v>10304</v>
      </c>
      <c r="CU40" s="230">
        <f t="shared" si="32"/>
        <v>10304</v>
      </c>
      <c r="CV40" s="230">
        <f t="shared" si="32"/>
        <v>10304</v>
      </c>
      <c r="CW40" s="230">
        <f t="shared" si="32"/>
        <v>10304</v>
      </c>
      <c r="CX40" s="230">
        <f t="shared" si="32"/>
        <v>10304</v>
      </c>
    </row>
    <row r="41" spans="1:103" ht="16" hidden="1" x14ac:dyDescent="0.2">
      <c r="A41" s="121"/>
      <c r="B41" s="122" t="s">
        <v>40</v>
      </c>
      <c r="C41" s="112">
        <f t="shared" ref="C41:F42" si="33">D41</f>
        <v>0</v>
      </c>
      <c r="D41" s="112">
        <f t="shared" si="33"/>
        <v>0</v>
      </c>
      <c r="E41" s="112">
        <f t="shared" si="33"/>
        <v>0</v>
      </c>
      <c r="F41" s="112">
        <f t="shared" si="33"/>
        <v>0</v>
      </c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 t="e">
        <f t="shared" ref="AU41:CC41" si="34">+(AV38/AU38)*AV41</f>
        <v>#DIV/0!</v>
      </c>
      <c r="AV41" s="113" t="e">
        <f t="shared" si="34"/>
        <v>#DIV/0!</v>
      </c>
      <c r="AW41" s="113" t="e">
        <f t="shared" si="34"/>
        <v>#DIV/0!</v>
      </c>
      <c r="AX41" s="113" t="e">
        <f t="shared" si="34"/>
        <v>#DIV/0!</v>
      </c>
      <c r="AY41" s="113" t="e">
        <f t="shared" si="34"/>
        <v>#DIV/0!</v>
      </c>
      <c r="AZ41" s="195" t="e">
        <f t="shared" si="34"/>
        <v>#DIV/0!</v>
      </c>
      <c r="BA41" s="195" t="e">
        <f t="shared" si="34"/>
        <v>#DIV/0!</v>
      </c>
      <c r="BB41" s="195" t="e">
        <f t="shared" si="34"/>
        <v>#DIV/0!</v>
      </c>
      <c r="BC41" s="195" t="e">
        <f t="shared" si="34"/>
        <v>#DIV/0!</v>
      </c>
      <c r="BD41" s="195" t="e">
        <f t="shared" si="34"/>
        <v>#DIV/0!</v>
      </c>
      <c r="BE41" s="195" t="e">
        <f t="shared" si="34"/>
        <v>#DIV/0!</v>
      </c>
      <c r="BF41" s="195" t="e">
        <f t="shared" si="34"/>
        <v>#DIV/0!</v>
      </c>
      <c r="BG41" s="195" t="e">
        <f t="shared" si="34"/>
        <v>#DIV/0!</v>
      </c>
      <c r="BH41" s="195" t="e">
        <f t="shared" si="34"/>
        <v>#DIV/0!</v>
      </c>
      <c r="BI41" s="195" t="e">
        <f t="shared" si="34"/>
        <v>#DIV/0!</v>
      </c>
      <c r="BJ41" s="195" t="e">
        <f t="shared" si="34"/>
        <v>#DIV/0!</v>
      </c>
      <c r="BK41" s="195" t="e">
        <f t="shared" si="34"/>
        <v>#DIV/0!</v>
      </c>
      <c r="BL41" s="195" t="e">
        <f t="shared" si="34"/>
        <v>#DIV/0!</v>
      </c>
      <c r="BM41" s="195" t="e">
        <f t="shared" si="34"/>
        <v>#DIV/0!</v>
      </c>
      <c r="BN41" s="195" t="e">
        <f t="shared" si="34"/>
        <v>#DIV/0!</v>
      </c>
      <c r="BO41" s="195" t="e">
        <f t="shared" si="34"/>
        <v>#DIV/0!</v>
      </c>
      <c r="BP41" s="195" t="e">
        <f t="shared" si="34"/>
        <v>#DIV/0!</v>
      </c>
      <c r="BQ41" s="195" t="e">
        <f t="shared" si="34"/>
        <v>#DIV/0!</v>
      </c>
      <c r="BR41" s="195" t="e">
        <f t="shared" si="34"/>
        <v>#DIV/0!</v>
      </c>
      <c r="BS41" s="195" t="e">
        <f t="shared" si="34"/>
        <v>#DIV/0!</v>
      </c>
      <c r="BT41" s="195">
        <f t="shared" si="34"/>
        <v>0</v>
      </c>
      <c r="BU41" s="195">
        <f t="shared" si="34"/>
        <v>0</v>
      </c>
      <c r="BV41" s="195">
        <f t="shared" si="34"/>
        <v>0</v>
      </c>
      <c r="BW41" s="195">
        <f t="shared" si="34"/>
        <v>0</v>
      </c>
      <c r="BX41" s="195">
        <f t="shared" si="34"/>
        <v>0</v>
      </c>
      <c r="BY41" s="195">
        <f t="shared" si="34"/>
        <v>0</v>
      </c>
      <c r="BZ41" s="195">
        <f t="shared" si="34"/>
        <v>0</v>
      </c>
      <c r="CA41" s="195">
        <f t="shared" si="34"/>
        <v>0</v>
      </c>
      <c r="CB41" s="195">
        <f t="shared" si="34"/>
        <v>0</v>
      </c>
      <c r="CC41" s="195">
        <f t="shared" si="34"/>
        <v>0</v>
      </c>
      <c r="CD41" s="195">
        <f>+(CE38/CD38)*CE41</f>
        <v>0</v>
      </c>
      <c r="CE41" s="195"/>
      <c r="CF41" s="195"/>
      <c r="CG41" s="195"/>
      <c r="CH41" s="195"/>
      <c r="CI41" s="195"/>
      <c r="CJ41" s="195"/>
      <c r="CK41" s="195"/>
      <c r="CL41" s="195"/>
      <c r="CM41" s="195"/>
      <c r="CN41" s="195"/>
      <c r="CO41" s="195"/>
      <c r="CP41" s="195"/>
      <c r="CQ41" s="195"/>
      <c r="CR41" s="195"/>
      <c r="CS41" s="195"/>
      <c r="CT41" s="195"/>
      <c r="CU41" s="195"/>
      <c r="CV41" s="195"/>
      <c r="CW41" s="195"/>
      <c r="CX41" s="195"/>
    </row>
    <row r="42" spans="1:103" ht="16" hidden="1" x14ac:dyDescent="0.2">
      <c r="A42" s="123"/>
      <c r="B42" s="124" t="s">
        <v>41</v>
      </c>
      <c r="C42" s="112">
        <f t="shared" si="33"/>
        <v>0</v>
      </c>
      <c r="D42" s="112">
        <f t="shared" si="33"/>
        <v>0</v>
      </c>
      <c r="E42" s="112">
        <f t="shared" si="33"/>
        <v>0</v>
      </c>
      <c r="F42" s="112">
        <f t="shared" si="33"/>
        <v>0</v>
      </c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 t="e">
        <f t="shared" ref="AU42:CC42" si="35">+(AV39/AU39)*AV42</f>
        <v>#DIV/0!</v>
      </c>
      <c r="AV42" s="113" t="e">
        <f t="shared" si="35"/>
        <v>#DIV/0!</v>
      </c>
      <c r="AW42" s="113" t="e">
        <f t="shared" si="35"/>
        <v>#DIV/0!</v>
      </c>
      <c r="AX42" s="113" t="e">
        <f t="shared" si="35"/>
        <v>#DIV/0!</v>
      </c>
      <c r="AY42" s="113" t="e">
        <f t="shared" si="35"/>
        <v>#DIV/0!</v>
      </c>
      <c r="AZ42" s="195" t="e">
        <f t="shared" si="35"/>
        <v>#DIV/0!</v>
      </c>
      <c r="BA42" s="195" t="e">
        <f t="shared" si="35"/>
        <v>#DIV/0!</v>
      </c>
      <c r="BB42" s="195" t="e">
        <f t="shared" si="35"/>
        <v>#DIV/0!</v>
      </c>
      <c r="BC42" s="195" t="e">
        <f t="shared" si="35"/>
        <v>#DIV/0!</v>
      </c>
      <c r="BD42" s="195" t="e">
        <f t="shared" si="35"/>
        <v>#DIV/0!</v>
      </c>
      <c r="BE42" s="195" t="e">
        <f t="shared" si="35"/>
        <v>#DIV/0!</v>
      </c>
      <c r="BF42" s="195" t="e">
        <f t="shared" si="35"/>
        <v>#DIV/0!</v>
      </c>
      <c r="BG42" s="195" t="e">
        <f t="shared" si="35"/>
        <v>#DIV/0!</v>
      </c>
      <c r="BH42" s="195" t="e">
        <f t="shared" si="35"/>
        <v>#DIV/0!</v>
      </c>
      <c r="BI42" s="195" t="e">
        <f t="shared" si="35"/>
        <v>#DIV/0!</v>
      </c>
      <c r="BJ42" s="195" t="e">
        <f t="shared" si="35"/>
        <v>#DIV/0!</v>
      </c>
      <c r="BK42" s="195" t="e">
        <f t="shared" si="35"/>
        <v>#DIV/0!</v>
      </c>
      <c r="BL42" s="195" t="e">
        <f t="shared" si="35"/>
        <v>#DIV/0!</v>
      </c>
      <c r="BM42" s="195" t="e">
        <f t="shared" si="35"/>
        <v>#DIV/0!</v>
      </c>
      <c r="BN42" s="195" t="e">
        <f t="shared" si="35"/>
        <v>#DIV/0!</v>
      </c>
      <c r="BO42" s="195" t="e">
        <f t="shared" si="35"/>
        <v>#DIV/0!</v>
      </c>
      <c r="BP42" s="195" t="e">
        <f t="shared" si="35"/>
        <v>#DIV/0!</v>
      </c>
      <c r="BQ42" s="195" t="e">
        <f t="shared" si="35"/>
        <v>#DIV/0!</v>
      </c>
      <c r="BR42" s="195" t="e">
        <f t="shared" si="35"/>
        <v>#DIV/0!</v>
      </c>
      <c r="BS42" s="195" t="e">
        <f t="shared" si="35"/>
        <v>#DIV/0!</v>
      </c>
      <c r="BT42" s="195">
        <f t="shared" si="35"/>
        <v>0</v>
      </c>
      <c r="BU42" s="195">
        <f t="shared" si="35"/>
        <v>0</v>
      </c>
      <c r="BV42" s="195">
        <f t="shared" si="35"/>
        <v>0</v>
      </c>
      <c r="BW42" s="195">
        <f t="shared" si="35"/>
        <v>0</v>
      </c>
      <c r="BX42" s="195">
        <f t="shared" si="35"/>
        <v>0</v>
      </c>
      <c r="BY42" s="195">
        <f t="shared" si="35"/>
        <v>0</v>
      </c>
      <c r="BZ42" s="195">
        <f t="shared" si="35"/>
        <v>0</v>
      </c>
      <c r="CA42" s="195">
        <f t="shared" si="35"/>
        <v>0</v>
      </c>
      <c r="CB42" s="195">
        <f t="shared" si="35"/>
        <v>0</v>
      </c>
      <c r="CC42" s="195">
        <f t="shared" si="35"/>
        <v>0</v>
      </c>
      <c r="CD42" s="195">
        <f>+(CE39/CD39)*CE42</f>
        <v>0</v>
      </c>
      <c r="CE42" s="195"/>
      <c r="CF42" s="195"/>
      <c r="CG42" s="195"/>
      <c r="CH42" s="195"/>
      <c r="CI42" s="195"/>
      <c r="CJ42" s="195"/>
      <c r="CK42" s="195"/>
      <c r="CL42" s="195"/>
      <c r="CM42" s="195"/>
      <c r="CN42" s="195"/>
      <c r="CO42" s="195"/>
      <c r="CP42" s="195"/>
      <c r="CQ42" s="195"/>
      <c r="CR42" s="195"/>
      <c r="CS42" s="195"/>
      <c r="CT42" s="195"/>
      <c r="CU42" s="195"/>
      <c r="CV42" s="195"/>
      <c r="CW42" s="195"/>
      <c r="CX42" s="195"/>
    </row>
    <row r="43" spans="1:103" hidden="1" x14ac:dyDescent="0.2">
      <c r="A43" s="125"/>
      <c r="B43" s="125" t="s">
        <v>42</v>
      </c>
      <c r="C43" s="126">
        <f t="shared" ref="C43:BN44" si="36">C38*C41</f>
        <v>0</v>
      </c>
      <c r="D43" s="126">
        <f t="shared" si="36"/>
        <v>0</v>
      </c>
      <c r="E43" s="126">
        <f t="shared" si="36"/>
        <v>0</v>
      </c>
      <c r="F43" s="126">
        <f t="shared" si="36"/>
        <v>0</v>
      </c>
      <c r="G43" s="126">
        <f t="shared" si="36"/>
        <v>0</v>
      </c>
      <c r="H43" s="126">
        <f t="shared" si="36"/>
        <v>0</v>
      </c>
      <c r="I43" s="126">
        <f t="shared" si="36"/>
        <v>0</v>
      </c>
      <c r="J43" s="126">
        <f t="shared" si="36"/>
        <v>0</v>
      </c>
      <c r="K43" s="126">
        <f t="shared" si="36"/>
        <v>0</v>
      </c>
      <c r="L43" s="126">
        <f t="shared" si="36"/>
        <v>0</v>
      </c>
      <c r="M43" s="126">
        <f t="shared" si="36"/>
        <v>0</v>
      </c>
      <c r="N43" s="126">
        <f t="shared" si="36"/>
        <v>0</v>
      </c>
      <c r="O43" s="126">
        <f t="shared" si="36"/>
        <v>0</v>
      </c>
      <c r="P43" s="126">
        <f t="shared" si="36"/>
        <v>0</v>
      </c>
      <c r="Q43" s="126">
        <f t="shared" si="36"/>
        <v>0</v>
      </c>
      <c r="R43" s="126">
        <f t="shared" si="36"/>
        <v>0</v>
      </c>
      <c r="S43" s="126">
        <f t="shared" si="36"/>
        <v>0</v>
      </c>
      <c r="T43" s="126">
        <f t="shared" si="36"/>
        <v>0</v>
      </c>
      <c r="U43" s="126">
        <f t="shared" si="36"/>
        <v>0</v>
      </c>
      <c r="V43" s="126">
        <f t="shared" si="36"/>
        <v>0</v>
      </c>
      <c r="W43" s="126">
        <f t="shared" si="36"/>
        <v>0</v>
      </c>
      <c r="X43" s="126">
        <f t="shared" si="36"/>
        <v>0</v>
      </c>
      <c r="Y43" s="126">
        <f t="shared" si="36"/>
        <v>0</v>
      </c>
      <c r="Z43" s="126">
        <f t="shared" si="36"/>
        <v>0</v>
      </c>
      <c r="AA43" s="197">
        <f t="shared" si="36"/>
        <v>0</v>
      </c>
      <c r="AB43" s="197">
        <f t="shared" si="36"/>
        <v>0</v>
      </c>
      <c r="AC43" s="197">
        <f t="shared" si="36"/>
        <v>0</v>
      </c>
      <c r="AD43" s="197">
        <f t="shared" si="36"/>
        <v>0</v>
      </c>
      <c r="AE43" s="197">
        <f t="shared" si="36"/>
        <v>0</v>
      </c>
      <c r="AF43" s="197">
        <f t="shared" si="36"/>
        <v>0</v>
      </c>
      <c r="AG43" s="197">
        <f t="shared" si="36"/>
        <v>0</v>
      </c>
      <c r="AH43" s="197">
        <f t="shared" si="36"/>
        <v>0</v>
      </c>
      <c r="AI43" s="197">
        <f t="shared" si="36"/>
        <v>0</v>
      </c>
      <c r="AJ43" s="197">
        <f t="shared" si="36"/>
        <v>0</v>
      </c>
      <c r="AK43" s="197">
        <f t="shared" si="36"/>
        <v>0</v>
      </c>
      <c r="AL43" s="197">
        <f t="shared" si="36"/>
        <v>0</v>
      </c>
      <c r="AM43" s="197">
        <f t="shared" si="36"/>
        <v>0</v>
      </c>
      <c r="AN43" s="197">
        <f t="shared" si="36"/>
        <v>0</v>
      </c>
      <c r="AO43" s="197">
        <f t="shared" si="36"/>
        <v>0</v>
      </c>
      <c r="AP43" s="197">
        <f t="shared" si="36"/>
        <v>0</v>
      </c>
      <c r="AQ43" s="197">
        <f t="shared" si="36"/>
        <v>0</v>
      </c>
      <c r="AR43" s="197">
        <f t="shared" si="36"/>
        <v>0</v>
      </c>
      <c r="AS43" s="197">
        <f t="shared" si="36"/>
        <v>0</v>
      </c>
      <c r="AT43" s="197">
        <f t="shared" si="36"/>
        <v>0</v>
      </c>
      <c r="AU43" s="197" t="e">
        <f t="shared" si="36"/>
        <v>#DIV/0!</v>
      </c>
      <c r="AV43" s="127" t="e">
        <f t="shared" si="36"/>
        <v>#DIV/0!</v>
      </c>
      <c r="AW43" s="127" t="e">
        <f t="shared" si="36"/>
        <v>#DIV/0!</v>
      </c>
      <c r="AX43" s="127" t="e">
        <f t="shared" si="36"/>
        <v>#DIV/0!</v>
      </c>
      <c r="AY43" s="127" t="e">
        <f t="shared" si="36"/>
        <v>#DIV/0!</v>
      </c>
      <c r="AZ43" s="197" t="e">
        <f t="shared" si="36"/>
        <v>#DIV/0!</v>
      </c>
      <c r="BA43" s="197" t="e">
        <f t="shared" si="36"/>
        <v>#DIV/0!</v>
      </c>
      <c r="BB43" s="197" t="e">
        <f t="shared" si="36"/>
        <v>#DIV/0!</v>
      </c>
      <c r="BC43" s="197" t="e">
        <f t="shared" si="36"/>
        <v>#DIV/0!</v>
      </c>
      <c r="BD43" s="197" t="e">
        <f t="shared" si="36"/>
        <v>#DIV/0!</v>
      </c>
      <c r="BE43" s="197" t="e">
        <f t="shared" si="36"/>
        <v>#DIV/0!</v>
      </c>
      <c r="BF43" s="197" t="e">
        <f t="shared" si="36"/>
        <v>#DIV/0!</v>
      </c>
      <c r="BG43" s="197" t="e">
        <f t="shared" si="36"/>
        <v>#DIV/0!</v>
      </c>
      <c r="BH43" s="197" t="e">
        <f t="shared" si="36"/>
        <v>#DIV/0!</v>
      </c>
      <c r="BI43" s="197" t="e">
        <f t="shared" si="36"/>
        <v>#DIV/0!</v>
      </c>
      <c r="BJ43" s="197" t="e">
        <f t="shared" si="36"/>
        <v>#DIV/0!</v>
      </c>
      <c r="BK43" s="197" t="e">
        <f t="shared" si="36"/>
        <v>#DIV/0!</v>
      </c>
      <c r="BL43" s="197" t="e">
        <f t="shared" si="36"/>
        <v>#DIV/0!</v>
      </c>
      <c r="BM43" s="197" t="e">
        <f t="shared" si="36"/>
        <v>#DIV/0!</v>
      </c>
      <c r="BN43" s="197" t="e">
        <f t="shared" si="36"/>
        <v>#DIV/0!</v>
      </c>
      <c r="BO43" s="197" t="e">
        <f>BO38*BO41</f>
        <v>#DIV/0!</v>
      </c>
      <c r="BP43" s="197" t="e">
        <f t="shared" ref="BP43:CX44" si="37">BP38*BP41</f>
        <v>#DIV/0!</v>
      </c>
      <c r="BQ43" s="197" t="e">
        <f t="shared" si="37"/>
        <v>#DIV/0!</v>
      </c>
      <c r="BR43" s="197" t="e">
        <f t="shared" si="37"/>
        <v>#DIV/0!</v>
      </c>
      <c r="BS43" s="197" t="e">
        <f>BS38*BS41</f>
        <v>#DIV/0!</v>
      </c>
      <c r="BT43" s="197">
        <f t="shared" si="37"/>
        <v>0</v>
      </c>
      <c r="BU43" s="197">
        <f t="shared" si="37"/>
        <v>0</v>
      </c>
      <c r="BV43" s="197">
        <f t="shared" si="37"/>
        <v>0</v>
      </c>
      <c r="BW43" s="197">
        <f t="shared" si="37"/>
        <v>0</v>
      </c>
      <c r="BX43" s="197">
        <f t="shared" si="37"/>
        <v>0</v>
      </c>
      <c r="BY43" s="197">
        <f t="shared" si="37"/>
        <v>0</v>
      </c>
      <c r="BZ43" s="197">
        <f t="shared" si="37"/>
        <v>0</v>
      </c>
      <c r="CA43" s="197">
        <f t="shared" si="37"/>
        <v>0</v>
      </c>
      <c r="CB43" s="197">
        <f t="shared" si="37"/>
        <v>0</v>
      </c>
      <c r="CC43" s="197">
        <f t="shared" si="37"/>
        <v>0</v>
      </c>
      <c r="CD43" s="197">
        <f t="shared" si="37"/>
        <v>0</v>
      </c>
      <c r="CE43" s="197"/>
      <c r="CF43" s="197"/>
      <c r="CG43" s="197"/>
      <c r="CH43" s="197"/>
      <c r="CI43" s="197">
        <f t="shared" si="37"/>
        <v>0</v>
      </c>
      <c r="CJ43" s="197"/>
      <c r="CK43" s="197"/>
      <c r="CL43" s="197"/>
      <c r="CM43" s="197"/>
      <c r="CN43" s="197">
        <f t="shared" si="37"/>
        <v>0</v>
      </c>
      <c r="CO43" s="197"/>
      <c r="CP43" s="197"/>
      <c r="CQ43" s="197"/>
      <c r="CR43" s="197"/>
      <c r="CS43" s="197">
        <f t="shared" si="37"/>
        <v>0</v>
      </c>
      <c r="CT43" s="197"/>
      <c r="CU43" s="197"/>
      <c r="CV43" s="197"/>
      <c r="CW43" s="197"/>
      <c r="CX43" s="197">
        <f t="shared" si="37"/>
        <v>0</v>
      </c>
    </row>
    <row r="44" spans="1:103" hidden="1" x14ac:dyDescent="0.2">
      <c r="A44" s="125"/>
      <c r="B44" s="125" t="s">
        <v>43</v>
      </c>
      <c r="C44" s="126">
        <f>C39*C42</f>
        <v>0</v>
      </c>
      <c r="D44" s="126">
        <f t="shared" si="36"/>
        <v>0</v>
      </c>
      <c r="E44" s="126">
        <f t="shared" si="36"/>
        <v>0</v>
      </c>
      <c r="F44" s="126">
        <f t="shared" si="36"/>
        <v>0</v>
      </c>
      <c r="G44" s="126">
        <f t="shared" si="36"/>
        <v>0</v>
      </c>
      <c r="H44" s="126">
        <f t="shared" si="36"/>
        <v>0</v>
      </c>
      <c r="I44" s="126">
        <f t="shared" si="36"/>
        <v>0</v>
      </c>
      <c r="J44" s="126">
        <f t="shared" si="36"/>
        <v>0</v>
      </c>
      <c r="K44" s="126">
        <f t="shared" si="36"/>
        <v>0</v>
      </c>
      <c r="L44" s="126">
        <f>L39*L42</f>
        <v>0</v>
      </c>
      <c r="M44" s="126">
        <f t="shared" si="36"/>
        <v>0</v>
      </c>
      <c r="N44" s="126">
        <f t="shared" si="36"/>
        <v>0</v>
      </c>
      <c r="O44" s="126">
        <f t="shared" si="36"/>
        <v>0</v>
      </c>
      <c r="P44" s="126">
        <f t="shared" si="36"/>
        <v>0</v>
      </c>
      <c r="Q44" s="126">
        <f t="shared" si="36"/>
        <v>0</v>
      </c>
      <c r="R44" s="126">
        <f t="shared" si="36"/>
        <v>0</v>
      </c>
      <c r="S44" s="126">
        <f t="shared" si="36"/>
        <v>0</v>
      </c>
      <c r="T44" s="126">
        <f t="shared" si="36"/>
        <v>0</v>
      </c>
      <c r="U44" s="126">
        <f t="shared" si="36"/>
        <v>0</v>
      </c>
      <c r="V44" s="126">
        <f t="shared" si="36"/>
        <v>0</v>
      </c>
      <c r="W44" s="126">
        <f t="shared" si="36"/>
        <v>0</v>
      </c>
      <c r="X44" s="126">
        <f t="shared" si="36"/>
        <v>0</v>
      </c>
      <c r="Y44" s="126">
        <f t="shared" si="36"/>
        <v>0</v>
      </c>
      <c r="Z44" s="126">
        <f t="shared" si="36"/>
        <v>0</v>
      </c>
      <c r="AA44" s="197">
        <f>AA39*AA42</f>
        <v>0</v>
      </c>
      <c r="AB44" s="197">
        <f t="shared" si="36"/>
        <v>0</v>
      </c>
      <c r="AC44" s="197">
        <f t="shared" si="36"/>
        <v>0</v>
      </c>
      <c r="AD44" s="197">
        <f t="shared" si="36"/>
        <v>0</v>
      </c>
      <c r="AE44" s="197">
        <f t="shared" si="36"/>
        <v>0</v>
      </c>
      <c r="AF44" s="197">
        <f t="shared" si="36"/>
        <v>0</v>
      </c>
      <c r="AG44" s="197">
        <f t="shared" si="36"/>
        <v>0</v>
      </c>
      <c r="AH44" s="197">
        <f t="shared" si="36"/>
        <v>0</v>
      </c>
      <c r="AI44" s="197">
        <f t="shared" si="36"/>
        <v>0</v>
      </c>
      <c r="AJ44" s="197">
        <f t="shared" si="36"/>
        <v>0</v>
      </c>
      <c r="AK44" s="197">
        <f t="shared" si="36"/>
        <v>0</v>
      </c>
      <c r="AL44" s="197">
        <f t="shared" si="36"/>
        <v>0</v>
      </c>
      <c r="AM44" s="197">
        <f t="shared" si="36"/>
        <v>0</v>
      </c>
      <c r="AN44" s="197">
        <f t="shared" si="36"/>
        <v>0</v>
      </c>
      <c r="AO44" s="197">
        <f>AO39*AO42</f>
        <v>0</v>
      </c>
      <c r="AP44" s="197">
        <f>AP39*AP42</f>
        <v>0</v>
      </c>
      <c r="AQ44" s="197">
        <f t="shared" si="36"/>
        <v>0</v>
      </c>
      <c r="AR44" s="197">
        <f t="shared" si="36"/>
        <v>0</v>
      </c>
      <c r="AS44" s="197">
        <f t="shared" si="36"/>
        <v>0</v>
      </c>
      <c r="AT44" s="197">
        <f t="shared" si="36"/>
        <v>0</v>
      </c>
      <c r="AU44" s="197" t="e">
        <f>AU39*AU42</f>
        <v>#DIV/0!</v>
      </c>
      <c r="AV44" s="127" t="e">
        <f t="shared" si="36"/>
        <v>#DIV/0!</v>
      </c>
      <c r="AW44" s="127" t="e">
        <f t="shared" si="36"/>
        <v>#DIV/0!</v>
      </c>
      <c r="AX44" s="127" t="e">
        <f t="shared" si="36"/>
        <v>#DIV/0!</v>
      </c>
      <c r="AY44" s="127" t="e">
        <f t="shared" si="36"/>
        <v>#DIV/0!</v>
      </c>
      <c r="AZ44" s="197" t="e">
        <f t="shared" si="36"/>
        <v>#DIV/0!</v>
      </c>
      <c r="BA44" s="197" t="e">
        <f t="shared" si="36"/>
        <v>#DIV/0!</v>
      </c>
      <c r="BB44" s="197" t="e">
        <f t="shared" si="36"/>
        <v>#DIV/0!</v>
      </c>
      <c r="BC44" s="197" t="e">
        <f>BC39*BC42</f>
        <v>#DIV/0!</v>
      </c>
      <c r="BD44" s="197" t="e">
        <f t="shared" si="36"/>
        <v>#DIV/0!</v>
      </c>
      <c r="BE44" s="197" t="e">
        <f t="shared" si="36"/>
        <v>#DIV/0!</v>
      </c>
      <c r="BF44" s="197" t="e">
        <f t="shared" si="36"/>
        <v>#DIV/0!</v>
      </c>
      <c r="BG44" s="197" t="e">
        <f t="shared" si="36"/>
        <v>#DIV/0!</v>
      </c>
      <c r="BH44" s="197" t="e">
        <f t="shared" si="36"/>
        <v>#DIV/0!</v>
      </c>
      <c r="BI44" s="197" t="e">
        <f t="shared" si="36"/>
        <v>#DIV/0!</v>
      </c>
      <c r="BJ44" s="197" t="e">
        <f t="shared" si="36"/>
        <v>#DIV/0!</v>
      </c>
      <c r="BK44" s="197" t="e">
        <f t="shared" si="36"/>
        <v>#DIV/0!</v>
      </c>
      <c r="BL44" s="197" t="e">
        <f t="shared" si="36"/>
        <v>#DIV/0!</v>
      </c>
      <c r="BM44" s="197" t="e">
        <f t="shared" si="36"/>
        <v>#DIV/0!</v>
      </c>
      <c r="BN44" s="197" t="e">
        <f t="shared" si="36"/>
        <v>#DIV/0!</v>
      </c>
      <c r="BO44" s="197" t="e">
        <f>BO39*BO42</f>
        <v>#DIV/0!</v>
      </c>
      <c r="BP44" s="197" t="e">
        <f t="shared" si="37"/>
        <v>#DIV/0!</v>
      </c>
      <c r="BQ44" s="197" t="e">
        <f t="shared" si="37"/>
        <v>#DIV/0!</v>
      </c>
      <c r="BR44" s="197" t="e">
        <f t="shared" si="37"/>
        <v>#DIV/0!</v>
      </c>
      <c r="BS44" s="197" t="e">
        <f t="shared" si="37"/>
        <v>#DIV/0!</v>
      </c>
      <c r="BT44" s="197">
        <f t="shared" si="37"/>
        <v>0</v>
      </c>
      <c r="BU44" s="197">
        <f t="shared" si="37"/>
        <v>0</v>
      </c>
      <c r="BV44" s="197">
        <f t="shared" si="37"/>
        <v>0</v>
      </c>
      <c r="BW44" s="197">
        <f t="shared" si="37"/>
        <v>0</v>
      </c>
      <c r="BX44" s="197">
        <f t="shared" si="37"/>
        <v>0</v>
      </c>
      <c r="BY44" s="197">
        <f t="shared" si="37"/>
        <v>0</v>
      </c>
      <c r="BZ44" s="197">
        <f t="shared" si="37"/>
        <v>0</v>
      </c>
      <c r="CA44" s="197">
        <f t="shared" si="37"/>
        <v>0</v>
      </c>
      <c r="CB44" s="197">
        <f t="shared" si="37"/>
        <v>0</v>
      </c>
      <c r="CC44" s="197">
        <f t="shared" si="37"/>
        <v>0</v>
      </c>
      <c r="CD44" s="197">
        <f t="shared" si="37"/>
        <v>0</v>
      </c>
      <c r="CE44" s="197"/>
      <c r="CF44" s="197"/>
      <c r="CG44" s="197"/>
      <c r="CH44" s="197"/>
      <c r="CI44" s="197">
        <f t="shared" si="37"/>
        <v>0</v>
      </c>
      <c r="CJ44" s="197"/>
      <c r="CK44" s="197"/>
      <c r="CL44" s="197"/>
      <c r="CM44" s="197"/>
      <c r="CN44" s="197">
        <f t="shared" si="37"/>
        <v>0</v>
      </c>
      <c r="CO44" s="197"/>
      <c r="CP44" s="197"/>
      <c r="CQ44" s="197"/>
      <c r="CR44" s="197"/>
      <c r="CS44" s="197">
        <f t="shared" si="37"/>
        <v>0</v>
      </c>
      <c r="CT44" s="197"/>
      <c r="CU44" s="197"/>
      <c r="CV44" s="197"/>
      <c r="CW44" s="197"/>
      <c r="CX44" s="197">
        <f t="shared" si="37"/>
        <v>0</v>
      </c>
    </row>
    <row r="45" spans="1:103" hidden="1" x14ac:dyDescent="0.2">
      <c r="A45" s="125"/>
      <c r="B45" s="125" t="s">
        <v>44</v>
      </c>
      <c r="C45" s="126">
        <f>C40*C41</f>
        <v>0</v>
      </c>
      <c r="D45" s="126">
        <f t="shared" ref="D45:BO45" si="38">D40*D41</f>
        <v>0</v>
      </c>
      <c r="E45" s="126">
        <f t="shared" si="38"/>
        <v>0</v>
      </c>
      <c r="F45" s="126">
        <f t="shared" si="38"/>
        <v>0</v>
      </c>
      <c r="G45" s="126">
        <f t="shared" si="38"/>
        <v>0</v>
      </c>
      <c r="H45" s="126">
        <f t="shared" si="38"/>
        <v>0</v>
      </c>
      <c r="I45" s="126">
        <f t="shared" si="38"/>
        <v>0</v>
      </c>
      <c r="J45" s="126">
        <f t="shared" si="38"/>
        <v>0</v>
      </c>
      <c r="K45" s="126">
        <f t="shared" si="38"/>
        <v>0</v>
      </c>
      <c r="L45" s="126">
        <f>L40*L41</f>
        <v>0</v>
      </c>
      <c r="M45" s="126">
        <f t="shared" si="38"/>
        <v>0</v>
      </c>
      <c r="N45" s="126">
        <f t="shared" si="38"/>
        <v>0</v>
      </c>
      <c r="O45" s="126">
        <f t="shared" si="38"/>
        <v>0</v>
      </c>
      <c r="P45" s="126">
        <f t="shared" si="38"/>
        <v>0</v>
      </c>
      <c r="Q45" s="126">
        <f t="shared" si="38"/>
        <v>0</v>
      </c>
      <c r="R45" s="126">
        <f t="shared" si="38"/>
        <v>0</v>
      </c>
      <c r="S45" s="126">
        <f t="shared" si="38"/>
        <v>0</v>
      </c>
      <c r="T45" s="126">
        <f t="shared" si="38"/>
        <v>0</v>
      </c>
      <c r="U45" s="126">
        <f t="shared" si="38"/>
        <v>0</v>
      </c>
      <c r="V45" s="126">
        <f t="shared" si="38"/>
        <v>0</v>
      </c>
      <c r="W45" s="126">
        <f t="shared" si="38"/>
        <v>0</v>
      </c>
      <c r="X45" s="126">
        <f t="shared" si="38"/>
        <v>0</v>
      </c>
      <c r="Y45" s="126">
        <f t="shared" si="38"/>
        <v>0</v>
      </c>
      <c r="Z45" s="126">
        <f t="shared" si="38"/>
        <v>0</v>
      </c>
      <c r="AA45" s="197">
        <f t="shared" si="38"/>
        <v>0</v>
      </c>
      <c r="AB45" s="197">
        <f t="shared" si="38"/>
        <v>0</v>
      </c>
      <c r="AC45" s="197">
        <f t="shared" si="38"/>
        <v>0</v>
      </c>
      <c r="AD45" s="197">
        <f t="shared" si="38"/>
        <v>0</v>
      </c>
      <c r="AE45" s="197">
        <f t="shared" si="38"/>
        <v>0</v>
      </c>
      <c r="AF45" s="197">
        <f t="shared" si="38"/>
        <v>0</v>
      </c>
      <c r="AG45" s="197">
        <f t="shared" si="38"/>
        <v>0</v>
      </c>
      <c r="AH45" s="197">
        <f t="shared" si="38"/>
        <v>0</v>
      </c>
      <c r="AI45" s="197">
        <f t="shared" si="38"/>
        <v>0</v>
      </c>
      <c r="AJ45" s="197">
        <f t="shared" si="38"/>
        <v>0</v>
      </c>
      <c r="AK45" s="197">
        <f t="shared" si="38"/>
        <v>0</v>
      </c>
      <c r="AL45" s="197">
        <f t="shared" si="38"/>
        <v>0</v>
      </c>
      <c r="AM45" s="197">
        <f t="shared" si="38"/>
        <v>0</v>
      </c>
      <c r="AN45" s="197">
        <f t="shared" si="38"/>
        <v>0</v>
      </c>
      <c r="AO45" s="197">
        <f>AO38*AO41</f>
        <v>0</v>
      </c>
      <c r="AP45" s="197">
        <f>AP40</f>
        <v>474</v>
      </c>
      <c r="AQ45" s="197">
        <f t="shared" si="38"/>
        <v>0</v>
      </c>
      <c r="AR45" s="197">
        <f>AR40*AR41</f>
        <v>0</v>
      </c>
      <c r="AS45" s="197">
        <f t="shared" si="38"/>
        <v>0</v>
      </c>
      <c r="AT45" s="197">
        <f t="shared" si="38"/>
        <v>0</v>
      </c>
      <c r="AU45" s="197" t="e">
        <f>AU40*AU41</f>
        <v>#DIV/0!</v>
      </c>
      <c r="AV45" s="127" t="e">
        <f t="shared" si="38"/>
        <v>#DIV/0!</v>
      </c>
      <c r="AW45" s="127" t="e">
        <f t="shared" si="38"/>
        <v>#DIV/0!</v>
      </c>
      <c r="AX45" s="127" t="e">
        <f t="shared" si="38"/>
        <v>#DIV/0!</v>
      </c>
      <c r="AY45" s="127" t="e">
        <f t="shared" si="38"/>
        <v>#DIV/0!</v>
      </c>
      <c r="AZ45" s="197" t="e">
        <f t="shared" si="38"/>
        <v>#DIV/0!</v>
      </c>
      <c r="BA45" s="197" t="e">
        <f t="shared" si="38"/>
        <v>#DIV/0!</v>
      </c>
      <c r="BB45" s="197" t="e">
        <f t="shared" si="38"/>
        <v>#DIV/0!</v>
      </c>
      <c r="BC45" s="197" t="e">
        <f t="shared" si="38"/>
        <v>#DIV/0!</v>
      </c>
      <c r="BD45" s="197" t="e">
        <f t="shared" si="38"/>
        <v>#DIV/0!</v>
      </c>
      <c r="BE45" s="197" t="e">
        <f t="shared" si="38"/>
        <v>#DIV/0!</v>
      </c>
      <c r="BF45" s="197" t="e">
        <f t="shared" si="38"/>
        <v>#DIV/0!</v>
      </c>
      <c r="BG45" s="197" t="e">
        <f t="shared" si="38"/>
        <v>#DIV/0!</v>
      </c>
      <c r="BH45" s="197" t="e">
        <f t="shared" si="38"/>
        <v>#DIV/0!</v>
      </c>
      <c r="BI45" s="197" t="e">
        <f t="shared" si="38"/>
        <v>#DIV/0!</v>
      </c>
      <c r="BJ45" s="197" t="e">
        <f t="shared" si="38"/>
        <v>#DIV/0!</v>
      </c>
      <c r="BK45" s="197" t="e">
        <f t="shared" si="38"/>
        <v>#DIV/0!</v>
      </c>
      <c r="BL45" s="197" t="e">
        <f t="shared" si="38"/>
        <v>#DIV/0!</v>
      </c>
      <c r="BM45" s="197" t="e">
        <f t="shared" si="38"/>
        <v>#DIV/0!</v>
      </c>
      <c r="BN45" s="197" t="e">
        <f t="shared" si="38"/>
        <v>#DIV/0!</v>
      </c>
      <c r="BO45" s="197" t="e">
        <f t="shared" si="38"/>
        <v>#DIV/0!</v>
      </c>
      <c r="BP45" s="197" t="e">
        <f t="shared" ref="BP45:CX45" si="39">BP40*BP41</f>
        <v>#DIV/0!</v>
      </c>
      <c r="BQ45" s="197" t="e">
        <f t="shared" si="39"/>
        <v>#DIV/0!</v>
      </c>
      <c r="BR45" s="197" t="e">
        <f t="shared" si="39"/>
        <v>#DIV/0!</v>
      </c>
      <c r="BS45" s="197" t="e">
        <f t="shared" si="39"/>
        <v>#DIV/0!</v>
      </c>
      <c r="BT45" s="197">
        <f t="shared" si="39"/>
        <v>0</v>
      </c>
      <c r="BU45" s="197">
        <f t="shared" si="39"/>
        <v>0</v>
      </c>
      <c r="BV45" s="197">
        <f t="shared" si="39"/>
        <v>0</v>
      </c>
      <c r="BW45" s="197">
        <f t="shared" si="39"/>
        <v>0</v>
      </c>
      <c r="BX45" s="197">
        <f t="shared" si="39"/>
        <v>0</v>
      </c>
      <c r="BY45" s="197">
        <f t="shared" si="39"/>
        <v>0</v>
      </c>
      <c r="BZ45" s="197">
        <f t="shared" si="39"/>
        <v>0</v>
      </c>
      <c r="CA45" s="197">
        <f t="shared" si="39"/>
        <v>0</v>
      </c>
      <c r="CB45" s="197">
        <f t="shared" si="39"/>
        <v>0</v>
      </c>
      <c r="CC45" s="197">
        <f t="shared" si="39"/>
        <v>0</v>
      </c>
      <c r="CD45" s="197">
        <f t="shared" si="39"/>
        <v>0</v>
      </c>
      <c r="CE45" s="197"/>
      <c r="CF45" s="197"/>
      <c r="CG45" s="197"/>
      <c r="CH45" s="197"/>
      <c r="CI45" s="197">
        <f t="shared" si="39"/>
        <v>0</v>
      </c>
      <c r="CJ45" s="197"/>
      <c r="CK45" s="197"/>
      <c r="CL45" s="197"/>
      <c r="CM45" s="197"/>
      <c r="CN45" s="197">
        <f t="shared" si="39"/>
        <v>0</v>
      </c>
      <c r="CO45" s="197"/>
      <c r="CP45" s="197"/>
      <c r="CQ45" s="197"/>
      <c r="CR45" s="197"/>
      <c r="CS45" s="197">
        <f t="shared" si="39"/>
        <v>0</v>
      </c>
      <c r="CT45" s="197"/>
      <c r="CU45" s="197"/>
      <c r="CV45" s="197"/>
      <c r="CW45" s="197"/>
      <c r="CX45" s="197">
        <f t="shared" si="39"/>
        <v>0</v>
      </c>
    </row>
    <row r="46" spans="1:103" hidden="1" x14ac:dyDescent="0.2">
      <c r="A46" s="118"/>
      <c r="B46" s="119" t="s">
        <v>45</v>
      </c>
      <c r="C46" s="118"/>
      <c r="D46" s="118"/>
      <c r="E46" s="118"/>
      <c r="F46" s="118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15"/>
      <c r="AB46" s="115"/>
      <c r="AC46" s="115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28"/>
      <c r="AQ46" s="128"/>
      <c r="AR46" s="128"/>
      <c r="AS46" s="128"/>
      <c r="AT46" s="115"/>
      <c r="AU46" s="115"/>
      <c r="AV46" s="115"/>
      <c r="AW46" s="115"/>
      <c r="AX46" s="115"/>
      <c r="AY46" s="115"/>
      <c r="AZ46" s="115"/>
      <c r="BA46" s="115"/>
      <c r="BB46" s="115"/>
      <c r="BC46" s="115"/>
      <c r="BD46" s="115"/>
      <c r="BE46" s="115"/>
      <c r="BF46" s="115"/>
      <c r="BG46" s="115"/>
      <c r="BH46" s="115"/>
      <c r="BI46" s="115"/>
      <c r="BJ46" s="115"/>
      <c r="BK46" s="115"/>
      <c r="BL46" s="115"/>
      <c r="BM46" s="115"/>
      <c r="BN46" s="115"/>
      <c r="BO46" s="128"/>
      <c r="BP46" s="128"/>
      <c r="BQ46" s="128"/>
      <c r="BR46" s="128"/>
      <c r="BS46" s="115"/>
      <c r="BT46" s="115"/>
      <c r="BU46" s="115"/>
      <c r="BV46" s="115"/>
      <c r="BW46" s="115"/>
      <c r="BX46" s="115"/>
      <c r="BY46" s="115"/>
      <c r="BZ46" s="115"/>
      <c r="CA46" s="115"/>
      <c r="CB46" s="115"/>
      <c r="CC46" s="115"/>
      <c r="CD46" s="115"/>
      <c r="CE46" s="115"/>
      <c r="CF46" s="115"/>
      <c r="CG46" s="115"/>
      <c r="CH46" s="115"/>
      <c r="CI46" s="115"/>
      <c r="CJ46" s="115"/>
      <c r="CK46" s="115"/>
      <c r="CL46" s="115"/>
      <c r="CM46" s="115"/>
      <c r="CN46" s="115"/>
      <c r="CO46" s="115"/>
      <c r="CP46" s="115"/>
      <c r="CQ46" s="115"/>
      <c r="CR46" s="115"/>
      <c r="CS46" s="115"/>
      <c r="CT46" s="115"/>
      <c r="CU46" s="115"/>
      <c r="CV46" s="115"/>
      <c r="CW46" s="115"/>
      <c r="CX46" s="115"/>
    </row>
    <row r="47" spans="1:103" hidden="1" x14ac:dyDescent="0.2">
      <c r="A47" s="65"/>
      <c r="B47" s="129" t="s">
        <v>46</v>
      </c>
      <c r="C47" s="118"/>
      <c r="D47" s="118"/>
      <c r="E47" s="118"/>
      <c r="F47" s="118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28"/>
      <c r="AQ47" s="128"/>
      <c r="AR47" s="128"/>
      <c r="AS47" s="128"/>
      <c r="AT47" s="115"/>
      <c r="AU47" s="115"/>
      <c r="AV47" s="115"/>
      <c r="AW47" s="115"/>
      <c r="AX47" s="115"/>
      <c r="AY47" s="115"/>
      <c r="AZ47" s="115"/>
      <c r="BA47" s="115"/>
      <c r="BB47" s="115"/>
      <c r="BC47" s="115"/>
      <c r="BD47" s="115"/>
      <c r="BE47" s="115"/>
      <c r="BF47" s="115"/>
      <c r="BG47" s="115"/>
      <c r="BH47" s="115"/>
      <c r="BI47" s="115"/>
      <c r="BJ47" s="115"/>
      <c r="BK47" s="115"/>
      <c r="BL47" s="115"/>
      <c r="BM47" s="115"/>
      <c r="BN47" s="115"/>
      <c r="BO47" s="128"/>
      <c r="BP47" s="128"/>
      <c r="BQ47" s="128"/>
      <c r="BR47" s="128"/>
      <c r="BS47" s="115"/>
      <c r="BT47" s="115"/>
      <c r="BU47" s="115"/>
      <c r="BV47" s="130" t="e">
        <f t="shared" ref="BV47:CD47" si="40">+BV46/BV41</f>
        <v>#DIV/0!</v>
      </c>
      <c r="BW47" s="130" t="e">
        <f t="shared" si="40"/>
        <v>#DIV/0!</v>
      </c>
      <c r="BX47" s="130" t="e">
        <f t="shared" si="40"/>
        <v>#DIV/0!</v>
      </c>
      <c r="BY47" s="130" t="e">
        <f t="shared" si="40"/>
        <v>#DIV/0!</v>
      </c>
      <c r="BZ47" s="130" t="e">
        <f t="shared" si="40"/>
        <v>#DIV/0!</v>
      </c>
      <c r="CA47" s="130" t="e">
        <f t="shared" si="40"/>
        <v>#DIV/0!</v>
      </c>
      <c r="CB47" s="130" t="e">
        <f t="shared" si="40"/>
        <v>#DIV/0!</v>
      </c>
      <c r="CC47" s="130" t="e">
        <f t="shared" si="40"/>
        <v>#DIV/0!</v>
      </c>
      <c r="CD47" s="130" t="e">
        <f t="shared" si="40"/>
        <v>#DIV/0!</v>
      </c>
      <c r="CE47" s="130"/>
      <c r="CF47" s="130"/>
      <c r="CG47" s="130"/>
      <c r="CH47" s="130"/>
      <c r="CI47" s="130" t="e">
        <f t="shared" ref="CI47:CX47" si="41">+CI46/CI41</f>
        <v>#DIV/0!</v>
      </c>
      <c r="CJ47" s="130"/>
      <c r="CK47" s="130"/>
      <c r="CL47" s="130"/>
      <c r="CM47" s="130"/>
      <c r="CN47" s="130" t="e">
        <f t="shared" si="41"/>
        <v>#DIV/0!</v>
      </c>
      <c r="CO47" s="130"/>
      <c r="CP47" s="130"/>
      <c r="CQ47" s="130"/>
      <c r="CR47" s="130"/>
      <c r="CS47" s="130" t="e">
        <f t="shared" si="41"/>
        <v>#DIV/0!</v>
      </c>
      <c r="CT47" s="130"/>
      <c r="CU47" s="130"/>
      <c r="CV47" s="130"/>
      <c r="CW47" s="130"/>
      <c r="CX47" s="130" t="e">
        <f t="shared" si="41"/>
        <v>#DIV/0!</v>
      </c>
    </row>
    <row r="48" spans="1:103" x14ac:dyDescent="0.2">
      <c r="AA48" s="95"/>
      <c r="AB48" s="95"/>
      <c r="AC48" s="95"/>
      <c r="AD48" s="95"/>
      <c r="AE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P48" s="95"/>
      <c r="BQ48" s="95"/>
      <c r="BR48" s="95"/>
      <c r="BS48" s="95"/>
      <c r="BT48" s="95"/>
      <c r="BU48" s="95"/>
      <c r="BV48" s="95"/>
      <c r="BW48" s="95"/>
      <c r="BX48" s="95"/>
      <c r="BY48" s="95"/>
      <c r="BZ48" s="95"/>
      <c r="CA48" s="95"/>
      <c r="CB48" s="95"/>
      <c r="CC48" s="95"/>
      <c r="CD48" s="95"/>
      <c r="CE48" s="95"/>
      <c r="CF48" s="95"/>
      <c r="CG48" s="95"/>
      <c r="CH48" s="95"/>
      <c r="CI48" s="95"/>
      <c r="CJ48" s="95"/>
      <c r="CK48" s="95"/>
      <c r="CL48" s="95"/>
      <c r="CM48" s="95"/>
      <c r="CN48" s="95"/>
      <c r="CO48" s="95"/>
      <c r="CP48" s="95"/>
      <c r="CQ48" s="95"/>
      <c r="CR48" s="95"/>
      <c r="CS48" s="95"/>
      <c r="CT48" s="95"/>
      <c r="CU48" s="95"/>
      <c r="CV48" s="95"/>
      <c r="CW48" s="95"/>
      <c r="CX48" s="95"/>
      <c r="CY48" s="95"/>
    </row>
    <row r="49" spans="1:104" x14ac:dyDescent="0.2">
      <c r="A49" s="94"/>
      <c r="B49" s="94" t="s">
        <v>47</v>
      </c>
      <c r="C49" s="64" t="str">
        <f t="shared" ref="C49:AH49" si="42">C8</f>
        <v>Q1-2001</v>
      </c>
      <c r="D49" s="64" t="str">
        <f t="shared" si="42"/>
        <v>Q2-2001</v>
      </c>
      <c r="E49" s="64" t="str">
        <f t="shared" si="42"/>
        <v>Q3-2001</v>
      </c>
      <c r="F49" s="64" t="str">
        <f t="shared" si="42"/>
        <v>Q4-2001</v>
      </c>
      <c r="G49" s="108">
        <f t="shared" si="42"/>
        <v>2001</v>
      </c>
      <c r="H49" s="64" t="str">
        <f t="shared" si="42"/>
        <v>Q1-2002</v>
      </c>
      <c r="I49" s="64" t="str">
        <f t="shared" si="42"/>
        <v>Q2-2002</v>
      </c>
      <c r="J49" s="64" t="str">
        <f t="shared" si="42"/>
        <v>Q3-2002</v>
      </c>
      <c r="K49" s="64" t="str">
        <f t="shared" si="42"/>
        <v>Q4-2002</v>
      </c>
      <c r="L49" s="108">
        <f t="shared" si="42"/>
        <v>2002</v>
      </c>
      <c r="M49" s="64" t="str">
        <f t="shared" si="42"/>
        <v>Q1-2003</v>
      </c>
      <c r="N49" s="64" t="str">
        <f t="shared" si="42"/>
        <v>Q2-2003</v>
      </c>
      <c r="O49" s="64" t="str">
        <f t="shared" si="42"/>
        <v>Q3-2003</v>
      </c>
      <c r="P49" s="64" t="str">
        <f t="shared" si="42"/>
        <v>Q4-2003</v>
      </c>
      <c r="Q49" s="108">
        <f t="shared" si="42"/>
        <v>2003</v>
      </c>
      <c r="R49" s="64" t="str">
        <f t="shared" si="42"/>
        <v>Q1-2004</v>
      </c>
      <c r="S49" s="64" t="str">
        <f t="shared" si="42"/>
        <v>Q2-2004</v>
      </c>
      <c r="T49" s="64" t="str">
        <f t="shared" si="42"/>
        <v>Q3-2004</v>
      </c>
      <c r="U49" s="64" t="str">
        <f t="shared" si="42"/>
        <v>Q4-2004</v>
      </c>
      <c r="V49" s="108">
        <f t="shared" si="42"/>
        <v>2004</v>
      </c>
      <c r="W49" s="64" t="str">
        <f t="shared" si="42"/>
        <v>Q1-2013</v>
      </c>
      <c r="X49" s="64" t="str">
        <f t="shared" si="42"/>
        <v>Q2-2013</v>
      </c>
      <c r="Y49" s="64" t="str">
        <f t="shared" si="42"/>
        <v>Q3-2013</v>
      </c>
      <c r="Z49" s="64" t="str">
        <f t="shared" si="42"/>
        <v>Q4-2013</v>
      </c>
      <c r="AA49" s="108">
        <f t="shared" si="42"/>
        <v>2013</v>
      </c>
      <c r="AB49" s="64" t="str">
        <f t="shared" si="42"/>
        <v>Q1-2014</v>
      </c>
      <c r="AC49" s="64" t="str">
        <f t="shared" si="42"/>
        <v>Q2-2014</v>
      </c>
      <c r="AD49" s="64" t="str">
        <f t="shared" si="42"/>
        <v>Q3-2014</v>
      </c>
      <c r="AE49" s="64" t="str">
        <f t="shared" si="42"/>
        <v>Q4-2014</v>
      </c>
      <c r="AF49" s="108">
        <f t="shared" si="42"/>
        <v>2014</v>
      </c>
      <c r="AG49" s="64" t="str">
        <f t="shared" si="42"/>
        <v>Q1-2015</v>
      </c>
      <c r="AH49" s="64" t="str">
        <f t="shared" si="42"/>
        <v>Q2-2015</v>
      </c>
      <c r="AI49" s="64" t="str">
        <f t="shared" ref="AI49:BN49" si="43">AI8</f>
        <v>Q3-2015</v>
      </c>
      <c r="AJ49" s="64" t="str">
        <f t="shared" si="43"/>
        <v>Q4-2015</v>
      </c>
      <c r="AK49" s="108">
        <f t="shared" si="43"/>
        <v>2015</v>
      </c>
      <c r="AL49" s="64" t="str">
        <f t="shared" si="43"/>
        <v>Q1-2016</v>
      </c>
      <c r="AM49" s="64" t="str">
        <f t="shared" si="43"/>
        <v>Q2-2016</v>
      </c>
      <c r="AN49" s="64" t="str">
        <f t="shared" si="43"/>
        <v>Q3-2016</v>
      </c>
      <c r="AO49" s="64" t="str">
        <f t="shared" si="43"/>
        <v>Q4-2016</v>
      </c>
      <c r="AP49" s="108">
        <f t="shared" si="43"/>
        <v>2016</v>
      </c>
      <c r="AQ49" s="64" t="str">
        <f t="shared" si="43"/>
        <v>Q1-2017</v>
      </c>
      <c r="AR49" s="64" t="str">
        <f t="shared" si="43"/>
        <v>Q2-2017</v>
      </c>
      <c r="AS49" s="64" t="str">
        <f t="shared" si="43"/>
        <v>Q3-2017</v>
      </c>
      <c r="AT49" s="64" t="str">
        <f t="shared" si="43"/>
        <v>Q4-2017</v>
      </c>
      <c r="AU49" s="108">
        <f t="shared" si="43"/>
        <v>2017</v>
      </c>
      <c r="AV49" s="64" t="str">
        <f t="shared" si="43"/>
        <v>Q1-2018</v>
      </c>
      <c r="AW49" s="64" t="str">
        <f t="shared" si="43"/>
        <v>Q2-2018</v>
      </c>
      <c r="AX49" s="64" t="str">
        <f t="shared" si="43"/>
        <v>Q3-2018</v>
      </c>
      <c r="AY49" s="64" t="str">
        <f t="shared" si="43"/>
        <v>Q4-2018</v>
      </c>
      <c r="AZ49" s="108">
        <f t="shared" si="43"/>
        <v>2018</v>
      </c>
      <c r="BA49" s="64" t="str">
        <f t="shared" si="43"/>
        <v>Q1-2019</v>
      </c>
      <c r="BB49" s="64" t="str">
        <f t="shared" si="43"/>
        <v>Q2-2019</v>
      </c>
      <c r="BC49" s="64" t="str">
        <f t="shared" si="43"/>
        <v>Q3-2019</v>
      </c>
      <c r="BD49" s="64" t="str">
        <f t="shared" si="43"/>
        <v>Q4-2019</v>
      </c>
      <c r="BE49" s="108">
        <f t="shared" si="43"/>
        <v>2019</v>
      </c>
      <c r="BF49" s="64" t="str">
        <f t="shared" si="43"/>
        <v>Q1-2020</v>
      </c>
      <c r="BG49" s="64" t="str">
        <f t="shared" si="43"/>
        <v>Q2-2020</v>
      </c>
      <c r="BH49" s="64" t="str">
        <f t="shared" si="43"/>
        <v>Q3-2020</v>
      </c>
      <c r="BI49" s="64" t="str">
        <f t="shared" si="43"/>
        <v>Q4-2020</v>
      </c>
      <c r="BJ49" s="108">
        <f t="shared" si="43"/>
        <v>2020</v>
      </c>
      <c r="BK49" s="64" t="str">
        <f t="shared" si="43"/>
        <v>Q1-2021</v>
      </c>
      <c r="BL49" s="64" t="str">
        <f t="shared" si="43"/>
        <v>Q2-2021</v>
      </c>
      <c r="BM49" s="64" t="str">
        <f t="shared" si="43"/>
        <v>Q3-2021</v>
      </c>
      <c r="BN49" s="64" t="str">
        <f t="shared" si="43"/>
        <v>Q4-2021</v>
      </c>
      <c r="BO49" s="108">
        <f t="shared" ref="BO49:CD49" si="44">BO8</f>
        <v>2021</v>
      </c>
      <c r="BP49" s="64" t="str">
        <f t="shared" si="44"/>
        <v>Q1-2022</v>
      </c>
      <c r="BQ49" s="64" t="str">
        <f t="shared" si="44"/>
        <v>Q2-2022</v>
      </c>
      <c r="BR49" s="64" t="str">
        <f t="shared" si="44"/>
        <v>Q3-2022</v>
      </c>
      <c r="BS49" s="64" t="str">
        <f t="shared" si="44"/>
        <v>Q4-2022</v>
      </c>
      <c r="BT49" s="108">
        <f t="shared" si="44"/>
        <v>2022</v>
      </c>
      <c r="BU49" s="64" t="str">
        <f t="shared" si="44"/>
        <v>Q1-2023</v>
      </c>
      <c r="BV49" s="64" t="str">
        <f t="shared" si="44"/>
        <v>Q2-2023</v>
      </c>
      <c r="BW49" s="64" t="str">
        <f t="shared" si="44"/>
        <v>Q3-2023</v>
      </c>
      <c r="BX49" s="318" t="str">
        <f t="shared" si="44"/>
        <v>Q4-2023</v>
      </c>
      <c r="BY49" s="324">
        <f t="shared" si="44"/>
        <v>2023</v>
      </c>
      <c r="BZ49" s="64" t="str">
        <f t="shared" si="44"/>
        <v>Q1-2024</v>
      </c>
      <c r="CA49" s="64" t="str">
        <f t="shared" si="44"/>
        <v>Q2-2024</v>
      </c>
      <c r="CB49" s="64" t="str">
        <f t="shared" si="44"/>
        <v>Q3-2024</v>
      </c>
      <c r="CC49" s="64" t="str">
        <f t="shared" si="44"/>
        <v>Q4-2024</v>
      </c>
      <c r="CD49" s="191">
        <f t="shared" si="44"/>
        <v>2024</v>
      </c>
      <c r="CE49" s="192"/>
      <c r="CF49" s="192"/>
      <c r="CG49" s="192"/>
      <c r="CH49" s="192"/>
      <c r="CI49" s="191">
        <f>CI8</f>
        <v>2025</v>
      </c>
      <c r="CJ49" s="192"/>
      <c r="CK49" s="192"/>
      <c r="CL49" s="192"/>
      <c r="CM49" s="192"/>
      <c r="CN49" s="191">
        <f>CN8</f>
        <v>2026</v>
      </c>
      <c r="CO49" s="192"/>
      <c r="CP49" s="192"/>
      <c r="CQ49" s="192"/>
      <c r="CR49" s="192"/>
      <c r="CS49" s="191">
        <f>CS8</f>
        <v>2027</v>
      </c>
      <c r="CT49" s="192"/>
      <c r="CU49" s="192"/>
      <c r="CV49" s="192"/>
      <c r="CW49" s="192"/>
      <c r="CX49" s="191">
        <f>CX8</f>
        <v>2028</v>
      </c>
    </row>
    <row r="50" spans="1:104" x14ac:dyDescent="0.2">
      <c r="B50" s="63" t="s">
        <v>48</v>
      </c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94">
        <v>8658</v>
      </c>
      <c r="AB50" s="194"/>
      <c r="AC50" s="194"/>
      <c r="AD50" s="194"/>
      <c r="AE50" s="194"/>
      <c r="AF50" s="194">
        <v>14557</v>
      </c>
      <c r="AG50" s="194"/>
      <c r="AH50" s="194"/>
      <c r="AI50" s="194"/>
      <c r="AJ50" s="194"/>
      <c r="AK50" s="194">
        <v>15890</v>
      </c>
      <c r="AL50" s="194"/>
      <c r="AM50" s="194"/>
      <c r="AN50" s="194"/>
      <c r="AO50" s="194"/>
      <c r="AP50" s="194">
        <v>19334</v>
      </c>
      <c r="AQ50" s="194"/>
      <c r="AR50" s="194"/>
      <c r="AS50" s="194"/>
      <c r="AT50" s="194"/>
      <c r="AU50" s="194">
        <v>20522</v>
      </c>
      <c r="AV50" s="110"/>
      <c r="AW50" s="110"/>
      <c r="AX50" s="110"/>
      <c r="AY50" s="110"/>
      <c r="AZ50" s="194">
        <v>31750</v>
      </c>
      <c r="BA50" s="194"/>
      <c r="BB50" s="194"/>
      <c r="BC50" s="194"/>
      <c r="BD50" s="194"/>
      <c r="BE50" s="194">
        <v>36092</v>
      </c>
      <c r="BF50" s="194"/>
      <c r="BG50" s="194"/>
      <c r="BH50" s="194"/>
      <c r="BI50" s="194"/>
      <c r="BJ50" s="194">
        <v>42122</v>
      </c>
      <c r="BK50" s="194"/>
      <c r="BL50" s="194"/>
      <c r="BM50" s="194"/>
      <c r="BN50" s="194"/>
      <c r="BO50" s="194">
        <v>36220</v>
      </c>
      <c r="BP50" s="194"/>
      <c r="BQ50" s="194"/>
      <c r="BR50" s="194"/>
      <c r="BS50" s="194"/>
      <c r="BT50" s="194">
        <v>53888</v>
      </c>
      <c r="BU50" s="194">
        <v>49343</v>
      </c>
      <c r="BV50" s="194">
        <v>49529</v>
      </c>
      <c r="BW50" s="194">
        <v>49605</v>
      </c>
      <c r="BX50" s="327">
        <v>73387</v>
      </c>
      <c r="BY50" s="194">
        <f>BX50</f>
        <v>73387</v>
      </c>
      <c r="BZ50" s="227"/>
      <c r="CA50" s="227"/>
      <c r="CB50" s="227"/>
      <c r="CC50" s="227"/>
      <c r="CD50" s="227">
        <f>CD118</f>
        <v>119211.63424338268</v>
      </c>
      <c r="CE50" s="227"/>
      <c r="CF50" s="227"/>
      <c r="CG50" s="227"/>
      <c r="CH50" s="227"/>
      <c r="CI50" s="227">
        <f t="shared" ref="CI50:CX50" si="45">CI118</f>
        <v>145907.93377959705</v>
      </c>
      <c r="CJ50" s="227"/>
      <c r="CK50" s="227"/>
      <c r="CL50" s="227"/>
      <c r="CM50" s="227"/>
      <c r="CN50" s="227">
        <f t="shared" si="45"/>
        <v>190330.34753926276</v>
      </c>
      <c r="CO50" s="227"/>
      <c r="CP50" s="227"/>
      <c r="CQ50" s="227"/>
      <c r="CR50" s="227"/>
      <c r="CS50" s="227">
        <f t="shared" si="45"/>
        <v>249088.59612032585</v>
      </c>
      <c r="CT50" s="227"/>
      <c r="CU50" s="227"/>
      <c r="CV50" s="227"/>
      <c r="CW50" s="227"/>
      <c r="CX50" s="227">
        <f t="shared" si="45"/>
        <v>313337.75790835556</v>
      </c>
    </row>
    <row r="51" spans="1:104" x14ac:dyDescent="0.2">
      <c r="B51" s="63" t="s">
        <v>49</v>
      </c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94">
        <v>3789</v>
      </c>
      <c r="AB51" s="194"/>
      <c r="AC51" s="194"/>
      <c r="AD51" s="194"/>
      <c r="AE51" s="194"/>
      <c r="AF51" s="194">
        <v>2859</v>
      </c>
      <c r="AG51" s="194"/>
      <c r="AH51" s="194"/>
      <c r="AI51" s="194"/>
      <c r="AJ51" s="194"/>
      <c r="AK51" s="194">
        <v>3918</v>
      </c>
      <c r="AL51" s="194"/>
      <c r="AM51" s="194"/>
      <c r="AN51" s="194"/>
      <c r="AO51" s="194"/>
      <c r="AP51" s="194">
        <v>6647</v>
      </c>
      <c r="AQ51" s="194"/>
      <c r="AR51" s="194"/>
      <c r="AS51" s="194"/>
      <c r="AT51" s="194"/>
      <c r="AU51" s="194">
        <v>10464</v>
      </c>
      <c r="AV51" s="110"/>
      <c r="AW51" s="110"/>
      <c r="AX51" s="110"/>
      <c r="AY51" s="110"/>
      <c r="AZ51" s="194">
        <v>9500</v>
      </c>
      <c r="BA51" s="194"/>
      <c r="BB51" s="194"/>
      <c r="BC51" s="194"/>
      <c r="BD51" s="194"/>
      <c r="BE51" s="194">
        <v>18929</v>
      </c>
      <c r="BF51" s="194"/>
      <c r="BG51" s="194"/>
      <c r="BH51" s="194"/>
      <c r="BI51" s="194"/>
      <c r="BJ51" s="194">
        <v>42274</v>
      </c>
      <c r="BK51" s="194"/>
      <c r="BL51" s="194"/>
      <c r="BM51" s="194"/>
      <c r="BN51" s="194"/>
      <c r="BO51" s="194">
        <v>59829</v>
      </c>
      <c r="BP51" s="194"/>
      <c r="BQ51" s="194"/>
      <c r="BR51" s="194"/>
      <c r="BS51" s="194"/>
      <c r="BT51" s="194">
        <v>16138</v>
      </c>
      <c r="BU51" s="194">
        <v>15062</v>
      </c>
      <c r="BV51" s="194">
        <v>14441</v>
      </c>
      <c r="BW51" s="194">
        <v>14564</v>
      </c>
      <c r="BX51" s="319">
        <v>13393</v>
      </c>
      <c r="BY51" s="194">
        <f t="shared" ref="BY51:BY53" si="46">BX51</f>
        <v>13393</v>
      </c>
      <c r="BZ51" s="227"/>
      <c r="CA51" s="227"/>
      <c r="CB51" s="227"/>
      <c r="CC51" s="227"/>
      <c r="CD51" s="227">
        <f>AVERAGE(BY51,BT51,BO51,BJ51,BE51)*(1+'CAGR-Based Elements'!$B$8)</f>
        <v>34165.1696508155</v>
      </c>
      <c r="CE51" s="227">
        <f>AVERAGE(BZ51,BU51,BP51,BK51,BF51)*(1+'CAGR-Based Elements'!$B$8)</f>
        <v>17089.051934425559</v>
      </c>
      <c r="CF51" s="227">
        <f>AVERAGE(CA51,BV51,BQ51,BL51,BG51)*(1+'CAGR-Based Elements'!$B$8)</f>
        <v>16384.477425643308</v>
      </c>
      <c r="CG51" s="227">
        <f>AVERAGE(CB51,BW51,BR51,BM51,BH51)*(1+'CAGR-Based Elements'!$B$8)</f>
        <v>16524.03083076443</v>
      </c>
      <c r="CH51" s="227">
        <f>AVERAGE(CC51,BX51,BS51,BN51,BI51)*(1+'CAGR-Based Elements'!$B$8)</f>
        <v>15195.43703079017</v>
      </c>
      <c r="CI51" s="227">
        <f>AVERAGE(CD51,BY51,BT51,BO51,BJ51)*(1+'CAGR-Based Elements'!$B$8)</f>
        <v>37622.501936627545</v>
      </c>
      <c r="CJ51" s="227">
        <f>AVERAGE(CE51,BZ51,BU51,BP51,BK51)*(1+'CAGR-Based Elements'!$B$8)</f>
        <v>18238.978762907042</v>
      </c>
      <c r="CK51" s="227">
        <f>AVERAGE(CF51,CA51,BV51,BQ51,BL51)*(1+'CAGR-Based Elements'!$B$8)</f>
        <v>17486.993248913863</v>
      </c>
      <c r="CL51" s="227">
        <f>AVERAGE(CG51,CB51,BW51,BR51,BM51)*(1+'CAGR-Based Elements'!$B$8)</f>
        <v>17635.937239608164</v>
      </c>
      <c r="CM51" s="227">
        <f>AVERAGE(CH51,CC51,BX51,BS51,BN51)*(1+'CAGR-Based Elements'!$B$8)</f>
        <v>16217.942011128272</v>
      </c>
      <c r="CN51" s="227">
        <f>AVERAGE(CI51,CD51,BY51,BT51,BO51)*(1+'CAGR-Based Elements'!$B$8)</f>
        <v>36567.00210954147</v>
      </c>
      <c r="CO51" s="227">
        <f>AVERAGE(CJ51,CE51,BZ51,BU51,BP51)*(1+'CAGR-Based Elements'!$B$8)</f>
        <v>19057.182569026136</v>
      </c>
      <c r="CP51" s="227">
        <f>AVERAGE(CK51,CF51,CA51,BV51,BQ51)*(1+'CAGR-Based Elements'!$B$8)</f>
        <v>18271.462852164819</v>
      </c>
      <c r="CQ51" s="227">
        <f>AVERAGE(CL51,CG51,CB51,BW51,BR51)*(1+'CAGR-Based Elements'!$B$8)</f>
        <v>18427.088496567299</v>
      </c>
      <c r="CR51" s="227">
        <f>AVERAGE(CM51,CH51,CC51,BX51,BS51)*(1+'CAGR-Based Elements'!$B$8)</f>
        <v>16945.481751889994</v>
      </c>
      <c r="CS51" s="227">
        <f>AVERAGE(CN51,CI51,CD51,BY51,BT51)*(1+'CAGR-Based Elements'!$B$8)</f>
        <v>31288.480133063673</v>
      </c>
      <c r="CT51" s="227">
        <f>AVERAGE(CO51,CJ51,CE51,BZ51,BU51)*(1+'CAGR-Based Elements'!$B$8)</f>
        <v>19698.363998969795</v>
      </c>
      <c r="CU51" s="227">
        <f>AVERAGE(CP51,CK51,CF51,CA51,BV51)*(1+'CAGR-Based Elements'!$B$8)</f>
        <v>18886.208638236811</v>
      </c>
      <c r="CV51" s="227">
        <f>AVERAGE(CQ51,CL51,CG51,CB51,BW51)*(1+'CAGR-Based Elements'!$B$8)</f>
        <v>19047.070328043825</v>
      </c>
      <c r="CW51" s="227">
        <f>AVERAGE(CR51,CM51,CH51,CC51,BX51)*(1+'CAGR-Based Elements'!$B$8)</f>
        <v>17515.614728336375</v>
      </c>
      <c r="CX51" s="227">
        <f>AVERAGE(CS51,CN51,CI51,CD51,BY51)*(1+'CAGR-Based Elements'!$B$8)</f>
        <v>34726.368087192037</v>
      </c>
    </row>
    <row r="52" spans="1:104" x14ac:dyDescent="0.2">
      <c r="B52" s="63" t="s">
        <v>50</v>
      </c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94">
        <v>7411</v>
      </c>
      <c r="AB52" s="194"/>
      <c r="AC52" s="194"/>
      <c r="AD52" s="194"/>
      <c r="AE52" s="194"/>
      <c r="AF52" s="194">
        <v>8299</v>
      </c>
      <c r="AG52" s="194"/>
      <c r="AH52" s="194"/>
      <c r="AI52" s="194"/>
      <c r="AJ52" s="194"/>
      <c r="AK52" s="194">
        <v>10243</v>
      </c>
      <c r="AL52" s="194"/>
      <c r="AM52" s="194"/>
      <c r="AN52" s="194"/>
      <c r="AO52" s="194"/>
      <c r="AP52" s="194">
        <v>11461</v>
      </c>
      <c r="AQ52" s="194"/>
      <c r="AR52" s="194"/>
      <c r="AS52" s="194"/>
      <c r="AT52" s="194"/>
      <c r="AU52" s="194">
        <v>16047</v>
      </c>
      <c r="AV52" s="110"/>
      <c r="AW52" s="110"/>
      <c r="AX52" s="110"/>
      <c r="AY52" s="110"/>
      <c r="AZ52" s="194">
        <v>17174</v>
      </c>
      <c r="BA52" s="194"/>
      <c r="BB52" s="194"/>
      <c r="BC52" s="194"/>
      <c r="BD52" s="194"/>
      <c r="BE52" s="194">
        <v>20497</v>
      </c>
      <c r="BF52" s="194"/>
      <c r="BG52" s="194"/>
      <c r="BH52" s="194"/>
      <c r="BI52" s="194"/>
      <c r="BJ52" s="194">
        <v>23795</v>
      </c>
      <c r="BK52" s="194"/>
      <c r="BL52" s="194"/>
      <c r="BM52" s="194"/>
      <c r="BN52" s="194"/>
      <c r="BO52" s="194">
        <v>32640</v>
      </c>
      <c r="BP52" s="194"/>
      <c r="BQ52" s="194"/>
      <c r="BR52" s="194"/>
      <c r="BS52" s="194"/>
      <c r="BT52" s="194">
        <v>34405</v>
      </c>
      <c r="BU52" s="194">
        <v>34170</v>
      </c>
      <c r="BV52" s="194">
        <v>36587</v>
      </c>
      <c r="BW52" s="194">
        <v>35406</v>
      </c>
      <c r="BX52" s="319">
        <v>33318</v>
      </c>
      <c r="BY52" s="194">
        <f t="shared" si="46"/>
        <v>33318</v>
      </c>
      <c r="BZ52" s="227"/>
      <c r="CA52" s="227"/>
      <c r="CB52" s="227"/>
      <c r="CC52" s="227"/>
      <c r="CD52" s="227">
        <f>(CD$156*CD$10)/365</f>
        <v>42720.857765478584</v>
      </c>
      <c r="CE52" s="227"/>
      <c r="CF52" s="227"/>
      <c r="CG52" s="227"/>
      <c r="CH52" s="227"/>
      <c r="CI52" s="227">
        <f>(CI$156*CI$10)/365</f>
        <v>52376.158363823684</v>
      </c>
      <c r="CJ52" s="227"/>
      <c r="CK52" s="227"/>
      <c r="CL52" s="227"/>
      <c r="CM52" s="227"/>
      <c r="CN52" s="227">
        <f>(CN$156*CN$10)/365</f>
        <v>66668.406078557047</v>
      </c>
      <c r="CO52" s="227"/>
      <c r="CP52" s="227"/>
      <c r="CQ52" s="227"/>
      <c r="CR52" s="227"/>
      <c r="CS52" s="227">
        <f>(CS$156*CS$10)/365</f>
        <v>84225.324561311485</v>
      </c>
      <c r="CT52" s="227"/>
      <c r="CU52" s="227"/>
      <c r="CV52" s="227"/>
      <c r="CW52" s="227"/>
      <c r="CX52" s="227">
        <f>(CX$156*CX$10)/365</f>
        <v>104653.21715927044</v>
      </c>
    </row>
    <row r="53" spans="1:104" x14ac:dyDescent="0.2">
      <c r="B53" s="63" t="s">
        <v>51</v>
      </c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94">
        <v>4767</v>
      </c>
      <c r="AB53" s="194"/>
      <c r="AC53" s="194"/>
      <c r="AD53" s="194"/>
      <c r="AE53" s="194"/>
      <c r="AF53" s="194">
        <v>5612</v>
      </c>
      <c r="AG53" s="194"/>
      <c r="AH53" s="194"/>
      <c r="AI53" s="194"/>
      <c r="AJ53" s="194"/>
      <c r="AK53" s="194">
        <v>5654</v>
      </c>
      <c r="AL53" s="194"/>
      <c r="AM53" s="194"/>
      <c r="AN53" s="194"/>
      <c r="AO53" s="194"/>
      <c r="AP53" s="194">
        <v>8339</v>
      </c>
      <c r="AQ53" s="194"/>
      <c r="AR53" s="194"/>
      <c r="AS53" s="194"/>
      <c r="AT53" s="194"/>
      <c r="AU53" s="194">
        <v>13164</v>
      </c>
      <c r="AV53" s="110"/>
      <c r="AW53" s="110"/>
      <c r="AX53" s="110"/>
      <c r="AY53" s="110"/>
      <c r="AZ53" s="194">
        <v>16677</v>
      </c>
      <c r="BA53" s="194"/>
      <c r="BB53" s="194"/>
      <c r="BC53" s="194"/>
      <c r="BD53" s="194"/>
      <c r="BE53" s="194">
        <v>20816</v>
      </c>
      <c r="BF53" s="194"/>
      <c r="BG53" s="194"/>
      <c r="BH53" s="194"/>
      <c r="BI53" s="194"/>
      <c r="BJ53" s="194">
        <v>24542</v>
      </c>
      <c r="BK53" s="194"/>
      <c r="BL53" s="194"/>
      <c r="BM53" s="194"/>
      <c r="BN53" s="194"/>
      <c r="BO53" s="194">
        <v>32891</v>
      </c>
      <c r="BP53" s="194"/>
      <c r="BQ53" s="194"/>
      <c r="BR53" s="194"/>
      <c r="BS53" s="194"/>
      <c r="BT53" s="194">
        <v>42360</v>
      </c>
      <c r="BU53" s="194">
        <v>37646</v>
      </c>
      <c r="BV53" s="194">
        <v>39925</v>
      </c>
      <c r="BW53" s="194">
        <v>43420</v>
      </c>
      <c r="BX53" s="319">
        <v>52253</v>
      </c>
      <c r="BY53" s="194">
        <f t="shared" si="46"/>
        <v>52253</v>
      </c>
      <c r="BZ53" s="227"/>
      <c r="CA53" s="227"/>
      <c r="CB53" s="227"/>
      <c r="CC53" s="227"/>
      <c r="CD53" s="227">
        <f>(CD$155*CD$9)/365</f>
        <v>43180.689400828735</v>
      </c>
      <c r="CE53" s="227"/>
      <c r="CF53" s="227"/>
      <c r="CG53" s="227"/>
      <c r="CH53" s="227"/>
      <c r="CI53" s="227">
        <f>(CI$155*CI$9)/365</f>
        <v>56248.761898262266</v>
      </c>
      <c r="CJ53" s="227"/>
      <c r="CK53" s="227"/>
      <c r="CL53" s="227"/>
      <c r="CM53" s="227"/>
      <c r="CN53" s="227">
        <f>(CN$155*CN$9)/365</f>
        <v>68472.556873639027</v>
      </c>
      <c r="CO53" s="227"/>
      <c r="CP53" s="227"/>
      <c r="CQ53" s="227"/>
      <c r="CR53" s="227"/>
      <c r="CS53" s="227">
        <f>(CS$155*CS$9)/365</f>
        <v>76016.284779324807</v>
      </c>
      <c r="CT53" s="227"/>
      <c r="CU53" s="227"/>
      <c r="CV53" s="227"/>
      <c r="CW53" s="227"/>
      <c r="CX53" s="227">
        <f>(CX$155*CX$9)/365</f>
        <v>91743.656702295266</v>
      </c>
    </row>
    <row r="54" spans="1:104" x14ac:dyDescent="0.2">
      <c r="A54" s="111"/>
      <c r="B54" s="111" t="s">
        <v>52</v>
      </c>
      <c r="C54" s="112">
        <f t="shared" ref="C54:AH54" si="47">SUM(C50:C53)</f>
        <v>0</v>
      </c>
      <c r="D54" s="112">
        <f t="shared" si="47"/>
        <v>0</v>
      </c>
      <c r="E54" s="112">
        <f t="shared" si="47"/>
        <v>0</v>
      </c>
      <c r="F54" s="112">
        <f t="shared" si="47"/>
        <v>0</v>
      </c>
      <c r="G54" s="112">
        <f t="shared" si="47"/>
        <v>0</v>
      </c>
      <c r="H54" s="112">
        <f t="shared" si="47"/>
        <v>0</v>
      </c>
      <c r="I54" s="112">
        <f t="shared" si="47"/>
        <v>0</v>
      </c>
      <c r="J54" s="112">
        <f t="shared" si="47"/>
        <v>0</v>
      </c>
      <c r="K54" s="112">
        <f t="shared" si="47"/>
        <v>0</v>
      </c>
      <c r="L54" s="112">
        <f t="shared" si="47"/>
        <v>0</v>
      </c>
      <c r="M54" s="112">
        <f t="shared" si="47"/>
        <v>0</v>
      </c>
      <c r="N54" s="112">
        <f t="shared" si="47"/>
        <v>0</v>
      </c>
      <c r="O54" s="112">
        <f t="shared" si="47"/>
        <v>0</v>
      </c>
      <c r="P54" s="112">
        <f t="shared" si="47"/>
        <v>0</v>
      </c>
      <c r="Q54" s="112">
        <f t="shared" si="47"/>
        <v>0</v>
      </c>
      <c r="R54" s="112">
        <f t="shared" si="47"/>
        <v>0</v>
      </c>
      <c r="S54" s="112">
        <f t="shared" si="47"/>
        <v>0</v>
      </c>
      <c r="T54" s="112">
        <f t="shared" si="47"/>
        <v>0</v>
      </c>
      <c r="U54" s="112">
        <f t="shared" si="47"/>
        <v>0</v>
      </c>
      <c r="V54" s="112">
        <f t="shared" si="47"/>
        <v>0</v>
      </c>
      <c r="W54" s="112">
        <f t="shared" si="47"/>
        <v>0</v>
      </c>
      <c r="X54" s="112">
        <f t="shared" si="47"/>
        <v>0</v>
      </c>
      <c r="Y54" s="112">
        <f t="shared" si="47"/>
        <v>0</v>
      </c>
      <c r="Z54" s="112">
        <f t="shared" si="47"/>
        <v>0</v>
      </c>
      <c r="AA54" s="195">
        <f t="shared" si="47"/>
        <v>24625</v>
      </c>
      <c r="AB54" s="195">
        <f t="shared" si="47"/>
        <v>0</v>
      </c>
      <c r="AC54" s="195">
        <f t="shared" si="47"/>
        <v>0</v>
      </c>
      <c r="AD54" s="195">
        <f t="shared" si="47"/>
        <v>0</v>
      </c>
      <c r="AE54" s="195">
        <f t="shared" si="47"/>
        <v>0</v>
      </c>
      <c r="AF54" s="195">
        <f t="shared" si="47"/>
        <v>31327</v>
      </c>
      <c r="AG54" s="195">
        <f t="shared" si="47"/>
        <v>0</v>
      </c>
      <c r="AH54" s="195">
        <f t="shared" si="47"/>
        <v>0</v>
      </c>
      <c r="AI54" s="195">
        <f t="shared" ref="AI54:BN54" si="48">SUM(AI50:AI53)</f>
        <v>0</v>
      </c>
      <c r="AJ54" s="195">
        <f t="shared" si="48"/>
        <v>0</v>
      </c>
      <c r="AK54" s="195">
        <f t="shared" si="48"/>
        <v>35705</v>
      </c>
      <c r="AL54" s="195">
        <f t="shared" si="48"/>
        <v>0</v>
      </c>
      <c r="AM54" s="195">
        <f t="shared" si="48"/>
        <v>0</v>
      </c>
      <c r="AN54" s="195">
        <f t="shared" si="48"/>
        <v>0</v>
      </c>
      <c r="AO54" s="195">
        <f t="shared" si="48"/>
        <v>0</v>
      </c>
      <c r="AP54" s="195">
        <f t="shared" si="48"/>
        <v>45781</v>
      </c>
      <c r="AQ54" s="195">
        <f t="shared" si="48"/>
        <v>0</v>
      </c>
      <c r="AR54" s="195">
        <f t="shared" si="48"/>
        <v>0</v>
      </c>
      <c r="AS54" s="195">
        <f t="shared" si="48"/>
        <v>0</v>
      </c>
      <c r="AT54" s="195">
        <f t="shared" si="48"/>
        <v>0</v>
      </c>
      <c r="AU54" s="195">
        <f t="shared" si="48"/>
        <v>60197</v>
      </c>
      <c r="AV54" s="113">
        <f t="shared" si="48"/>
        <v>0</v>
      </c>
      <c r="AW54" s="113">
        <f t="shared" si="48"/>
        <v>0</v>
      </c>
      <c r="AX54" s="113">
        <f t="shared" si="48"/>
        <v>0</v>
      </c>
      <c r="AY54" s="113">
        <f t="shared" si="48"/>
        <v>0</v>
      </c>
      <c r="AZ54" s="195">
        <f t="shared" si="48"/>
        <v>75101</v>
      </c>
      <c r="BA54" s="195">
        <f t="shared" si="48"/>
        <v>0</v>
      </c>
      <c r="BB54" s="195">
        <f t="shared" si="48"/>
        <v>0</v>
      </c>
      <c r="BC54" s="195">
        <f t="shared" si="48"/>
        <v>0</v>
      </c>
      <c r="BD54" s="195">
        <f t="shared" si="48"/>
        <v>0</v>
      </c>
      <c r="BE54" s="195">
        <f t="shared" si="48"/>
        <v>96334</v>
      </c>
      <c r="BF54" s="195">
        <f t="shared" si="48"/>
        <v>0</v>
      </c>
      <c r="BG54" s="195">
        <f t="shared" si="48"/>
        <v>0</v>
      </c>
      <c r="BH54" s="195">
        <f t="shared" si="48"/>
        <v>0</v>
      </c>
      <c r="BI54" s="195">
        <f t="shared" si="48"/>
        <v>0</v>
      </c>
      <c r="BJ54" s="195">
        <f t="shared" si="48"/>
        <v>132733</v>
      </c>
      <c r="BK54" s="195">
        <f t="shared" si="48"/>
        <v>0</v>
      </c>
      <c r="BL54" s="195">
        <f t="shared" si="48"/>
        <v>0</v>
      </c>
      <c r="BM54" s="195">
        <f t="shared" si="48"/>
        <v>0</v>
      </c>
      <c r="BN54" s="195">
        <f t="shared" si="48"/>
        <v>0</v>
      </c>
      <c r="BO54" s="195">
        <f t="shared" ref="BO54:CS54" si="49">SUM(BO50:BO53)</f>
        <v>161580</v>
      </c>
      <c r="BP54" s="195">
        <f t="shared" si="49"/>
        <v>0</v>
      </c>
      <c r="BQ54" s="195">
        <f t="shared" si="49"/>
        <v>0</v>
      </c>
      <c r="BR54" s="195">
        <f t="shared" si="49"/>
        <v>0</v>
      </c>
      <c r="BS54" s="195">
        <f t="shared" si="49"/>
        <v>0</v>
      </c>
      <c r="BT54" s="195">
        <f t="shared" si="49"/>
        <v>146791</v>
      </c>
      <c r="BU54" s="195">
        <f t="shared" si="49"/>
        <v>136221</v>
      </c>
      <c r="BV54" s="195">
        <f t="shared" si="49"/>
        <v>140482</v>
      </c>
      <c r="BW54" s="195">
        <f t="shared" si="49"/>
        <v>142995</v>
      </c>
      <c r="BX54" s="195">
        <f t="shared" si="49"/>
        <v>172351</v>
      </c>
      <c r="BY54" s="195">
        <f t="shared" si="49"/>
        <v>172351</v>
      </c>
      <c r="BZ54" s="195">
        <f t="shared" si="49"/>
        <v>0</v>
      </c>
      <c r="CA54" s="195">
        <f t="shared" si="49"/>
        <v>0</v>
      </c>
      <c r="CB54" s="195">
        <f t="shared" si="49"/>
        <v>0</v>
      </c>
      <c r="CC54" s="195">
        <f t="shared" si="49"/>
        <v>0</v>
      </c>
      <c r="CD54" s="195">
        <f t="shared" si="49"/>
        <v>239278.35106050549</v>
      </c>
      <c r="CE54" s="195"/>
      <c r="CF54" s="195"/>
      <c r="CG54" s="195"/>
      <c r="CH54" s="195"/>
      <c r="CI54" s="195">
        <f t="shared" si="49"/>
        <v>292155.35597831057</v>
      </c>
      <c r="CJ54" s="195"/>
      <c r="CK54" s="195"/>
      <c r="CL54" s="195"/>
      <c r="CM54" s="195"/>
      <c r="CN54" s="195">
        <f t="shared" si="49"/>
        <v>362038.3126010003</v>
      </c>
      <c r="CO54" s="195"/>
      <c r="CP54" s="195"/>
      <c r="CQ54" s="195"/>
      <c r="CR54" s="195"/>
      <c r="CS54" s="195">
        <f t="shared" si="49"/>
        <v>440618.68559402577</v>
      </c>
      <c r="CT54" s="195"/>
      <c r="CU54" s="195"/>
      <c r="CV54" s="195"/>
      <c r="CW54" s="195"/>
      <c r="CX54" s="195">
        <f t="shared" ref="CX54" si="50">SUM(CX50:CX53)</f>
        <v>544460.99985711335</v>
      </c>
      <c r="CZ54" s="201"/>
    </row>
    <row r="55" spans="1:104" x14ac:dyDescent="0.2">
      <c r="B55" s="63" t="s">
        <v>53</v>
      </c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94">
        <v>10949</v>
      </c>
      <c r="AB55" s="194"/>
      <c r="AC55" s="194"/>
      <c r="AD55" s="194"/>
      <c r="AE55" s="194"/>
      <c r="AF55" s="194">
        <v>16967</v>
      </c>
      <c r="AG55" s="194"/>
      <c r="AH55" s="194"/>
      <c r="AI55" s="194"/>
      <c r="AJ55" s="194"/>
      <c r="AK55" s="194">
        <v>21838</v>
      </c>
      <c r="AL55" s="194"/>
      <c r="AM55" s="194"/>
      <c r="AN55" s="194"/>
      <c r="AO55" s="194"/>
      <c r="AP55" s="194">
        <v>29114</v>
      </c>
      <c r="AQ55" s="194"/>
      <c r="AR55" s="194"/>
      <c r="AS55" s="194"/>
      <c r="AT55" s="194"/>
      <c r="AU55" s="194">
        <v>48866</v>
      </c>
      <c r="AV55" s="110"/>
      <c r="AW55" s="110"/>
      <c r="AX55" s="110"/>
      <c r="AY55" s="110"/>
      <c r="AZ55" s="194">
        <v>61797</v>
      </c>
      <c r="BA55" s="194"/>
      <c r="BB55" s="194"/>
      <c r="BC55" s="194"/>
      <c r="BD55" s="194"/>
      <c r="BE55" s="194">
        <v>72705</v>
      </c>
      <c r="BF55" s="194"/>
      <c r="BG55" s="194"/>
      <c r="BH55" s="194"/>
      <c r="BI55" s="194"/>
      <c r="BJ55" s="194">
        <v>113114</v>
      </c>
      <c r="BK55" s="194"/>
      <c r="BL55" s="194"/>
      <c r="BM55" s="194"/>
      <c r="BN55" s="194"/>
      <c r="BO55" s="194">
        <v>160281</v>
      </c>
      <c r="BP55" s="194"/>
      <c r="BQ55" s="194"/>
      <c r="BR55" s="194"/>
      <c r="BS55" s="194"/>
      <c r="BT55" s="194">
        <v>186715</v>
      </c>
      <c r="BU55" s="194">
        <v>190754</v>
      </c>
      <c r="BV55" s="194">
        <v>193784</v>
      </c>
      <c r="BW55" s="194">
        <v>196468</v>
      </c>
      <c r="BX55" s="319">
        <v>204177</v>
      </c>
      <c r="BY55" s="194">
        <f>BX55</f>
        <v>204177</v>
      </c>
      <c r="BZ55" s="227"/>
      <c r="CA55" s="227"/>
      <c r="CB55" s="227"/>
      <c r="CC55" s="227"/>
      <c r="CD55" s="227">
        <f>(AVERAGE(BY55,BT55,BO55,BJ55,BE55))*(1+'CAGR-Based Elements'!$B$2)</f>
        <v>197494.95477302736</v>
      </c>
      <c r="CE55" s="227"/>
      <c r="CF55" s="227"/>
      <c r="CG55" s="227"/>
      <c r="CH55" s="227"/>
      <c r="CI55" s="227">
        <f>(AVERAGE(CD55,BY55,BT55,BO55,BJ55))*(1+'CAGR-Based Elements'!$B$2)</f>
        <v>230935.46223311807</v>
      </c>
      <c r="CJ55" s="227"/>
      <c r="CK55" s="227"/>
      <c r="CL55" s="227"/>
      <c r="CM55" s="227"/>
      <c r="CN55" s="227">
        <f>(AVERAGE(CI55,CD55,BY55,BT55,BO55))*(1+'CAGR-Based Elements'!$B$2)</f>
        <v>262508.59240959439</v>
      </c>
      <c r="CO55" s="227"/>
      <c r="CP55" s="227"/>
      <c r="CQ55" s="227"/>
      <c r="CR55" s="227"/>
      <c r="CS55" s="227">
        <f>(AVERAGE(CN55,CI55,CD55,BY55,BT55))*(1+'CAGR-Based Elements'!$B$2)</f>
        <v>289902.96540073713</v>
      </c>
      <c r="CT55" s="227"/>
      <c r="CU55" s="227"/>
      <c r="CV55" s="227"/>
      <c r="CW55" s="227"/>
      <c r="CX55" s="227">
        <f>(AVERAGE(CS55,CN55,CI55,CD55,BY55))*(1+'CAGR-Based Elements'!$B$2)</f>
        <v>317554.6937233503</v>
      </c>
    </row>
    <row r="56" spans="1:104" x14ac:dyDescent="0.2">
      <c r="B56" s="63" t="s">
        <v>54</v>
      </c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94">
        <v>0</v>
      </c>
      <c r="AB56" s="194"/>
      <c r="AC56" s="194"/>
      <c r="AD56" s="194"/>
      <c r="AE56" s="194"/>
      <c r="AF56" s="194">
        <v>0</v>
      </c>
      <c r="AG56" s="194"/>
      <c r="AH56" s="194"/>
      <c r="AI56" s="194"/>
      <c r="AJ56" s="194"/>
      <c r="AK56" s="194">
        <v>0</v>
      </c>
      <c r="AL56" s="194"/>
      <c r="AM56" s="194"/>
      <c r="AN56" s="194"/>
      <c r="AO56" s="194"/>
      <c r="AP56" s="194">
        <v>0</v>
      </c>
      <c r="AQ56" s="194"/>
      <c r="AR56" s="194"/>
      <c r="AS56" s="194"/>
      <c r="AT56" s="194"/>
      <c r="AU56" s="194">
        <v>0</v>
      </c>
      <c r="AV56" s="110"/>
      <c r="AW56" s="110"/>
      <c r="AX56" s="110"/>
      <c r="AY56" s="110"/>
      <c r="AZ56" s="194">
        <v>0</v>
      </c>
      <c r="BA56" s="194"/>
      <c r="BB56" s="194"/>
      <c r="BC56" s="194"/>
      <c r="BD56" s="194"/>
      <c r="BE56" s="194">
        <v>25141</v>
      </c>
      <c r="BF56" s="194"/>
      <c r="BG56" s="194"/>
      <c r="BH56" s="194"/>
      <c r="BI56" s="194"/>
      <c r="BJ56" s="194">
        <v>37553</v>
      </c>
      <c r="BK56" s="194"/>
      <c r="BL56" s="194"/>
      <c r="BM56" s="194"/>
      <c r="BN56" s="194"/>
      <c r="BO56" s="194">
        <v>56082</v>
      </c>
      <c r="BP56" s="194"/>
      <c r="BQ56" s="194"/>
      <c r="BR56" s="194"/>
      <c r="BS56" s="194"/>
      <c r="BT56" s="194">
        <v>66123</v>
      </c>
      <c r="BU56" s="194">
        <v>68262</v>
      </c>
      <c r="BV56" s="194">
        <v>70332</v>
      </c>
      <c r="BW56" s="194">
        <v>70758</v>
      </c>
      <c r="BX56" s="319">
        <v>72513</v>
      </c>
      <c r="BY56" s="194">
        <f t="shared" ref="BY56:BY58" si="51">BX56</f>
        <v>72513</v>
      </c>
      <c r="BZ56" s="227"/>
      <c r="CA56" s="227"/>
      <c r="CB56" s="227"/>
      <c r="CC56" s="227"/>
      <c r="CD56" s="227">
        <f>AVERAGE(BY56,BT56,BO56,BJ56,BE56)*(1+'CAGR-Based Elements'!$B$3)</f>
        <v>67091.440386859613</v>
      </c>
      <c r="CE56" s="227"/>
      <c r="CF56" s="227"/>
      <c r="CG56" s="227"/>
      <c r="CH56" s="227"/>
      <c r="CI56" s="227">
        <f>AVERAGE(CD56,BY56,BT56,BO56,BJ56)*(1+'CAGR-Based Elements'!$B$3)</f>
        <v>78025.334185196523</v>
      </c>
      <c r="CJ56" s="227"/>
      <c r="CK56" s="227"/>
      <c r="CL56" s="227"/>
      <c r="CM56" s="227"/>
      <c r="CN56" s="227">
        <f>AVERAGE(CI56,CD56,BY56,BT56,BO56)*(1+'CAGR-Based Elements'!$B$3)</f>
        <v>88573.976813757632</v>
      </c>
      <c r="CO56" s="227"/>
      <c r="CP56" s="227"/>
      <c r="CQ56" s="227"/>
      <c r="CR56" s="227"/>
      <c r="CS56" s="227">
        <f>AVERAGE(CN56,CI56,CD56,BY56,BT56)*(1+'CAGR-Based Elements'!$B$3)</f>
        <v>97042.632220076877</v>
      </c>
      <c r="CT56" s="227"/>
      <c r="CU56" s="227"/>
      <c r="CV56" s="227"/>
      <c r="CW56" s="227"/>
      <c r="CX56" s="227">
        <f>AVERAGE(CS56,CN56,CI56,CD56,BY56)*(1+'CAGR-Based Elements'!$B$3)</f>
        <v>105101.4743170922</v>
      </c>
    </row>
    <row r="57" spans="1:104" x14ac:dyDescent="0.2">
      <c r="B57" s="63" t="s">
        <v>55</v>
      </c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94">
        <v>2655</v>
      </c>
      <c r="AB57" s="194"/>
      <c r="AC57" s="194"/>
      <c r="AD57" s="194"/>
      <c r="AE57" s="194"/>
      <c r="AF57" s="194">
        <v>3319</v>
      </c>
      <c r="AG57" s="194"/>
      <c r="AH57" s="194"/>
      <c r="AI57" s="194"/>
      <c r="AJ57" s="194"/>
      <c r="AK57" s="194">
        <v>3759</v>
      </c>
      <c r="AL57" s="194"/>
      <c r="AM57" s="194"/>
      <c r="AN57" s="194"/>
      <c r="AO57" s="194"/>
      <c r="AP57" s="194">
        <v>3784</v>
      </c>
      <c r="AQ57" s="194"/>
      <c r="AR57" s="194"/>
      <c r="AS57" s="194"/>
      <c r="AT57" s="194"/>
      <c r="AU57" s="194">
        <v>13350</v>
      </c>
      <c r="AV57" s="110"/>
      <c r="AW57" s="110"/>
      <c r="AX57" s="110"/>
      <c r="AY57" s="110"/>
      <c r="AZ57" s="194">
        <v>14548</v>
      </c>
      <c r="BA57" s="194"/>
      <c r="BB57" s="194"/>
      <c r="BC57" s="194"/>
      <c r="BD57" s="194"/>
      <c r="BE57" s="194">
        <v>14754</v>
      </c>
      <c r="BF57" s="194"/>
      <c r="BG57" s="194"/>
      <c r="BH57" s="194"/>
      <c r="BI57" s="194"/>
      <c r="BJ57" s="194">
        <v>15017</v>
      </c>
      <c r="BK57" s="194"/>
      <c r="BL57" s="194"/>
      <c r="BM57" s="194"/>
      <c r="BN57" s="194"/>
      <c r="BO57" s="194">
        <v>15371</v>
      </c>
      <c r="BP57" s="194"/>
      <c r="BQ57" s="194"/>
      <c r="BR57" s="194"/>
      <c r="BS57" s="194"/>
      <c r="BT57" s="194">
        <v>20288</v>
      </c>
      <c r="BU57" s="194">
        <v>22749</v>
      </c>
      <c r="BV57" s="194">
        <v>22785</v>
      </c>
      <c r="BW57" s="194">
        <v>22749</v>
      </c>
      <c r="BX57" s="319">
        <v>22789</v>
      </c>
      <c r="BY57" s="194">
        <f t="shared" si="51"/>
        <v>22789</v>
      </c>
      <c r="BZ57" s="227"/>
      <c r="CA57" s="227"/>
      <c r="CB57" s="227"/>
      <c r="CC57" s="227"/>
      <c r="CD57" s="227">
        <f>AVERAGE(BY57,BT57,BO57,BJ57,BE57)*(1+'CAGR-Based Elements'!$B$4)</f>
        <v>21875.510688933857</v>
      </c>
      <c r="CE57" s="227"/>
      <c r="CF57" s="227"/>
      <c r="CG57" s="227"/>
      <c r="CH57" s="227"/>
      <c r="CI57" s="227">
        <f>AVERAGE(CD57,BY57,BT57,BO57,BJ57)*(1+'CAGR-Based Elements'!$B$4)</f>
        <v>23641.419202940247</v>
      </c>
      <c r="CJ57" s="227"/>
      <c r="CK57" s="227"/>
      <c r="CL57" s="227"/>
      <c r="CM57" s="227"/>
      <c r="CN57" s="227">
        <f>AVERAGE(CI57,CD57,BY57,BT57,BO57)*(1+'CAGR-Based Elements'!$B$4)</f>
        <v>25780.001304979101</v>
      </c>
      <c r="CO57" s="227"/>
      <c r="CP57" s="227"/>
      <c r="CQ57" s="227"/>
      <c r="CR57" s="227"/>
      <c r="CS57" s="227">
        <f>AVERAGE(CN57,CI57,CD57,BY57,BT57)*(1+'CAGR-Based Elements'!$B$4)</f>
        <v>28361.103100603585</v>
      </c>
      <c r="CT57" s="227"/>
      <c r="CU57" s="227"/>
      <c r="CV57" s="227"/>
      <c r="CW57" s="227"/>
      <c r="CX57" s="227">
        <f>AVERAGE(CS57,CN57,CI57,CD57,BY57)*(1+'CAGR-Based Elements'!$B$4)</f>
        <v>30362.976315785341</v>
      </c>
    </row>
    <row r="58" spans="1:104" x14ac:dyDescent="0.2">
      <c r="B58" s="63" t="s">
        <v>56</v>
      </c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94">
        <v>1930</v>
      </c>
      <c r="AB58" s="194"/>
      <c r="AC58" s="194"/>
      <c r="AD58" s="194"/>
      <c r="AE58" s="194"/>
      <c r="AF58" s="194">
        <v>2892</v>
      </c>
      <c r="AG58" s="194"/>
      <c r="AH58" s="194"/>
      <c r="AI58" s="194"/>
      <c r="AJ58" s="194"/>
      <c r="AK58" s="194">
        <v>3445</v>
      </c>
      <c r="AL58" s="194"/>
      <c r="AM58" s="194"/>
      <c r="AN58" s="194"/>
      <c r="AO58" s="194"/>
      <c r="AP58" s="194">
        <v>4723</v>
      </c>
      <c r="AQ58" s="194"/>
      <c r="AR58" s="194"/>
      <c r="AS58" s="194"/>
      <c r="AT58" s="194"/>
      <c r="AU58" s="194">
        <v>8897</v>
      </c>
      <c r="AV58" s="110"/>
      <c r="AW58" s="110"/>
      <c r="AX58" s="110"/>
      <c r="AY58" s="110"/>
      <c r="AZ58" s="194">
        <v>11202</v>
      </c>
      <c r="BA58" s="194"/>
      <c r="BB58" s="194"/>
      <c r="BC58" s="194"/>
      <c r="BD58" s="194"/>
      <c r="BE58" s="194">
        <v>16314</v>
      </c>
      <c r="BF58" s="194"/>
      <c r="BG58" s="194"/>
      <c r="BH58" s="194"/>
      <c r="BI58" s="194"/>
      <c r="BJ58" s="194">
        <v>22778</v>
      </c>
      <c r="BK58" s="194"/>
      <c r="BL58" s="194"/>
      <c r="BM58" s="194"/>
      <c r="BN58" s="194"/>
      <c r="BO58" s="194">
        <v>27235</v>
      </c>
      <c r="BP58" s="194"/>
      <c r="BQ58" s="194"/>
      <c r="BR58" s="194"/>
      <c r="BS58" s="194"/>
      <c r="BT58" s="194">
        <v>42758</v>
      </c>
      <c r="BU58" s="194">
        <v>46392</v>
      </c>
      <c r="BV58" s="194">
        <v>50224</v>
      </c>
      <c r="BW58" s="194">
        <v>53913</v>
      </c>
      <c r="BX58" s="319">
        <v>56024</v>
      </c>
      <c r="BY58" s="194">
        <f t="shared" si="51"/>
        <v>56024</v>
      </c>
      <c r="BZ58" s="227"/>
      <c r="CA58" s="227"/>
      <c r="CB58" s="227"/>
      <c r="CC58" s="227"/>
      <c r="CD58" s="227">
        <f>AVERAGE(BY58,BT58,BO58,BJ58,BE58)*(1+'CAGR-Based Elements'!$B$5)</f>
        <v>46246.878332481392</v>
      </c>
      <c r="CE58" s="227"/>
      <c r="CF58" s="227"/>
      <c r="CG58" s="227"/>
      <c r="CH58" s="227"/>
      <c r="CI58" s="227">
        <f>AVERAGE(CD58,BY58,BT58,BO58,BJ58)*(1+'CAGR-Based Elements'!$B$5)+29</f>
        <v>54660.049894196593</v>
      </c>
      <c r="CJ58" s="227"/>
      <c r="CK58" s="227"/>
      <c r="CL58" s="227"/>
      <c r="CM58" s="227"/>
      <c r="CN58" s="227">
        <f>AVERAGE(CI58,CD58,BY58,BT58,BO58)*(1+'CAGR-Based Elements'!$B$5)+95</f>
        <v>63656.182609233394</v>
      </c>
      <c r="CO58" s="227"/>
      <c r="CP58" s="227"/>
      <c r="CQ58" s="227"/>
      <c r="CR58" s="227"/>
      <c r="CS58" s="227">
        <f>AVERAGE(CN58,CI58,CD58,BY58,BT58)*(1+'CAGR-Based Elements'!$B$5)+205</f>
        <v>73967.722203406345</v>
      </c>
      <c r="CT58" s="227"/>
      <c r="CU58" s="227"/>
      <c r="CV58" s="227"/>
      <c r="CW58" s="227"/>
      <c r="CX58" s="227">
        <f>AVERAGE(CS58,CN58,CI58,CD58,BY58)*(1+'CAGR-Based Elements'!$B$5)+372</f>
        <v>82876.536553511294</v>
      </c>
    </row>
    <row r="59" spans="1:104" x14ac:dyDescent="0.2">
      <c r="A59" s="111"/>
      <c r="B59" s="111" t="s">
        <v>57</v>
      </c>
      <c r="C59" s="112">
        <f>SUM(C55:C58)</f>
        <v>0</v>
      </c>
      <c r="D59" s="112">
        <f t="shared" ref="D59:BO59" si="52">SUM(D55:D58)</f>
        <v>0</v>
      </c>
      <c r="E59" s="112">
        <f t="shared" si="52"/>
        <v>0</v>
      </c>
      <c r="F59" s="112">
        <f t="shared" si="52"/>
        <v>0</v>
      </c>
      <c r="G59" s="112">
        <f t="shared" si="52"/>
        <v>0</v>
      </c>
      <c r="H59" s="112">
        <f t="shared" si="52"/>
        <v>0</v>
      </c>
      <c r="I59" s="112">
        <f t="shared" si="52"/>
        <v>0</v>
      </c>
      <c r="J59" s="112">
        <f t="shared" si="52"/>
        <v>0</v>
      </c>
      <c r="K59" s="112">
        <f t="shared" si="52"/>
        <v>0</v>
      </c>
      <c r="L59" s="112">
        <f t="shared" si="52"/>
        <v>0</v>
      </c>
      <c r="M59" s="112">
        <f t="shared" si="52"/>
        <v>0</v>
      </c>
      <c r="N59" s="112">
        <f t="shared" si="52"/>
        <v>0</v>
      </c>
      <c r="O59" s="112">
        <f t="shared" si="52"/>
        <v>0</v>
      </c>
      <c r="P59" s="112">
        <f t="shared" si="52"/>
        <v>0</v>
      </c>
      <c r="Q59" s="112">
        <f t="shared" si="52"/>
        <v>0</v>
      </c>
      <c r="R59" s="112">
        <f t="shared" si="52"/>
        <v>0</v>
      </c>
      <c r="S59" s="112">
        <f t="shared" si="52"/>
        <v>0</v>
      </c>
      <c r="T59" s="112">
        <f t="shared" si="52"/>
        <v>0</v>
      </c>
      <c r="U59" s="112">
        <f t="shared" si="52"/>
        <v>0</v>
      </c>
      <c r="V59" s="112">
        <f t="shared" si="52"/>
        <v>0</v>
      </c>
      <c r="W59" s="112">
        <f t="shared" si="52"/>
        <v>0</v>
      </c>
      <c r="X59" s="112">
        <f t="shared" si="52"/>
        <v>0</v>
      </c>
      <c r="Y59" s="112">
        <f t="shared" si="52"/>
        <v>0</v>
      </c>
      <c r="Z59" s="112">
        <f t="shared" si="52"/>
        <v>0</v>
      </c>
      <c r="AA59" s="195">
        <f t="shared" si="52"/>
        <v>15534</v>
      </c>
      <c r="AB59" s="195">
        <f>SUM(AB55:AB58)</f>
        <v>0</v>
      </c>
      <c r="AC59" s="195">
        <f t="shared" si="52"/>
        <v>0</v>
      </c>
      <c r="AD59" s="195">
        <f t="shared" si="52"/>
        <v>0</v>
      </c>
      <c r="AE59" s="195">
        <f t="shared" si="52"/>
        <v>0</v>
      </c>
      <c r="AF59" s="195">
        <f t="shared" si="52"/>
        <v>23178</v>
      </c>
      <c r="AG59" s="195">
        <f t="shared" si="52"/>
        <v>0</v>
      </c>
      <c r="AH59" s="195">
        <f t="shared" si="52"/>
        <v>0</v>
      </c>
      <c r="AI59" s="195">
        <f t="shared" si="52"/>
        <v>0</v>
      </c>
      <c r="AJ59" s="195">
        <f t="shared" si="52"/>
        <v>0</v>
      </c>
      <c r="AK59" s="195">
        <f t="shared" si="52"/>
        <v>29042</v>
      </c>
      <c r="AL59" s="195">
        <f t="shared" si="52"/>
        <v>0</v>
      </c>
      <c r="AM59" s="195">
        <f t="shared" si="52"/>
        <v>0</v>
      </c>
      <c r="AN59" s="195">
        <f t="shared" si="52"/>
        <v>0</v>
      </c>
      <c r="AO59" s="195">
        <f t="shared" si="52"/>
        <v>0</v>
      </c>
      <c r="AP59" s="195">
        <f>SUM(AP55:AP58)</f>
        <v>37621</v>
      </c>
      <c r="AQ59" s="195">
        <f t="shared" si="52"/>
        <v>0</v>
      </c>
      <c r="AR59" s="195">
        <f t="shared" si="52"/>
        <v>0</v>
      </c>
      <c r="AS59" s="195">
        <f t="shared" si="52"/>
        <v>0</v>
      </c>
      <c r="AT59" s="195">
        <f>SUM(AT55:AT58)</f>
        <v>0</v>
      </c>
      <c r="AU59" s="195">
        <f t="shared" si="52"/>
        <v>71113</v>
      </c>
      <c r="AV59" s="113">
        <f t="shared" si="52"/>
        <v>0</v>
      </c>
      <c r="AW59" s="113">
        <f t="shared" si="52"/>
        <v>0</v>
      </c>
      <c r="AX59" s="113">
        <f t="shared" si="52"/>
        <v>0</v>
      </c>
      <c r="AY59" s="113">
        <f t="shared" si="52"/>
        <v>0</v>
      </c>
      <c r="AZ59" s="195">
        <f t="shared" si="52"/>
        <v>87547</v>
      </c>
      <c r="BA59" s="195">
        <f t="shared" si="52"/>
        <v>0</v>
      </c>
      <c r="BB59" s="195">
        <f t="shared" si="52"/>
        <v>0</v>
      </c>
      <c r="BC59" s="195">
        <f t="shared" si="52"/>
        <v>0</v>
      </c>
      <c r="BD59" s="195">
        <f>SUM(BD55:BD58)</f>
        <v>0</v>
      </c>
      <c r="BE59" s="195">
        <f t="shared" si="52"/>
        <v>128914</v>
      </c>
      <c r="BF59" s="195">
        <f t="shared" si="52"/>
        <v>0</v>
      </c>
      <c r="BG59" s="195">
        <f t="shared" si="52"/>
        <v>0</v>
      </c>
      <c r="BH59" s="195">
        <f t="shared" si="52"/>
        <v>0</v>
      </c>
      <c r="BI59" s="195">
        <f t="shared" si="52"/>
        <v>0</v>
      </c>
      <c r="BJ59" s="195">
        <f t="shared" si="52"/>
        <v>188462</v>
      </c>
      <c r="BK59" s="195">
        <f t="shared" si="52"/>
        <v>0</v>
      </c>
      <c r="BL59" s="195">
        <f t="shared" si="52"/>
        <v>0</v>
      </c>
      <c r="BM59" s="195">
        <f t="shared" si="52"/>
        <v>0</v>
      </c>
      <c r="BN59" s="195">
        <f t="shared" si="52"/>
        <v>0</v>
      </c>
      <c r="BO59" s="195">
        <f t="shared" si="52"/>
        <v>258969</v>
      </c>
      <c r="BP59" s="195">
        <f t="shared" ref="BP59:CX59" si="53">SUM(BP55:BP58)</f>
        <v>0</v>
      </c>
      <c r="BQ59" s="195">
        <f t="shared" si="53"/>
        <v>0</v>
      </c>
      <c r="BR59" s="195">
        <f t="shared" si="53"/>
        <v>0</v>
      </c>
      <c r="BS59" s="195">
        <f t="shared" si="53"/>
        <v>0</v>
      </c>
      <c r="BT59" s="195">
        <f t="shared" si="53"/>
        <v>315884</v>
      </c>
      <c r="BU59" s="195">
        <f t="shared" si="53"/>
        <v>328157</v>
      </c>
      <c r="BV59" s="195">
        <f t="shared" si="53"/>
        <v>337125</v>
      </c>
      <c r="BW59" s="195">
        <f t="shared" si="53"/>
        <v>343888</v>
      </c>
      <c r="BX59" s="195">
        <f t="shared" si="53"/>
        <v>355503</v>
      </c>
      <c r="BY59" s="195">
        <f t="shared" si="53"/>
        <v>355503</v>
      </c>
      <c r="BZ59" s="195">
        <f t="shared" si="53"/>
        <v>0</v>
      </c>
      <c r="CA59" s="195">
        <f t="shared" si="53"/>
        <v>0</v>
      </c>
      <c r="CB59" s="195">
        <f t="shared" si="53"/>
        <v>0</v>
      </c>
      <c r="CC59" s="195">
        <f t="shared" si="53"/>
        <v>0</v>
      </c>
      <c r="CD59" s="195">
        <f t="shared" si="53"/>
        <v>332708.78418130218</v>
      </c>
      <c r="CE59" s="195"/>
      <c r="CF59" s="195"/>
      <c r="CG59" s="195"/>
      <c r="CH59" s="195"/>
      <c r="CI59" s="195">
        <f t="shared" si="53"/>
        <v>387262.26551545144</v>
      </c>
      <c r="CJ59" s="195"/>
      <c r="CK59" s="195"/>
      <c r="CL59" s="195"/>
      <c r="CM59" s="195"/>
      <c r="CN59" s="195">
        <f>SUM(CN55:CN58)</f>
        <v>440518.75313756452</v>
      </c>
      <c r="CO59" s="195"/>
      <c r="CP59" s="195"/>
      <c r="CQ59" s="195"/>
      <c r="CR59" s="195"/>
      <c r="CS59" s="195">
        <f t="shared" si="53"/>
        <v>489274.42292482388</v>
      </c>
      <c r="CT59" s="195"/>
      <c r="CU59" s="195"/>
      <c r="CV59" s="195"/>
      <c r="CW59" s="195"/>
      <c r="CX59" s="195">
        <f t="shared" si="53"/>
        <v>535895.68090973911</v>
      </c>
    </row>
    <row r="60" spans="1:104" x14ac:dyDescent="0.2">
      <c r="A60" s="111"/>
      <c r="B60" s="111" t="s">
        <v>58</v>
      </c>
      <c r="C60" s="112">
        <f>+C54+C59</f>
        <v>0</v>
      </c>
      <c r="D60" s="112">
        <f t="shared" ref="D60:BO60" si="54">+D54+D59</f>
        <v>0</v>
      </c>
      <c r="E60" s="112">
        <f t="shared" si="54"/>
        <v>0</v>
      </c>
      <c r="F60" s="112">
        <f t="shared" si="54"/>
        <v>0</v>
      </c>
      <c r="G60" s="112">
        <f t="shared" si="54"/>
        <v>0</v>
      </c>
      <c r="H60" s="112">
        <f t="shared" si="54"/>
        <v>0</v>
      </c>
      <c r="I60" s="112">
        <f t="shared" si="54"/>
        <v>0</v>
      </c>
      <c r="J60" s="112">
        <f t="shared" si="54"/>
        <v>0</v>
      </c>
      <c r="K60" s="112">
        <f t="shared" si="54"/>
        <v>0</v>
      </c>
      <c r="L60" s="112">
        <f t="shared" si="54"/>
        <v>0</v>
      </c>
      <c r="M60" s="112">
        <f t="shared" si="54"/>
        <v>0</v>
      </c>
      <c r="N60" s="112">
        <f t="shared" si="54"/>
        <v>0</v>
      </c>
      <c r="O60" s="112">
        <f t="shared" si="54"/>
        <v>0</v>
      </c>
      <c r="P60" s="112">
        <f t="shared" si="54"/>
        <v>0</v>
      </c>
      <c r="Q60" s="112">
        <f t="shared" si="54"/>
        <v>0</v>
      </c>
      <c r="R60" s="112">
        <f t="shared" si="54"/>
        <v>0</v>
      </c>
      <c r="S60" s="112">
        <f t="shared" si="54"/>
        <v>0</v>
      </c>
      <c r="T60" s="112">
        <f t="shared" si="54"/>
        <v>0</v>
      </c>
      <c r="U60" s="112">
        <f t="shared" si="54"/>
        <v>0</v>
      </c>
      <c r="V60" s="112">
        <f t="shared" si="54"/>
        <v>0</v>
      </c>
      <c r="W60" s="112">
        <f t="shared" si="54"/>
        <v>0</v>
      </c>
      <c r="X60" s="112">
        <f t="shared" si="54"/>
        <v>0</v>
      </c>
      <c r="Y60" s="112">
        <f t="shared" si="54"/>
        <v>0</v>
      </c>
      <c r="Z60" s="112">
        <f t="shared" si="54"/>
        <v>0</v>
      </c>
      <c r="AA60" s="195">
        <f t="shared" si="54"/>
        <v>40159</v>
      </c>
      <c r="AB60" s="195">
        <f t="shared" si="54"/>
        <v>0</v>
      </c>
      <c r="AC60" s="195">
        <f t="shared" si="54"/>
        <v>0</v>
      </c>
      <c r="AD60" s="195">
        <f t="shared" si="54"/>
        <v>0</v>
      </c>
      <c r="AE60" s="195">
        <f t="shared" si="54"/>
        <v>0</v>
      </c>
      <c r="AF60" s="195">
        <f t="shared" si="54"/>
        <v>54505</v>
      </c>
      <c r="AG60" s="195">
        <f t="shared" si="54"/>
        <v>0</v>
      </c>
      <c r="AH60" s="195">
        <f t="shared" si="54"/>
        <v>0</v>
      </c>
      <c r="AI60" s="195">
        <f t="shared" si="54"/>
        <v>0</v>
      </c>
      <c r="AJ60" s="195">
        <f t="shared" si="54"/>
        <v>0</v>
      </c>
      <c r="AK60" s="195">
        <f t="shared" si="54"/>
        <v>64747</v>
      </c>
      <c r="AL60" s="195">
        <f t="shared" si="54"/>
        <v>0</v>
      </c>
      <c r="AM60" s="195">
        <f t="shared" si="54"/>
        <v>0</v>
      </c>
      <c r="AN60" s="195">
        <f t="shared" si="54"/>
        <v>0</v>
      </c>
      <c r="AO60" s="195">
        <f t="shared" si="54"/>
        <v>0</v>
      </c>
      <c r="AP60" s="195">
        <f>+AP54+AP59</f>
        <v>83402</v>
      </c>
      <c r="AQ60" s="195">
        <f t="shared" si="54"/>
        <v>0</v>
      </c>
      <c r="AR60" s="195">
        <f t="shared" si="54"/>
        <v>0</v>
      </c>
      <c r="AS60" s="195">
        <f t="shared" si="54"/>
        <v>0</v>
      </c>
      <c r="AT60" s="195">
        <f>+AT54+AT59</f>
        <v>0</v>
      </c>
      <c r="AU60" s="195">
        <f t="shared" si="54"/>
        <v>131310</v>
      </c>
      <c r="AV60" s="113">
        <f t="shared" si="54"/>
        <v>0</v>
      </c>
      <c r="AW60" s="113">
        <f t="shared" si="54"/>
        <v>0</v>
      </c>
      <c r="AX60" s="113">
        <f t="shared" si="54"/>
        <v>0</v>
      </c>
      <c r="AY60" s="113">
        <f t="shared" si="54"/>
        <v>0</v>
      </c>
      <c r="AZ60" s="195">
        <f t="shared" si="54"/>
        <v>162648</v>
      </c>
      <c r="BA60" s="195">
        <f t="shared" si="54"/>
        <v>0</v>
      </c>
      <c r="BB60" s="195">
        <f t="shared" si="54"/>
        <v>0</v>
      </c>
      <c r="BC60" s="195">
        <f t="shared" si="54"/>
        <v>0</v>
      </c>
      <c r="BD60" s="195">
        <f>+BD54+BD59</f>
        <v>0</v>
      </c>
      <c r="BE60" s="195">
        <f t="shared" si="54"/>
        <v>225248</v>
      </c>
      <c r="BF60" s="195">
        <f t="shared" si="54"/>
        <v>0</v>
      </c>
      <c r="BG60" s="195">
        <f t="shared" si="54"/>
        <v>0</v>
      </c>
      <c r="BH60" s="195">
        <f t="shared" si="54"/>
        <v>0</v>
      </c>
      <c r="BI60" s="195">
        <f t="shared" si="54"/>
        <v>0</v>
      </c>
      <c r="BJ60" s="195">
        <f t="shared" si="54"/>
        <v>321195</v>
      </c>
      <c r="BK60" s="195">
        <f t="shared" si="54"/>
        <v>0</v>
      </c>
      <c r="BL60" s="195">
        <f t="shared" si="54"/>
        <v>0</v>
      </c>
      <c r="BM60" s="195">
        <f t="shared" si="54"/>
        <v>0</v>
      </c>
      <c r="BN60" s="195">
        <f t="shared" si="54"/>
        <v>0</v>
      </c>
      <c r="BO60" s="195">
        <f t="shared" si="54"/>
        <v>420549</v>
      </c>
      <c r="BP60" s="195">
        <f t="shared" ref="BP60:CX60" si="55">+BP54+BP59</f>
        <v>0</v>
      </c>
      <c r="BQ60" s="195">
        <f t="shared" si="55"/>
        <v>0</v>
      </c>
      <c r="BR60" s="195">
        <f t="shared" si="55"/>
        <v>0</v>
      </c>
      <c r="BS60" s="195">
        <f t="shared" si="55"/>
        <v>0</v>
      </c>
      <c r="BT60" s="195">
        <f t="shared" si="55"/>
        <v>462675</v>
      </c>
      <c r="BU60" s="195">
        <f t="shared" si="55"/>
        <v>464378</v>
      </c>
      <c r="BV60" s="195">
        <f t="shared" si="55"/>
        <v>477607</v>
      </c>
      <c r="BW60" s="195">
        <f t="shared" si="55"/>
        <v>486883</v>
      </c>
      <c r="BX60" s="195">
        <f t="shared" si="55"/>
        <v>527854</v>
      </c>
      <c r="BY60" s="195">
        <f t="shared" si="55"/>
        <v>527854</v>
      </c>
      <c r="BZ60" s="195">
        <f t="shared" si="55"/>
        <v>0</v>
      </c>
      <c r="CA60" s="195">
        <f t="shared" si="55"/>
        <v>0</v>
      </c>
      <c r="CB60" s="195">
        <f t="shared" si="55"/>
        <v>0</v>
      </c>
      <c r="CC60" s="195">
        <f t="shared" si="55"/>
        <v>0</v>
      </c>
      <c r="CD60" s="195">
        <f t="shared" si="55"/>
        <v>571987.13524180767</v>
      </c>
      <c r="CE60" s="195"/>
      <c r="CF60" s="195"/>
      <c r="CG60" s="195"/>
      <c r="CH60" s="195"/>
      <c r="CI60" s="195">
        <f t="shared" si="55"/>
        <v>679417.62149376201</v>
      </c>
      <c r="CJ60" s="195"/>
      <c r="CK60" s="195"/>
      <c r="CL60" s="195"/>
      <c r="CM60" s="195"/>
      <c r="CN60" s="195">
        <f t="shared" si="55"/>
        <v>802557.06573856482</v>
      </c>
      <c r="CO60" s="195"/>
      <c r="CP60" s="195"/>
      <c r="CQ60" s="195"/>
      <c r="CR60" s="195"/>
      <c r="CS60" s="195">
        <f t="shared" si="55"/>
        <v>929893.10851884959</v>
      </c>
      <c r="CT60" s="195"/>
      <c r="CU60" s="195"/>
      <c r="CV60" s="195"/>
      <c r="CW60" s="195"/>
      <c r="CX60" s="195">
        <f t="shared" si="55"/>
        <v>1080356.6807668526</v>
      </c>
    </row>
    <row r="61" spans="1:104" x14ac:dyDescent="0.2">
      <c r="B61" s="63" t="s">
        <v>59</v>
      </c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94">
        <v>15133</v>
      </c>
      <c r="AB61" s="194"/>
      <c r="AC61" s="194"/>
      <c r="AD61" s="194"/>
      <c r="AE61" s="194"/>
      <c r="AF61" s="194">
        <v>16459</v>
      </c>
      <c r="AG61" s="194"/>
      <c r="AH61" s="194"/>
      <c r="AI61" s="194"/>
      <c r="AJ61" s="194"/>
      <c r="AK61" s="194">
        <v>20397</v>
      </c>
      <c r="AL61" s="194"/>
      <c r="AM61" s="194"/>
      <c r="AN61" s="194"/>
      <c r="AO61" s="194"/>
      <c r="AP61" s="194">
        <v>25309</v>
      </c>
      <c r="AQ61" s="194"/>
      <c r="AR61" s="194"/>
      <c r="AS61" s="194"/>
      <c r="AT61" s="194"/>
      <c r="AU61" s="194">
        <v>34616</v>
      </c>
      <c r="AV61" s="110"/>
      <c r="AW61" s="110"/>
      <c r="AX61" s="110"/>
      <c r="AY61" s="110"/>
      <c r="AZ61" s="194">
        <v>38192</v>
      </c>
      <c r="BA61" s="194"/>
      <c r="BB61" s="194"/>
      <c r="BC61" s="194"/>
      <c r="BD61" s="194"/>
      <c r="BE61" s="194">
        <v>47183</v>
      </c>
      <c r="BF61" s="194"/>
      <c r="BG61" s="194"/>
      <c r="BH61" s="194"/>
      <c r="BI61" s="194"/>
      <c r="BJ61" s="194">
        <v>72539</v>
      </c>
      <c r="BK61" s="194"/>
      <c r="BL61" s="194"/>
      <c r="BM61" s="194"/>
      <c r="BN61" s="194"/>
      <c r="BO61" s="194">
        <v>78664</v>
      </c>
      <c r="BP61" s="194"/>
      <c r="BQ61" s="194"/>
      <c r="BR61" s="194"/>
      <c r="BS61" s="194"/>
      <c r="BT61" s="194">
        <v>79600</v>
      </c>
      <c r="BU61" s="194">
        <v>66907</v>
      </c>
      <c r="BV61" s="194">
        <v>69481</v>
      </c>
      <c r="BW61" s="194">
        <v>72004</v>
      </c>
      <c r="BX61" s="319">
        <v>84981</v>
      </c>
      <c r="BY61" s="194">
        <f>BX61</f>
        <v>84981</v>
      </c>
      <c r="BZ61" s="227"/>
      <c r="CA61" s="227"/>
      <c r="CB61" s="227"/>
      <c r="CC61" s="227"/>
      <c r="CD61" s="227">
        <f>((CD$157/365)*CD$10)</f>
        <v>106148.63078816717</v>
      </c>
      <c r="CE61" s="227"/>
      <c r="CF61" s="227"/>
      <c r="CG61" s="227"/>
      <c r="CH61" s="227"/>
      <c r="CI61" s="227">
        <f>((CI$157/365)*CI$10)</f>
        <v>132587.87105642678</v>
      </c>
      <c r="CJ61" s="227"/>
      <c r="CK61" s="227"/>
      <c r="CL61" s="227"/>
      <c r="CM61" s="227"/>
      <c r="CN61" s="227">
        <f>((CN$157/365)*CN$10)</f>
        <v>166768.02740997553</v>
      </c>
      <c r="CO61" s="227"/>
      <c r="CP61" s="227"/>
      <c r="CQ61" s="227"/>
      <c r="CR61" s="227"/>
      <c r="CS61" s="227">
        <f>((CS$157/365)*CS$10)</f>
        <v>207853.69881212909</v>
      </c>
      <c r="CT61" s="227"/>
      <c r="CU61" s="227"/>
      <c r="CV61" s="227"/>
      <c r="CW61" s="227"/>
      <c r="CX61" s="227">
        <f>((CX$157/365)*CX$10)</f>
        <v>260673.19841493419</v>
      </c>
    </row>
    <row r="62" spans="1:104" x14ac:dyDescent="0.2">
      <c r="B62" s="63" t="s">
        <v>60</v>
      </c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94">
        <v>6688</v>
      </c>
      <c r="AB62" s="194"/>
      <c r="AC62" s="194"/>
      <c r="AD62" s="194"/>
      <c r="AE62" s="194"/>
      <c r="AF62" s="194">
        <v>9807</v>
      </c>
      <c r="AG62" s="194"/>
      <c r="AH62" s="194"/>
      <c r="AI62" s="194"/>
      <c r="AJ62" s="194"/>
      <c r="AK62" s="194">
        <v>10372</v>
      </c>
      <c r="AL62" s="194"/>
      <c r="AM62" s="194"/>
      <c r="AN62" s="194"/>
      <c r="AO62" s="194"/>
      <c r="AP62" s="194">
        <v>13739</v>
      </c>
      <c r="AQ62" s="194"/>
      <c r="AR62" s="194"/>
      <c r="AS62" s="194"/>
      <c r="AT62" s="194"/>
      <c r="AU62" s="194">
        <v>18170</v>
      </c>
      <c r="AV62" s="110"/>
      <c r="AW62" s="110"/>
      <c r="AX62" s="110"/>
      <c r="AY62" s="110"/>
      <c r="AZ62" s="194">
        <v>23663</v>
      </c>
      <c r="BA62" s="194"/>
      <c r="BB62" s="194"/>
      <c r="BC62" s="194"/>
      <c r="BD62" s="194"/>
      <c r="BE62" s="194">
        <v>32439</v>
      </c>
      <c r="BF62" s="194"/>
      <c r="BG62" s="194"/>
      <c r="BH62" s="194"/>
      <c r="BI62" s="194"/>
      <c r="BJ62" s="194">
        <v>44138</v>
      </c>
      <c r="BK62" s="194"/>
      <c r="BL62" s="194"/>
      <c r="BM62" s="194"/>
      <c r="BN62" s="194"/>
      <c r="BO62" s="194">
        <v>51775</v>
      </c>
      <c r="BP62" s="194"/>
      <c r="BQ62" s="194"/>
      <c r="BR62" s="194"/>
      <c r="BS62" s="194"/>
      <c r="BT62" s="194">
        <v>62566</v>
      </c>
      <c r="BU62" s="194">
        <v>66382</v>
      </c>
      <c r="BV62" s="194">
        <v>64235</v>
      </c>
      <c r="BW62" s="194">
        <v>58812</v>
      </c>
      <c r="BX62" s="319">
        <v>64709</v>
      </c>
      <c r="BY62" s="194">
        <f t="shared" ref="BY62:BY63" si="56">BX62</f>
        <v>64709</v>
      </c>
      <c r="BZ62" s="227"/>
      <c r="CA62" s="227"/>
      <c r="CB62" s="227"/>
      <c r="CC62" s="227"/>
      <c r="CD62" s="227">
        <f>AVERAGE(BY62,BT62,BO62,BJ62,BE62)*(1+'CAGR-Based Elements'!$B$6)</f>
        <v>64151.019299772772</v>
      </c>
      <c r="CE62" s="227"/>
      <c r="CF62" s="227"/>
      <c r="CG62" s="227"/>
      <c r="CH62" s="227"/>
      <c r="CI62" s="227">
        <f>AVERAGE(CD62,BY62,BT62,BO62,BJ62)*(1+'CAGR-Based Elements'!$B$6)</f>
        <v>72109.327155102961</v>
      </c>
      <c r="CJ62" s="227"/>
      <c r="CK62" s="227"/>
      <c r="CL62" s="227"/>
      <c r="CM62" s="227"/>
      <c r="CN62" s="227">
        <f>AVERAGE(CI62,CD62,BY62,BT62,BO62)*(1+'CAGR-Based Elements'!$B$6)</f>
        <v>79128.887483891653</v>
      </c>
      <c r="CO62" s="227"/>
      <c r="CP62" s="227"/>
      <c r="CQ62" s="227"/>
      <c r="CR62" s="227"/>
      <c r="CS62" s="227">
        <f>AVERAGE(CN62,CI62,CD62,BY62,BT62)*(1+'CAGR-Based Elements'!$B$6)</f>
        <v>85993.49788851614</v>
      </c>
      <c r="CT62" s="227"/>
      <c r="CU62" s="227"/>
      <c r="CV62" s="227"/>
      <c r="CW62" s="227"/>
      <c r="CX62" s="227">
        <f>AVERAGE(CS62,CN62,CI62,CD62,BY62)*(1+'CAGR-Based Elements'!$B$6)</f>
        <v>91872.758957149679</v>
      </c>
    </row>
    <row r="63" spans="1:104" x14ac:dyDescent="0.2">
      <c r="B63" s="63" t="s">
        <v>61</v>
      </c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94">
        <v>1159</v>
      </c>
      <c r="AB63" s="194"/>
      <c r="AC63" s="194"/>
      <c r="AD63" s="194"/>
      <c r="AE63" s="194"/>
      <c r="AF63" s="194">
        <v>1823</v>
      </c>
      <c r="AG63" s="194"/>
      <c r="AH63" s="194"/>
      <c r="AI63" s="194"/>
      <c r="AJ63" s="194"/>
      <c r="AK63" s="194">
        <v>3118</v>
      </c>
      <c r="AL63" s="194"/>
      <c r="AM63" s="194"/>
      <c r="AN63" s="194"/>
      <c r="AO63" s="194"/>
      <c r="AP63" s="194">
        <v>4768</v>
      </c>
      <c r="AQ63" s="194"/>
      <c r="AR63" s="194"/>
      <c r="AS63" s="194"/>
      <c r="AT63" s="194"/>
      <c r="AU63" s="194">
        <v>5097</v>
      </c>
      <c r="AV63" s="110"/>
      <c r="AW63" s="110"/>
      <c r="AX63" s="110"/>
      <c r="AY63" s="110"/>
      <c r="AZ63" s="194">
        <v>6536</v>
      </c>
      <c r="BA63" s="194"/>
      <c r="BB63" s="194"/>
      <c r="BC63" s="194"/>
      <c r="BD63" s="194"/>
      <c r="BE63" s="194">
        <v>8190</v>
      </c>
      <c r="BF63" s="194"/>
      <c r="BG63" s="194"/>
      <c r="BH63" s="194"/>
      <c r="BI63" s="194"/>
      <c r="BJ63" s="194">
        <v>9708</v>
      </c>
      <c r="BK63" s="194"/>
      <c r="BL63" s="194"/>
      <c r="BM63" s="194"/>
      <c r="BN63" s="194"/>
      <c r="BO63" s="194">
        <v>11827</v>
      </c>
      <c r="BP63" s="194"/>
      <c r="BQ63" s="194"/>
      <c r="BR63" s="194"/>
      <c r="BS63" s="194"/>
      <c r="BT63" s="194">
        <v>13227</v>
      </c>
      <c r="BU63" s="194">
        <v>14281</v>
      </c>
      <c r="BV63" s="194">
        <v>14522</v>
      </c>
      <c r="BW63" s="194">
        <v>14398</v>
      </c>
      <c r="BX63" s="319">
        <v>15227</v>
      </c>
      <c r="BY63" s="194">
        <f t="shared" si="56"/>
        <v>15227</v>
      </c>
      <c r="BZ63" s="227"/>
      <c r="CA63" s="227"/>
      <c r="CB63" s="227"/>
      <c r="CC63" s="227"/>
      <c r="CD63" s="227">
        <f>AVERAGE(BY63,BT63,BO63,BJ63,BE63)*(1+'CAGR-Based Elements'!$B$7)</f>
        <v>15053.910823166234</v>
      </c>
      <c r="CE63" s="227"/>
      <c r="CF63" s="227"/>
      <c r="CG63" s="227"/>
      <c r="CH63" s="227"/>
      <c r="CI63" s="227">
        <f>AVERAGE(CD63,BY63,BT63,BO63,BJ63)*(1+'CAGR-Based Elements'!$B$7)</f>
        <v>16829.958906325279</v>
      </c>
      <c r="CJ63" s="227"/>
      <c r="CK63" s="227"/>
      <c r="CL63" s="227"/>
      <c r="CM63" s="227"/>
      <c r="CN63" s="227">
        <f>AVERAGE(CI63,CD63,BY63,BT63,BO63)*(1+'CAGR-Based Elements'!$B$7)+10000</f>
        <v>28672.777350473083</v>
      </c>
      <c r="CO63" s="227"/>
      <c r="CP63" s="227"/>
      <c r="CQ63" s="227"/>
      <c r="CR63" s="227"/>
      <c r="CS63" s="227">
        <f>AVERAGE(CN63,CI63,CD63,BY63,BT63)*(1+'CAGR-Based Elements'!$B$7)+6093</f>
        <v>29124.649623646146</v>
      </c>
      <c r="CT63" s="227"/>
      <c r="CU63" s="227"/>
      <c r="CV63" s="227"/>
      <c r="CW63" s="227"/>
      <c r="CX63" s="227">
        <f>AVERAGE(CS63,CN63,CI63,CD63,BY63)*(1+'CAGR-Based Elements'!$B$7)+3518</f>
        <v>30663.192306268935</v>
      </c>
    </row>
    <row r="64" spans="1:104" x14ac:dyDescent="0.2">
      <c r="A64" s="111"/>
      <c r="B64" s="111" t="s">
        <v>62</v>
      </c>
      <c r="C64" s="112">
        <f t="shared" ref="C64:AH64" si="57">SUM(C61:C63)</f>
        <v>0</v>
      </c>
      <c r="D64" s="112">
        <f t="shared" si="57"/>
        <v>0</v>
      </c>
      <c r="E64" s="112">
        <f t="shared" si="57"/>
        <v>0</v>
      </c>
      <c r="F64" s="112">
        <f t="shared" si="57"/>
        <v>0</v>
      </c>
      <c r="G64" s="112">
        <f t="shared" si="57"/>
        <v>0</v>
      </c>
      <c r="H64" s="112">
        <f t="shared" si="57"/>
        <v>0</v>
      </c>
      <c r="I64" s="112">
        <f t="shared" si="57"/>
        <v>0</v>
      </c>
      <c r="J64" s="112">
        <f t="shared" si="57"/>
        <v>0</v>
      </c>
      <c r="K64" s="112">
        <f t="shared" si="57"/>
        <v>0</v>
      </c>
      <c r="L64" s="112">
        <f t="shared" si="57"/>
        <v>0</v>
      </c>
      <c r="M64" s="112">
        <f t="shared" si="57"/>
        <v>0</v>
      </c>
      <c r="N64" s="112">
        <f t="shared" si="57"/>
        <v>0</v>
      </c>
      <c r="O64" s="112">
        <f t="shared" si="57"/>
        <v>0</v>
      </c>
      <c r="P64" s="112">
        <f t="shared" si="57"/>
        <v>0</v>
      </c>
      <c r="Q64" s="112">
        <f t="shared" si="57"/>
        <v>0</v>
      </c>
      <c r="R64" s="112">
        <f t="shared" si="57"/>
        <v>0</v>
      </c>
      <c r="S64" s="112">
        <f t="shared" si="57"/>
        <v>0</v>
      </c>
      <c r="T64" s="112">
        <f t="shared" si="57"/>
        <v>0</v>
      </c>
      <c r="U64" s="112">
        <f t="shared" si="57"/>
        <v>0</v>
      </c>
      <c r="V64" s="112">
        <f t="shared" si="57"/>
        <v>0</v>
      </c>
      <c r="W64" s="112">
        <f t="shared" si="57"/>
        <v>0</v>
      </c>
      <c r="X64" s="112">
        <f t="shared" si="57"/>
        <v>0</v>
      </c>
      <c r="Y64" s="112">
        <f t="shared" si="57"/>
        <v>0</v>
      </c>
      <c r="Z64" s="112">
        <f t="shared" si="57"/>
        <v>0</v>
      </c>
      <c r="AA64" s="195">
        <f t="shared" si="57"/>
        <v>22980</v>
      </c>
      <c r="AB64" s="195">
        <f t="shared" si="57"/>
        <v>0</v>
      </c>
      <c r="AC64" s="195">
        <f t="shared" si="57"/>
        <v>0</v>
      </c>
      <c r="AD64" s="195">
        <f t="shared" si="57"/>
        <v>0</v>
      </c>
      <c r="AE64" s="195">
        <f t="shared" si="57"/>
        <v>0</v>
      </c>
      <c r="AF64" s="195">
        <f t="shared" si="57"/>
        <v>28089</v>
      </c>
      <c r="AG64" s="195">
        <f t="shared" si="57"/>
        <v>0</v>
      </c>
      <c r="AH64" s="195">
        <f t="shared" si="57"/>
        <v>0</v>
      </c>
      <c r="AI64" s="195">
        <f t="shared" ref="AI64:BN64" si="58">SUM(AI61:AI63)</f>
        <v>0</v>
      </c>
      <c r="AJ64" s="195">
        <f t="shared" si="58"/>
        <v>0</v>
      </c>
      <c r="AK64" s="195">
        <f t="shared" si="58"/>
        <v>33887</v>
      </c>
      <c r="AL64" s="195">
        <f t="shared" si="58"/>
        <v>0</v>
      </c>
      <c r="AM64" s="195">
        <f t="shared" si="58"/>
        <v>0</v>
      </c>
      <c r="AN64" s="195">
        <f t="shared" si="58"/>
        <v>0</v>
      </c>
      <c r="AO64" s="195">
        <f t="shared" si="58"/>
        <v>0</v>
      </c>
      <c r="AP64" s="195">
        <f t="shared" si="58"/>
        <v>43816</v>
      </c>
      <c r="AQ64" s="195">
        <f t="shared" si="58"/>
        <v>0</v>
      </c>
      <c r="AR64" s="195">
        <f t="shared" si="58"/>
        <v>0</v>
      </c>
      <c r="AS64" s="195">
        <f t="shared" si="58"/>
        <v>0</v>
      </c>
      <c r="AT64" s="195">
        <f t="shared" si="58"/>
        <v>0</v>
      </c>
      <c r="AU64" s="195">
        <f t="shared" si="58"/>
        <v>57883</v>
      </c>
      <c r="AV64" s="113">
        <f t="shared" si="58"/>
        <v>0</v>
      </c>
      <c r="AW64" s="113">
        <f t="shared" si="58"/>
        <v>0</v>
      </c>
      <c r="AX64" s="113">
        <f t="shared" si="58"/>
        <v>0</v>
      </c>
      <c r="AY64" s="113">
        <f t="shared" si="58"/>
        <v>0</v>
      </c>
      <c r="AZ64" s="195">
        <f t="shared" si="58"/>
        <v>68391</v>
      </c>
      <c r="BA64" s="195">
        <f t="shared" si="58"/>
        <v>0</v>
      </c>
      <c r="BB64" s="195">
        <f t="shared" si="58"/>
        <v>0</v>
      </c>
      <c r="BC64" s="195">
        <f t="shared" si="58"/>
        <v>0</v>
      </c>
      <c r="BD64" s="195">
        <f t="shared" si="58"/>
        <v>0</v>
      </c>
      <c r="BE64" s="195">
        <f t="shared" si="58"/>
        <v>87812</v>
      </c>
      <c r="BF64" s="195">
        <f t="shared" si="58"/>
        <v>0</v>
      </c>
      <c r="BG64" s="195">
        <f t="shared" si="58"/>
        <v>0</v>
      </c>
      <c r="BH64" s="195">
        <f t="shared" si="58"/>
        <v>0</v>
      </c>
      <c r="BI64" s="195">
        <f t="shared" si="58"/>
        <v>0</v>
      </c>
      <c r="BJ64" s="195">
        <f t="shared" si="58"/>
        <v>126385</v>
      </c>
      <c r="BK64" s="195">
        <f t="shared" si="58"/>
        <v>0</v>
      </c>
      <c r="BL64" s="195">
        <f t="shared" si="58"/>
        <v>0</v>
      </c>
      <c r="BM64" s="195">
        <f t="shared" si="58"/>
        <v>0</v>
      </c>
      <c r="BN64" s="195">
        <f t="shared" si="58"/>
        <v>0</v>
      </c>
      <c r="BO64" s="195">
        <f t="shared" ref="BO64:CS64" si="59">SUM(BO61:BO63)</f>
        <v>142266</v>
      </c>
      <c r="BP64" s="195">
        <f t="shared" si="59"/>
        <v>0</v>
      </c>
      <c r="BQ64" s="195">
        <f t="shared" si="59"/>
        <v>0</v>
      </c>
      <c r="BR64" s="195">
        <f t="shared" si="59"/>
        <v>0</v>
      </c>
      <c r="BS64" s="195">
        <f t="shared" si="59"/>
        <v>0</v>
      </c>
      <c r="BT64" s="195">
        <f t="shared" si="59"/>
        <v>155393</v>
      </c>
      <c r="BU64" s="195">
        <f t="shared" si="59"/>
        <v>147570</v>
      </c>
      <c r="BV64" s="195">
        <f t="shared" si="59"/>
        <v>148238</v>
      </c>
      <c r="BW64" s="195">
        <f t="shared" si="59"/>
        <v>145214</v>
      </c>
      <c r="BX64" s="195">
        <f t="shared" si="59"/>
        <v>164917</v>
      </c>
      <c r="BY64" s="195">
        <f t="shared" si="59"/>
        <v>164917</v>
      </c>
      <c r="BZ64" s="195">
        <f t="shared" si="59"/>
        <v>0</v>
      </c>
      <c r="CA64" s="195">
        <f t="shared" si="59"/>
        <v>0</v>
      </c>
      <c r="CB64" s="195">
        <f t="shared" si="59"/>
        <v>0</v>
      </c>
      <c r="CC64" s="195">
        <f t="shared" si="59"/>
        <v>0</v>
      </c>
      <c r="CD64" s="195">
        <f t="shared" si="59"/>
        <v>185353.56091110615</v>
      </c>
      <c r="CE64" s="195"/>
      <c r="CF64" s="195"/>
      <c r="CG64" s="195"/>
      <c r="CH64" s="195"/>
      <c r="CI64" s="195">
        <f t="shared" si="59"/>
        <v>221527.15711785504</v>
      </c>
      <c r="CJ64" s="195"/>
      <c r="CK64" s="195"/>
      <c r="CL64" s="195"/>
      <c r="CM64" s="195"/>
      <c r="CN64" s="195">
        <f t="shared" si="59"/>
        <v>274569.69224434026</v>
      </c>
      <c r="CO64" s="195"/>
      <c r="CP64" s="195"/>
      <c r="CQ64" s="195"/>
      <c r="CR64" s="195"/>
      <c r="CS64" s="195">
        <f t="shared" si="59"/>
        <v>322971.84632429143</v>
      </c>
      <c r="CT64" s="195"/>
      <c r="CU64" s="195"/>
      <c r="CV64" s="195"/>
      <c r="CW64" s="195"/>
      <c r="CX64" s="195">
        <f t="shared" ref="CX64" si="60">SUM(CX61:CX63)</f>
        <v>383209.14967835281</v>
      </c>
    </row>
    <row r="65" spans="1:102" x14ac:dyDescent="0.2">
      <c r="B65" s="63" t="s">
        <v>63</v>
      </c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94">
        <v>0</v>
      </c>
      <c r="AB65" s="194"/>
      <c r="AC65" s="194"/>
      <c r="AD65" s="194"/>
      <c r="AE65" s="194"/>
      <c r="AF65" s="194">
        <v>0</v>
      </c>
      <c r="AG65" s="194"/>
      <c r="AH65" s="194"/>
      <c r="AI65" s="194"/>
      <c r="AJ65" s="194"/>
      <c r="AK65" s="194">
        <v>0</v>
      </c>
      <c r="AL65" s="194"/>
      <c r="AM65" s="194"/>
      <c r="AN65" s="194"/>
      <c r="AO65" s="194"/>
      <c r="AP65" s="194">
        <v>0</v>
      </c>
      <c r="AQ65" s="194"/>
      <c r="AR65" s="194"/>
      <c r="AS65" s="194"/>
      <c r="AT65" s="194"/>
      <c r="AU65" s="194">
        <v>0</v>
      </c>
      <c r="AV65" s="110"/>
      <c r="AW65" s="110"/>
      <c r="AX65" s="110"/>
      <c r="AY65" s="110"/>
      <c r="AZ65" s="194">
        <v>9650</v>
      </c>
      <c r="BA65" s="194"/>
      <c r="BB65" s="194"/>
      <c r="BC65" s="194"/>
      <c r="BD65" s="194"/>
      <c r="BE65" s="194">
        <v>39791</v>
      </c>
      <c r="BF65" s="194"/>
      <c r="BG65" s="194"/>
      <c r="BH65" s="194"/>
      <c r="BI65" s="194"/>
      <c r="BJ65" s="194">
        <v>52573</v>
      </c>
      <c r="BK65" s="194"/>
      <c r="BL65" s="194"/>
      <c r="BM65" s="194"/>
      <c r="BN65" s="194"/>
      <c r="BO65" s="194">
        <v>67651</v>
      </c>
      <c r="BP65" s="194"/>
      <c r="BQ65" s="194"/>
      <c r="BR65" s="194"/>
      <c r="BS65" s="194"/>
      <c r="BT65" s="194">
        <v>72968</v>
      </c>
      <c r="BU65" s="194">
        <v>74267</v>
      </c>
      <c r="BV65" s="194">
        <v>75822</v>
      </c>
      <c r="BW65" s="194">
        <v>75891</v>
      </c>
      <c r="BX65" s="319">
        <v>77297</v>
      </c>
      <c r="BY65" s="194">
        <f>BX65</f>
        <v>77297</v>
      </c>
      <c r="BZ65" s="227"/>
      <c r="CA65" s="227"/>
      <c r="CB65" s="227"/>
      <c r="CC65" s="227"/>
      <c r="CD65" s="227">
        <f>AVERAGE(BY65,BT65,BO65,BJ65,BE65)*(1+'CAGR-Based Elements'!$B$9)</f>
        <v>94082.932046043454</v>
      </c>
      <c r="CE65" s="227"/>
      <c r="CF65" s="227"/>
      <c r="CG65" s="227"/>
      <c r="CH65" s="227"/>
      <c r="CI65" s="227">
        <f>AVERAGE(CD65,BY65,BT65,BO65,BJ65)*(1+'CAGR-Based Elements'!$B$9)</f>
        <v>110545.30201296466</v>
      </c>
      <c r="CJ65" s="227"/>
      <c r="CK65" s="227"/>
      <c r="CL65" s="227"/>
      <c r="CM65" s="227"/>
      <c r="CN65" s="227">
        <f>AVERAGE(CI65,CD65,BY65,BT65,BO65)*(1+'CAGR-Based Elements'!$B$9)</f>
        <v>128123.63175010037</v>
      </c>
      <c r="CO65" s="227"/>
      <c r="CP65" s="227"/>
      <c r="CQ65" s="227"/>
      <c r="CR65" s="227"/>
      <c r="CS65" s="227">
        <f>AVERAGE(CN65,CI65,CD65,BY65,BT65)*(1+'CAGR-Based Elements'!$B$9)</f>
        <v>146460.11010381347</v>
      </c>
      <c r="CT65" s="227"/>
      <c r="CU65" s="227"/>
      <c r="CV65" s="227"/>
      <c r="CW65" s="227"/>
      <c r="CX65" s="227">
        <f>AVERAGE(CS65,CN65,CI65,CD65,BY65)*(1+'CAGR-Based Elements'!$B$9)</f>
        <v>168744.34756938464</v>
      </c>
    </row>
    <row r="66" spans="1:102" x14ac:dyDescent="0.2">
      <c r="B66" s="63" t="s">
        <v>64</v>
      </c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94">
        <v>3191</v>
      </c>
      <c r="AB66" s="194"/>
      <c r="AC66" s="194"/>
      <c r="AD66" s="194"/>
      <c r="AE66" s="194"/>
      <c r="AF66" s="194">
        <v>8265</v>
      </c>
      <c r="AG66" s="194"/>
      <c r="AH66" s="194"/>
      <c r="AI66" s="194"/>
      <c r="AJ66" s="194"/>
      <c r="AK66" s="194">
        <v>8227</v>
      </c>
      <c r="AL66" s="194"/>
      <c r="AM66" s="194"/>
      <c r="AN66" s="194"/>
      <c r="AO66" s="194"/>
      <c r="AP66" s="194">
        <v>7694</v>
      </c>
      <c r="AQ66" s="194"/>
      <c r="AR66" s="194"/>
      <c r="AS66" s="194"/>
      <c r="AT66" s="194"/>
      <c r="AU66" s="194">
        <v>24743</v>
      </c>
      <c r="AV66" s="110"/>
      <c r="AW66" s="110"/>
      <c r="AX66" s="110"/>
      <c r="AY66" s="110"/>
      <c r="AZ66" s="194">
        <v>23495</v>
      </c>
      <c r="BA66" s="194"/>
      <c r="BB66" s="194"/>
      <c r="BC66" s="194"/>
      <c r="BD66" s="194"/>
      <c r="BE66" s="194">
        <v>23414</v>
      </c>
      <c r="BF66" s="194"/>
      <c r="BG66" s="194"/>
      <c r="BH66" s="194"/>
      <c r="BI66" s="194"/>
      <c r="BJ66" s="194">
        <v>31816</v>
      </c>
      <c r="BK66" s="194"/>
      <c r="BL66" s="194"/>
      <c r="BM66" s="194"/>
      <c r="BN66" s="194"/>
      <c r="BO66" s="194">
        <v>48744</v>
      </c>
      <c r="BP66" s="194"/>
      <c r="BQ66" s="194"/>
      <c r="BR66" s="194"/>
      <c r="BS66" s="194"/>
      <c r="BT66" s="194">
        <v>67150</v>
      </c>
      <c r="BU66" s="194">
        <v>67084</v>
      </c>
      <c r="BV66" s="194">
        <v>63092</v>
      </c>
      <c r="BW66" s="194">
        <v>61098</v>
      </c>
      <c r="BX66" s="319">
        <v>58314</v>
      </c>
      <c r="BY66" s="194">
        <f t="shared" ref="BY66:BY67" si="61">BX66</f>
        <v>58314</v>
      </c>
      <c r="BZ66" s="227"/>
      <c r="CA66" s="227"/>
      <c r="CB66" s="227"/>
      <c r="CC66" s="227"/>
      <c r="CD66" s="227">
        <f>AVERAGE(BY66,BT66,BO66,BJ66,BE66)*(1+'CAGR-Based Elements'!$B$10)</f>
        <v>61359.236468499141</v>
      </c>
      <c r="CE66" s="227"/>
      <c r="CF66" s="227"/>
      <c r="CG66" s="227"/>
      <c r="CH66" s="227"/>
      <c r="CI66" s="227">
        <f>AVERAGE(CD66,BY66,BT66,BO66,BJ66)*(1+'CAGR-Based Elements'!$B$10)</f>
        <v>71507.035600830131</v>
      </c>
      <c r="CJ66" s="227"/>
      <c r="CK66" s="227"/>
      <c r="CL66" s="227"/>
      <c r="CM66" s="227"/>
      <c r="CN66" s="227">
        <f>AVERAGE(CI66,CD66,BY66,BT66,BO66)*(1+'CAGR-Based Elements'!$B$10)</f>
        <v>82121.718605000977</v>
      </c>
      <c r="CO66" s="227"/>
      <c r="CP66" s="227"/>
      <c r="CQ66" s="227"/>
      <c r="CR66" s="227"/>
      <c r="CS66" s="227">
        <f>AVERAGE(CN66,CI66,CD66,BY66,BT66)*(1+'CAGR-Based Elements'!$B$10)</f>
        <v>91048.013851051248</v>
      </c>
      <c r="CT66" s="227"/>
      <c r="CU66" s="227"/>
      <c r="CV66" s="227"/>
      <c r="CW66" s="227"/>
      <c r="CX66" s="227">
        <f>AVERAGE(CS66,CN66,CI66,CD66,BY66)*(1+'CAGR-Based Elements'!$B$10)</f>
        <v>97439.12553705844</v>
      </c>
    </row>
    <row r="67" spans="1:102" x14ac:dyDescent="0.2">
      <c r="B67" s="63" t="s">
        <v>65</v>
      </c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94">
        <v>4242</v>
      </c>
      <c r="AB67" s="194"/>
      <c r="AC67" s="194"/>
      <c r="AD67" s="194"/>
      <c r="AE67" s="194"/>
      <c r="AF67" s="194">
        <v>7410</v>
      </c>
      <c r="AG67" s="194"/>
      <c r="AH67" s="194"/>
      <c r="AI67" s="194"/>
      <c r="AJ67" s="194"/>
      <c r="AK67" s="194">
        <v>9249</v>
      </c>
      <c r="AL67" s="194"/>
      <c r="AM67" s="194"/>
      <c r="AN67" s="194"/>
      <c r="AO67" s="194"/>
      <c r="AP67" s="194">
        <v>12607</v>
      </c>
      <c r="AQ67" s="194"/>
      <c r="AR67" s="194"/>
      <c r="AS67" s="194"/>
      <c r="AT67" s="194"/>
      <c r="AU67" s="194">
        <v>20975</v>
      </c>
      <c r="AV67" s="110"/>
      <c r="AW67" s="110"/>
      <c r="AX67" s="110"/>
      <c r="AY67" s="110"/>
      <c r="AZ67" s="194">
        <v>17563</v>
      </c>
      <c r="BA67" s="194"/>
      <c r="BB67" s="194"/>
      <c r="BC67" s="194"/>
      <c r="BD67" s="194"/>
      <c r="BE67" s="194">
        <v>12171</v>
      </c>
      <c r="BF67" s="194"/>
      <c r="BG67" s="194"/>
      <c r="BH67" s="194"/>
      <c r="BI67" s="194"/>
      <c r="BJ67" s="194">
        <v>17017</v>
      </c>
      <c r="BK67" s="194"/>
      <c r="BL67" s="194"/>
      <c r="BM67" s="194"/>
      <c r="BN67" s="194"/>
      <c r="BO67" s="194">
        <v>23643</v>
      </c>
      <c r="BP67" s="194"/>
      <c r="BQ67" s="194"/>
      <c r="BR67" s="194"/>
      <c r="BS67" s="194"/>
      <c r="BT67" s="194">
        <v>21121</v>
      </c>
      <c r="BU67" s="194">
        <v>20931</v>
      </c>
      <c r="BV67" s="194">
        <v>21853</v>
      </c>
      <c r="BW67" s="194">
        <v>21707</v>
      </c>
      <c r="BX67" s="319">
        <v>25451</v>
      </c>
      <c r="BY67" s="194">
        <f t="shared" si="61"/>
        <v>25451</v>
      </c>
      <c r="BZ67" s="227"/>
      <c r="CA67" s="227"/>
      <c r="CB67" s="227"/>
      <c r="CC67" s="227"/>
      <c r="CD67" s="227">
        <f>AVERAGE(BY67,BT67,BO67,BJ67,BE67)*(1+'CAGR-Based Elements'!$B$11)+8113</f>
        <v>31894.700532411309</v>
      </c>
      <c r="CE67" s="227"/>
      <c r="CF67" s="227"/>
      <c r="CG67" s="227"/>
      <c r="CH67" s="227"/>
      <c r="CI67" s="227">
        <f>AVERAGE(CD67,BY67,BT67,BO67,BJ67)*(1+'CAGR-Based Elements'!$B$11)+14196</f>
        <v>42696.503178737548</v>
      </c>
      <c r="CJ67" s="227"/>
      <c r="CK67" s="227"/>
      <c r="CL67" s="227"/>
      <c r="CM67" s="227"/>
      <c r="CN67" s="227">
        <f>AVERAGE(CI67,CD67,BY67,BT67,BO67)*(1+'CAGR-Based Elements'!$B$11)+10255</f>
        <v>44899.203614517573</v>
      </c>
      <c r="CO67" s="227"/>
      <c r="CP67" s="227"/>
      <c r="CQ67" s="227"/>
      <c r="CR67" s="227"/>
      <c r="CS67" s="227">
        <f>AVERAGE(CN67,CI67,CD67,BY67,BT67)*(1+'CAGR-Based Elements'!$B$11)+10000</f>
        <v>49729.650420111117</v>
      </c>
      <c r="CT67" s="227"/>
      <c r="CU67" s="227"/>
      <c r="CV67" s="227"/>
      <c r="CW67" s="227"/>
      <c r="CX67" s="227">
        <f>AVERAGE(CS67,CN67,CI67,CD67,BY67)*(1+'CAGR-Based Elements'!$B$11)+10000</f>
        <v>56574.135565705583</v>
      </c>
    </row>
    <row r="68" spans="1:102" x14ac:dyDescent="0.2">
      <c r="A68" s="111"/>
      <c r="B68" s="111" t="s">
        <v>427</v>
      </c>
      <c r="C68" s="112">
        <f>SUM(C65:C67)</f>
        <v>0</v>
      </c>
      <c r="D68" s="112">
        <f t="shared" ref="D68:BO68" si="62">SUM(D65:D67)</f>
        <v>0</v>
      </c>
      <c r="E68" s="112">
        <f t="shared" si="62"/>
        <v>0</v>
      </c>
      <c r="F68" s="112">
        <f t="shared" si="62"/>
        <v>0</v>
      </c>
      <c r="G68" s="112">
        <f t="shared" si="62"/>
        <v>0</v>
      </c>
      <c r="H68" s="112">
        <f t="shared" si="62"/>
        <v>0</v>
      </c>
      <c r="I68" s="112">
        <f t="shared" si="62"/>
        <v>0</v>
      </c>
      <c r="J68" s="112">
        <f t="shared" si="62"/>
        <v>0</v>
      </c>
      <c r="K68" s="112">
        <f t="shared" si="62"/>
        <v>0</v>
      </c>
      <c r="L68" s="112">
        <f t="shared" si="62"/>
        <v>0</v>
      </c>
      <c r="M68" s="112">
        <f t="shared" si="62"/>
        <v>0</v>
      </c>
      <c r="N68" s="112">
        <f t="shared" si="62"/>
        <v>0</v>
      </c>
      <c r="O68" s="112">
        <f t="shared" si="62"/>
        <v>0</v>
      </c>
      <c r="P68" s="112">
        <f t="shared" si="62"/>
        <v>0</v>
      </c>
      <c r="Q68" s="112">
        <f t="shared" si="62"/>
        <v>0</v>
      </c>
      <c r="R68" s="112">
        <f t="shared" si="62"/>
        <v>0</v>
      </c>
      <c r="S68" s="112">
        <f t="shared" si="62"/>
        <v>0</v>
      </c>
      <c r="T68" s="112">
        <f t="shared" si="62"/>
        <v>0</v>
      </c>
      <c r="U68" s="112">
        <f t="shared" si="62"/>
        <v>0</v>
      </c>
      <c r="V68" s="112">
        <f t="shared" si="62"/>
        <v>0</v>
      </c>
      <c r="W68" s="112">
        <f t="shared" si="62"/>
        <v>0</v>
      </c>
      <c r="X68" s="112">
        <f t="shared" si="62"/>
        <v>0</v>
      </c>
      <c r="Y68" s="112">
        <f t="shared" si="62"/>
        <v>0</v>
      </c>
      <c r="Z68" s="112">
        <f t="shared" si="62"/>
        <v>0</v>
      </c>
      <c r="AA68" s="195">
        <f t="shared" si="62"/>
        <v>7433</v>
      </c>
      <c r="AB68" s="195">
        <f>SUM(AB65:AB67)</f>
        <v>0</v>
      </c>
      <c r="AC68" s="195">
        <f t="shared" si="62"/>
        <v>0</v>
      </c>
      <c r="AD68" s="195">
        <f t="shared" si="62"/>
        <v>0</v>
      </c>
      <c r="AE68" s="195">
        <f t="shared" si="62"/>
        <v>0</v>
      </c>
      <c r="AF68" s="195">
        <f t="shared" si="62"/>
        <v>15675</v>
      </c>
      <c r="AG68" s="195">
        <f t="shared" si="62"/>
        <v>0</v>
      </c>
      <c r="AH68" s="195">
        <f t="shared" si="62"/>
        <v>0</v>
      </c>
      <c r="AI68" s="195">
        <f t="shared" si="62"/>
        <v>0</v>
      </c>
      <c r="AJ68" s="195">
        <f t="shared" si="62"/>
        <v>0</v>
      </c>
      <c r="AK68" s="195">
        <f t="shared" si="62"/>
        <v>17476</v>
      </c>
      <c r="AL68" s="195">
        <f t="shared" si="62"/>
        <v>0</v>
      </c>
      <c r="AM68" s="195">
        <f t="shared" si="62"/>
        <v>0</v>
      </c>
      <c r="AN68" s="195">
        <f t="shared" si="62"/>
        <v>0</v>
      </c>
      <c r="AO68" s="195">
        <f t="shared" si="62"/>
        <v>0</v>
      </c>
      <c r="AP68" s="195">
        <f>SUM(AP65:AP67)</f>
        <v>20301</v>
      </c>
      <c r="AQ68" s="195">
        <f t="shared" si="62"/>
        <v>0</v>
      </c>
      <c r="AR68" s="195">
        <f t="shared" si="62"/>
        <v>0</v>
      </c>
      <c r="AS68" s="195">
        <f t="shared" si="62"/>
        <v>0</v>
      </c>
      <c r="AT68" s="195">
        <f>SUM(AT65:AT67)</f>
        <v>0</v>
      </c>
      <c r="AU68" s="195">
        <f t="shared" si="62"/>
        <v>45718</v>
      </c>
      <c r="AV68" s="113">
        <f t="shared" si="62"/>
        <v>0</v>
      </c>
      <c r="AW68" s="113">
        <f t="shared" si="62"/>
        <v>0</v>
      </c>
      <c r="AX68" s="113">
        <f t="shared" si="62"/>
        <v>0</v>
      </c>
      <c r="AY68" s="113">
        <f t="shared" si="62"/>
        <v>0</v>
      </c>
      <c r="AZ68" s="195">
        <f t="shared" si="62"/>
        <v>50708</v>
      </c>
      <c r="BA68" s="195">
        <f t="shared" si="62"/>
        <v>0</v>
      </c>
      <c r="BB68" s="195">
        <f t="shared" si="62"/>
        <v>0</v>
      </c>
      <c r="BC68" s="195">
        <f t="shared" si="62"/>
        <v>0</v>
      </c>
      <c r="BD68" s="195">
        <f>SUM(BD65:BD67)</f>
        <v>0</v>
      </c>
      <c r="BE68" s="195">
        <f t="shared" si="62"/>
        <v>75376</v>
      </c>
      <c r="BF68" s="195">
        <f t="shared" si="62"/>
        <v>0</v>
      </c>
      <c r="BG68" s="195">
        <f t="shared" si="62"/>
        <v>0</v>
      </c>
      <c r="BH68" s="195">
        <f t="shared" si="62"/>
        <v>0</v>
      </c>
      <c r="BI68" s="195">
        <f t="shared" si="62"/>
        <v>0</v>
      </c>
      <c r="BJ68" s="195">
        <f t="shared" si="62"/>
        <v>101406</v>
      </c>
      <c r="BK68" s="195">
        <f t="shared" si="62"/>
        <v>0</v>
      </c>
      <c r="BL68" s="195">
        <f t="shared" si="62"/>
        <v>0</v>
      </c>
      <c r="BM68" s="195">
        <f t="shared" si="62"/>
        <v>0</v>
      </c>
      <c r="BN68" s="195">
        <f t="shared" si="62"/>
        <v>0</v>
      </c>
      <c r="BO68" s="195">
        <f t="shared" si="62"/>
        <v>140038</v>
      </c>
      <c r="BP68" s="195">
        <f t="shared" ref="BP68:CX68" si="63">SUM(BP65:BP67)</f>
        <v>0</v>
      </c>
      <c r="BQ68" s="195">
        <f t="shared" si="63"/>
        <v>0</v>
      </c>
      <c r="BR68" s="195">
        <f t="shared" si="63"/>
        <v>0</v>
      </c>
      <c r="BS68" s="195">
        <f t="shared" si="63"/>
        <v>0</v>
      </c>
      <c r="BT68" s="195">
        <f t="shared" si="63"/>
        <v>161239</v>
      </c>
      <c r="BU68" s="195">
        <f t="shared" si="63"/>
        <v>162282</v>
      </c>
      <c r="BV68" s="195">
        <f t="shared" si="63"/>
        <v>160767</v>
      </c>
      <c r="BW68" s="195">
        <f t="shared" si="63"/>
        <v>158696</v>
      </c>
      <c r="BX68" s="195">
        <f t="shared" si="63"/>
        <v>161062</v>
      </c>
      <c r="BY68" s="195">
        <f t="shared" si="63"/>
        <v>161062</v>
      </c>
      <c r="BZ68" s="195">
        <f t="shared" si="63"/>
        <v>0</v>
      </c>
      <c r="CA68" s="195">
        <f t="shared" si="63"/>
        <v>0</v>
      </c>
      <c r="CB68" s="195">
        <f t="shared" si="63"/>
        <v>0</v>
      </c>
      <c r="CC68" s="195">
        <f t="shared" si="63"/>
        <v>0</v>
      </c>
      <c r="CD68" s="195">
        <f t="shared" si="63"/>
        <v>187336.86904695391</v>
      </c>
      <c r="CE68" s="195"/>
      <c r="CF68" s="195"/>
      <c r="CG68" s="195"/>
      <c r="CH68" s="195"/>
      <c r="CI68" s="195">
        <f t="shared" si="63"/>
        <v>224748.84079253231</v>
      </c>
      <c r="CJ68" s="195"/>
      <c r="CK68" s="195"/>
      <c r="CL68" s="195"/>
      <c r="CM68" s="195"/>
      <c r="CN68" s="195">
        <f t="shared" si="63"/>
        <v>255144.55396961892</v>
      </c>
      <c r="CO68" s="195"/>
      <c r="CP68" s="195"/>
      <c r="CQ68" s="195"/>
      <c r="CR68" s="195"/>
      <c r="CS68" s="195">
        <f t="shared" si="63"/>
        <v>287237.77437497582</v>
      </c>
      <c r="CT68" s="195"/>
      <c r="CU68" s="195"/>
      <c r="CV68" s="195"/>
      <c r="CW68" s="195"/>
      <c r="CX68" s="195">
        <f t="shared" si="63"/>
        <v>322757.60867214866</v>
      </c>
    </row>
    <row r="69" spans="1:102" x14ac:dyDescent="0.2">
      <c r="A69" s="111"/>
      <c r="B69" s="111" t="s">
        <v>66</v>
      </c>
      <c r="C69" s="112">
        <f>+C68+C64</f>
        <v>0</v>
      </c>
      <c r="D69" s="112">
        <f t="shared" ref="D69:BO69" si="64">+D68+D64</f>
        <v>0</v>
      </c>
      <c r="E69" s="112">
        <f t="shared" si="64"/>
        <v>0</v>
      </c>
      <c r="F69" s="112">
        <f t="shared" si="64"/>
        <v>0</v>
      </c>
      <c r="G69" s="112">
        <f t="shared" si="64"/>
        <v>0</v>
      </c>
      <c r="H69" s="112">
        <f t="shared" si="64"/>
        <v>0</v>
      </c>
      <c r="I69" s="112">
        <f t="shared" si="64"/>
        <v>0</v>
      </c>
      <c r="J69" s="112">
        <f t="shared" si="64"/>
        <v>0</v>
      </c>
      <c r="K69" s="112">
        <f t="shared" si="64"/>
        <v>0</v>
      </c>
      <c r="L69" s="112">
        <f t="shared" si="64"/>
        <v>0</v>
      </c>
      <c r="M69" s="112">
        <f t="shared" si="64"/>
        <v>0</v>
      </c>
      <c r="N69" s="112">
        <f t="shared" si="64"/>
        <v>0</v>
      </c>
      <c r="O69" s="112">
        <f t="shared" si="64"/>
        <v>0</v>
      </c>
      <c r="P69" s="112">
        <f t="shared" si="64"/>
        <v>0</v>
      </c>
      <c r="Q69" s="112">
        <f t="shared" si="64"/>
        <v>0</v>
      </c>
      <c r="R69" s="112">
        <f t="shared" si="64"/>
        <v>0</v>
      </c>
      <c r="S69" s="112">
        <f t="shared" si="64"/>
        <v>0</v>
      </c>
      <c r="T69" s="112">
        <f t="shared" si="64"/>
        <v>0</v>
      </c>
      <c r="U69" s="112">
        <f t="shared" si="64"/>
        <v>0</v>
      </c>
      <c r="V69" s="112">
        <f t="shared" si="64"/>
        <v>0</v>
      </c>
      <c r="W69" s="112">
        <f t="shared" si="64"/>
        <v>0</v>
      </c>
      <c r="X69" s="112">
        <f t="shared" si="64"/>
        <v>0</v>
      </c>
      <c r="Y69" s="112">
        <f t="shared" si="64"/>
        <v>0</v>
      </c>
      <c r="Z69" s="112">
        <f t="shared" si="64"/>
        <v>0</v>
      </c>
      <c r="AA69" s="195">
        <f t="shared" si="64"/>
        <v>30413</v>
      </c>
      <c r="AB69" s="195">
        <f t="shared" si="64"/>
        <v>0</v>
      </c>
      <c r="AC69" s="195">
        <f t="shared" si="64"/>
        <v>0</v>
      </c>
      <c r="AD69" s="195">
        <f t="shared" si="64"/>
        <v>0</v>
      </c>
      <c r="AE69" s="195">
        <f t="shared" si="64"/>
        <v>0</v>
      </c>
      <c r="AF69" s="195">
        <f t="shared" si="64"/>
        <v>43764</v>
      </c>
      <c r="AG69" s="195">
        <f t="shared" si="64"/>
        <v>0</v>
      </c>
      <c r="AH69" s="195">
        <f t="shared" si="64"/>
        <v>0</v>
      </c>
      <c r="AI69" s="195">
        <f t="shared" si="64"/>
        <v>0</v>
      </c>
      <c r="AJ69" s="195">
        <f t="shared" si="64"/>
        <v>0</v>
      </c>
      <c r="AK69" s="195">
        <f t="shared" si="64"/>
        <v>51363</v>
      </c>
      <c r="AL69" s="195">
        <f t="shared" si="64"/>
        <v>0</v>
      </c>
      <c r="AM69" s="195">
        <f t="shared" si="64"/>
        <v>0</v>
      </c>
      <c r="AN69" s="195">
        <f t="shared" si="64"/>
        <v>0</v>
      </c>
      <c r="AO69" s="195">
        <f t="shared" si="64"/>
        <v>0</v>
      </c>
      <c r="AP69" s="195">
        <f>+AP68+AP64</f>
        <v>64117</v>
      </c>
      <c r="AQ69" s="195">
        <f t="shared" si="64"/>
        <v>0</v>
      </c>
      <c r="AR69" s="195">
        <f t="shared" si="64"/>
        <v>0</v>
      </c>
      <c r="AS69" s="195">
        <f t="shared" si="64"/>
        <v>0</v>
      </c>
      <c r="AT69" s="195">
        <f>+AT68+AT64</f>
        <v>0</v>
      </c>
      <c r="AU69" s="195">
        <f t="shared" si="64"/>
        <v>103601</v>
      </c>
      <c r="AV69" s="113">
        <f t="shared" si="64"/>
        <v>0</v>
      </c>
      <c r="AW69" s="113">
        <f t="shared" si="64"/>
        <v>0</v>
      </c>
      <c r="AX69" s="113">
        <f t="shared" si="64"/>
        <v>0</v>
      </c>
      <c r="AY69" s="113">
        <f t="shared" si="64"/>
        <v>0</v>
      </c>
      <c r="AZ69" s="195">
        <f t="shared" si="64"/>
        <v>119099</v>
      </c>
      <c r="BA69" s="195">
        <f t="shared" si="64"/>
        <v>0</v>
      </c>
      <c r="BB69" s="195">
        <f t="shared" si="64"/>
        <v>0</v>
      </c>
      <c r="BC69" s="195">
        <f t="shared" si="64"/>
        <v>0</v>
      </c>
      <c r="BD69" s="195">
        <f>+BD68+BD64</f>
        <v>0</v>
      </c>
      <c r="BE69" s="195">
        <f t="shared" si="64"/>
        <v>163188</v>
      </c>
      <c r="BF69" s="195">
        <f t="shared" si="64"/>
        <v>0</v>
      </c>
      <c r="BG69" s="195">
        <f t="shared" si="64"/>
        <v>0</v>
      </c>
      <c r="BH69" s="195">
        <f t="shared" si="64"/>
        <v>0</v>
      </c>
      <c r="BI69" s="195">
        <f t="shared" si="64"/>
        <v>0</v>
      </c>
      <c r="BJ69" s="195">
        <f t="shared" si="64"/>
        <v>227791</v>
      </c>
      <c r="BK69" s="195">
        <f t="shared" si="64"/>
        <v>0</v>
      </c>
      <c r="BL69" s="195">
        <f t="shared" si="64"/>
        <v>0</v>
      </c>
      <c r="BM69" s="195">
        <f t="shared" si="64"/>
        <v>0</v>
      </c>
      <c r="BN69" s="195">
        <f t="shared" si="64"/>
        <v>0</v>
      </c>
      <c r="BO69" s="195">
        <f t="shared" si="64"/>
        <v>282304</v>
      </c>
      <c r="BP69" s="195">
        <f t="shared" ref="BP69:CX69" si="65">+BP68+BP64</f>
        <v>0</v>
      </c>
      <c r="BQ69" s="195">
        <f t="shared" si="65"/>
        <v>0</v>
      </c>
      <c r="BR69" s="195">
        <f t="shared" si="65"/>
        <v>0</v>
      </c>
      <c r="BS69" s="195">
        <f t="shared" si="65"/>
        <v>0</v>
      </c>
      <c r="BT69" s="195">
        <f t="shared" si="65"/>
        <v>316632</v>
      </c>
      <c r="BU69" s="195">
        <f t="shared" si="65"/>
        <v>309852</v>
      </c>
      <c r="BV69" s="195">
        <f t="shared" si="65"/>
        <v>309005</v>
      </c>
      <c r="BW69" s="195">
        <f t="shared" si="65"/>
        <v>303910</v>
      </c>
      <c r="BX69" s="195">
        <f t="shared" si="65"/>
        <v>325979</v>
      </c>
      <c r="BY69" s="195">
        <f t="shared" si="65"/>
        <v>325979</v>
      </c>
      <c r="BZ69" s="195">
        <f t="shared" si="65"/>
        <v>0</v>
      </c>
      <c r="CA69" s="195">
        <f t="shared" si="65"/>
        <v>0</v>
      </c>
      <c r="CB69" s="195">
        <f t="shared" si="65"/>
        <v>0</v>
      </c>
      <c r="CC69" s="195">
        <f t="shared" si="65"/>
        <v>0</v>
      </c>
      <c r="CD69" s="195">
        <f t="shared" si="65"/>
        <v>372690.42995806003</v>
      </c>
      <c r="CE69" s="195"/>
      <c r="CF69" s="195"/>
      <c r="CG69" s="195"/>
      <c r="CH69" s="195"/>
      <c r="CI69" s="195">
        <f t="shared" si="65"/>
        <v>446275.99791038735</v>
      </c>
      <c r="CJ69" s="195"/>
      <c r="CK69" s="195"/>
      <c r="CL69" s="195"/>
      <c r="CM69" s="195"/>
      <c r="CN69" s="195">
        <f t="shared" si="65"/>
        <v>529714.24621395918</v>
      </c>
      <c r="CO69" s="195"/>
      <c r="CP69" s="195"/>
      <c r="CQ69" s="195"/>
      <c r="CR69" s="195"/>
      <c r="CS69" s="195">
        <f t="shared" si="65"/>
        <v>610209.62069926725</v>
      </c>
      <c r="CT69" s="195"/>
      <c r="CU69" s="195"/>
      <c r="CV69" s="195"/>
      <c r="CW69" s="195"/>
      <c r="CX69" s="195">
        <f t="shared" si="65"/>
        <v>705966.75835050154</v>
      </c>
    </row>
    <row r="70" spans="1:102" x14ac:dyDescent="0.2">
      <c r="A70" s="125"/>
      <c r="B70" s="205" t="s">
        <v>67</v>
      </c>
      <c r="C70" s="204"/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6">
        <v>5</v>
      </c>
      <c r="AB70" s="206"/>
      <c r="AC70" s="206"/>
      <c r="AD70" s="206"/>
      <c r="AE70" s="206"/>
      <c r="AF70" s="206">
        <v>5</v>
      </c>
      <c r="AG70" s="206"/>
      <c r="AH70" s="206"/>
      <c r="AI70" s="206"/>
      <c r="AJ70" s="206"/>
      <c r="AK70" s="206">
        <v>5</v>
      </c>
      <c r="AL70" s="206"/>
      <c r="AM70" s="206"/>
      <c r="AN70" s="206"/>
      <c r="AO70" s="206"/>
      <c r="AP70" s="206">
        <v>5</v>
      </c>
      <c r="AQ70" s="206"/>
      <c r="AR70" s="206"/>
      <c r="AS70" s="206"/>
      <c r="AT70" s="206"/>
      <c r="AU70" s="206">
        <v>5</v>
      </c>
      <c r="AV70" s="116"/>
      <c r="AW70" s="116"/>
      <c r="AX70" s="116"/>
      <c r="AY70" s="116"/>
      <c r="AZ70" s="206">
        <v>5</v>
      </c>
      <c r="BA70" s="206"/>
      <c r="BB70" s="206"/>
      <c r="BC70" s="206"/>
      <c r="BD70" s="206"/>
      <c r="BE70" s="206">
        <v>5</v>
      </c>
      <c r="BF70" s="206"/>
      <c r="BG70" s="206"/>
      <c r="BH70" s="206"/>
      <c r="BI70" s="206"/>
      <c r="BJ70" s="206">
        <v>5</v>
      </c>
      <c r="BK70" s="206"/>
      <c r="BL70" s="206"/>
      <c r="BM70" s="206"/>
      <c r="BN70" s="206"/>
      <c r="BO70" s="206">
        <v>106</v>
      </c>
      <c r="BP70" s="206"/>
      <c r="BQ70" s="206"/>
      <c r="BR70" s="206"/>
      <c r="BS70" s="206"/>
      <c r="BT70" s="206">
        <v>108</v>
      </c>
      <c r="BU70" s="206">
        <v>108</v>
      </c>
      <c r="BV70" s="206">
        <v>108</v>
      </c>
      <c r="BW70" s="206">
        <v>108</v>
      </c>
      <c r="BX70" s="206">
        <v>109</v>
      </c>
      <c r="BY70" s="206">
        <f>BX70</f>
        <v>109</v>
      </c>
      <c r="BZ70" s="231">
        <f t="shared" ref="BZ70:CC70" si="66">BY70</f>
        <v>109</v>
      </c>
      <c r="CA70" s="231">
        <f t="shared" si="66"/>
        <v>109</v>
      </c>
      <c r="CB70" s="231">
        <f t="shared" si="66"/>
        <v>109</v>
      </c>
      <c r="CC70" s="231">
        <f t="shared" si="66"/>
        <v>109</v>
      </c>
      <c r="CD70" s="231">
        <f>CC70+0.48</f>
        <v>109.48</v>
      </c>
      <c r="CE70" s="231">
        <f t="shared" ref="CE70:CE71" si="67">CD70</f>
        <v>109.48</v>
      </c>
      <c r="CF70" s="231">
        <f t="shared" ref="CF70:CF71" si="68">CE70</f>
        <v>109.48</v>
      </c>
      <c r="CG70" s="231">
        <f t="shared" ref="CG70:CG71" si="69">CF70</f>
        <v>109.48</v>
      </c>
      <c r="CH70" s="231">
        <f t="shared" ref="CH70:CH71" si="70">CG70</f>
        <v>109.48</v>
      </c>
      <c r="CI70" s="231">
        <f>CH70</f>
        <v>109.48</v>
      </c>
      <c r="CJ70" s="231">
        <f t="shared" ref="CJ70:CJ71" si="71">CI70</f>
        <v>109.48</v>
      </c>
      <c r="CK70" s="231">
        <f t="shared" ref="CK70:CK71" si="72">CJ70</f>
        <v>109.48</v>
      </c>
      <c r="CL70" s="231">
        <f t="shared" ref="CL70:CL71" si="73">CK70</f>
        <v>109.48</v>
      </c>
      <c r="CM70" s="231">
        <f t="shared" ref="CM70:CM71" si="74">CL70</f>
        <v>109.48</v>
      </c>
      <c r="CN70" s="231">
        <f t="shared" ref="CN70:CN71" si="75">CM70</f>
        <v>109.48</v>
      </c>
      <c r="CO70" s="231">
        <f t="shared" ref="CO70:CO71" si="76">CN70</f>
        <v>109.48</v>
      </c>
      <c r="CP70" s="231">
        <f t="shared" ref="CP70:CP71" si="77">CO70</f>
        <v>109.48</v>
      </c>
      <c r="CQ70" s="231">
        <f t="shared" ref="CQ70:CQ71" si="78">CP70</f>
        <v>109.48</v>
      </c>
      <c r="CR70" s="231">
        <f t="shared" ref="CR70:CR71" si="79">CQ70</f>
        <v>109.48</v>
      </c>
      <c r="CS70" s="231">
        <f>CR70-0.07+0.0003662</f>
        <v>109.41036620000001</v>
      </c>
      <c r="CT70" s="231">
        <f t="shared" ref="CT70:CT71" si="80">CS70</f>
        <v>109.41036620000001</v>
      </c>
      <c r="CU70" s="231">
        <f t="shared" ref="CU70:CU71" si="81">CT70</f>
        <v>109.41036620000001</v>
      </c>
      <c r="CV70" s="231">
        <f t="shared" ref="CV70:CV71" si="82">CU70</f>
        <v>109.41036620000001</v>
      </c>
      <c r="CW70" s="231">
        <f t="shared" ref="CW70:CW71" si="83">CV70</f>
        <v>109.41036620000001</v>
      </c>
      <c r="CX70" s="231">
        <f t="shared" ref="CX70:CX71" si="84">CW70</f>
        <v>109.41036620000001</v>
      </c>
    </row>
    <row r="71" spans="1:102" x14ac:dyDescent="0.2">
      <c r="B71" s="63" t="s">
        <v>68</v>
      </c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94">
        <v>-1837</v>
      </c>
      <c r="AB71" s="194"/>
      <c r="AC71" s="194"/>
      <c r="AD71" s="194"/>
      <c r="AE71" s="194"/>
      <c r="AF71" s="194">
        <v>-1837</v>
      </c>
      <c r="AG71" s="194"/>
      <c r="AH71" s="194"/>
      <c r="AI71" s="194"/>
      <c r="AJ71" s="194"/>
      <c r="AK71" s="194">
        <v>-1837</v>
      </c>
      <c r="AL71" s="194"/>
      <c r="AM71" s="194"/>
      <c r="AN71" s="194"/>
      <c r="AO71" s="194"/>
      <c r="AP71" s="194">
        <v>-1837</v>
      </c>
      <c r="AQ71" s="194">
        <v>-1837</v>
      </c>
      <c r="AR71" s="194">
        <v>-1837</v>
      </c>
      <c r="AS71" s="194">
        <v>-1837</v>
      </c>
      <c r="AT71" s="194">
        <v>-1837</v>
      </c>
      <c r="AU71" s="194">
        <v>-1837</v>
      </c>
      <c r="AV71" s="110"/>
      <c r="AW71" s="110"/>
      <c r="AX71" s="110"/>
      <c r="AY71" s="110"/>
      <c r="AZ71" s="194">
        <v>-1837</v>
      </c>
      <c r="BA71" s="194"/>
      <c r="BB71" s="194"/>
      <c r="BC71" s="194"/>
      <c r="BD71" s="194"/>
      <c r="BE71" s="194">
        <v>-1837</v>
      </c>
      <c r="BF71" s="194"/>
      <c r="BG71" s="194"/>
      <c r="BH71" s="194"/>
      <c r="BI71" s="194"/>
      <c r="BJ71" s="194">
        <v>-1837</v>
      </c>
      <c r="BK71" s="194"/>
      <c r="BL71" s="194"/>
      <c r="BM71" s="194"/>
      <c r="BN71" s="194"/>
      <c r="BO71" s="194">
        <v>-1837</v>
      </c>
      <c r="BP71" s="194"/>
      <c r="BQ71" s="194"/>
      <c r="BR71" s="194"/>
      <c r="BS71" s="194"/>
      <c r="BT71" s="194">
        <v>-7837</v>
      </c>
      <c r="BU71" s="194">
        <v>-7837</v>
      </c>
      <c r="BV71" s="194">
        <v>-7837</v>
      </c>
      <c r="BW71" s="194">
        <v>-7837</v>
      </c>
      <c r="BX71" s="319">
        <v>-7837</v>
      </c>
      <c r="BY71" s="206">
        <f t="shared" ref="BY71:CD73" si="85">BX71</f>
        <v>-7837</v>
      </c>
      <c r="BZ71" s="231">
        <f t="shared" si="85"/>
        <v>-7837</v>
      </c>
      <c r="CA71" s="231">
        <f t="shared" si="85"/>
        <v>-7837</v>
      </c>
      <c r="CB71" s="231">
        <f t="shared" si="85"/>
        <v>-7837</v>
      </c>
      <c r="CC71" s="231">
        <f t="shared" si="85"/>
        <v>-7837</v>
      </c>
      <c r="CD71" s="231">
        <f t="shared" si="85"/>
        <v>-7837</v>
      </c>
      <c r="CE71" s="231">
        <f t="shared" si="67"/>
        <v>-7837</v>
      </c>
      <c r="CF71" s="231">
        <f t="shared" si="68"/>
        <v>-7837</v>
      </c>
      <c r="CG71" s="231">
        <f t="shared" si="69"/>
        <v>-7837</v>
      </c>
      <c r="CH71" s="231">
        <f t="shared" si="70"/>
        <v>-7837</v>
      </c>
      <c r="CI71" s="231">
        <f t="shared" ref="CI71" si="86">CH71</f>
        <v>-7837</v>
      </c>
      <c r="CJ71" s="231">
        <f t="shared" si="71"/>
        <v>-7837</v>
      </c>
      <c r="CK71" s="231">
        <f t="shared" si="72"/>
        <v>-7837</v>
      </c>
      <c r="CL71" s="231">
        <f t="shared" si="73"/>
        <v>-7837</v>
      </c>
      <c r="CM71" s="231">
        <f t="shared" si="74"/>
        <v>-7837</v>
      </c>
      <c r="CN71" s="231">
        <f t="shared" si="75"/>
        <v>-7837</v>
      </c>
      <c r="CO71" s="231">
        <f t="shared" si="76"/>
        <v>-7837</v>
      </c>
      <c r="CP71" s="231">
        <f t="shared" si="77"/>
        <v>-7837</v>
      </c>
      <c r="CQ71" s="231">
        <f t="shared" si="78"/>
        <v>-7837</v>
      </c>
      <c r="CR71" s="231">
        <f t="shared" si="79"/>
        <v>-7837</v>
      </c>
      <c r="CS71" s="231">
        <f t="shared" ref="CS71" si="87">CR71</f>
        <v>-7837</v>
      </c>
      <c r="CT71" s="231">
        <f t="shared" si="80"/>
        <v>-7837</v>
      </c>
      <c r="CU71" s="231">
        <f t="shared" si="81"/>
        <v>-7837</v>
      </c>
      <c r="CV71" s="231">
        <f t="shared" si="82"/>
        <v>-7837</v>
      </c>
      <c r="CW71" s="231">
        <f t="shared" si="83"/>
        <v>-7837</v>
      </c>
      <c r="CX71" s="231">
        <f t="shared" si="84"/>
        <v>-7837</v>
      </c>
    </row>
    <row r="72" spans="1:102" x14ac:dyDescent="0.2">
      <c r="B72" s="63" t="s">
        <v>69</v>
      </c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94">
        <v>9573</v>
      </c>
      <c r="AB72" s="194"/>
      <c r="AC72" s="194"/>
      <c r="AD72" s="194"/>
      <c r="AE72" s="194"/>
      <c r="AF72" s="194">
        <v>11135</v>
      </c>
      <c r="AG72" s="194"/>
      <c r="AH72" s="194"/>
      <c r="AI72" s="194"/>
      <c r="AJ72" s="194"/>
      <c r="AK72" s="194">
        <v>13394</v>
      </c>
      <c r="AL72" s="194"/>
      <c r="AM72" s="194"/>
      <c r="AN72" s="194"/>
      <c r="AO72" s="194"/>
      <c r="AP72" s="194">
        <v>17186</v>
      </c>
      <c r="AQ72" s="194"/>
      <c r="AR72" s="194"/>
      <c r="AS72" s="194"/>
      <c r="AT72" s="194"/>
      <c r="AU72" s="194">
        <v>21389</v>
      </c>
      <c r="AV72" s="110"/>
      <c r="AW72" s="110"/>
      <c r="AX72" s="110"/>
      <c r="AY72" s="110"/>
      <c r="AZ72" s="194">
        <v>26791</v>
      </c>
      <c r="BA72" s="194"/>
      <c r="BB72" s="194"/>
      <c r="BC72" s="194"/>
      <c r="BD72" s="194"/>
      <c r="BE72" s="194">
        <v>33658</v>
      </c>
      <c r="BF72" s="194"/>
      <c r="BG72" s="194"/>
      <c r="BH72" s="194"/>
      <c r="BI72" s="194"/>
      <c r="BJ72" s="194">
        <v>42865</v>
      </c>
      <c r="BK72" s="194"/>
      <c r="BL72" s="194"/>
      <c r="BM72" s="194"/>
      <c r="BN72" s="194"/>
      <c r="BO72" s="194">
        <v>55437</v>
      </c>
      <c r="BP72" s="194"/>
      <c r="BQ72" s="194"/>
      <c r="BR72" s="194"/>
      <c r="BS72" s="194"/>
      <c r="BT72" s="194">
        <v>75066</v>
      </c>
      <c r="BU72" s="194">
        <v>79863</v>
      </c>
      <c r="BV72" s="194">
        <v>86896</v>
      </c>
      <c r="BW72" s="194">
        <v>92711</v>
      </c>
      <c r="BX72" s="319">
        <v>99025</v>
      </c>
      <c r="BY72" s="206">
        <f t="shared" si="85"/>
        <v>99025</v>
      </c>
      <c r="BZ72" s="227"/>
      <c r="CA72" s="227"/>
      <c r="CB72" s="227"/>
      <c r="CC72" s="227"/>
      <c r="CD72" s="232">
        <f>AVERAGE(BY72,BT72,BO72,BJ72,BE72)*(1+'CAGR-Based Elements'!$B$12)</f>
        <v>77320.290624146233</v>
      </c>
      <c r="CE72" s="232"/>
      <c r="CF72" s="232"/>
      <c r="CG72" s="232"/>
      <c r="CH72" s="232"/>
      <c r="CI72" s="232">
        <f>AVERAGE(CD72,BY72,BT72,BO72,BJ72)*(1+'CAGR-Based Elements'!$B$12)</f>
        <v>88351.06980923278</v>
      </c>
      <c r="CJ72" s="232"/>
      <c r="CK72" s="232"/>
      <c r="CL72" s="232"/>
      <c r="CM72" s="232"/>
      <c r="CN72" s="232">
        <f>AVERAGE(CI72,CD72,BY72,BT72,BO72)*(1+'CAGR-Based Elements'!$B$12)</f>
        <v>99842.605981308952</v>
      </c>
      <c r="CO72" s="232"/>
      <c r="CP72" s="232"/>
      <c r="CQ72" s="232"/>
      <c r="CR72" s="232"/>
      <c r="CS72" s="232">
        <f>AVERAGE(CN72,CI72,CD72,BY72,BT72)*(1+'CAGR-Based Elements'!$B$12)</f>
        <v>111061.17530412159</v>
      </c>
      <c r="CT72" s="232"/>
      <c r="CU72" s="232"/>
      <c r="CV72" s="232"/>
      <c r="CW72" s="232"/>
      <c r="CX72" s="232">
        <f>AVERAGE(CS72,CN72,CI72,CD72,BY72)*(1+'CAGR-Based Elements'!$B$12)</f>
        <v>120154.94534761686</v>
      </c>
    </row>
    <row r="73" spans="1:102" x14ac:dyDescent="0.2">
      <c r="B73" s="63" t="s">
        <v>70</v>
      </c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94">
        <v>-185</v>
      </c>
      <c r="AB73" s="194"/>
      <c r="AC73" s="194"/>
      <c r="AD73" s="194"/>
      <c r="AE73" s="194"/>
      <c r="AF73" s="194">
        <v>-511</v>
      </c>
      <c r="AG73" s="194"/>
      <c r="AH73" s="194"/>
      <c r="AI73" s="194"/>
      <c r="AJ73" s="194"/>
      <c r="AK73" s="194">
        <v>-723</v>
      </c>
      <c r="AL73" s="194"/>
      <c r="AM73" s="194"/>
      <c r="AN73" s="194"/>
      <c r="AO73" s="194"/>
      <c r="AP73" s="194">
        <v>-985</v>
      </c>
      <c r="AQ73" s="194"/>
      <c r="AR73" s="194"/>
      <c r="AS73" s="194"/>
      <c r="AT73" s="194"/>
      <c r="AU73" s="194">
        <v>-484</v>
      </c>
      <c r="AV73" s="110"/>
      <c r="AW73" s="110"/>
      <c r="AX73" s="110"/>
      <c r="AY73" s="110"/>
      <c r="AZ73" s="194">
        <v>-1035</v>
      </c>
      <c r="BA73" s="194"/>
      <c r="BB73" s="194"/>
      <c r="BC73" s="194"/>
      <c r="BD73" s="194"/>
      <c r="BE73" s="194">
        <v>-986</v>
      </c>
      <c r="BF73" s="194"/>
      <c r="BG73" s="194"/>
      <c r="BH73" s="194"/>
      <c r="BI73" s="194"/>
      <c r="BJ73" s="194">
        <v>-180</v>
      </c>
      <c r="BK73" s="194"/>
      <c r="BL73" s="194"/>
      <c r="BM73" s="194"/>
      <c r="BN73" s="194"/>
      <c r="BO73" s="194">
        <v>-1376</v>
      </c>
      <c r="BP73" s="194"/>
      <c r="BQ73" s="194"/>
      <c r="BR73" s="194"/>
      <c r="BS73" s="194"/>
      <c r="BT73" s="194">
        <v>-4487</v>
      </c>
      <c r="BU73" s="194">
        <v>-3973</v>
      </c>
      <c r="BV73" s="194">
        <v>-3680</v>
      </c>
      <c r="BW73" s="194">
        <v>-5003</v>
      </c>
      <c r="BX73" s="319">
        <v>-3040</v>
      </c>
      <c r="BY73" s="206">
        <f t="shared" si="85"/>
        <v>-3040</v>
      </c>
      <c r="BZ73" s="227"/>
      <c r="CA73" s="227"/>
      <c r="CB73" s="227"/>
      <c r="CC73" s="227"/>
      <c r="CD73" s="232">
        <f>AVERAGE(BY73,BT73,BO73,BJ73,BE73)*(1+'CAGR-Based Elements'!$B$13)</f>
        <v>-2664.3208415180188</v>
      </c>
      <c r="CE73" s="232">
        <f>AVERAGE(BZ73,BU73,BP73,BK73,BF73)*(1+'CAGR-Based Elements'!$B$13)</f>
        <v>-5256.4041629511821</v>
      </c>
      <c r="CF73" s="232">
        <f>AVERAGE(CA73,BV73,BQ73,BL73,BG73)*(1+'CAGR-Based Elements'!$B$13)</f>
        <v>-4868.7559324591866</v>
      </c>
      <c r="CG73" s="232">
        <f>AVERAGE(CB73,BW73,BR73,BM73,BH73)*(1+'CAGR-Based Elements'!$B$13)</f>
        <v>-6619.1266114383998</v>
      </c>
      <c r="CH73" s="232">
        <f>AVERAGE(CC73,BX73,BS73,BN73,BI73)*(1+'CAGR-Based Elements'!$B$13)</f>
        <v>-4022.0157702923716</v>
      </c>
      <c r="CI73" s="232">
        <f>AVERAGE(CD73,BY73,BT73,BO73,BJ73)*(1+'CAGR-Based Elements'!$B$13)</f>
        <v>-3108.4151107414295</v>
      </c>
      <c r="CJ73" s="232">
        <f>AVERAGE(CE73,BZ73,BU73,BP73,BK73)*(1+'CAGR-Based Elements'!$B$13)</f>
        <v>-6105.3962325315324</v>
      </c>
      <c r="CK73" s="232">
        <f>AVERAGE(CF73,CA73,BV73,BQ73,BL73)*(1+'CAGR-Based Elements'!$B$13)</f>
        <v>-5655.1367066992289</v>
      </c>
      <c r="CL73" s="232">
        <f>AVERAGE(CG73,CB73,BW73,BR73,BM73)*(1+'CAGR-Based Elements'!$B$13)</f>
        <v>-7688.2198216348497</v>
      </c>
      <c r="CM73" s="232">
        <f>AVERAGE(CH73,CC73,BX73,BS73,BN73)*(1+'CAGR-Based Elements'!$B$13)</f>
        <v>-4671.6346707515377</v>
      </c>
      <c r="CN73" s="232">
        <f>AVERAGE(CI73,CD73,BY73,BT73,BO73)*(1+'CAGR-Based Elements'!$B$13)</f>
        <v>-3883.2922000417266</v>
      </c>
      <c r="CO73" s="232">
        <f>AVERAGE(CJ73,CE73,BZ73,BU73,BP73)*(1+'CAGR-Based Elements'!$B$13)</f>
        <v>-6762.8080071181112</v>
      </c>
      <c r="CP73" s="232">
        <f>AVERAGE(CK73,CF73,CA73,BV73,BQ73)*(1+'CAGR-Based Elements'!$B$13)</f>
        <v>-6264.065810771368</v>
      </c>
      <c r="CQ73" s="232">
        <f>AVERAGE(CL73,CG73,CB73,BW73,BR73)*(1+'CAGR-Based Elements'!$B$13)</f>
        <v>-8516.0655574155317</v>
      </c>
      <c r="CR73" s="232">
        <f>AVERAGE(CM73,CH73,CC73,BX73,BS73)*(1+'CAGR-Based Elements'!$B$13)</f>
        <v>-5174.6630610720003</v>
      </c>
      <c r="CS73" s="232">
        <f>AVERAGE(CN73,CI73,CD73,BY73,BT73)*(1+'CAGR-Based Elements'!$B$13)</f>
        <v>-4546.7375138113894</v>
      </c>
      <c r="CT73" s="232">
        <f>AVERAGE(CO73,CJ73,CE73,BZ73,BU73)*(1+'CAGR-Based Elements'!$B$13)</f>
        <v>-7308.9580165300777</v>
      </c>
      <c r="CU73" s="232">
        <f>AVERAGE(CP73,CK73,CF73,CA73,BV73)*(1+'CAGR-Based Elements'!$B$13)</f>
        <v>-6769.9384598113966</v>
      </c>
      <c r="CV73" s="232">
        <f>AVERAGE(CQ73,CL73,CG73,CB73,BW73)*(1+'CAGR-Based Elements'!$B$13)</f>
        <v>-9203.8049224012029</v>
      </c>
      <c r="CW73" s="232">
        <f>AVERAGE(CR73,CM73,CH73,CC73,BX73)*(1+'CAGR-Based Elements'!$B$13)</f>
        <v>-5592.5578581050686</v>
      </c>
      <c r="CX73" s="232">
        <f>AVERAGE(CS73,CN73,CI73,CD73,BY73)*(1+'CAGR-Based Elements'!$B$13)</f>
        <v>-4562.5444363526703</v>
      </c>
    </row>
    <row r="74" spans="1:102" x14ac:dyDescent="0.2">
      <c r="B74" s="63" t="s">
        <v>71</v>
      </c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94">
        <v>2190</v>
      </c>
      <c r="AB74" s="194"/>
      <c r="AC74" s="194"/>
      <c r="AD74" s="194"/>
      <c r="AE74" s="194"/>
      <c r="AF74" s="194">
        <v>1949</v>
      </c>
      <c r="AG74" s="194"/>
      <c r="AH74" s="194"/>
      <c r="AI74" s="194"/>
      <c r="AJ74" s="194"/>
      <c r="AK74" s="194">
        <v>2545</v>
      </c>
      <c r="AL74" s="194"/>
      <c r="AM74" s="194"/>
      <c r="AN74" s="194"/>
      <c r="AO74" s="194"/>
      <c r="AP74" s="194">
        <v>4916</v>
      </c>
      <c r="AQ74" s="194"/>
      <c r="AR74" s="194"/>
      <c r="AS74" s="194"/>
      <c r="AT74" s="194"/>
      <c r="AU74" s="194">
        <v>8636</v>
      </c>
      <c r="AV74" s="110"/>
      <c r="AW74" s="110"/>
      <c r="AX74" s="110"/>
      <c r="AY74" s="110"/>
      <c r="AZ74" s="194">
        <v>19625</v>
      </c>
      <c r="BA74" s="194"/>
      <c r="BB74" s="194"/>
      <c r="BC74" s="194"/>
      <c r="BD74" s="194"/>
      <c r="BE74" s="194">
        <v>31220</v>
      </c>
      <c r="BF74" s="194"/>
      <c r="BG74" s="194"/>
      <c r="BH74" s="194"/>
      <c r="BI74" s="194"/>
      <c r="BJ74" s="194">
        <v>52551</v>
      </c>
      <c r="BK74" s="194"/>
      <c r="BL74" s="194"/>
      <c r="BM74" s="194"/>
      <c r="BN74" s="194"/>
      <c r="BO74" s="194">
        <v>85915</v>
      </c>
      <c r="BP74" s="194"/>
      <c r="BQ74" s="194"/>
      <c r="BR74" s="194"/>
      <c r="BS74" s="194"/>
      <c r="BT74" s="194">
        <v>83193</v>
      </c>
      <c r="BU74" s="194">
        <v>86365</v>
      </c>
      <c r="BV74" s="194">
        <v>93115</v>
      </c>
      <c r="BW74" s="194">
        <v>102994</v>
      </c>
      <c r="BX74" s="319">
        <v>113618</v>
      </c>
      <c r="BY74" s="206">
        <f>BX74</f>
        <v>113618</v>
      </c>
      <c r="BZ74" s="227"/>
      <c r="CA74" s="227"/>
      <c r="CB74" s="227"/>
      <c r="CC74" s="227"/>
      <c r="CD74" s="227">
        <f>BY74+CD29</f>
        <v>132368.25272092849</v>
      </c>
      <c r="CE74" s="227"/>
      <c r="CF74" s="227"/>
      <c r="CG74" s="227"/>
      <c r="CH74" s="227"/>
      <c r="CI74" s="227">
        <f>CD74+CI29</f>
        <v>155626.23990718057</v>
      </c>
      <c r="CJ74" s="227"/>
      <c r="CK74" s="227"/>
      <c r="CL74" s="227"/>
      <c r="CM74" s="227"/>
      <c r="CN74" s="227">
        <f>CI74+CN29</f>
        <v>184610.61800526176</v>
      </c>
      <c r="CO74" s="227"/>
      <c r="CP74" s="227"/>
      <c r="CQ74" s="227"/>
      <c r="CR74" s="227"/>
      <c r="CS74" s="227">
        <f>CN74+CS29</f>
        <v>220896.48873218667</v>
      </c>
      <c r="CT74" s="227"/>
      <c r="CU74" s="227"/>
      <c r="CV74" s="227"/>
      <c r="CW74" s="227"/>
      <c r="CX74" s="227">
        <f>CS74+CX29</f>
        <v>266524.70771933353</v>
      </c>
    </row>
    <row r="75" spans="1:102" x14ac:dyDescent="0.2">
      <c r="A75" s="111"/>
      <c r="B75" s="111" t="s">
        <v>72</v>
      </c>
      <c r="C75" s="112">
        <f>SUM(C71:C74)</f>
        <v>0</v>
      </c>
      <c r="D75" s="112">
        <f t="shared" ref="D75:Z75" si="88">SUM(D71:D74)</f>
        <v>0</v>
      </c>
      <c r="E75" s="112">
        <f t="shared" si="88"/>
        <v>0</v>
      </c>
      <c r="F75" s="112">
        <f t="shared" si="88"/>
        <v>0</v>
      </c>
      <c r="G75" s="112">
        <f t="shared" si="88"/>
        <v>0</v>
      </c>
      <c r="H75" s="112">
        <f t="shared" si="88"/>
        <v>0</v>
      </c>
      <c r="I75" s="112">
        <f t="shared" si="88"/>
        <v>0</v>
      </c>
      <c r="J75" s="112">
        <f t="shared" si="88"/>
        <v>0</v>
      </c>
      <c r="K75" s="112">
        <f t="shared" si="88"/>
        <v>0</v>
      </c>
      <c r="L75" s="112">
        <f t="shared" si="88"/>
        <v>0</v>
      </c>
      <c r="M75" s="112">
        <f t="shared" si="88"/>
        <v>0</v>
      </c>
      <c r="N75" s="112">
        <f t="shared" si="88"/>
        <v>0</v>
      </c>
      <c r="O75" s="112">
        <f t="shared" si="88"/>
        <v>0</v>
      </c>
      <c r="P75" s="112">
        <f t="shared" si="88"/>
        <v>0</v>
      </c>
      <c r="Q75" s="112">
        <f t="shared" si="88"/>
        <v>0</v>
      </c>
      <c r="R75" s="112">
        <f t="shared" si="88"/>
        <v>0</v>
      </c>
      <c r="S75" s="112">
        <f t="shared" si="88"/>
        <v>0</v>
      </c>
      <c r="T75" s="112">
        <f t="shared" si="88"/>
        <v>0</v>
      </c>
      <c r="U75" s="112">
        <f t="shared" si="88"/>
        <v>0</v>
      </c>
      <c r="V75" s="112">
        <f t="shared" si="88"/>
        <v>0</v>
      </c>
      <c r="W75" s="112">
        <f t="shared" si="88"/>
        <v>0</v>
      </c>
      <c r="X75" s="112">
        <f t="shared" si="88"/>
        <v>0</v>
      </c>
      <c r="Y75" s="112">
        <f t="shared" si="88"/>
        <v>0</v>
      </c>
      <c r="Z75" s="112">
        <f t="shared" si="88"/>
        <v>0</v>
      </c>
      <c r="AA75" s="195">
        <f>SUM(AA70:AA74)</f>
        <v>9746</v>
      </c>
      <c r="AB75" s="195">
        <f t="shared" ref="AB75:AY75" si="89">SUM(AB70:AB74)</f>
        <v>0</v>
      </c>
      <c r="AC75" s="195">
        <f t="shared" si="89"/>
        <v>0</v>
      </c>
      <c r="AD75" s="195">
        <f t="shared" si="89"/>
        <v>0</v>
      </c>
      <c r="AE75" s="195">
        <f t="shared" si="89"/>
        <v>0</v>
      </c>
      <c r="AF75" s="195">
        <f t="shared" si="89"/>
        <v>10741</v>
      </c>
      <c r="AG75" s="195">
        <f t="shared" si="89"/>
        <v>0</v>
      </c>
      <c r="AH75" s="195">
        <f t="shared" si="89"/>
        <v>0</v>
      </c>
      <c r="AI75" s="195">
        <f t="shared" si="89"/>
        <v>0</v>
      </c>
      <c r="AJ75" s="195">
        <f t="shared" si="89"/>
        <v>0</v>
      </c>
      <c r="AK75" s="195">
        <f t="shared" si="89"/>
        <v>13384</v>
      </c>
      <c r="AL75" s="195">
        <f t="shared" si="89"/>
        <v>0</v>
      </c>
      <c r="AM75" s="195">
        <f t="shared" si="89"/>
        <v>0</v>
      </c>
      <c r="AN75" s="195">
        <f t="shared" si="89"/>
        <v>0</v>
      </c>
      <c r="AO75" s="195">
        <f t="shared" si="89"/>
        <v>0</v>
      </c>
      <c r="AP75" s="195">
        <f t="shared" si="89"/>
        <v>19285</v>
      </c>
      <c r="AQ75" s="195">
        <f t="shared" si="89"/>
        <v>-1837</v>
      </c>
      <c r="AR75" s="195">
        <f t="shared" si="89"/>
        <v>-1837</v>
      </c>
      <c r="AS75" s="195">
        <f t="shared" si="89"/>
        <v>-1837</v>
      </c>
      <c r="AT75" s="195">
        <f t="shared" si="89"/>
        <v>-1837</v>
      </c>
      <c r="AU75" s="195">
        <f t="shared" si="89"/>
        <v>27709</v>
      </c>
      <c r="AV75" s="195">
        <f t="shared" si="89"/>
        <v>0</v>
      </c>
      <c r="AW75" s="195">
        <f t="shared" si="89"/>
        <v>0</v>
      </c>
      <c r="AX75" s="195">
        <f t="shared" si="89"/>
        <v>0</v>
      </c>
      <c r="AY75" s="195">
        <f t="shared" si="89"/>
        <v>0</v>
      </c>
      <c r="AZ75" s="195">
        <f>SUM(AZ70:AZ74)</f>
        <v>43549</v>
      </c>
      <c r="BA75" s="195">
        <f t="shared" ref="BA75:CX75" si="90">SUM(BA70:BA74)</f>
        <v>0</v>
      </c>
      <c r="BB75" s="195">
        <f t="shared" si="90"/>
        <v>0</v>
      </c>
      <c r="BC75" s="195">
        <f t="shared" si="90"/>
        <v>0</v>
      </c>
      <c r="BD75" s="195">
        <f t="shared" si="90"/>
        <v>0</v>
      </c>
      <c r="BE75" s="195">
        <f t="shared" si="90"/>
        <v>62060</v>
      </c>
      <c r="BF75" s="195">
        <f t="shared" si="90"/>
        <v>0</v>
      </c>
      <c r="BG75" s="195">
        <f t="shared" si="90"/>
        <v>0</v>
      </c>
      <c r="BH75" s="195">
        <f t="shared" si="90"/>
        <v>0</v>
      </c>
      <c r="BI75" s="195">
        <f t="shared" si="90"/>
        <v>0</v>
      </c>
      <c r="BJ75" s="195">
        <f t="shared" si="90"/>
        <v>93404</v>
      </c>
      <c r="BK75" s="195">
        <f t="shared" si="90"/>
        <v>0</v>
      </c>
      <c r="BL75" s="195">
        <f t="shared" si="90"/>
        <v>0</v>
      </c>
      <c r="BM75" s="195">
        <f t="shared" si="90"/>
        <v>0</v>
      </c>
      <c r="BN75" s="195">
        <f t="shared" si="90"/>
        <v>0</v>
      </c>
      <c r="BO75" s="195">
        <f t="shared" si="90"/>
        <v>138245</v>
      </c>
      <c r="BP75" s="195">
        <f t="shared" si="90"/>
        <v>0</v>
      </c>
      <c r="BQ75" s="195">
        <f t="shared" si="90"/>
        <v>0</v>
      </c>
      <c r="BR75" s="195">
        <f t="shared" si="90"/>
        <v>0</v>
      </c>
      <c r="BS75" s="195">
        <f t="shared" si="90"/>
        <v>0</v>
      </c>
      <c r="BT75" s="195">
        <f t="shared" si="90"/>
        <v>146043</v>
      </c>
      <c r="BU75" s="195">
        <f t="shared" si="90"/>
        <v>154526</v>
      </c>
      <c r="BV75" s="195">
        <f t="shared" si="90"/>
        <v>168602</v>
      </c>
      <c r="BW75" s="195">
        <f t="shared" si="90"/>
        <v>182973</v>
      </c>
      <c r="BX75" s="195">
        <f t="shared" si="90"/>
        <v>201875</v>
      </c>
      <c r="BY75" s="195">
        <f t="shared" si="90"/>
        <v>201875</v>
      </c>
      <c r="BZ75" s="195">
        <f t="shared" si="90"/>
        <v>-7728</v>
      </c>
      <c r="CA75" s="195">
        <f t="shared" si="90"/>
        <v>-7728</v>
      </c>
      <c r="CB75" s="195">
        <f t="shared" si="90"/>
        <v>-7728</v>
      </c>
      <c r="CC75" s="195">
        <f t="shared" si="90"/>
        <v>-7728</v>
      </c>
      <c r="CD75" s="195">
        <f t="shared" si="90"/>
        <v>199296.70250355671</v>
      </c>
      <c r="CE75" s="195"/>
      <c r="CF75" s="195"/>
      <c r="CG75" s="195"/>
      <c r="CH75" s="195"/>
      <c r="CI75" s="195">
        <f t="shared" si="90"/>
        <v>233141.37460567191</v>
      </c>
      <c r="CJ75" s="195"/>
      <c r="CK75" s="195"/>
      <c r="CL75" s="195"/>
      <c r="CM75" s="195"/>
      <c r="CN75" s="195">
        <f t="shared" si="90"/>
        <v>272842.411786529</v>
      </c>
      <c r="CO75" s="195"/>
      <c r="CP75" s="195"/>
      <c r="CQ75" s="195"/>
      <c r="CR75" s="195"/>
      <c r="CS75" s="195">
        <f t="shared" si="90"/>
        <v>319683.33688869688</v>
      </c>
      <c r="CT75" s="195"/>
      <c r="CU75" s="195"/>
      <c r="CV75" s="195"/>
      <c r="CW75" s="195"/>
      <c r="CX75" s="195">
        <f t="shared" si="90"/>
        <v>374389.51899679773</v>
      </c>
    </row>
    <row r="76" spans="1:102" x14ac:dyDescent="0.2">
      <c r="A76" s="111"/>
      <c r="B76" s="111" t="s">
        <v>73</v>
      </c>
      <c r="C76" s="112">
        <f>+C75+C69</f>
        <v>0</v>
      </c>
      <c r="D76" s="112">
        <f t="shared" ref="D76:BO76" si="91">+D75+D69</f>
        <v>0</v>
      </c>
      <c r="E76" s="112">
        <f t="shared" si="91"/>
        <v>0</v>
      </c>
      <c r="F76" s="112">
        <f t="shared" si="91"/>
        <v>0</v>
      </c>
      <c r="G76" s="112">
        <f t="shared" si="91"/>
        <v>0</v>
      </c>
      <c r="H76" s="112">
        <f t="shared" si="91"/>
        <v>0</v>
      </c>
      <c r="I76" s="112">
        <f t="shared" si="91"/>
        <v>0</v>
      </c>
      <c r="J76" s="112">
        <f t="shared" si="91"/>
        <v>0</v>
      </c>
      <c r="K76" s="112">
        <f t="shared" si="91"/>
        <v>0</v>
      </c>
      <c r="L76" s="112">
        <f t="shared" si="91"/>
        <v>0</v>
      </c>
      <c r="M76" s="112">
        <f t="shared" si="91"/>
        <v>0</v>
      </c>
      <c r="N76" s="112">
        <f t="shared" si="91"/>
        <v>0</v>
      </c>
      <c r="O76" s="112">
        <f t="shared" si="91"/>
        <v>0</v>
      </c>
      <c r="P76" s="112">
        <f t="shared" si="91"/>
        <v>0</v>
      </c>
      <c r="Q76" s="112">
        <f t="shared" si="91"/>
        <v>0</v>
      </c>
      <c r="R76" s="112">
        <f t="shared" si="91"/>
        <v>0</v>
      </c>
      <c r="S76" s="112">
        <f t="shared" si="91"/>
        <v>0</v>
      </c>
      <c r="T76" s="112">
        <f t="shared" si="91"/>
        <v>0</v>
      </c>
      <c r="U76" s="112">
        <f t="shared" si="91"/>
        <v>0</v>
      </c>
      <c r="V76" s="112">
        <f t="shared" si="91"/>
        <v>0</v>
      </c>
      <c r="W76" s="112">
        <f t="shared" si="91"/>
        <v>0</v>
      </c>
      <c r="X76" s="112">
        <f t="shared" si="91"/>
        <v>0</v>
      </c>
      <c r="Y76" s="112">
        <f t="shared" si="91"/>
        <v>0</v>
      </c>
      <c r="Z76" s="112">
        <f t="shared" si="91"/>
        <v>0</v>
      </c>
      <c r="AA76" s="195">
        <f t="shared" si="91"/>
        <v>40159</v>
      </c>
      <c r="AB76" s="195">
        <f t="shared" si="91"/>
        <v>0</v>
      </c>
      <c r="AC76" s="195">
        <f t="shared" si="91"/>
        <v>0</v>
      </c>
      <c r="AD76" s="195">
        <f t="shared" si="91"/>
        <v>0</v>
      </c>
      <c r="AE76" s="195">
        <f t="shared" si="91"/>
        <v>0</v>
      </c>
      <c r="AF76" s="195">
        <f t="shared" si="91"/>
        <v>54505</v>
      </c>
      <c r="AG76" s="195">
        <f t="shared" si="91"/>
        <v>0</v>
      </c>
      <c r="AH76" s="195">
        <f t="shared" si="91"/>
        <v>0</v>
      </c>
      <c r="AI76" s="195">
        <f t="shared" si="91"/>
        <v>0</v>
      </c>
      <c r="AJ76" s="195">
        <f t="shared" si="91"/>
        <v>0</v>
      </c>
      <c r="AK76" s="195">
        <f t="shared" si="91"/>
        <v>64747</v>
      </c>
      <c r="AL76" s="195">
        <f t="shared" si="91"/>
        <v>0</v>
      </c>
      <c r="AM76" s="195">
        <f t="shared" si="91"/>
        <v>0</v>
      </c>
      <c r="AN76" s="195">
        <f t="shared" si="91"/>
        <v>0</v>
      </c>
      <c r="AO76" s="195">
        <f t="shared" si="91"/>
        <v>0</v>
      </c>
      <c r="AP76" s="195">
        <f>+AP75+AP69</f>
        <v>83402</v>
      </c>
      <c r="AQ76" s="195">
        <f t="shared" si="91"/>
        <v>-1837</v>
      </c>
      <c r="AR76" s="195">
        <f t="shared" si="91"/>
        <v>-1837</v>
      </c>
      <c r="AS76" s="195">
        <f t="shared" si="91"/>
        <v>-1837</v>
      </c>
      <c r="AT76" s="195">
        <f>+AT75+AT69</f>
        <v>-1837</v>
      </c>
      <c r="AU76" s="195">
        <f>+AU75+AU69</f>
        <v>131310</v>
      </c>
      <c r="AV76" s="113">
        <f t="shared" si="91"/>
        <v>0</v>
      </c>
      <c r="AW76" s="113">
        <f t="shared" si="91"/>
        <v>0</v>
      </c>
      <c r="AX76" s="113">
        <f t="shared" si="91"/>
        <v>0</v>
      </c>
      <c r="AY76" s="113">
        <f t="shared" si="91"/>
        <v>0</v>
      </c>
      <c r="AZ76" s="195">
        <f t="shared" si="91"/>
        <v>162648</v>
      </c>
      <c r="BA76" s="195">
        <f t="shared" si="91"/>
        <v>0</v>
      </c>
      <c r="BB76" s="195">
        <f t="shared" si="91"/>
        <v>0</v>
      </c>
      <c r="BC76" s="195">
        <f t="shared" si="91"/>
        <v>0</v>
      </c>
      <c r="BD76" s="195">
        <f>+BD75+BD69</f>
        <v>0</v>
      </c>
      <c r="BE76" s="195">
        <f t="shared" si="91"/>
        <v>225248</v>
      </c>
      <c r="BF76" s="195">
        <f t="shared" si="91"/>
        <v>0</v>
      </c>
      <c r="BG76" s="195">
        <f t="shared" si="91"/>
        <v>0</v>
      </c>
      <c r="BH76" s="195">
        <f t="shared" si="91"/>
        <v>0</v>
      </c>
      <c r="BI76" s="195">
        <f t="shared" si="91"/>
        <v>0</v>
      </c>
      <c r="BJ76" s="195">
        <f t="shared" si="91"/>
        <v>321195</v>
      </c>
      <c r="BK76" s="195">
        <f t="shared" si="91"/>
        <v>0</v>
      </c>
      <c r="BL76" s="195">
        <f t="shared" si="91"/>
        <v>0</v>
      </c>
      <c r="BM76" s="195">
        <f t="shared" si="91"/>
        <v>0</v>
      </c>
      <c r="BN76" s="195">
        <f t="shared" si="91"/>
        <v>0</v>
      </c>
      <c r="BO76" s="195">
        <f t="shared" si="91"/>
        <v>420549</v>
      </c>
      <c r="BP76" s="195">
        <f t="shared" ref="BP76:CX76" si="92">+BP75+BP69</f>
        <v>0</v>
      </c>
      <c r="BQ76" s="195">
        <f t="shared" si="92"/>
        <v>0</v>
      </c>
      <c r="BR76" s="195">
        <f t="shared" si="92"/>
        <v>0</v>
      </c>
      <c r="BS76" s="195">
        <f t="shared" si="92"/>
        <v>0</v>
      </c>
      <c r="BT76" s="195">
        <f t="shared" si="92"/>
        <v>462675</v>
      </c>
      <c r="BU76" s="195">
        <f t="shared" si="92"/>
        <v>464378</v>
      </c>
      <c r="BV76" s="195">
        <f t="shared" si="92"/>
        <v>477607</v>
      </c>
      <c r="BW76" s="195">
        <f t="shared" si="92"/>
        <v>486883</v>
      </c>
      <c r="BX76" s="195">
        <f t="shared" si="92"/>
        <v>527854</v>
      </c>
      <c r="BY76" s="195">
        <f t="shared" si="92"/>
        <v>527854</v>
      </c>
      <c r="BZ76" s="195">
        <f t="shared" si="92"/>
        <v>-7728</v>
      </c>
      <c r="CA76" s="195">
        <f t="shared" si="92"/>
        <v>-7728</v>
      </c>
      <c r="CB76" s="195">
        <f t="shared" si="92"/>
        <v>-7728</v>
      </c>
      <c r="CC76" s="195">
        <f t="shared" si="92"/>
        <v>-7728</v>
      </c>
      <c r="CD76" s="195">
        <f t="shared" si="92"/>
        <v>571987.13246161677</v>
      </c>
      <c r="CE76" s="195"/>
      <c r="CF76" s="195"/>
      <c r="CG76" s="195"/>
      <c r="CH76" s="195"/>
      <c r="CI76" s="195">
        <f t="shared" si="92"/>
        <v>679417.37251605932</v>
      </c>
      <c r="CJ76" s="195"/>
      <c r="CK76" s="195"/>
      <c r="CL76" s="195"/>
      <c r="CM76" s="195"/>
      <c r="CN76" s="195">
        <f t="shared" si="92"/>
        <v>802556.65800048818</v>
      </c>
      <c r="CO76" s="195"/>
      <c r="CP76" s="195"/>
      <c r="CQ76" s="195"/>
      <c r="CR76" s="195"/>
      <c r="CS76" s="195">
        <f t="shared" si="92"/>
        <v>929892.95758796413</v>
      </c>
      <c r="CT76" s="195"/>
      <c r="CU76" s="195"/>
      <c r="CV76" s="195"/>
      <c r="CW76" s="195"/>
      <c r="CX76" s="195">
        <f t="shared" si="92"/>
        <v>1080356.2773472993</v>
      </c>
    </row>
    <row r="77" spans="1:102" x14ac:dyDescent="0.2">
      <c r="A77" s="114"/>
      <c r="B77" s="114" t="s">
        <v>74</v>
      </c>
      <c r="C77" s="114"/>
      <c r="D77" s="114"/>
      <c r="E77" s="114"/>
      <c r="F77" s="114"/>
      <c r="G77" s="132">
        <f>G60-G76</f>
        <v>0</v>
      </c>
      <c r="H77" s="132"/>
      <c r="I77" s="132"/>
      <c r="J77" s="132"/>
      <c r="K77" s="132"/>
      <c r="L77" s="132">
        <f t="shared" ref="L77:AQ77" si="93">L60-L76</f>
        <v>0</v>
      </c>
      <c r="M77" s="132">
        <f t="shared" si="93"/>
        <v>0</v>
      </c>
      <c r="N77" s="132">
        <f t="shared" si="93"/>
        <v>0</v>
      </c>
      <c r="O77" s="132">
        <f t="shared" si="93"/>
        <v>0</v>
      </c>
      <c r="P77" s="132">
        <f t="shared" si="93"/>
        <v>0</v>
      </c>
      <c r="Q77" s="132">
        <f t="shared" si="93"/>
        <v>0</v>
      </c>
      <c r="R77" s="132">
        <f t="shared" si="93"/>
        <v>0</v>
      </c>
      <c r="S77" s="132">
        <f t="shared" si="93"/>
        <v>0</v>
      </c>
      <c r="T77" s="132">
        <f t="shared" si="93"/>
        <v>0</v>
      </c>
      <c r="U77" s="132">
        <f t="shared" si="93"/>
        <v>0</v>
      </c>
      <c r="V77" s="132">
        <f t="shared" si="93"/>
        <v>0</v>
      </c>
      <c r="W77" s="132">
        <f t="shared" si="93"/>
        <v>0</v>
      </c>
      <c r="X77" s="132">
        <f t="shared" si="93"/>
        <v>0</v>
      </c>
      <c r="Y77" s="132">
        <f t="shared" si="93"/>
        <v>0</v>
      </c>
      <c r="Z77" s="132">
        <f t="shared" si="93"/>
        <v>0</v>
      </c>
      <c r="AA77" s="198">
        <f t="shared" si="93"/>
        <v>0</v>
      </c>
      <c r="AB77" s="198">
        <f t="shared" si="93"/>
        <v>0</v>
      </c>
      <c r="AC77" s="198">
        <f t="shared" si="93"/>
        <v>0</v>
      </c>
      <c r="AD77" s="198">
        <f t="shared" si="93"/>
        <v>0</v>
      </c>
      <c r="AE77" s="198">
        <f t="shared" si="93"/>
        <v>0</v>
      </c>
      <c r="AF77" s="198">
        <f t="shared" si="93"/>
        <v>0</v>
      </c>
      <c r="AG77" s="198">
        <f t="shared" si="93"/>
        <v>0</v>
      </c>
      <c r="AH77" s="198">
        <f t="shared" si="93"/>
        <v>0</v>
      </c>
      <c r="AI77" s="198">
        <f t="shared" si="93"/>
        <v>0</v>
      </c>
      <c r="AJ77" s="198">
        <f t="shared" si="93"/>
        <v>0</v>
      </c>
      <c r="AK77" s="198">
        <f t="shared" si="93"/>
        <v>0</v>
      </c>
      <c r="AL77" s="198">
        <f t="shared" si="93"/>
        <v>0</v>
      </c>
      <c r="AM77" s="198">
        <f t="shared" si="93"/>
        <v>0</v>
      </c>
      <c r="AN77" s="198">
        <f t="shared" si="93"/>
        <v>0</v>
      </c>
      <c r="AO77" s="198">
        <f t="shared" si="93"/>
        <v>0</v>
      </c>
      <c r="AP77" s="198">
        <f t="shared" si="93"/>
        <v>0</v>
      </c>
      <c r="AQ77" s="198">
        <f t="shared" si="93"/>
        <v>1837</v>
      </c>
      <c r="AR77" s="198">
        <f t="shared" ref="AR77:BW77" si="94">AR60-AR76</f>
        <v>1837</v>
      </c>
      <c r="AS77" s="198">
        <f t="shared" si="94"/>
        <v>1837</v>
      </c>
      <c r="AT77" s="198">
        <f t="shared" si="94"/>
        <v>1837</v>
      </c>
      <c r="AU77" s="198">
        <f t="shared" si="94"/>
        <v>0</v>
      </c>
      <c r="AV77" s="132">
        <f t="shared" si="94"/>
        <v>0</v>
      </c>
      <c r="AW77" s="132">
        <f t="shared" si="94"/>
        <v>0</v>
      </c>
      <c r="AX77" s="132">
        <f t="shared" si="94"/>
        <v>0</v>
      </c>
      <c r="AY77" s="132">
        <f t="shared" si="94"/>
        <v>0</v>
      </c>
      <c r="AZ77" s="198">
        <f t="shared" si="94"/>
        <v>0</v>
      </c>
      <c r="BA77" s="198">
        <f t="shared" si="94"/>
        <v>0</v>
      </c>
      <c r="BB77" s="198">
        <f t="shared" si="94"/>
        <v>0</v>
      </c>
      <c r="BC77" s="198">
        <f t="shared" si="94"/>
        <v>0</v>
      </c>
      <c r="BD77" s="198">
        <f t="shared" si="94"/>
        <v>0</v>
      </c>
      <c r="BE77" s="198">
        <f t="shared" si="94"/>
        <v>0</v>
      </c>
      <c r="BF77" s="198">
        <f t="shared" si="94"/>
        <v>0</v>
      </c>
      <c r="BG77" s="198">
        <f t="shared" si="94"/>
        <v>0</v>
      </c>
      <c r="BH77" s="198">
        <f t="shared" si="94"/>
        <v>0</v>
      </c>
      <c r="BI77" s="198">
        <f t="shared" si="94"/>
        <v>0</v>
      </c>
      <c r="BJ77" s="198">
        <f t="shared" si="94"/>
        <v>0</v>
      </c>
      <c r="BK77" s="198">
        <f t="shared" si="94"/>
        <v>0</v>
      </c>
      <c r="BL77" s="198">
        <f t="shared" si="94"/>
        <v>0</v>
      </c>
      <c r="BM77" s="198">
        <f t="shared" si="94"/>
        <v>0</v>
      </c>
      <c r="BN77" s="198">
        <f t="shared" si="94"/>
        <v>0</v>
      </c>
      <c r="BO77" s="198">
        <f t="shared" si="94"/>
        <v>0</v>
      </c>
      <c r="BP77" s="198">
        <f t="shared" si="94"/>
        <v>0</v>
      </c>
      <c r="BQ77" s="198">
        <f t="shared" si="94"/>
        <v>0</v>
      </c>
      <c r="BR77" s="198">
        <f t="shared" si="94"/>
        <v>0</v>
      </c>
      <c r="BS77" s="198">
        <f t="shared" si="94"/>
        <v>0</v>
      </c>
      <c r="BT77" s="198">
        <f t="shared" si="94"/>
        <v>0</v>
      </c>
      <c r="BU77" s="198">
        <f t="shared" si="94"/>
        <v>0</v>
      </c>
      <c r="BV77" s="198">
        <f t="shared" si="94"/>
        <v>0</v>
      </c>
      <c r="BW77" s="198">
        <f t="shared" si="94"/>
        <v>0</v>
      </c>
      <c r="BX77" s="198">
        <f t="shared" ref="BX77:CX77" si="95">BX60-BX76</f>
        <v>0</v>
      </c>
      <c r="BY77" s="198">
        <f t="shared" si="95"/>
        <v>0</v>
      </c>
      <c r="BZ77" s="198">
        <f t="shared" si="95"/>
        <v>7728</v>
      </c>
      <c r="CA77" s="198">
        <f t="shared" si="95"/>
        <v>7728</v>
      </c>
      <c r="CB77" s="198">
        <f t="shared" si="95"/>
        <v>7728</v>
      </c>
      <c r="CC77" s="198">
        <f t="shared" si="95"/>
        <v>7728</v>
      </c>
      <c r="CD77" s="198">
        <f t="shared" si="95"/>
        <v>2.7801909018307924E-3</v>
      </c>
      <c r="CE77" s="198">
        <f t="shared" si="95"/>
        <v>0</v>
      </c>
      <c r="CF77" s="198">
        <f t="shared" si="95"/>
        <v>0</v>
      </c>
      <c r="CG77" s="198">
        <f t="shared" si="95"/>
        <v>0</v>
      </c>
      <c r="CH77" s="198">
        <f t="shared" si="95"/>
        <v>0</v>
      </c>
      <c r="CI77" s="198">
        <f t="shared" si="95"/>
        <v>0.24897770269308239</v>
      </c>
      <c r="CJ77" s="198">
        <f t="shared" si="95"/>
        <v>0</v>
      </c>
      <c r="CK77" s="198">
        <f t="shared" si="95"/>
        <v>0</v>
      </c>
      <c r="CL77" s="198">
        <f t="shared" si="95"/>
        <v>0</v>
      </c>
      <c r="CM77" s="198">
        <f t="shared" si="95"/>
        <v>0</v>
      </c>
      <c r="CN77" s="198">
        <f t="shared" si="95"/>
        <v>0.40773807663936168</v>
      </c>
      <c r="CO77" s="198">
        <f t="shared" si="95"/>
        <v>0</v>
      </c>
      <c r="CP77" s="198">
        <f t="shared" si="95"/>
        <v>0</v>
      </c>
      <c r="CQ77" s="198">
        <f t="shared" si="95"/>
        <v>0</v>
      </c>
      <c r="CR77" s="198">
        <f t="shared" si="95"/>
        <v>0</v>
      </c>
      <c r="CS77" s="198">
        <f t="shared" si="95"/>
        <v>0.15093088545836508</v>
      </c>
      <c r="CT77" s="198">
        <f t="shared" si="95"/>
        <v>0</v>
      </c>
      <c r="CU77" s="198">
        <f t="shared" si="95"/>
        <v>0</v>
      </c>
      <c r="CV77" s="198">
        <f t="shared" si="95"/>
        <v>0</v>
      </c>
      <c r="CW77" s="198">
        <f t="shared" si="95"/>
        <v>0</v>
      </c>
      <c r="CX77" s="198">
        <f t="shared" si="95"/>
        <v>0.40341955330222845</v>
      </c>
    </row>
    <row r="78" spans="1:102" x14ac:dyDescent="0.2"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94"/>
      <c r="AB78" s="194"/>
      <c r="AC78" s="194"/>
      <c r="AD78" s="194"/>
      <c r="AE78" s="194"/>
      <c r="AF78" s="194"/>
      <c r="AG78" s="194"/>
      <c r="AH78" s="194"/>
      <c r="AI78" s="194"/>
      <c r="AJ78" s="194"/>
      <c r="AK78" s="194"/>
      <c r="AL78" s="194"/>
      <c r="AM78" s="194"/>
      <c r="AN78" s="194"/>
      <c r="AO78" s="194"/>
      <c r="AP78" s="194"/>
      <c r="AQ78" s="194"/>
      <c r="AR78" s="194"/>
      <c r="AS78" s="194"/>
      <c r="AT78" s="194"/>
      <c r="AU78" s="194"/>
      <c r="AV78" s="110"/>
      <c r="AW78" s="110"/>
      <c r="AX78" s="110"/>
      <c r="AY78" s="110"/>
      <c r="AZ78" s="194"/>
      <c r="BA78" s="194"/>
      <c r="BB78" s="194"/>
      <c r="BC78" s="194"/>
      <c r="BD78" s="194"/>
      <c r="BE78" s="194"/>
      <c r="BF78" s="194"/>
      <c r="BG78" s="194"/>
      <c r="BH78" s="194"/>
      <c r="BI78" s="194"/>
      <c r="BJ78" s="194"/>
      <c r="BK78" s="194"/>
      <c r="BL78" s="194"/>
      <c r="BM78" s="194"/>
      <c r="BN78" s="194"/>
      <c r="BO78" s="194"/>
      <c r="BP78" s="194"/>
      <c r="BQ78" s="194"/>
      <c r="BR78" s="194"/>
      <c r="BS78" s="194"/>
      <c r="BT78" s="194"/>
      <c r="BU78" s="194"/>
      <c r="BV78" s="194"/>
      <c r="BW78" s="194"/>
      <c r="BX78" s="194"/>
      <c r="BY78" s="355"/>
      <c r="BZ78" s="194"/>
      <c r="CA78" s="194"/>
      <c r="CB78" s="194"/>
      <c r="CC78" s="194"/>
      <c r="CD78" s="194"/>
      <c r="CE78" s="194"/>
      <c r="CF78" s="194"/>
      <c r="CG78" s="194"/>
      <c r="CH78" s="194"/>
      <c r="CI78" s="194"/>
      <c r="CJ78" s="194"/>
      <c r="CK78" s="194"/>
      <c r="CL78" s="194"/>
      <c r="CM78" s="194"/>
      <c r="CN78" s="194"/>
      <c r="CO78" s="194"/>
      <c r="CP78" s="194"/>
      <c r="CQ78" s="194"/>
      <c r="CR78" s="194"/>
      <c r="CS78" s="194"/>
      <c r="CT78" s="194"/>
      <c r="CU78" s="194"/>
      <c r="CV78" s="194"/>
      <c r="CW78" s="194"/>
      <c r="CX78" s="194"/>
    </row>
    <row r="79" spans="1:102" x14ac:dyDescent="0.2">
      <c r="A79" s="94"/>
      <c r="B79" s="94" t="s">
        <v>75</v>
      </c>
      <c r="C79" s="64" t="str">
        <f t="shared" ref="C79:AH79" si="96">C8</f>
        <v>Q1-2001</v>
      </c>
      <c r="D79" s="64" t="str">
        <f t="shared" si="96"/>
        <v>Q2-2001</v>
      </c>
      <c r="E79" s="64" t="str">
        <f t="shared" si="96"/>
        <v>Q3-2001</v>
      </c>
      <c r="F79" s="64" t="str">
        <f t="shared" si="96"/>
        <v>Q4-2001</v>
      </c>
      <c r="G79" s="108">
        <f t="shared" si="96"/>
        <v>2001</v>
      </c>
      <c r="H79" s="64" t="str">
        <f t="shared" si="96"/>
        <v>Q1-2002</v>
      </c>
      <c r="I79" s="64" t="str">
        <f t="shared" si="96"/>
        <v>Q2-2002</v>
      </c>
      <c r="J79" s="64" t="str">
        <f t="shared" si="96"/>
        <v>Q3-2002</v>
      </c>
      <c r="K79" s="64" t="str">
        <f t="shared" si="96"/>
        <v>Q4-2002</v>
      </c>
      <c r="L79" s="108">
        <f t="shared" si="96"/>
        <v>2002</v>
      </c>
      <c r="M79" s="64" t="str">
        <f t="shared" si="96"/>
        <v>Q1-2003</v>
      </c>
      <c r="N79" s="64" t="str">
        <f t="shared" si="96"/>
        <v>Q2-2003</v>
      </c>
      <c r="O79" s="64" t="str">
        <f t="shared" si="96"/>
        <v>Q3-2003</v>
      </c>
      <c r="P79" s="64" t="str">
        <f t="shared" si="96"/>
        <v>Q4-2003</v>
      </c>
      <c r="Q79" s="108">
        <f t="shared" si="96"/>
        <v>2003</v>
      </c>
      <c r="R79" s="64" t="str">
        <f t="shared" si="96"/>
        <v>Q1-2004</v>
      </c>
      <c r="S79" s="64" t="str">
        <f t="shared" si="96"/>
        <v>Q2-2004</v>
      </c>
      <c r="T79" s="64" t="str">
        <f t="shared" si="96"/>
        <v>Q3-2004</v>
      </c>
      <c r="U79" s="64" t="str">
        <f t="shared" si="96"/>
        <v>Q4-2004</v>
      </c>
      <c r="V79" s="108">
        <f t="shared" si="96"/>
        <v>2004</v>
      </c>
      <c r="W79" s="64" t="str">
        <f t="shared" si="96"/>
        <v>Q1-2013</v>
      </c>
      <c r="X79" s="64" t="str">
        <f t="shared" si="96"/>
        <v>Q2-2013</v>
      </c>
      <c r="Y79" s="64" t="str">
        <f t="shared" si="96"/>
        <v>Q3-2013</v>
      </c>
      <c r="Z79" s="64" t="str">
        <f t="shared" si="96"/>
        <v>Q4-2013</v>
      </c>
      <c r="AA79" s="108">
        <f t="shared" si="96"/>
        <v>2013</v>
      </c>
      <c r="AB79" s="64" t="str">
        <f t="shared" si="96"/>
        <v>Q1-2014</v>
      </c>
      <c r="AC79" s="64" t="str">
        <f t="shared" si="96"/>
        <v>Q2-2014</v>
      </c>
      <c r="AD79" s="64" t="str">
        <f t="shared" si="96"/>
        <v>Q3-2014</v>
      </c>
      <c r="AE79" s="64" t="str">
        <f t="shared" si="96"/>
        <v>Q4-2014</v>
      </c>
      <c r="AF79" s="108">
        <f t="shared" si="96"/>
        <v>2014</v>
      </c>
      <c r="AG79" s="64" t="str">
        <f t="shared" si="96"/>
        <v>Q1-2015</v>
      </c>
      <c r="AH79" s="64" t="str">
        <f t="shared" si="96"/>
        <v>Q2-2015</v>
      </c>
      <c r="AI79" s="64" t="str">
        <f t="shared" ref="AI79:BN79" si="97">AI8</f>
        <v>Q3-2015</v>
      </c>
      <c r="AJ79" s="64" t="str">
        <f t="shared" si="97"/>
        <v>Q4-2015</v>
      </c>
      <c r="AK79" s="108">
        <f t="shared" si="97"/>
        <v>2015</v>
      </c>
      <c r="AL79" s="64" t="str">
        <f t="shared" si="97"/>
        <v>Q1-2016</v>
      </c>
      <c r="AM79" s="64" t="str">
        <f t="shared" si="97"/>
        <v>Q2-2016</v>
      </c>
      <c r="AN79" s="64" t="str">
        <f t="shared" si="97"/>
        <v>Q3-2016</v>
      </c>
      <c r="AO79" s="64" t="str">
        <f t="shared" si="97"/>
        <v>Q4-2016</v>
      </c>
      <c r="AP79" s="108">
        <f t="shared" si="97"/>
        <v>2016</v>
      </c>
      <c r="AQ79" s="64" t="str">
        <f t="shared" si="97"/>
        <v>Q1-2017</v>
      </c>
      <c r="AR79" s="64" t="str">
        <f t="shared" si="97"/>
        <v>Q2-2017</v>
      </c>
      <c r="AS79" s="64" t="str">
        <f t="shared" si="97"/>
        <v>Q3-2017</v>
      </c>
      <c r="AT79" s="64" t="str">
        <f t="shared" si="97"/>
        <v>Q4-2017</v>
      </c>
      <c r="AU79" s="108">
        <f t="shared" si="97"/>
        <v>2017</v>
      </c>
      <c r="AV79" s="64" t="str">
        <f t="shared" si="97"/>
        <v>Q1-2018</v>
      </c>
      <c r="AW79" s="64" t="str">
        <f t="shared" si="97"/>
        <v>Q2-2018</v>
      </c>
      <c r="AX79" s="64" t="str">
        <f t="shared" si="97"/>
        <v>Q3-2018</v>
      </c>
      <c r="AY79" s="64" t="str">
        <f t="shared" si="97"/>
        <v>Q4-2018</v>
      </c>
      <c r="AZ79" s="108">
        <f t="shared" si="97"/>
        <v>2018</v>
      </c>
      <c r="BA79" s="64" t="str">
        <f t="shared" si="97"/>
        <v>Q1-2019</v>
      </c>
      <c r="BB79" s="64" t="str">
        <f t="shared" si="97"/>
        <v>Q2-2019</v>
      </c>
      <c r="BC79" s="64" t="str">
        <f t="shared" si="97"/>
        <v>Q3-2019</v>
      </c>
      <c r="BD79" s="64" t="str">
        <f t="shared" si="97"/>
        <v>Q4-2019</v>
      </c>
      <c r="BE79" s="108">
        <f t="shared" si="97"/>
        <v>2019</v>
      </c>
      <c r="BF79" s="64" t="str">
        <f t="shared" si="97"/>
        <v>Q1-2020</v>
      </c>
      <c r="BG79" s="64" t="str">
        <f t="shared" si="97"/>
        <v>Q2-2020</v>
      </c>
      <c r="BH79" s="64" t="str">
        <f t="shared" si="97"/>
        <v>Q3-2020</v>
      </c>
      <c r="BI79" s="64" t="str">
        <f t="shared" si="97"/>
        <v>Q4-2020</v>
      </c>
      <c r="BJ79" s="108">
        <f t="shared" si="97"/>
        <v>2020</v>
      </c>
      <c r="BK79" s="64" t="str">
        <f t="shared" si="97"/>
        <v>Q1-2021</v>
      </c>
      <c r="BL79" s="64" t="str">
        <f t="shared" si="97"/>
        <v>Q2-2021</v>
      </c>
      <c r="BM79" s="64" t="str">
        <f t="shared" si="97"/>
        <v>Q3-2021</v>
      </c>
      <c r="BN79" s="64" t="str">
        <f t="shared" si="97"/>
        <v>Q4-2021</v>
      </c>
      <c r="BO79" s="108">
        <f t="shared" ref="BO79:CD79" si="98">BO8</f>
        <v>2021</v>
      </c>
      <c r="BP79" s="64" t="str">
        <f t="shared" si="98"/>
        <v>Q1-2022</v>
      </c>
      <c r="BQ79" s="64" t="str">
        <f t="shared" si="98"/>
        <v>Q2-2022</v>
      </c>
      <c r="BR79" s="64" t="str">
        <f t="shared" si="98"/>
        <v>Q3-2022</v>
      </c>
      <c r="BS79" s="64" t="str">
        <f t="shared" si="98"/>
        <v>Q4-2022</v>
      </c>
      <c r="BT79" s="108">
        <f t="shared" si="98"/>
        <v>2022</v>
      </c>
      <c r="BU79" s="64" t="str">
        <f t="shared" si="98"/>
        <v>Q1-2023</v>
      </c>
      <c r="BV79" s="64" t="str">
        <f t="shared" si="98"/>
        <v>Q2-2023</v>
      </c>
      <c r="BW79" s="64" t="str">
        <f t="shared" si="98"/>
        <v>Q3-2023</v>
      </c>
      <c r="BX79" s="318" t="str">
        <f t="shared" si="98"/>
        <v>Q4-2023</v>
      </c>
      <c r="BY79" s="324">
        <f t="shared" si="98"/>
        <v>2023</v>
      </c>
      <c r="BZ79" s="64" t="str">
        <f t="shared" si="98"/>
        <v>Q1-2024</v>
      </c>
      <c r="CA79" s="64" t="str">
        <f t="shared" si="98"/>
        <v>Q2-2024</v>
      </c>
      <c r="CB79" s="64" t="str">
        <f t="shared" si="98"/>
        <v>Q3-2024</v>
      </c>
      <c r="CC79" s="64" t="str">
        <f t="shared" si="98"/>
        <v>Q4-2024</v>
      </c>
      <c r="CD79" s="191">
        <f t="shared" si="98"/>
        <v>2024</v>
      </c>
      <c r="CE79" s="192"/>
      <c r="CF79" s="192"/>
      <c r="CG79" s="192"/>
      <c r="CH79" s="192"/>
      <c r="CI79" s="191">
        <f>CI8</f>
        <v>2025</v>
      </c>
      <c r="CJ79" s="192"/>
      <c r="CK79" s="192"/>
      <c r="CL79" s="192"/>
      <c r="CM79" s="192"/>
      <c r="CN79" s="191">
        <f>CN8</f>
        <v>2026</v>
      </c>
      <c r="CO79" s="192"/>
      <c r="CP79" s="192"/>
      <c r="CQ79" s="192"/>
      <c r="CR79" s="192"/>
      <c r="CS79" s="191">
        <f>CS8</f>
        <v>2027</v>
      </c>
      <c r="CT79" s="192"/>
      <c r="CU79" s="192"/>
      <c r="CV79" s="192"/>
      <c r="CW79" s="192"/>
      <c r="CX79" s="191">
        <f>CX8</f>
        <v>2028</v>
      </c>
    </row>
    <row r="80" spans="1:102" x14ac:dyDescent="0.2">
      <c r="A80" s="133"/>
      <c r="B80" s="329" t="s">
        <v>76</v>
      </c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328">
        <f t="shared" ref="AA80:AY80" si="99">AA29</f>
        <v>274</v>
      </c>
      <c r="AB80" s="328">
        <f t="shared" si="99"/>
        <v>0</v>
      </c>
      <c r="AC80" s="328">
        <f t="shared" si="99"/>
        <v>0</v>
      </c>
      <c r="AD80" s="328">
        <f t="shared" si="99"/>
        <v>0</v>
      </c>
      <c r="AE80" s="328">
        <f t="shared" si="99"/>
        <v>0</v>
      </c>
      <c r="AF80" s="328">
        <f t="shared" si="99"/>
        <v>-241</v>
      </c>
      <c r="AG80" s="328">
        <f t="shared" si="99"/>
        <v>0</v>
      </c>
      <c r="AH80" s="328">
        <f t="shared" si="99"/>
        <v>0</v>
      </c>
      <c r="AI80" s="328">
        <f t="shared" si="99"/>
        <v>0</v>
      </c>
      <c r="AJ80" s="328">
        <f t="shared" si="99"/>
        <v>0</v>
      </c>
      <c r="AK80" s="328">
        <f t="shared" si="99"/>
        <v>596</v>
      </c>
      <c r="AL80" s="328">
        <f t="shared" si="99"/>
        <v>0</v>
      </c>
      <c r="AM80" s="328">
        <f t="shared" si="99"/>
        <v>0</v>
      </c>
      <c r="AN80" s="328">
        <f t="shared" si="99"/>
        <v>0</v>
      </c>
      <c r="AO80" s="328">
        <f t="shared" si="99"/>
        <v>0</v>
      </c>
      <c r="AP80" s="328">
        <f t="shared" si="99"/>
        <v>2371</v>
      </c>
      <c r="AQ80" s="328">
        <f t="shared" si="99"/>
        <v>0</v>
      </c>
      <c r="AR80" s="328">
        <f t="shared" si="99"/>
        <v>0</v>
      </c>
      <c r="AS80" s="328">
        <f t="shared" si="99"/>
        <v>0</v>
      </c>
      <c r="AT80" s="328">
        <f t="shared" si="99"/>
        <v>0</v>
      </c>
      <c r="AU80" s="328">
        <f t="shared" si="99"/>
        <v>3033</v>
      </c>
      <c r="AV80" s="328">
        <f t="shared" si="99"/>
        <v>0</v>
      </c>
      <c r="AW80" s="328">
        <f t="shared" si="99"/>
        <v>0</v>
      </c>
      <c r="AX80" s="328">
        <f t="shared" si="99"/>
        <v>0</v>
      </c>
      <c r="AY80" s="328">
        <f t="shared" si="99"/>
        <v>0</v>
      </c>
      <c r="AZ80" s="328">
        <f t="shared" ref="AZ80:CD80" si="100">AZ29</f>
        <v>10073</v>
      </c>
      <c r="BA80" s="328">
        <f t="shared" si="100"/>
        <v>0</v>
      </c>
      <c r="BB80" s="328">
        <f t="shared" si="100"/>
        <v>0</v>
      </c>
      <c r="BC80" s="328">
        <f t="shared" si="100"/>
        <v>0</v>
      </c>
      <c r="BD80" s="328">
        <f t="shared" si="100"/>
        <v>0</v>
      </c>
      <c r="BE80" s="328">
        <f t="shared" si="100"/>
        <v>11588</v>
      </c>
      <c r="BF80" s="328">
        <f t="shared" si="100"/>
        <v>0</v>
      </c>
      <c r="BG80" s="328">
        <f t="shared" si="100"/>
        <v>0</v>
      </c>
      <c r="BH80" s="328">
        <f t="shared" si="100"/>
        <v>0</v>
      </c>
      <c r="BI80" s="328">
        <f t="shared" si="100"/>
        <v>0</v>
      </c>
      <c r="BJ80" s="328">
        <f t="shared" si="100"/>
        <v>21331</v>
      </c>
      <c r="BK80" s="328">
        <f t="shared" si="100"/>
        <v>0</v>
      </c>
      <c r="BL80" s="328">
        <f t="shared" si="100"/>
        <v>0</v>
      </c>
      <c r="BM80" s="328">
        <f t="shared" si="100"/>
        <v>0</v>
      </c>
      <c r="BN80" s="328">
        <f t="shared" si="100"/>
        <v>0</v>
      </c>
      <c r="BO80" s="328">
        <f t="shared" si="100"/>
        <v>33364</v>
      </c>
      <c r="BP80" s="328">
        <f t="shared" si="100"/>
        <v>0</v>
      </c>
      <c r="BQ80" s="328">
        <f t="shared" si="100"/>
        <v>0</v>
      </c>
      <c r="BR80" s="328">
        <f t="shared" si="100"/>
        <v>0</v>
      </c>
      <c r="BS80" s="328">
        <f t="shared" si="100"/>
        <v>0</v>
      </c>
      <c r="BT80" s="328">
        <f t="shared" si="100"/>
        <v>-2722</v>
      </c>
      <c r="BU80" s="328">
        <f t="shared" si="100"/>
        <v>3172</v>
      </c>
      <c r="BV80" s="328">
        <f t="shared" si="100"/>
        <v>6750</v>
      </c>
      <c r="BW80" s="328">
        <f t="shared" si="100"/>
        <v>9879</v>
      </c>
      <c r="BX80" s="199">
        <f t="shared" si="100"/>
        <v>10624</v>
      </c>
      <c r="BY80" s="199">
        <f t="shared" si="100"/>
        <v>30425</v>
      </c>
      <c r="BZ80" s="227">
        <f t="shared" si="100"/>
        <v>0</v>
      </c>
      <c r="CA80" s="227">
        <f t="shared" si="100"/>
        <v>0</v>
      </c>
      <c r="CB80" s="227">
        <f t="shared" si="100"/>
        <v>0</v>
      </c>
      <c r="CC80" s="227">
        <f t="shared" si="100"/>
        <v>0</v>
      </c>
      <c r="CD80" s="227">
        <f t="shared" si="100"/>
        <v>18750.2527209285</v>
      </c>
      <c r="CE80" s="227"/>
      <c r="CF80" s="227"/>
      <c r="CG80" s="227"/>
      <c r="CH80" s="227"/>
      <c r="CI80" s="227">
        <f>CI29</f>
        <v>23257.98718625207</v>
      </c>
      <c r="CJ80" s="227"/>
      <c r="CK80" s="227"/>
      <c r="CL80" s="227"/>
      <c r="CM80" s="227"/>
      <c r="CN80" s="227">
        <f>CN29</f>
        <v>28984.378098081179</v>
      </c>
      <c r="CO80" s="227"/>
      <c r="CP80" s="227"/>
      <c r="CQ80" s="227"/>
      <c r="CR80" s="227"/>
      <c r="CS80" s="227">
        <f>CS29</f>
        <v>36285.870726924899</v>
      </c>
      <c r="CT80" s="227"/>
      <c r="CU80" s="227"/>
      <c r="CV80" s="227"/>
      <c r="CW80" s="227"/>
      <c r="CX80" s="227">
        <f>CX29</f>
        <v>45628.218987146865</v>
      </c>
    </row>
    <row r="81" spans="1:102" x14ac:dyDescent="0.2">
      <c r="B81" s="63" t="s">
        <v>77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94">
        <v>3253</v>
      </c>
      <c r="AB81" s="194"/>
      <c r="AC81" s="194"/>
      <c r="AD81" s="194"/>
      <c r="AE81" s="194"/>
      <c r="AF81" s="194">
        <v>4746</v>
      </c>
      <c r="AG81" s="194"/>
      <c r="AH81" s="194"/>
      <c r="AI81" s="194"/>
      <c r="AJ81" s="194"/>
      <c r="AK81" s="194">
        <v>6281</v>
      </c>
      <c r="AL81" s="194"/>
      <c r="AM81" s="194"/>
      <c r="AN81" s="194"/>
      <c r="AO81" s="194"/>
      <c r="AP81" s="194">
        <v>8116</v>
      </c>
      <c r="AQ81" s="194"/>
      <c r="AR81" s="194"/>
      <c r="AS81" s="194"/>
      <c r="AT81" s="194"/>
      <c r="AU81" s="194">
        <v>11478</v>
      </c>
      <c r="AV81" s="110"/>
      <c r="AW81" s="110"/>
      <c r="AX81" s="110"/>
      <c r="AY81" s="110"/>
      <c r="AZ81" s="194">
        <v>15341</v>
      </c>
      <c r="BA81" s="194"/>
      <c r="BB81" s="194"/>
      <c r="BC81" s="194"/>
      <c r="BD81" s="194"/>
      <c r="BE81" s="194">
        <v>21789</v>
      </c>
      <c r="BF81" s="194"/>
      <c r="BG81" s="194"/>
      <c r="BH81" s="194"/>
      <c r="BI81" s="194"/>
      <c r="BJ81" s="194">
        <v>25180</v>
      </c>
      <c r="BK81" s="194"/>
      <c r="BL81" s="194"/>
      <c r="BM81" s="194"/>
      <c r="BN81" s="194"/>
      <c r="BO81" s="194">
        <v>34433</v>
      </c>
      <c r="BP81" s="194"/>
      <c r="BQ81" s="194"/>
      <c r="BR81" s="194"/>
      <c r="BS81" s="194"/>
      <c r="BT81" s="194">
        <v>41921</v>
      </c>
      <c r="BU81" s="194">
        <v>11123</v>
      </c>
      <c r="BV81" s="194">
        <v>11589</v>
      </c>
      <c r="BW81" s="194">
        <v>12131</v>
      </c>
      <c r="BX81" s="319">
        <v>13820</v>
      </c>
      <c r="BY81" s="194">
        <v>47185</v>
      </c>
      <c r="BZ81" s="227"/>
      <c r="CA81" s="227"/>
      <c r="CB81" s="227"/>
      <c r="CC81" s="227"/>
      <c r="CD81" s="227">
        <f>-CD99*'As % of Revenue'!$C$18</f>
        <v>46450.946975914645</v>
      </c>
      <c r="CE81" s="227"/>
      <c r="CF81" s="227"/>
      <c r="CG81" s="227"/>
      <c r="CH81" s="227"/>
      <c r="CI81" s="227">
        <f>-CI99*'As % of Revenue'!$C$18</f>
        <v>57618.184972474097</v>
      </c>
      <c r="CJ81" s="227"/>
      <c r="CK81" s="227"/>
      <c r="CL81" s="227"/>
      <c r="CM81" s="227"/>
      <c r="CN81" s="227">
        <f>-CN99*'As % of Revenue'!$C$18</f>
        <v>71804.462062586768</v>
      </c>
      <c r="CO81" s="227"/>
      <c r="CP81" s="227"/>
      <c r="CQ81" s="227"/>
      <c r="CR81" s="227"/>
      <c r="CS81" s="227">
        <f>-CS99*'As % of Revenue'!$C$18</f>
        <v>89892.818096790652</v>
      </c>
      <c r="CT81" s="227"/>
      <c r="CU81" s="227"/>
      <c r="CV81" s="227"/>
      <c r="CW81" s="227"/>
      <c r="CX81" s="227">
        <f>-CX99*'As % of Revenue'!$C$18</f>
        <v>113037.08874343205</v>
      </c>
    </row>
    <row r="82" spans="1:102" x14ac:dyDescent="0.2">
      <c r="B82" s="63" t="s">
        <v>78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94">
        <v>1134</v>
      </c>
      <c r="AB82" s="194"/>
      <c r="AC82" s="194"/>
      <c r="AD82" s="194"/>
      <c r="AE82" s="194"/>
      <c r="AF82" s="194">
        <v>1497</v>
      </c>
      <c r="AG82" s="194"/>
      <c r="AH82" s="194"/>
      <c r="AI82" s="194"/>
      <c r="AJ82" s="194"/>
      <c r="AK82" s="194">
        <v>2119</v>
      </c>
      <c r="AL82" s="194"/>
      <c r="AM82" s="194"/>
      <c r="AN82" s="194"/>
      <c r="AO82" s="194"/>
      <c r="AP82" s="194">
        <v>2975</v>
      </c>
      <c r="AQ82" s="194"/>
      <c r="AR82" s="194"/>
      <c r="AS82" s="194"/>
      <c r="AT82" s="194"/>
      <c r="AU82" s="194">
        <v>4215</v>
      </c>
      <c r="AV82" s="110"/>
      <c r="AW82" s="110"/>
      <c r="AX82" s="110"/>
      <c r="AY82" s="110"/>
      <c r="AZ82" s="194">
        <v>5418</v>
      </c>
      <c r="BA82" s="194"/>
      <c r="BB82" s="194"/>
      <c r="BC82" s="194"/>
      <c r="BD82" s="194"/>
      <c r="BE82" s="194">
        <v>6864</v>
      </c>
      <c r="BF82" s="194"/>
      <c r="BG82" s="194"/>
      <c r="BH82" s="194"/>
      <c r="BI82" s="194"/>
      <c r="BJ82" s="194">
        <v>9208</v>
      </c>
      <c r="BK82" s="194"/>
      <c r="BL82" s="194"/>
      <c r="BM82" s="194"/>
      <c r="BN82" s="194"/>
      <c r="BO82" s="194">
        <v>12757</v>
      </c>
      <c r="BP82" s="194"/>
      <c r="BQ82" s="194"/>
      <c r="BR82" s="194"/>
      <c r="BS82" s="194"/>
      <c r="BT82" s="194">
        <v>19621</v>
      </c>
      <c r="BU82" s="194">
        <v>4748</v>
      </c>
      <c r="BV82" s="194">
        <v>7127</v>
      </c>
      <c r="BW82" s="194">
        <v>5829</v>
      </c>
      <c r="BX82" s="319">
        <v>6319</v>
      </c>
      <c r="BY82" s="194">
        <f t="shared" ref="BY82:BY92" si="101">SUM(BU82:BX82)</f>
        <v>24023</v>
      </c>
      <c r="BZ82" s="227"/>
      <c r="CA82" s="227"/>
      <c r="CB82" s="227"/>
      <c r="CC82" s="227"/>
      <c r="CD82" s="227">
        <f>AVERAGE(BY82,BT82,BO82,)*(1+'CAGR-Based Elements'!$B$14)</f>
        <v>18239.09310406835</v>
      </c>
      <c r="CE82" s="227"/>
      <c r="CF82" s="227"/>
      <c r="CG82" s="227"/>
      <c r="CH82" s="227"/>
      <c r="CI82" s="227">
        <f>AVERAGE(CD82,BY82,BT82,)*(1+'CAGR-Based Elements'!$B$14)</f>
        <v>20011.905758636065</v>
      </c>
      <c r="CJ82" s="227"/>
      <c r="CK82" s="227"/>
      <c r="CL82" s="227"/>
      <c r="CM82" s="227"/>
      <c r="CN82" s="227">
        <f>AVERAGE(CI82,CD82,BY82,)*(1+'CAGR-Based Elements'!$B$14)</f>
        <v>20138.317817405939</v>
      </c>
      <c r="CO82" s="227"/>
      <c r="CP82" s="227"/>
      <c r="CQ82" s="227"/>
      <c r="CR82" s="227"/>
      <c r="CS82" s="227">
        <f>AVERAGE(CN82,CI82,CD82,)*(1+'CAGR-Based Elements'!$B$14)</f>
        <v>18882.079807298876</v>
      </c>
      <c r="CT82" s="227"/>
      <c r="CU82" s="227"/>
      <c r="CV82" s="227"/>
      <c r="CW82" s="227"/>
      <c r="CX82" s="227">
        <f>AVERAGE(CS82,CN82,CI82,)*(1+'CAGR-Based Elements'!$B$14)</f>
        <v>19090.01041748131</v>
      </c>
    </row>
    <row r="83" spans="1:102" x14ac:dyDescent="0.2">
      <c r="B83" s="63" t="s">
        <v>79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94">
        <v>114</v>
      </c>
      <c r="AB83" s="194"/>
      <c r="AC83" s="194"/>
      <c r="AD83" s="194"/>
      <c r="AE83" s="194"/>
      <c r="AF83" s="194">
        <v>129</v>
      </c>
      <c r="AG83" s="194"/>
      <c r="AH83" s="194"/>
      <c r="AI83" s="194"/>
      <c r="AJ83" s="194"/>
      <c r="AK83" s="194">
        <v>155</v>
      </c>
      <c r="AL83" s="194"/>
      <c r="AM83" s="194"/>
      <c r="AN83" s="194"/>
      <c r="AO83" s="194"/>
      <c r="AP83" s="194">
        <v>160</v>
      </c>
      <c r="AQ83" s="194"/>
      <c r="AR83" s="194"/>
      <c r="AS83" s="194"/>
      <c r="AT83" s="194"/>
      <c r="AU83" s="194">
        <v>202</v>
      </c>
      <c r="AV83" s="110"/>
      <c r="AW83" s="110"/>
      <c r="AX83" s="110"/>
      <c r="AY83" s="110"/>
      <c r="AZ83" s="194">
        <v>274</v>
      </c>
      <c r="BA83" s="194"/>
      <c r="BB83" s="194"/>
      <c r="BC83" s="194"/>
      <c r="BD83" s="194"/>
      <c r="BE83" s="194">
        <v>164</v>
      </c>
      <c r="BF83" s="194"/>
      <c r="BG83" s="194"/>
      <c r="BH83" s="194"/>
      <c r="BI83" s="194"/>
      <c r="BJ83" s="194">
        <v>0</v>
      </c>
      <c r="BK83" s="194"/>
      <c r="BL83" s="194"/>
      <c r="BM83" s="194"/>
      <c r="BN83" s="194"/>
      <c r="BO83" s="194">
        <v>0</v>
      </c>
      <c r="BP83" s="194"/>
      <c r="BQ83" s="194"/>
      <c r="BR83" s="194"/>
      <c r="BS83" s="194"/>
      <c r="BT83" s="194">
        <v>0</v>
      </c>
      <c r="BU83" s="194">
        <v>0</v>
      </c>
      <c r="BV83" s="194">
        <v>0</v>
      </c>
      <c r="BW83" s="194">
        <v>0</v>
      </c>
      <c r="BX83" s="319">
        <v>0</v>
      </c>
      <c r="BY83" s="194">
        <f t="shared" si="101"/>
        <v>0</v>
      </c>
      <c r="BZ83" s="227">
        <f t="shared" ref="BZ83" si="102">SUM(BV83:BY83)</f>
        <v>0</v>
      </c>
      <c r="CA83" s="227">
        <f t="shared" ref="CA83" si="103">SUM(BW83:BZ83)</f>
        <v>0</v>
      </c>
      <c r="CB83" s="227">
        <f t="shared" ref="CB83" si="104">SUM(BX83:CA83)</f>
        <v>0</v>
      </c>
      <c r="CC83" s="227">
        <f t="shared" ref="CC83" si="105">SUM(BY83:CB83)</f>
        <v>0</v>
      </c>
      <c r="CD83" s="227">
        <f t="shared" ref="CD83" si="106">SUM(BZ83:CC83)</f>
        <v>0</v>
      </c>
      <c r="CE83" s="227"/>
      <c r="CF83" s="227"/>
      <c r="CG83" s="227"/>
      <c r="CH83" s="227"/>
      <c r="CI83" s="227">
        <f t="shared" ref="CI83" si="107">SUM(CE83:CH83)</f>
        <v>0</v>
      </c>
      <c r="CJ83" s="227"/>
      <c r="CK83" s="227"/>
      <c r="CL83" s="227"/>
      <c r="CM83" s="227"/>
      <c r="CN83" s="227">
        <f t="shared" ref="CN83" si="108">SUM(CJ83:CM83)</f>
        <v>0</v>
      </c>
      <c r="CO83" s="227"/>
      <c r="CP83" s="227"/>
      <c r="CQ83" s="227"/>
      <c r="CR83" s="227"/>
      <c r="CS83" s="227">
        <f t="shared" ref="CS83" si="109">SUM(CO83:CR83)</f>
        <v>0</v>
      </c>
      <c r="CT83" s="227"/>
      <c r="CU83" s="227"/>
      <c r="CV83" s="227"/>
      <c r="CW83" s="227"/>
      <c r="CX83" s="227">
        <f t="shared" ref="CX83" si="110">SUM(CT83:CW83)</f>
        <v>0</v>
      </c>
    </row>
    <row r="84" spans="1:102" x14ac:dyDescent="0.2">
      <c r="B84" s="63" t="s">
        <v>442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94">
        <v>1</v>
      </c>
      <c r="AB84" s="194"/>
      <c r="AC84" s="194"/>
      <c r="AD84" s="194"/>
      <c r="AE84" s="194"/>
      <c r="AF84" s="194">
        <v>-3</v>
      </c>
      <c r="AG84" s="194"/>
      <c r="AH84" s="194"/>
      <c r="AI84" s="194"/>
      <c r="AJ84" s="194"/>
      <c r="AK84" s="194">
        <v>0</v>
      </c>
      <c r="AL84" s="194"/>
      <c r="AM84" s="194"/>
      <c r="AN84" s="194"/>
      <c r="AO84" s="194"/>
      <c r="AP84" s="194">
        <v>0</v>
      </c>
      <c r="AQ84" s="194"/>
      <c r="AR84" s="194"/>
      <c r="AS84" s="194"/>
      <c r="AT84" s="194"/>
      <c r="AU84" s="194">
        <v>0</v>
      </c>
      <c r="AV84" s="194">
        <v>0</v>
      </c>
      <c r="AW84" s="194">
        <v>0</v>
      </c>
      <c r="AX84" s="194">
        <v>0</v>
      </c>
      <c r="AY84" s="194">
        <v>0</v>
      </c>
      <c r="AZ84" s="194">
        <v>0</v>
      </c>
      <c r="BA84" s="194">
        <v>0</v>
      </c>
      <c r="BB84" s="194">
        <v>0</v>
      </c>
      <c r="BC84" s="194">
        <v>0</v>
      </c>
      <c r="BD84" s="194">
        <v>0</v>
      </c>
      <c r="BE84" s="194">
        <v>0</v>
      </c>
      <c r="BF84" s="194">
        <v>0</v>
      </c>
      <c r="BG84" s="194">
        <v>0</v>
      </c>
      <c r="BH84" s="194">
        <v>0</v>
      </c>
      <c r="BI84" s="194">
        <v>0</v>
      </c>
      <c r="BJ84" s="194">
        <v>0</v>
      </c>
      <c r="BK84" s="194">
        <v>0</v>
      </c>
      <c r="BL84" s="194">
        <v>0</v>
      </c>
      <c r="BM84" s="194">
        <v>0</v>
      </c>
      <c r="BN84" s="194">
        <v>0</v>
      </c>
      <c r="BO84" s="194">
        <v>0</v>
      </c>
      <c r="BP84" s="194">
        <v>0</v>
      </c>
      <c r="BQ84" s="194">
        <v>0</v>
      </c>
      <c r="BR84" s="194">
        <v>0</v>
      </c>
      <c r="BS84" s="194">
        <v>0</v>
      </c>
      <c r="BT84" s="194">
        <v>0</v>
      </c>
      <c r="BU84" s="194">
        <v>0</v>
      </c>
      <c r="BV84" s="194">
        <v>0</v>
      </c>
      <c r="BW84" s="194">
        <v>0</v>
      </c>
      <c r="BX84" s="194">
        <v>0</v>
      </c>
      <c r="BY84" s="194">
        <v>0</v>
      </c>
      <c r="BZ84" s="194">
        <v>0</v>
      </c>
      <c r="CA84" s="194">
        <v>0</v>
      </c>
      <c r="CB84" s="194">
        <v>0</v>
      </c>
      <c r="CC84" s="194">
        <v>0</v>
      </c>
      <c r="CD84" s="194">
        <v>0</v>
      </c>
      <c r="CE84" s="194">
        <v>0</v>
      </c>
      <c r="CF84" s="194">
        <v>0</v>
      </c>
      <c r="CG84" s="194">
        <v>0</v>
      </c>
      <c r="CH84" s="194">
        <v>0</v>
      </c>
      <c r="CI84" s="194">
        <v>0</v>
      </c>
      <c r="CJ84" s="194">
        <v>0</v>
      </c>
      <c r="CK84" s="194">
        <v>0</v>
      </c>
      <c r="CL84" s="194">
        <v>0</v>
      </c>
      <c r="CM84" s="194">
        <v>0</v>
      </c>
      <c r="CN84" s="194">
        <v>0</v>
      </c>
      <c r="CO84" s="194">
        <v>0</v>
      </c>
      <c r="CP84" s="194">
        <v>0</v>
      </c>
      <c r="CQ84" s="194">
        <v>0</v>
      </c>
      <c r="CR84" s="194">
        <v>0</v>
      </c>
      <c r="CS84" s="194">
        <v>0</v>
      </c>
      <c r="CT84" s="194">
        <v>0</v>
      </c>
      <c r="CU84" s="194">
        <v>0</v>
      </c>
      <c r="CV84" s="194">
        <v>0</v>
      </c>
      <c r="CW84" s="194">
        <v>0</v>
      </c>
      <c r="CX84" s="194">
        <v>0</v>
      </c>
    </row>
    <row r="85" spans="1:102" x14ac:dyDescent="0.2">
      <c r="B85" s="63" t="s">
        <v>80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94">
        <v>166</v>
      </c>
      <c r="AB85" s="194"/>
      <c r="AC85" s="194"/>
      <c r="AD85" s="194"/>
      <c r="AE85" s="194"/>
      <c r="AF85" s="194">
        <v>62</v>
      </c>
      <c r="AG85" s="194"/>
      <c r="AH85" s="194"/>
      <c r="AI85" s="194"/>
      <c r="AJ85" s="194"/>
      <c r="AK85" s="194">
        <v>250</v>
      </c>
      <c r="AL85" s="194"/>
      <c r="AM85" s="194"/>
      <c r="AN85" s="194"/>
      <c r="AO85" s="194"/>
      <c r="AP85" s="194">
        <v>-20</v>
      </c>
      <c r="AQ85" s="194"/>
      <c r="AR85" s="194"/>
      <c r="AS85" s="194"/>
      <c r="AT85" s="194"/>
      <c r="AU85" s="194">
        <v>-292</v>
      </c>
      <c r="AV85" s="110"/>
      <c r="AW85" s="110"/>
      <c r="AX85" s="110"/>
      <c r="AY85" s="110"/>
      <c r="AZ85" s="194">
        <v>219</v>
      </c>
      <c r="BA85" s="194"/>
      <c r="BB85" s="194"/>
      <c r="BC85" s="194"/>
      <c r="BD85" s="194"/>
      <c r="BE85" s="194">
        <v>-249</v>
      </c>
      <c r="BF85" s="194"/>
      <c r="BG85" s="194"/>
      <c r="BH85" s="194"/>
      <c r="BI85" s="194"/>
      <c r="BJ85" s="194">
        <v>-2582</v>
      </c>
      <c r="BK85" s="194"/>
      <c r="BL85" s="194"/>
      <c r="BM85" s="194"/>
      <c r="BN85" s="194"/>
      <c r="BO85" s="194">
        <v>-14306</v>
      </c>
      <c r="BP85" s="194"/>
      <c r="BQ85" s="194"/>
      <c r="BR85" s="194"/>
      <c r="BS85" s="194"/>
      <c r="BT85" s="194">
        <v>16966</v>
      </c>
      <c r="BU85" s="194">
        <v>534</v>
      </c>
      <c r="BV85" s="194">
        <v>47</v>
      </c>
      <c r="BW85" s="194">
        <v>-990</v>
      </c>
      <c r="BX85" s="319">
        <v>-339</v>
      </c>
      <c r="BY85" s="194">
        <f t="shared" si="101"/>
        <v>-748</v>
      </c>
      <c r="BZ85" s="227"/>
      <c r="CA85" s="227"/>
      <c r="CB85" s="227"/>
      <c r="CC85" s="227"/>
      <c r="CD85" s="227">
        <f>AVERAGE(BY85,BT85,BO85,BJ85,BE85)</f>
        <v>-183.8</v>
      </c>
      <c r="CE85" s="227"/>
      <c r="CF85" s="227"/>
      <c r="CG85" s="227"/>
      <c r="CH85" s="227"/>
      <c r="CI85" s="227">
        <f t="shared" ref="CI85:CX86" si="111">AVERAGE(CD85,BY85,BT85,BO85,BJ85)</f>
        <v>-170.75999999999985</v>
      </c>
      <c r="CJ85" s="227"/>
      <c r="CK85" s="227"/>
      <c r="CL85" s="227"/>
      <c r="CM85" s="227"/>
      <c r="CN85" s="227">
        <f t="shared" si="111"/>
        <v>311.48800000000011</v>
      </c>
      <c r="CO85" s="227"/>
      <c r="CP85" s="227"/>
      <c r="CQ85" s="227"/>
      <c r="CR85" s="227"/>
      <c r="CS85" s="227">
        <f t="shared" si="111"/>
        <v>3234.9856</v>
      </c>
      <c r="CT85" s="227"/>
      <c r="CU85" s="227"/>
      <c r="CV85" s="227"/>
      <c r="CW85" s="227"/>
      <c r="CX85" s="227">
        <f t="shared" si="111"/>
        <v>488.78272000000004</v>
      </c>
    </row>
    <row r="86" spans="1:102" x14ac:dyDescent="0.2">
      <c r="B86" s="63" t="s">
        <v>81</v>
      </c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94">
        <v>-156</v>
      </c>
      <c r="AB86" s="194"/>
      <c r="AC86" s="194"/>
      <c r="AD86" s="194"/>
      <c r="AE86" s="194"/>
      <c r="AF86" s="194">
        <v>-316</v>
      </c>
      <c r="AG86" s="194"/>
      <c r="AH86" s="194"/>
      <c r="AI86" s="194"/>
      <c r="AJ86" s="194"/>
      <c r="AK86" s="194">
        <v>81</v>
      </c>
      <c r="AL86" s="194"/>
      <c r="AM86" s="194"/>
      <c r="AN86" s="194"/>
      <c r="AO86" s="194"/>
      <c r="AP86" s="194">
        <v>-246</v>
      </c>
      <c r="AQ86" s="194"/>
      <c r="AR86" s="194"/>
      <c r="AS86" s="194"/>
      <c r="AT86" s="194"/>
      <c r="AU86" s="194">
        <v>-29</v>
      </c>
      <c r="AV86" s="110"/>
      <c r="AW86" s="110"/>
      <c r="AX86" s="110"/>
      <c r="AY86" s="110"/>
      <c r="AZ86" s="194">
        <v>441</v>
      </c>
      <c r="BA86" s="194"/>
      <c r="BB86" s="194"/>
      <c r="BC86" s="194"/>
      <c r="BD86" s="194"/>
      <c r="BE86" s="194">
        <v>796</v>
      </c>
      <c r="BF86" s="194"/>
      <c r="BG86" s="194"/>
      <c r="BH86" s="194"/>
      <c r="BI86" s="194"/>
      <c r="BJ86" s="194">
        <v>-554</v>
      </c>
      <c r="BK86" s="194"/>
      <c r="BL86" s="194"/>
      <c r="BM86" s="194"/>
      <c r="BN86" s="194"/>
      <c r="BO86" s="194">
        <v>-310</v>
      </c>
      <c r="BP86" s="194"/>
      <c r="BQ86" s="194"/>
      <c r="BR86" s="194"/>
      <c r="BS86" s="194"/>
      <c r="BT86" s="194">
        <v>-8148</v>
      </c>
      <c r="BU86" s="194">
        <v>-472</v>
      </c>
      <c r="BV86" s="194">
        <v>-2744</v>
      </c>
      <c r="BW86" s="194">
        <v>-1196</v>
      </c>
      <c r="BX86" s="319">
        <v>-1464</v>
      </c>
      <c r="BY86" s="194">
        <f t="shared" si="101"/>
        <v>-5876</v>
      </c>
      <c r="BZ86" s="227"/>
      <c r="CA86" s="227"/>
      <c r="CB86" s="227"/>
      <c r="CC86" s="227"/>
      <c r="CD86" s="227">
        <f>AVERAGE(BY86,BT86,BO86,BJ86,BE86)</f>
        <v>-2818.4</v>
      </c>
      <c r="CE86" s="227"/>
      <c r="CF86" s="227"/>
      <c r="CG86" s="227"/>
      <c r="CH86" s="227"/>
      <c r="CI86" s="227">
        <f t="shared" si="111"/>
        <v>-3541.28</v>
      </c>
      <c r="CJ86" s="227"/>
      <c r="CK86" s="227"/>
      <c r="CL86" s="227"/>
      <c r="CM86" s="227"/>
      <c r="CN86" s="227">
        <f t="shared" si="111"/>
        <v>-4138.7359999999999</v>
      </c>
      <c r="CO86" s="227"/>
      <c r="CP86" s="227"/>
      <c r="CQ86" s="227"/>
      <c r="CR86" s="227"/>
      <c r="CS86" s="227">
        <f t="shared" si="111"/>
        <v>-4904.4831999999997</v>
      </c>
      <c r="CT86" s="227"/>
      <c r="CU86" s="227"/>
      <c r="CV86" s="227"/>
      <c r="CW86" s="227"/>
      <c r="CX86" s="227">
        <f t="shared" si="111"/>
        <v>-4255.7798400000001</v>
      </c>
    </row>
    <row r="87" spans="1:102" x14ac:dyDescent="0.2">
      <c r="B87" s="63" t="s">
        <v>441</v>
      </c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94">
        <v>-78</v>
      </c>
      <c r="AB87" s="194"/>
      <c r="AC87" s="194"/>
      <c r="AD87" s="194"/>
      <c r="AE87" s="194"/>
      <c r="AF87" s="194">
        <v>-6</v>
      </c>
      <c r="AG87" s="194"/>
      <c r="AH87" s="194"/>
      <c r="AI87" s="194"/>
      <c r="AJ87" s="194"/>
      <c r="AK87" s="194">
        <v>-119</v>
      </c>
      <c r="AL87" s="194"/>
      <c r="AM87" s="194"/>
      <c r="AN87" s="194"/>
      <c r="AO87" s="194"/>
      <c r="AP87" s="194">
        <v>-829</v>
      </c>
      <c r="AQ87" s="194"/>
      <c r="AR87" s="194"/>
      <c r="AS87" s="194"/>
      <c r="AT87" s="194"/>
      <c r="AU87" s="194">
        <v>0</v>
      </c>
      <c r="AV87" s="110"/>
      <c r="AW87" s="110"/>
      <c r="AX87" s="110"/>
      <c r="AY87" s="110"/>
      <c r="AZ87" s="194">
        <v>0</v>
      </c>
      <c r="BA87" s="194">
        <v>0</v>
      </c>
      <c r="BB87" s="194">
        <v>0</v>
      </c>
      <c r="BC87" s="194">
        <v>0</v>
      </c>
      <c r="BD87" s="194">
        <v>0</v>
      </c>
      <c r="BE87" s="194">
        <v>0</v>
      </c>
      <c r="BF87" s="194">
        <v>0</v>
      </c>
      <c r="BG87" s="194">
        <v>0</v>
      </c>
      <c r="BH87" s="194">
        <v>0</v>
      </c>
      <c r="BI87" s="194">
        <v>0</v>
      </c>
      <c r="BJ87" s="194">
        <v>0</v>
      </c>
      <c r="BK87" s="194">
        <v>0</v>
      </c>
      <c r="BL87" s="194">
        <v>0</v>
      </c>
      <c r="BM87" s="194">
        <v>0</v>
      </c>
      <c r="BN87" s="194">
        <v>0</v>
      </c>
      <c r="BO87" s="194">
        <v>0</v>
      </c>
      <c r="BP87" s="194">
        <v>0</v>
      </c>
      <c r="BQ87" s="194">
        <v>0</v>
      </c>
      <c r="BR87" s="194">
        <v>0</v>
      </c>
      <c r="BS87" s="194">
        <v>0</v>
      </c>
      <c r="BT87" s="194">
        <v>0</v>
      </c>
      <c r="BU87" s="194">
        <v>0</v>
      </c>
      <c r="BV87" s="194">
        <v>0</v>
      </c>
      <c r="BW87" s="194">
        <v>0</v>
      </c>
      <c r="BX87" s="194">
        <v>0</v>
      </c>
      <c r="BY87" s="194">
        <v>0</v>
      </c>
      <c r="BZ87" s="194">
        <v>0</v>
      </c>
      <c r="CA87" s="194">
        <v>0</v>
      </c>
      <c r="CB87" s="194">
        <v>0</v>
      </c>
      <c r="CC87" s="194">
        <v>0</v>
      </c>
      <c r="CD87" s="194">
        <v>0</v>
      </c>
      <c r="CE87" s="194">
        <v>0</v>
      </c>
      <c r="CF87" s="194">
        <v>0</v>
      </c>
      <c r="CG87" s="194">
        <v>0</v>
      </c>
      <c r="CH87" s="194">
        <v>0</v>
      </c>
      <c r="CI87" s="194">
        <v>0</v>
      </c>
      <c r="CJ87" s="194">
        <v>0</v>
      </c>
      <c r="CK87" s="194">
        <v>0</v>
      </c>
      <c r="CL87" s="194">
        <v>0</v>
      </c>
      <c r="CM87" s="194">
        <v>0</v>
      </c>
      <c r="CN87" s="194">
        <v>0</v>
      </c>
      <c r="CO87" s="194">
        <v>0</v>
      </c>
      <c r="CP87" s="194">
        <v>0</v>
      </c>
      <c r="CQ87" s="194">
        <v>0</v>
      </c>
      <c r="CR87" s="194">
        <v>0</v>
      </c>
      <c r="CS87" s="194">
        <v>0</v>
      </c>
      <c r="CT87" s="194">
        <v>0</v>
      </c>
      <c r="CU87" s="194">
        <v>0</v>
      </c>
      <c r="CV87" s="194">
        <v>0</v>
      </c>
      <c r="CW87" s="194">
        <v>0</v>
      </c>
      <c r="CX87" s="194">
        <v>0</v>
      </c>
    </row>
    <row r="88" spans="1:102" x14ac:dyDescent="0.2">
      <c r="B88" s="63" t="s">
        <v>82</v>
      </c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94">
        <v>-1410</v>
      </c>
      <c r="AB88" s="194"/>
      <c r="AC88" s="194"/>
      <c r="AD88" s="194"/>
      <c r="AE88" s="194"/>
      <c r="AF88" s="194">
        <v>-1193</v>
      </c>
      <c r="AG88" s="194"/>
      <c r="AH88" s="194"/>
      <c r="AI88" s="194"/>
      <c r="AJ88" s="194"/>
      <c r="AK88" s="194">
        <v>-2187</v>
      </c>
      <c r="AL88" s="194"/>
      <c r="AM88" s="194"/>
      <c r="AN88" s="194"/>
      <c r="AO88" s="194"/>
      <c r="AP88" s="194">
        <v>-1426</v>
      </c>
      <c r="AQ88" s="194"/>
      <c r="AR88" s="194"/>
      <c r="AS88" s="194"/>
      <c r="AT88" s="194"/>
      <c r="AU88" s="194">
        <v>-3583</v>
      </c>
      <c r="AV88" s="110"/>
      <c r="AW88" s="110"/>
      <c r="AX88" s="110"/>
      <c r="AY88" s="110"/>
      <c r="AZ88" s="194">
        <v>-1314</v>
      </c>
      <c r="BA88" s="194"/>
      <c r="BB88" s="194"/>
      <c r="BC88" s="194"/>
      <c r="BD88" s="194"/>
      <c r="BE88" s="194">
        <v>-3278</v>
      </c>
      <c r="BF88" s="194"/>
      <c r="BG88" s="194"/>
      <c r="BH88" s="194"/>
      <c r="BI88" s="194"/>
      <c r="BJ88" s="194">
        <v>-2849</v>
      </c>
      <c r="BK88" s="194"/>
      <c r="BL88" s="194"/>
      <c r="BM88" s="194"/>
      <c r="BN88" s="194"/>
      <c r="BO88" s="194">
        <v>-9487</v>
      </c>
      <c r="BP88" s="194"/>
      <c r="BQ88" s="194"/>
      <c r="BR88" s="194"/>
      <c r="BS88" s="194"/>
      <c r="BT88" s="194">
        <v>-2592</v>
      </c>
      <c r="BU88" s="194">
        <v>371</v>
      </c>
      <c r="BV88" s="194">
        <v>-2373</v>
      </c>
      <c r="BW88" s="194">
        <v>808</v>
      </c>
      <c r="BX88" s="319">
        <v>2643</v>
      </c>
      <c r="BY88" s="194">
        <f t="shared" si="101"/>
        <v>1449</v>
      </c>
      <c r="BZ88" s="227"/>
      <c r="CA88" s="227"/>
      <c r="CB88" s="227"/>
      <c r="CC88" s="227"/>
      <c r="CD88" s="227">
        <f>BY52-CD52</f>
        <v>-9402.857765478584</v>
      </c>
      <c r="CE88" s="227"/>
      <c r="CF88" s="227"/>
      <c r="CG88" s="227"/>
      <c r="CH88" s="227"/>
      <c r="CI88" s="227">
        <f t="shared" ref="CI88:CX88" si="112">CD52-CI52</f>
        <v>-9655.3005983451003</v>
      </c>
      <c r="CJ88" s="227"/>
      <c r="CK88" s="227"/>
      <c r="CL88" s="227"/>
      <c r="CM88" s="227"/>
      <c r="CN88" s="227">
        <f t="shared" si="112"/>
        <v>-14292.247714733363</v>
      </c>
      <c r="CO88" s="227"/>
      <c r="CP88" s="227"/>
      <c r="CQ88" s="227"/>
      <c r="CR88" s="227"/>
      <c r="CS88" s="227">
        <f t="shared" si="112"/>
        <v>-17556.918482754438</v>
      </c>
      <c r="CT88" s="227"/>
      <c r="CU88" s="227"/>
      <c r="CV88" s="227"/>
      <c r="CW88" s="227"/>
      <c r="CX88" s="227">
        <f t="shared" si="112"/>
        <v>-20427.892597958955</v>
      </c>
    </row>
    <row r="89" spans="1:102" x14ac:dyDescent="0.2">
      <c r="B89" s="63" t="s">
        <v>83</v>
      </c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94">
        <v>-846</v>
      </c>
      <c r="AB89" s="194"/>
      <c r="AC89" s="194"/>
      <c r="AD89" s="194"/>
      <c r="AE89" s="194"/>
      <c r="AF89" s="194">
        <v>-1039</v>
      </c>
      <c r="AG89" s="194"/>
      <c r="AH89" s="194"/>
      <c r="AI89" s="194"/>
      <c r="AJ89" s="194"/>
      <c r="AK89" s="194">
        <v>-1755</v>
      </c>
      <c r="AL89" s="194"/>
      <c r="AM89" s="194"/>
      <c r="AN89" s="194"/>
      <c r="AO89" s="194"/>
      <c r="AP89" s="194">
        <v>-3367</v>
      </c>
      <c r="AQ89" s="194"/>
      <c r="AR89" s="194"/>
      <c r="AS89" s="194"/>
      <c r="AT89" s="194"/>
      <c r="AU89" s="194">
        <v>-4786</v>
      </c>
      <c r="AV89" s="110"/>
      <c r="AW89" s="110"/>
      <c r="AX89" s="110"/>
      <c r="AY89" s="110"/>
      <c r="AZ89" s="194">
        <v>-4615</v>
      </c>
      <c r="BA89" s="194"/>
      <c r="BB89" s="194"/>
      <c r="BC89" s="194"/>
      <c r="BD89" s="194"/>
      <c r="BE89" s="194">
        <v>-7681</v>
      </c>
      <c r="BF89" s="194"/>
      <c r="BG89" s="194"/>
      <c r="BH89" s="194"/>
      <c r="BI89" s="194"/>
      <c r="BJ89" s="194">
        <v>-8169</v>
      </c>
      <c r="BK89" s="194"/>
      <c r="BL89" s="194"/>
      <c r="BM89" s="194"/>
      <c r="BN89" s="194"/>
      <c r="BO89" s="194">
        <v>-18163</v>
      </c>
      <c r="BP89" s="194"/>
      <c r="BQ89" s="194"/>
      <c r="BR89" s="194"/>
      <c r="BS89" s="194"/>
      <c r="BT89" s="194">
        <v>-21897</v>
      </c>
      <c r="BU89" s="194">
        <v>1521</v>
      </c>
      <c r="BV89" s="194">
        <v>-5167</v>
      </c>
      <c r="BW89" s="194">
        <v>-6718</v>
      </c>
      <c r="BX89" s="319">
        <v>-7447</v>
      </c>
      <c r="BY89" s="194">
        <f t="shared" si="101"/>
        <v>-17811</v>
      </c>
      <c r="BZ89" s="227"/>
      <c r="CA89" s="227"/>
      <c r="CB89" s="227"/>
      <c r="CC89" s="227"/>
      <c r="CD89" s="227">
        <f>BY53-CD53</f>
        <v>9072.3105991712655</v>
      </c>
      <c r="CE89" s="227"/>
      <c r="CF89" s="227"/>
      <c r="CG89" s="227"/>
      <c r="CH89" s="227"/>
      <c r="CI89" s="227">
        <f t="shared" ref="CI89:CX89" si="113">CD53-CI53</f>
        <v>-13068.072497433532</v>
      </c>
      <c r="CJ89" s="227"/>
      <c r="CK89" s="227"/>
      <c r="CL89" s="227"/>
      <c r="CM89" s="227"/>
      <c r="CN89" s="227">
        <f t="shared" si="113"/>
        <v>-12223.794975376761</v>
      </c>
      <c r="CO89" s="227"/>
      <c r="CP89" s="227"/>
      <c r="CQ89" s="227"/>
      <c r="CR89" s="227"/>
      <c r="CS89" s="227">
        <f t="shared" si="113"/>
        <v>-7543.7279056857806</v>
      </c>
      <c r="CT89" s="227"/>
      <c r="CU89" s="227"/>
      <c r="CV89" s="227"/>
      <c r="CW89" s="227"/>
      <c r="CX89" s="227">
        <f t="shared" si="113"/>
        <v>-15727.371922970458</v>
      </c>
    </row>
    <row r="90" spans="1:102" x14ac:dyDescent="0.2">
      <c r="B90" s="63" t="s">
        <v>84</v>
      </c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94">
        <v>1888</v>
      </c>
      <c r="AB90" s="194"/>
      <c r="AC90" s="194"/>
      <c r="AD90" s="194"/>
      <c r="AE90" s="194"/>
      <c r="AF90" s="194">
        <v>1759</v>
      </c>
      <c r="AG90" s="194"/>
      <c r="AH90" s="194"/>
      <c r="AI90" s="194"/>
      <c r="AJ90" s="194"/>
      <c r="AK90" s="194">
        <v>4294</v>
      </c>
      <c r="AL90" s="194"/>
      <c r="AM90" s="194"/>
      <c r="AN90" s="194"/>
      <c r="AO90" s="194"/>
      <c r="AP90" s="194">
        <v>5030</v>
      </c>
      <c r="AQ90" s="194"/>
      <c r="AR90" s="194"/>
      <c r="AS90" s="194"/>
      <c r="AT90" s="194"/>
      <c r="AU90" s="194">
        <v>7175</v>
      </c>
      <c r="AV90" s="110"/>
      <c r="AW90" s="110"/>
      <c r="AX90" s="110"/>
      <c r="AY90" s="110"/>
      <c r="AZ90" s="194">
        <v>3263</v>
      </c>
      <c r="BA90" s="194"/>
      <c r="BB90" s="194"/>
      <c r="BC90" s="194"/>
      <c r="BD90" s="194"/>
      <c r="BE90" s="194">
        <v>8193</v>
      </c>
      <c r="BF90" s="194"/>
      <c r="BG90" s="194"/>
      <c r="BH90" s="194"/>
      <c r="BI90" s="194"/>
      <c r="BJ90" s="194">
        <v>17480</v>
      </c>
      <c r="BK90" s="194"/>
      <c r="BL90" s="194"/>
      <c r="BM90" s="194"/>
      <c r="BN90" s="194"/>
      <c r="BO90" s="194">
        <v>3602</v>
      </c>
      <c r="BP90" s="194"/>
      <c r="BQ90" s="194"/>
      <c r="BR90" s="194"/>
      <c r="BS90" s="194"/>
      <c r="BT90" s="194">
        <v>2945</v>
      </c>
      <c r="BU90" s="194">
        <v>-11264</v>
      </c>
      <c r="BV90" s="194">
        <v>3029</v>
      </c>
      <c r="BW90" s="194">
        <v>2820</v>
      </c>
      <c r="BX90" s="319">
        <v>10888</v>
      </c>
      <c r="BY90" s="194">
        <f t="shared" si="101"/>
        <v>5473</v>
      </c>
      <c r="BZ90" s="227"/>
      <c r="CA90" s="227"/>
      <c r="CB90" s="227"/>
      <c r="CC90" s="227"/>
      <c r="CD90" s="227">
        <f>CD61-BY61</f>
        <v>21167.630788167167</v>
      </c>
      <c r="CE90" s="227"/>
      <c r="CF90" s="227"/>
      <c r="CG90" s="227"/>
      <c r="CH90" s="227"/>
      <c r="CI90" s="227">
        <f t="shared" ref="CI90:CX90" si="114">CI61-CD61</f>
        <v>26439.240268259615</v>
      </c>
      <c r="CJ90" s="227"/>
      <c r="CK90" s="227"/>
      <c r="CL90" s="227"/>
      <c r="CM90" s="227"/>
      <c r="CN90" s="227">
        <f t="shared" si="114"/>
        <v>34180.156353548751</v>
      </c>
      <c r="CO90" s="227"/>
      <c r="CP90" s="227"/>
      <c r="CQ90" s="227"/>
      <c r="CR90" s="227"/>
      <c r="CS90" s="227">
        <f t="shared" si="114"/>
        <v>41085.671402153559</v>
      </c>
      <c r="CT90" s="227"/>
      <c r="CU90" s="227"/>
      <c r="CV90" s="227"/>
      <c r="CW90" s="227"/>
      <c r="CX90" s="227">
        <f t="shared" si="114"/>
        <v>52819.499602805095</v>
      </c>
    </row>
    <row r="91" spans="1:102" x14ac:dyDescent="0.2">
      <c r="B91" s="63" t="s">
        <v>85</v>
      </c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94">
        <v>736</v>
      </c>
      <c r="AB91" s="194"/>
      <c r="AC91" s="194"/>
      <c r="AD91" s="194"/>
      <c r="AE91" s="194"/>
      <c r="AF91" s="194">
        <v>706</v>
      </c>
      <c r="AG91" s="194"/>
      <c r="AH91" s="194"/>
      <c r="AI91" s="194"/>
      <c r="AJ91" s="194"/>
      <c r="AK91" s="194">
        <v>913</v>
      </c>
      <c r="AL91" s="194"/>
      <c r="AM91" s="194"/>
      <c r="AN91" s="194"/>
      <c r="AO91" s="194"/>
      <c r="AP91" s="194">
        <v>1724</v>
      </c>
      <c r="AQ91" s="194"/>
      <c r="AR91" s="194"/>
      <c r="AS91" s="194"/>
      <c r="AT91" s="194"/>
      <c r="AU91" s="194">
        <v>283</v>
      </c>
      <c r="AV91" s="110"/>
      <c r="AW91" s="110"/>
      <c r="AX91" s="110"/>
      <c r="AY91" s="110"/>
      <c r="AZ91" s="194">
        <v>472</v>
      </c>
      <c r="BA91" s="194"/>
      <c r="BB91" s="194"/>
      <c r="BC91" s="194"/>
      <c r="BD91" s="194"/>
      <c r="BE91" s="194">
        <v>-1383</v>
      </c>
      <c r="BF91" s="194"/>
      <c r="BG91" s="194"/>
      <c r="BH91" s="194"/>
      <c r="BI91" s="194"/>
      <c r="BJ91" s="194">
        <v>5754</v>
      </c>
      <c r="BK91" s="194"/>
      <c r="BL91" s="194"/>
      <c r="BM91" s="194"/>
      <c r="BN91" s="194"/>
      <c r="BO91" s="194">
        <v>2123</v>
      </c>
      <c r="BP91" s="194"/>
      <c r="BQ91" s="194"/>
      <c r="BR91" s="194"/>
      <c r="BS91" s="194"/>
      <c r="BT91" s="194">
        <v>-1558</v>
      </c>
      <c r="BU91" s="194">
        <v>-5763</v>
      </c>
      <c r="BV91" s="194">
        <v>-1938</v>
      </c>
      <c r="BW91" s="194">
        <v>-1321</v>
      </c>
      <c r="BX91" s="319">
        <f>6594-2802</f>
        <v>3792</v>
      </c>
      <c r="BY91" s="194">
        <f>AVERAGE(AZ91:BT91)</f>
        <v>1081.5999999999999</v>
      </c>
      <c r="BZ91" s="227"/>
      <c r="CA91" s="227"/>
      <c r="CB91" s="227"/>
      <c r="CC91" s="227"/>
      <c r="CD91" s="227">
        <f>AVERAGE(BY91,BT91,BO91,BJ91,BE91)</f>
        <v>1203.52</v>
      </c>
      <c r="CE91" s="227"/>
      <c r="CF91" s="227"/>
      <c r="CG91" s="227"/>
      <c r="CH91" s="227"/>
      <c r="CI91" s="227">
        <f t="shared" ref="CI91:CX91" si="115">AVERAGE(CD91,BY91,BT91,BO91,BJ91)</f>
        <v>1720.8239999999998</v>
      </c>
      <c r="CJ91" s="227"/>
      <c r="CK91" s="227"/>
      <c r="CL91" s="227"/>
      <c r="CM91" s="227"/>
      <c r="CN91" s="227">
        <f t="shared" si="115"/>
        <v>914.1887999999999</v>
      </c>
      <c r="CO91" s="227"/>
      <c r="CP91" s="227"/>
      <c r="CQ91" s="227"/>
      <c r="CR91" s="227"/>
      <c r="CS91" s="227">
        <f t="shared" si="115"/>
        <v>672.42655999999988</v>
      </c>
      <c r="CT91" s="227"/>
      <c r="CU91" s="227"/>
      <c r="CV91" s="227"/>
      <c r="CW91" s="227"/>
      <c r="CX91" s="227">
        <f t="shared" si="115"/>
        <v>1118.5118719999998</v>
      </c>
    </row>
    <row r="92" spans="1:102" x14ac:dyDescent="0.2">
      <c r="B92" s="63" t="s">
        <v>61</v>
      </c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94">
        <v>2691</v>
      </c>
      <c r="AB92" s="194"/>
      <c r="AC92" s="194"/>
      <c r="AD92" s="194"/>
      <c r="AE92" s="194"/>
      <c r="AF92" s="194">
        <v>4433</v>
      </c>
      <c r="AG92" s="194"/>
      <c r="AH92" s="194"/>
      <c r="AI92" s="194"/>
      <c r="AJ92" s="194"/>
      <c r="AK92" s="194">
        <v>7401</v>
      </c>
      <c r="AL92" s="194"/>
      <c r="AM92" s="194"/>
      <c r="AN92" s="194"/>
      <c r="AO92" s="194"/>
      <c r="AP92" s="194">
        <v>11931</v>
      </c>
      <c r="AQ92" s="194"/>
      <c r="AR92" s="194"/>
      <c r="AS92" s="194"/>
      <c r="AT92" s="194"/>
      <c r="AU92" s="194">
        <v>738</v>
      </c>
      <c r="AV92" s="110"/>
      <c r="AW92" s="110"/>
      <c r="AX92" s="110"/>
      <c r="AY92" s="110"/>
      <c r="AZ92" s="194">
        <v>1151</v>
      </c>
      <c r="BA92" s="194"/>
      <c r="BB92" s="194"/>
      <c r="BC92" s="194"/>
      <c r="BD92" s="194"/>
      <c r="BE92" s="194">
        <v>1711</v>
      </c>
      <c r="BF92" s="194"/>
      <c r="BG92" s="194"/>
      <c r="BH92" s="194"/>
      <c r="BI92" s="194"/>
      <c r="BJ92" s="194">
        <v>1265</v>
      </c>
      <c r="BK92" s="194"/>
      <c r="BL92" s="194"/>
      <c r="BM92" s="194"/>
      <c r="BN92" s="194"/>
      <c r="BO92" s="194">
        <v>2314</v>
      </c>
      <c r="BP92" s="194"/>
      <c r="BQ92" s="194"/>
      <c r="BR92" s="194"/>
      <c r="BS92" s="194"/>
      <c r="BT92" s="194">
        <v>2216</v>
      </c>
      <c r="BU92" s="194">
        <v>818</v>
      </c>
      <c r="BV92" s="194">
        <v>156</v>
      </c>
      <c r="BW92" s="194">
        <v>-25</v>
      </c>
      <c r="BX92" s="319">
        <v>3629</v>
      </c>
      <c r="BY92" s="194">
        <f t="shared" si="101"/>
        <v>4578</v>
      </c>
      <c r="BZ92" s="227"/>
      <c r="CA92" s="227"/>
      <c r="CB92" s="227"/>
      <c r="CC92" s="227"/>
      <c r="CD92" s="227">
        <f>AVERAGE(BY92,BT92,BO92,BJ92,BE92)</f>
        <v>2416.8000000000002</v>
      </c>
      <c r="CE92" s="227"/>
      <c r="CF92" s="227"/>
      <c r="CG92" s="227"/>
      <c r="CH92" s="227"/>
      <c r="CI92" s="227">
        <f t="shared" ref="CI92:CX92" si="116">AVERAGE(CD92,BY92,BT92,BO92,BJ92)</f>
        <v>2557.96</v>
      </c>
      <c r="CJ92" s="227"/>
      <c r="CK92" s="227"/>
      <c r="CL92" s="227"/>
      <c r="CM92" s="227"/>
      <c r="CN92" s="227">
        <f t="shared" si="116"/>
        <v>2816.5520000000001</v>
      </c>
      <c r="CO92" s="227"/>
      <c r="CP92" s="227"/>
      <c r="CQ92" s="227"/>
      <c r="CR92" s="227"/>
      <c r="CS92" s="227">
        <f t="shared" si="116"/>
        <v>2917.0624000000003</v>
      </c>
      <c r="CT92" s="227"/>
      <c r="CU92" s="227"/>
      <c r="CV92" s="227"/>
      <c r="CW92" s="227"/>
      <c r="CX92" s="227">
        <f t="shared" si="116"/>
        <v>3057.2748799999999</v>
      </c>
    </row>
    <row r="93" spans="1:102" x14ac:dyDescent="0.2">
      <c r="B93" s="63" t="s">
        <v>440</v>
      </c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94">
        <v>-2292</v>
      </c>
      <c r="AB93" s="194"/>
      <c r="AC93" s="194"/>
      <c r="AD93" s="194"/>
      <c r="AE93" s="194"/>
      <c r="AF93" s="194">
        <v>-3692</v>
      </c>
      <c r="AG93" s="194"/>
      <c r="AH93" s="194"/>
      <c r="AI93" s="194"/>
      <c r="AJ93" s="194"/>
      <c r="AK93" s="194">
        <v>-6109</v>
      </c>
      <c r="AL93" s="194"/>
      <c r="AM93" s="194"/>
      <c r="AN93" s="194"/>
      <c r="AO93" s="194"/>
      <c r="AP93" s="194">
        <v>-9976</v>
      </c>
      <c r="AQ93" s="194"/>
      <c r="AR93" s="194"/>
      <c r="AS93" s="194"/>
      <c r="AT93" s="194"/>
      <c r="AU93" s="194">
        <v>0</v>
      </c>
      <c r="AV93" s="110"/>
      <c r="AW93" s="110"/>
      <c r="AX93" s="110"/>
      <c r="AY93" s="110"/>
      <c r="AZ93" s="194">
        <v>0</v>
      </c>
      <c r="BA93" s="194">
        <v>0</v>
      </c>
      <c r="BB93" s="194">
        <v>0</v>
      </c>
      <c r="BC93" s="194">
        <v>0</v>
      </c>
      <c r="BD93" s="194">
        <v>0</v>
      </c>
      <c r="BE93" s="194">
        <v>0</v>
      </c>
      <c r="BF93" s="194">
        <v>0</v>
      </c>
      <c r="BG93" s="194">
        <v>0</v>
      </c>
      <c r="BH93" s="194">
        <v>0</v>
      </c>
      <c r="BI93" s="194">
        <v>0</v>
      </c>
      <c r="BJ93" s="194">
        <v>0</v>
      </c>
      <c r="BK93" s="194">
        <v>0</v>
      </c>
      <c r="BL93" s="194">
        <v>0</v>
      </c>
      <c r="BM93" s="194">
        <v>0</v>
      </c>
      <c r="BN93" s="194">
        <v>0</v>
      </c>
      <c r="BO93" s="194"/>
      <c r="BP93" s="194">
        <v>0</v>
      </c>
      <c r="BQ93" s="194">
        <v>0</v>
      </c>
      <c r="BR93" s="194">
        <v>0</v>
      </c>
      <c r="BS93" s="194">
        <v>0</v>
      </c>
      <c r="BT93" s="194">
        <v>0</v>
      </c>
      <c r="BU93" s="194">
        <v>0</v>
      </c>
      <c r="BV93" s="194">
        <v>0</v>
      </c>
      <c r="BW93" s="194">
        <v>0</v>
      </c>
      <c r="BX93" s="194">
        <v>0</v>
      </c>
      <c r="BY93" s="194">
        <v>0</v>
      </c>
      <c r="BZ93" s="194">
        <v>0</v>
      </c>
      <c r="CA93" s="194">
        <v>0</v>
      </c>
      <c r="CB93" s="194">
        <v>0</v>
      </c>
      <c r="CC93" s="194">
        <v>0</v>
      </c>
      <c r="CD93" s="194">
        <v>0</v>
      </c>
      <c r="CE93" s="194">
        <v>0</v>
      </c>
      <c r="CF93" s="194">
        <v>0</v>
      </c>
      <c r="CG93" s="194">
        <v>0</v>
      </c>
      <c r="CH93" s="194">
        <v>0</v>
      </c>
      <c r="CI93" s="194">
        <v>0</v>
      </c>
      <c r="CJ93" s="194">
        <v>0</v>
      </c>
      <c r="CK93" s="194">
        <v>0</v>
      </c>
      <c r="CL93" s="194">
        <v>0</v>
      </c>
      <c r="CM93" s="194">
        <v>0</v>
      </c>
      <c r="CN93" s="194">
        <v>0</v>
      </c>
      <c r="CO93" s="194">
        <v>0</v>
      </c>
      <c r="CP93" s="194">
        <v>0</v>
      </c>
      <c r="CQ93" s="194">
        <v>0</v>
      </c>
      <c r="CR93" s="194">
        <v>0</v>
      </c>
      <c r="CS93" s="194">
        <v>0</v>
      </c>
      <c r="CT93" s="194">
        <v>0</v>
      </c>
      <c r="CU93" s="194">
        <v>0</v>
      </c>
      <c r="CV93" s="194">
        <v>0</v>
      </c>
      <c r="CW93" s="194">
        <v>0</v>
      </c>
      <c r="CX93" s="194">
        <v>0</v>
      </c>
    </row>
    <row r="94" spans="1:102" x14ac:dyDescent="0.2">
      <c r="A94" s="111"/>
      <c r="B94" s="111" t="s">
        <v>86</v>
      </c>
      <c r="C94" s="113">
        <f>SUM(C88:C92)</f>
        <v>0</v>
      </c>
      <c r="D94" s="113">
        <f>SUM(D88:D92)</f>
        <v>0</v>
      </c>
      <c r="E94" s="113">
        <f>SUM(E88:E92)</f>
        <v>0</v>
      </c>
      <c r="F94" s="113">
        <f>SUM(F88:F92)</f>
        <v>0</v>
      </c>
      <c r="G94" s="113">
        <f t="shared" ref="G94:Z94" si="117">SUM(G88:G92)</f>
        <v>0</v>
      </c>
      <c r="H94" s="113">
        <f t="shared" si="117"/>
        <v>0</v>
      </c>
      <c r="I94" s="113">
        <f t="shared" si="117"/>
        <v>0</v>
      </c>
      <c r="J94" s="113">
        <f t="shared" si="117"/>
        <v>0</v>
      </c>
      <c r="K94" s="113">
        <f t="shared" si="117"/>
        <v>0</v>
      </c>
      <c r="L94" s="113">
        <f t="shared" si="117"/>
        <v>0</v>
      </c>
      <c r="M94" s="113">
        <f t="shared" si="117"/>
        <v>0</v>
      </c>
      <c r="N94" s="113">
        <f t="shared" si="117"/>
        <v>0</v>
      </c>
      <c r="O94" s="113">
        <f t="shared" si="117"/>
        <v>0</v>
      </c>
      <c r="P94" s="113">
        <f t="shared" si="117"/>
        <v>0</v>
      </c>
      <c r="Q94" s="113">
        <f t="shared" si="117"/>
        <v>0</v>
      </c>
      <c r="R94" s="113">
        <f t="shared" si="117"/>
        <v>0</v>
      </c>
      <c r="S94" s="113">
        <f t="shared" si="117"/>
        <v>0</v>
      </c>
      <c r="T94" s="113">
        <f t="shared" si="117"/>
        <v>0</v>
      </c>
      <c r="U94" s="113">
        <f t="shared" si="117"/>
        <v>0</v>
      </c>
      <c r="V94" s="113">
        <f t="shared" si="117"/>
        <v>0</v>
      </c>
      <c r="W94" s="113">
        <f t="shared" si="117"/>
        <v>0</v>
      </c>
      <c r="X94" s="113">
        <f t="shared" si="117"/>
        <v>0</v>
      </c>
      <c r="Y94" s="113">
        <f t="shared" si="117"/>
        <v>0</v>
      </c>
      <c r="Z94" s="113">
        <f t="shared" si="117"/>
        <v>0</v>
      </c>
      <c r="AA94" s="195">
        <f>SUM(AA88:AA93)</f>
        <v>767</v>
      </c>
      <c r="AB94" s="195">
        <f t="shared" ref="AB94:CM94" si="118">SUM(AB88:AB93)</f>
        <v>0</v>
      </c>
      <c r="AC94" s="195">
        <f t="shared" si="118"/>
        <v>0</v>
      </c>
      <c r="AD94" s="195">
        <f t="shared" si="118"/>
        <v>0</v>
      </c>
      <c r="AE94" s="195">
        <f t="shared" si="118"/>
        <v>0</v>
      </c>
      <c r="AF94" s="195">
        <f t="shared" si="118"/>
        <v>974</v>
      </c>
      <c r="AG94" s="195">
        <f t="shared" si="118"/>
        <v>0</v>
      </c>
      <c r="AH94" s="195">
        <f t="shared" si="118"/>
        <v>0</v>
      </c>
      <c r="AI94" s="195">
        <f t="shared" si="118"/>
        <v>0</v>
      </c>
      <c r="AJ94" s="195">
        <f t="shared" si="118"/>
        <v>0</v>
      </c>
      <c r="AK94" s="195">
        <f t="shared" si="118"/>
        <v>2557</v>
      </c>
      <c r="AL94" s="195">
        <f t="shared" si="118"/>
        <v>0</v>
      </c>
      <c r="AM94" s="195">
        <f t="shared" si="118"/>
        <v>0</v>
      </c>
      <c r="AN94" s="195">
        <f t="shared" si="118"/>
        <v>0</v>
      </c>
      <c r="AO94" s="195">
        <f t="shared" si="118"/>
        <v>0</v>
      </c>
      <c r="AP94" s="195">
        <f t="shared" si="118"/>
        <v>3916</v>
      </c>
      <c r="AQ94" s="195">
        <f t="shared" si="118"/>
        <v>0</v>
      </c>
      <c r="AR94" s="195">
        <f t="shared" si="118"/>
        <v>0</v>
      </c>
      <c r="AS94" s="195">
        <f t="shared" si="118"/>
        <v>0</v>
      </c>
      <c r="AT94" s="195">
        <f t="shared" si="118"/>
        <v>0</v>
      </c>
      <c r="AU94" s="195">
        <f t="shared" si="118"/>
        <v>-173</v>
      </c>
      <c r="AV94" s="195">
        <f t="shared" si="118"/>
        <v>0</v>
      </c>
      <c r="AW94" s="195">
        <f t="shared" si="118"/>
        <v>0</v>
      </c>
      <c r="AX94" s="195">
        <f t="shared" si="118"/>
        <v>0</v>
      </c>
      <c r="AY94" s="195">
        <f t="shared" si="118"/>
        <v>0</v>
      </c>
      <c r="AZ94" s="195">
        <f t="shared" si="118"/>
        <v>-1043</v>
      </c>
      <c r="BA94" s="195">
        <f t="shared" si="118"/>
        <v>0</v>
      </c>
      <c r="BB94" s="195">
        <f t="shared" si="118"/>
        <v>0</v>
      </c>
      <c r="BC94" s="195">
        <f t="shared" si="118"/>
        <v>0</v>
      </c>
      <c r="BD94" s="195">
        <f t="shared" si="118"/>
        <v>0</v>
      </c>
      <c r="BE94" s="195">
        <f t="shared" si="118"/>
        <v>-2438</v>
      </c>
      <c r="BF94" s="195">
        <f t="shared" si="118"/>
        <v>0</v>
      </c>
      <c r="BG94" s="195">
        <f t="shared" si="118"/>
        <v>0</v>
      </c>
      <c r="BH94" s="195">
        <f t="shared" si="118"/>
        <v>0</v>
      </c>
      <c r="BI94" s="195">
        <f t="shared" si="118"/>
        <v>0</v>
      </c>
      <c r="BJ94" s="195">
        <f t="shared" si="118"/>
        <v>13481</v>
      </c>
      <c r="BK94" s="195">
        <f t="shared" si="118"/>
        <v>0</v>
      </c>
      <c r="BL94" s="195">
        <f t="shared" si="118"/>
        <v>0</v>
      </c>
      <c r="BM94" s="195">
        <f t="shared" si="118"/>
        <v>0</v>
      </c>
      <c r="BN94" s="195">
        <f t="shared" si="118"/>
        <v>0</v>
      </c>
      <c r="BO94" s="195">
        <f t="shared" si="118"/>
        <v>-19611</v>
      </c>
      <c r="BP94" s="195">
        <f t="shared" si="118"/>
        <v>0</v>
      </c>
      <c r="BQ94" s="195">
        <f t="shared" si="118"/>
        <v>0</v>
      </c>
      <c r="BR94" s="195">
        <f t="shared" si="118"/>
        <v>0</v>
      </c>
      <c r="BS94" s="195">
        <f t="shared" si="118"/>
        <v>0</v>
      </c>
      <c r="BT94" s="195">
        <f t="shared" si="118"/>
        <v>-20886</v>
      </c>
      <c r="BU94" s="195">
        <f t="shared" si="118"/>
        <v>-14317</v>
      </c>
      <c r="BV94" s="195">
        <f t="shared" si="118"/>
        <v>-6293</v>
      </c>
      <c r="BW94" s="195">
        <f t="shared" si="118"/>
        <v>-4436</v>
      </c>
      <c r="BX94" s="195">
        <f t="shared" si="118"/>
        <v>13505</v>
      </c>
      <c r="BY94" s="195">
        <f t="shared" si="118"/>
        <v>-5229.3999999999996</v>
      </c>
      <c r="BZ94" s="195">
        <f t="shared" si="118"/>
        <v>0</v>
      </c>
      <c r="CA94" s="195">
        <f t="shared" si="118"/>
        <v>0</v>
      </c>
      <c r="CB94" s="195">
        <f t="shared" si="118"/>
        <v>0</v>
      </c>
      <c r="CC94" s="195">
        <f t="shared" si="118"/>
        <v>0</v>
      </c>
      <c r="CD94" s="195">
        <f t="shared" si="118"/>
        <v>24457.403621859848</v>
      </c>
      <c r="CE94" s="195">
        <f t="shared" si="118"/>
        <v>0</v>
      </c>
      <c r="CF94" s="195">
        <f t="shared" si="118"/>
        <v>0</v>
      </c>
      <c r="CG94" s="195">
        <f t="shared" si="118"/>
        <v>0</v>
      </c>
      <c r="CH94" s="195">
        <f t="shared" si="118"/>
        <v>0</v>
      </c>
      <c r="CI94" s="195">
        <f t="shared" si="118"/>
        <v>7994.6511724809825</v>
      </c>
      <c r="CJ94" s="195">
        <f t="shared" si="118"/>
        <v>0</v>
      </c>
      <c r="CK94" s="195">
        <f t="shared" si="118"/>
        <v>0</v>
      </c>
      <c r="CL94" s="195">
        <f t="shared" si="118"/>
        <v>0</v>
      </c>
      <c r="CM94" s="195">
        <f t="shared" si="118"/>
        <v>0</v>
      </c>
      <c r="CN94" s="195">
        <f t="shared" ref="CN94:CX94" si="119">SUM(CN88:CN93)</f>
        <v>11394.854463438627</v>
      </c>
      <c r="CO94" s="195">
        <f t="shared" si="119"/>
        <v>0</v>
      </c>
      <c r="CP94" s="195">
        <f t="shared" si="119"/>
        <v>0</v>
      </c>
      <c r="CQ94" s="195">
        <f t="shared" si="119"/>
        <v>0</v>
      </c>
      <c r="CR94" s="195">
        <f t="shared" si="119"/>
        <v>0</v>
      </c>
      <c r="CS94" s="195">
        <f t="shared" si="119"/>
        <v>19574.51397371334</v>
      </c>
      <c r="CT94" s="195">
        <f t="shared" si="119"/>
        <v>0</v>
      </c>
      <c r="CU94" s="195">
        <f t="shared" si="119"/>
        <v>0</v>
      </c>
      <c r="CV94" s="195">
        <f t="shared" si="119"/>
        <v>0</v>
      </c>
      <c r="CW94" s="195">
        <f t="shared" si="119"/>
        <v>0</v>
      </c>
      <c r="CX94" s="195">
        <f t="shared" si="119"/>
        <v>20840.021833875682</v>
      </c>
    </row>
    <row r="95" spans="1:102" hidden="1" x14ac:dyDescent="0.2">
      <c r="B95" s="63" t="s">
        <v>87</v>
      </c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94"/>
      <c r="AB95" s="194"/>
      <c r="AC95" s="194"/>
      <c r="AD95" s="194"/>
      <c r="AE95" s="194"/>
      <c r="AF95" s="194"/>
      <c r="AG95" s="194"/>
      <c r="AH95" s="194"/>
      <c r="AI95" s="194"/>
      <c r="AJ95" s="194"/>
      <c r="AK95" s="194"/>
      <c r="AL95" s="194"/>
      <c r="AM95" s="194"/>
      <c r="AN95" s="194"/>
      <c r="AO95" s="194"/>
      <c r="AP95" s="194"/>
      <c r="AQ95" s="194"/>
      <c r="AR95" s="194"/>
      <c r="AS95" s="194"/>
      <c r="AT95" s="194"/>
      <c r="AU95" s="194"/>
      <c r="AV95" s="110"/>
      <c r="AW95" s="110"/>
      <c r="AX95" s="110"/>
      <c r="AY95" s="110"/>
      <c r="AZ95" s="194"/>
      <c r="BA95" s="194"/>
      <c r="BB95" s="194"/>
      <c r="BC95" s="194"/>
      <c r="BD95" s="194"/>
      <c r="BE95" s="194"/>
      <c r="BF95" s="194"/>
      <c r="BG95" s="194"/>
      <c r="BH95" s="194"/>
      <c r="BI95" s="194"/>
      <c r="BJ95" s="194"/>
      <c r="BK95" s="194"/>
      <c r="BL95" s="194"/>
      <c r="BM95" s="194"/>
      <c r="BN95" s="194"/>
      <c r="BO95" s="194"/>
      <c r="BP95" s="194"/>
      <c r="BQ95" s="194"/>
      <c r="BR95" s="194"/>
      <c r="BS95" s="194"/>
      <c r="BT95" s="194"/>
      <c r="BU95" s="194"/>
      <c r="BV95" s="194"/>
      <c r="BW95" s="194"/>
      <c r="BX95" s="194"/>
      <c r="BY95" s="194"/>
      <c r="BZ95" s="194"/>
      <c r="CA95" s="194"/>
      <c r="CB95" s="194"/>
      <c r="CC95" s="194"/>
      <c r="CD95" s="194"/>
      <c r="CE95" s="194"/>
      <c r="CF95" s="194"/>
      <c r="CG95" s="194"/>
      <c r="CH95" s="194"/>
      <c r="CI95" s="194"/>
      <c r="CJ95" s="194"/>
      <c r="CK95" s="194"/>
      <c r="CL95" s="194"/>
      <c r="CM95" s="194"/>
      <c r="CN95" s="194"/>
      <c r="CO95" s="194"/>
      <c r="CP95" s="194"/>
      <c r="CQ95" s="194"/>
      <c r="CR95" s="194"/>
      <c r="CS95" s="194"/>
      <c r="CT95" s="194"/>
      <c r="CU95" s="194"/>
      <c r="CV95" s="194"/>
      <c r="CW95" s="194"/>
      <c r="CX95" s="194"/>
    </row>
    <row r="96" spans="1:102" hidden="1" x14ac:dyDescent="0.2">
      <c r="B96" s="63" t="s">
        <v>88</v>
      </c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94"/>
      <c r="AB96" s="194"/>
      <c r="AC96" s="194"/>
      <c r="AD96" s="194"/>
      <c r="AE96" s="194"/>
      <c r="AF96" s="194"/>
      <c r="AG96" s="194"/>
      <c r="AH96" s="194"/>
      <c r="AI96" s="194"/>
      <c r="AJ96" s="194"/>
      <c r="AK96" s="194"/>
      <c r="AL96" s="194"/>
      <c r="AM96" s="194"/>
      <c r="AN96" s="194"/>
      <c r="AO96" s="194"/>
      <c r="AP96" s="194"/>
      <c r="AQ96" s="194"/>
      <c r="AR96" s="194"/>
      <c r="AS96" s="194"/>
      <c r="AT96" s="194"/>
      <c r="AU96" s="194"/>
      <c r="AV96" s="110"/>
      <c r="AW96" s="110"/>
      <c r="AX96" s="110"/>
      <c r="AY96" s="110"/>
      <c r="AZ96" s="194"/>
      <c r="BA96" s="194"/>
      <c r="BB96" s="194"/>
      <c r="BC96" s="194"/>
      <c r="BD96" s="194"/>
      <c r="BE96" s="194"/>
      <c r="BF96" s="194"/>
      <c r="BG96" s="194"/>
      <c r="BH96" s="194"/>
      <c r="BI96" s="194"/>
      <c r="BJ96" s="194"/>
      <c r="BK96" s="194"/>
      <c r="BL96" s="194"/>
      <c r="BM96" s="194"/>
      <c r="BN96" s="194"/>
      <c r="BO96" s="194"/>
      <c r="BP96" s="194"/>
      <c r="BQ96" s="194"/>
      <c r="BR96" s="194"/>
      <c r="BS96" s="194"/>
      <c r="BT96" s="194"/>
      <c r="BU96" s="194"/>
      <c r="BV96" s="194"/>
      <c r="BW96" s="194"/>
      <c r="BX96" s="194"/>
      <c r="BY96" s="194"/>
      <c r="BZ96" s="194"/>
      <c r="CA96" s="194"/>
      <c r="CB96" s="194"/>
      <c r="CC96" s="194"/>
      <c r="CD96" s="194"/>
      <c r="CE96" s="194"/>
      <c r="CF96" s="194"/>
      <c r="CG96" s="194"/>
      <c r="CH96" s="194"/>
      <c r="CI96" s="194"/>
      <c r="CJ96" s="194"/>
      <c r="CK96" s="194"/>
      <c r="CL96" s="194"/>
      <c r="CM96" s="194"/>
      <c r="CN96" s="194"/>
      <c r="CO96" s="194"/>
      <c r="CP96" s="194"/>
      <c r="CQ96" s="194"/>
      <c r="CR96" s="194"/>
      <c r="CS96" s="194"/>
      <c r="CT96" s="194"/>
      <c r="CU96" s="194"/>
      <c r="CV96" s="194"/>
      <c r="CW96" s="194"/>
      <c r="CX96" s="194"/>
    </row>
    <row r="97" spans="1:102" hidden="1" x14ac:dyDescent="0.2">
      <c r="B97" s="63" t="s">
        <v>89</v>
      </c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94"/>
      <c r="AB97" s="194"/>
      <c r="AC97" s="194"/>
      <c r="AD97" s="194"/>
      <c r="AE97" s="194"/>
      <c r="AF97" s="194"/>
      <c r="AG97" s="194"/>
      <c r="AH97" s="194"/>
      <c r="AI97" s="194"/>
      <c r="AJ97" s="194"/>
      <c r="AK97" s="194"/>
      <c r="AL97" s="194"/>
      <c r="AM97" s="194"/>
      <c r="AN97" s="194"/>
      <c r="AO97" s="194"/>
      <c r="AP97" s="194"/>
      <c r="AQ97" s="194"/>
      <c r="AR97" s="194"/>
      <c r="AS97" s="194"/>
      <c r="AT97" s="194"/>
      <c r="AU97" s="194"/>
      <c r="AV97" s="110"/>
      <c r="AW97" s="110"/>
      <c r="AX97" s="110"/>
      <c r="AY97" s="110"/>
      <c r="AZ97" s="194"/>
      <c r="BA97" s="194"/>
      <c r="BB97" s="194"/>
      <c r="BC97" s="194"/>
      <c r="BD97" s="194"/>
      <c r="BE97" s="194"/>
      <c r="BF97" s="194"/>
      <c r="BG97" s="194"/>
      <c r="BH97" s="194"/>
      <c r="BI97" s="194"/>
      <c r="BJ97" s="194"/>
      <c r="BK97" s="194"/>
      <c r="BL97" s="194"/>
      <c r="BM97" s="194"/>
      <c r="BN97" s="194"/>
      <c r="BO97" s="194"/>
      <c r="BP97" s="194"/>
      <c r="BQ97" s="194"/>
      <c r="BR97" s="194"/>
      <c r="BS97" s="194"/>
      <c r="BT97" s="194"/>
      <c r="BU97" s="194"/>
      <c r="BV97" s="194"/>
      <c r="BW97" s="194"/>
      <c r="BX97" s="194"/>
      <c r="BY97" s="194"/>
      <c r="BZ97" s="194"/>
      <c r="CA97" s="194"/>
      <c r="CB97" s="194"/>
      <c r="CC97" s="194"/>
      <c r="CD97" s="194"/>
      <c r="CE97" s="194"/>
      <c r="CF97" s="194"/>
      <c r="CG97" s="194"/>
      <c r="CH97" s="194"/>
      <c r="CI97" s="194"/>
      <c r="CJ97" s="194"/>
      <c r="CK97" s="194"/>
      <c r="CL97" s="194"/>
      <c r="CM97" s="194"/>
      <c r="CN97" s="194"/>
      <c r="CO97" s="194"/>
      <c r="CP97" s="194"/>
      <c r="CQ97" s="194"/>
      <c r="CR97" s="194"/>
      <c r="CS97" s="194"/>
      <c r="CT97" s="194"/>
      <c r="CU97" s="194"/>
      <c r="CV97" s="194"/>
      <c r="CW97" s="194"/>
      <c r="CX97" s="194"/>
    </row>
    <row r="98" spans="1:102" x14ac:dyDescent="0.2">
      <c r="A98" s="111"/>
      <c r="B98" s="111" t="s">
        <v>90</v>
      </c>
      <c r="C98" s="113">
        <f t="shared" ref="C98:Z98" si="120">SUM(C80:C86)+C94-SUM(C95:C97)</f>
        <v>0</v>
      </c>
      <c r="D98" s="113">
        <f t="shared" si="120"/>
        <v>0</v>
      </c>
      <c r="E98" s="113">
        <f t="shared" si="120"/>
        <v>0</v>
      </c>
      <c r="F98" s="113">
        <f t="shared" si="120"/>
        <v>0</v>
      </c>
      <c r="G98" s="113">
        <f t="shared" si="120"/>
        <v>0</v>
      </c>
      <c r="H98" s="113">
        <f t="shared" si="120"/>
        <v>0</v>
      </c>
      <c r="I98" s="113">
        <f t="shared" si="120"/>
        <v>0</v>
      </c>
      <c r="J98" s="113">
        <f t="shared" si="120"/>
        <v>0</v>
      </c>
      <c r="K98" s="113">
        <f t="shared" si="120"/>
        <v>0</v>
      </c>
      <c r="L98" s="113">
        <f t="shared" si="120"/>
        <v>0</v>
      </c>
      <c r="M98" s="113">
        <f t="shared" si="120"/>
        <v>0</v>
      </c>
      <c r="N98" s="113">
        <f t="shared" si="120"/>
        <v>0</v>
      </c>
      <c r="O98" s="113">
        <f t="shared" si="120"/>
        <v>0</v>
      </c>
      <c r="P98" s="113">
        <f t="shared" si="120"/>
        <v>0</v>
      </c>
      <c r="Q98" s="113">
        <f t="shared" si="120"/>
        <v>0</v>
      </c>
      <c r="R98" s="113">
        <f t="shared" si="120"/>
        <v>0</v>
      </c>
      <c r="S98" s="113">
        <f t="shared" si="120"/>
        <v>0</v>
      </c>
      <c r="T98" s="113">
        <f t="shared" si="120"/>
        <v>0</v>
      </c>
      <c r="U98" s="113">
        <f t="shared" si="120"/>
        <v>0</v>
      </c>
      <c r="V98" s="113">
        <f t="shared" si="120"/>
        <v>0</v>
      </c>
      <c r="W98" s="113">
        <f t="shared" si="120"/>
        <v>0</v>
      </c>
      <c r="X98" s="113">
        <f t="shared" si="120"/>
        <v>0</v>
      </c>
      <c r="Y98" s="113">
        <f t="shared" si="120"/>
        <v>0</v>
      </c>
      <c r="Z98" s="113">
        <f t="shared" si="120"/>
        <v>0</v>
      </c>
      <c r="AA98" s="195">
        <f>SUM(AA80:AA87)+AA94</f>
        <v>5475</v>
      </c>
      <c r="AB98" s="195">
        <f t="shared" ref="AB98:CM98" si="121">SUM(AB80:AB87)+AB94</f>
        <v>0</v>
      </c>
      <c r="AC98" s="195">
        <f t="shared" si="121"/>
        <v>0</v>
      </c>
      <c r="AD98" s="195">
        <f t="shared" si="121"/>
        <v>0</v>
      </c>
      <c r="AE98" s="195">
        <f t="shared" si="121"/>
        <v>0</v>
      </c>
      <c r="AF98" s="195">
        <f t="shared" si="121"/>
        <v>6842</v>
      </c>
      <c r="AG98" s="195">
        <f t="shared" si="121"/>
        <v>0</v>
      </c>
      <c r="AH98" s="195">
        <f t="shared" si="121"/>
        <v>0</v>
      </c>
      <c r="AI98" s="195">
        <f t="shared" si="121"/>
        <v>0</v>
      </c>
      <c r="AJ98" s="195">
        <f t="shared" si="121"/>
        <v>0</v>
      </c>
      <c r="AK98" s="195">
        <f t="shared" si="121"/>
        <v>11920</v>
      </c>
      <c r="AL98" s="195">
        <f t="shared" si="121"/>
        <v>0</v>
      </c>
      <c r="AM98" s="195">
        <f t="shared" si="121"/>
        <v>0</v>
      </c>
      <c r="AN98" s="195">
        <f t="shared" si="121"/>
        <v>0</v>
      </c>
      <c r="AO98" s="195">
        <f t="shared" si="121"/>
        <v>0</v>
      </c>
      <c r="AP98" s="195">
        <f t="shared" si="121"/>
        <v>16443</v>
      </c>
      <c r="AQ98" s="195">
        <f t="shared" si="121"/>
        <v>0</v>
      </c>
      <c r="AR98" s="195">
        <f t="shared" si="121"/>
        <v>0</v>
      </c>
      <c r="AS98" s="195">
        <f t="shared" si="121"/>
        <v>0</v>
      </c>
      <c r="AT98" s="195">
        <f t="shared" si="121"/>
        <v>0</v>
      </c>
      <c r="AU98" s="195">
        <f t="shared" si="121"/>
        <v>18434</v>
      </c>
      <c r="AV98" s="195">
        <f t="shared" si="121"/>
        <v>0</v>
      </c>
      <c r="AW98" s="195">
        <f t="shared" si="121"/>
        <v>0</v>
      </c>
      <c r="AX98" s="195">
        <f t="shared" si="121"/>
        <v>0</v>
      </c>
      <c r="AY98" s="195">
        <f t="shared" si="121"/>
        <v>0</v>
      </c>
      <c r="AZ98" s="195">
        <f t="shared" si="121"/>
        <v>30723</v>
      </c>
      <c r="BA98" s="195">
        <f t="shared" si="121"/>
        <v>0</v>
      </c>
      <c r="BB98" s="195">
        <f t="shared" si="121"/>
        <v>0</v>
      </c>
      <c r="BC98" s="195">
        <f t="shared" si="121"/>
        <v>0</v>
      </c>
      <c r="BD98" s="195">
        <f t="shared" si="121"/>
        <v>0</v>
      </c>
      <c r="BE98" s="195">
        <f t="shared" si="121"/>
        <v>38514</v>
      </c>
      <c r="BF98" s="195">
        <f t="shared" si="121"/>
        <v>0</v>
      </c>
      <c r="BG98" s="195">
        <f t="shared" si="121"/>
        <v>0</v>
      </c>
      <c r="BH98" s="195">
        <f t="shared" si="121"/>
        <v>0</v>
      </c>
      <c r="BI98" s="195">
        <f t="shared" si="121"/>
        <v>0</v>
      </c>
      <c r="BJ98" s="195">
        <f t="shared" si="121"/>
        <v>66064</v>
      </c>
      <c r="BK98" s="195">
        <f t="shared" si="121"/>
        <v>0</v>
      </c>
      <c r="BL98" s="195">
        <f t="shared" si="121"/>
        <v>0</v>
      </c>
      <c r="BM98" s="195">
        <f t="shared" si="121"/>
        <v>0</v>
      </c>
      <c r="BN98" s="195">
        <f t="shared" si="121"/>
        <v>0</v>
      </c>
      <c r="BO98" s="195">
        <f t="shared" si="121"/>
        <v>46327</v>
      </c>
      <c r="BP98" s="195">
        <f t="shared" si="121"/>
        <v>0</v>
      </c>
      <c r="BQ98" s="195">
        <f t="shared" si="121"/>
        <v>0</v>
      </c>
      <c r="BR98" s="195">
        <f t="shared" si="121"/>
        <v>0</v>
      </c>
      <c r="BS98" s="195">
        <f t="shared" si="121"/>
        <v>0</v>
      </c>
      <c r="BT98" s="195">
        <f t="shared" si="121"/>
        <v>46752</v>
      </c>
      <c r="BU98" s="195">
        <f t="shared" si="121"/>
        <v>4788</v>
      </c>
      <c r="BV98" s="195">
        <f t="shared" si="121"/>
        <v>16476</v>
      </c>
      <c r="BW98" s="195">
        <f t="shared" si="121"/>
        <v>21217</v>
      </c>
      <c r="BX98" s="195">
        <f t="shared" si="121"/>
        <v>42465</v>
      </c>
      <c r="BY98" s="195">
        <f t="shared" si="121"/>
        <v>89779.6</v>
      </c>
      <c r="BZ98" s="195">
        <f t="shared" si="121"/>
        <v>0</v>
      </c>
      <c r="CA98" s="195">
        <f t="shared" si="121"/>
        <v>0</v>
      </c>
      <c r="CB98" s="195">
        <f t="shared" si="121"/>
        <v>0</v>
      </c>
      <c r="CC98" s="195">
        <f t="shared" si="121"/>
        <v>0</v>
      </c>
      <c r="CD98" s="195">
        <f t="shared" si="121"/>
        <v>104895.49642277135</v>
      </c>
      <c r="CE98" s="195">
        <f t="shared" si="121"/>
        <v>0</v>
      </c>
      <c r="CF98" s="195">
        <f t="shared" si="121"/>
        <v>0</v>
      </c>
      <c r="CG98" s="195">
        <f t="shared" si="121"/>
        <v>0</v>
      </c>
      <c r="CH98" s="195">
        <f t="shared" si="121"/>
        <v>0</v>
      </c>
      <c r="CI98" s="195">
        <f t="shared" si="121"/>
        <v>105170.68908984323</v>
      </c>
      <c r="CJ98" s="195">
        <f t="shared" si="121"/>
        <v>0</v>
      </c>
      <c r="CK98" s="195">
        <f t="shared" si="121"/>
        <v>0</v>
      </c>
      <c r="CL98" s="195">
        <f t="shared" si="121"/>
        <v>0</v>
      </c>
      <c r="CM98" s="195">
        <f t="shared" si="121"/>
        <v>0</v>
      </c>
      <c r="CN98" s="195">
        <f t="shared" ref="CN98:CX98" si="122">SUM(CN80:CN87)+CN94</f>
        <v>128494.76444151253</v>
      </c>
      <c r="CO98" s="195">
        <f t="shared" si="122"/>
        <v>0</v>
      </c>
      <c r="CP98" s="195">
        <f t="shared" si="122"/>
        <v>0</v>
      </c>
      <c r="CQ98" s="195">
        <f t="shared" si="122"/>
        <v>0</v>
      </c>
      <c r="CR98" s="195">
        <f t="shared" si="122"/>
        <v>0</v>
      </c>
      <c r="CS98" s="195">
        <f t="shared" si="122"/>
        <v>162965.78500472775</v>
      </c>
      <c r="CT98" s="195">
        <f t="shared" si="122"/>
        <v>0</v>
      </c>
      <c r="CU98" s="195">
        <f t="shared" si="122"/>
        <v>0</v>
      </c>
      <c r="CV98" s="195">
        <f t="shared" si="122"/>
        <v>0</v>
      </c>
      <c r="CW98" s="195">
        <f t="shared" si="122"/>
        <v>0</v>
      </c>
      <c r="CX98" s="195">
        <f t="shared" si="122"/>
        <v>194828.34286193587</v>
      </c>
    </row>
    <row r="99" spans="1:102" x14ac:dyDescent="0.2">
      <c r="B99" s="63" t="s">
        <v>91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200">
        <v>-3444</v>
      </c>
      <c r="AB99" s="200"/>
      <c r="AC99" s="200"/>
      <c r="AD99" s="200"/>
      <c r="AE99" s="194"/>
      <c r="AF99" s="200">
        <v>-4893</v>
      </c>
      <c r="AG99" s="200"/>
      <c r="AH99" s="200"/>
      <c r="AI99" s="200"/>
      <c r="AJ99" s="200"/>
      <c r="AK99" s="200">
        <v>-4589</v>
      </c>
      <c r="AL99" s="200"/>
      <c r="AM99" s="200"/>
      <c r="AN99" s="200"/>
      <c r="AO99" s="200"/>
      <c r="AP99" s="200">
        <v>-6737</v>
      </c>
      <c r="AQ99" s="200"/>
      <c r="AR99" s="200"/>
      <c r="AS99" s="200"/>
      <c r="AT99" s="200"/>
      <c r="AU99" s="200">
        <v>-11955</v>
      </c>
      <c r="AV99" s="11"/>
      <c r="AW99" s="11"/>
      <c r="AX99" s="11"/>
      <c r="AY99" s="11"/>
      <c r="AZ99" s="200">
        <v>-13427</v>
      </c>
      <c r="BA99" s="200"/>
      <c r="BB99" s="200"/>
      <c r="BC99" s="200"/>
      <c r="BD99" s="194"/>
      <c r="BE99" s="200">
        <v>-16861</v>
      </c>
      <c r="BF99" s="200"/>
      <c r="BG99" s="200"/>
      <c r="BH99" s="200"/>
      <c r="BI99" s="200"/>
      <c r="BJ99" s="200">
        <v>-40140</v>
      </c>
      <c r="BK99" s="200"/>
      <c r="BL99" s="200"/>
      <c r="BM99" s="200"/>
      <c r="BN99" s="200"/>
      <c r="BO99" s="200">
        <v>-61053</v>
      </c>
      <c r="BP99" s="200"/>
      <c r="BQ99" s="200"/>
      <c r="BR99" s="200"/>
      <c r="BS99" s="200"/>
      <c r="BT99" s="200">
        <v>-63645</v>
      </c>
      <c r="BU99" s="200">
        <v>-14207</v>
      </c>
      <c r="BV99" s="200">
        <v>-11455</v>
      </c>
      <c r="BW99" s="200">
        <v>-12479</v>
      </c>
      <c r="BX99" s="319">
        <v>-14588</v>
      </c>
      <c r="BY99" s="200">
        <v>-53361</v>
      </c>
      <c r="BZ99" s="233"/>
      <c r="CA99" s="233"/>
      <c r="CB99" s="233"/>
      <c r="CC99" s="227"/>
      <c r="CD99" s="457">
        <f>-CD$9*'As % of Revenue'!$C$16</f>
        <v>-48126.462179388676</v>
      </c>
      <c r="CE99" s="234"/>
      <c r="CF99" s="234"/>
      <c r="CG99" s="234"/>
      <c r="CH99" s="234"/>
      <c r="CI99" s="459">
        <f>-CI$9*'As % of Revenue'!$C$16</f>
        <v>-59696.50955362885</v>
      </c>
      <c r="CJ99" s="234"/>
      <c r="CK99" s="234"/>
      <c r="CL99" s="234"/>
      <c r="CM99" s="234"/>
      <c r="CN99" s="457">
        <f>-CN9*'As % of Revenue'!C16</f>
        <v>-74394.494681846831</v>
      </c>
      <c r="CO99" s="234"/>
      <c r="CP99" s="234"/>
      <c r="CQ99" s="234"/>
      <c r="CR99" s="234"/>
      <c r="CS99" s="457">
        <f>-CS9*'As % of Revenue'!C16</f>
        <v>-93135.309223664663</v>
      </c>
      <c r="CT99" s="234"/>
      <c r="CU99" s="234"/>
      <c r="CV99" s="234"/>
      <c r="CW99" s="234"/>
      <c r="CX99" s="457">
        <f>-CX9*'As % of Revenue'!C16</f>
        <v>-117114.40843390612</v>
      </c>
    </row>
    <row r="100" spans="1:102" x14ac:dyDescent="0.2">
      <c r="B100" s="63" t="s">
        <v>92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200">
        <v>0</v>
      </c>
      <c r="AB100" s="200"/>
      <c r="AC100" s="200"/>
      <c r="AD100" s="200"/>
      <c r="AE100" s="194"/>
      <c r="AF100" s="200">
        <v>0</v>
      </c>
      <c r="AG100" s="200"/>
      <c r="AH100" s="200"/>
      <c r="AI100" s="200"/>
      <c r="AJ100" s="200"/>
      <c r="AK100" s="200">
        <v>0</v>
      </c>
      <c r="AL100" s="200"/>
      <c r="AM100" s="200"/>
      <c r="AN100" s="200"/>
      <c r="AO100" s="200"/>
      <c r="AP100" s="200">
        <v>0</v>
      </c>
      <c r="AQ100" s="200"/>
      <c r="AR100" s="200"/>
      <c r="AS100" s="200"/>
      <c r="AT100" s="200"/>
      <c r="AU100" s="200">
        <v>1897</v>
      </c>
      <c r="AV100" s="11"/>
      <c r="AW100" s="11"/>
      <c r="AX100" s="11"/>
      <c r="AY100" s="11"/>
      <c r="AZ100" s="200">
        <v>2104</v>
      </c>
      <c r="BA100" s="200"/>
      <c r="BB100" s="200"/>
      <c r="BC100" s="200"/>
      <c r="BD100" s="194"/>
      <c r="BE100" s="200">
        <v>4172</v>
      </c>
      <c r="BF100" s="200"/>
      <c r="BG100" s="200"/>
      <c r="BH100" s="200"/>
      <c r="BI100" s="200"/>
      <c r="BJ100" s="200">
        <v>5096</v>
      </c>
      <c r="BK100" s="200"/>
      <c r="BL100" s="200"/>
      <c r="BM100" s="200"/>
      <c r="BN100" s="200"/>
      <c r="BO100" s="200">
        <v>5657</v>
      </c>
      <c r="BP100" s="200"/>
      <c r="BQ100" s="200"/>
      <c r="BR100" s="200"/>
      <c r="BS100" s="200"/>
      <c r="BT100" s="200">
        <v>5324</v>
      </c>
      <c r="BU100" s="200">
        <v>1137</v>
      </c>
      <c r="BV100" s="200">
        <v>1043</v>
      </c>
      <c r="BW100" s="200">
        <v>1181</v>
      </c>
      <c r="BX100" s="319">
        <v>1235</v>
      </c>
      <c r="BY100" s="200">
        <f t="shared" ref="BY100:BY103" si="123">SUM(BU100:BX100)</f>
        <v>4596</v>
      </c>
      <c r="BZ100" s="233"/>
      <c r="CA100" s="233"/>
      <c r="CB100" s="233"/>
      <c r="CC100" s="227"/>
      <c r="CD100" s="458"/>
      <c r="CE100" s="234"/>
      <c r="CF100" s="234"/>
      <c r="CG100" s="234"/>
      <c r="CH100" s="234"/>
      <c r="CI100" s="458"/>
      <c r="CJ100" s="234"/>
      <c r="CK100" s="234"/>
      <c r="CL100" s="234"/>
      <c r="CM100" s="234"/>
      <c r="CN100" s="458"/>
      <c r="CO100" s="234"/>
      <c r="CP100" s="234"/>
      <c r="CQ100" s="234"/>
      <c r="CR100" s="234"/>
      <c r="CS100" s="458"/>
      <c r="CT100" s="234"/>
      <c r="CU100" s="234"/>
      <c r="CV100" s="234"/>
      <c r="CW100" s="234"/>
      <c r="CX100" s="458"/>
    </row>
    <row r="101" spans="1:102" x14ac:dyDescent="0.2">
      <c r="B101" s="63" t="s">
        <v>93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200">
        <v>-312</v>
      </c>
      <c r="AB101" s="200"/>
      <c r="AC101" s="200"/>
      <c r="AD101" s="200"/>
      <c r="AE101" s="194"/>
      <c r="AF101" s="200">
        <v>-979</v>
      </c>
      <c r="AG101" s="200"/>
      <c r="AH101" s="200"/>
      <c r="AI101" s="200"/>
      <c r="AJ101" s="200"/>
      <c r="AK101" s="200">
        <v>-795</v>
      </c>
      <c r="AL101" s="200"/>
      <c r="AM101" s="200"/>
      <c r="AN101" s="200"/>
      <c r="AO101" s="200"/>
      <c r="AP101" s="200">
        <v>-116</v>
      </c>
      <c r="AQ101" s="200"/>
      <c r="AR101" s="200"/>
      <c r="AS101" s="200"/>
      <c r="AT101" s="200"/>
      <c r="AU101" s="200">
        <v>-13972</v>
      </c>
      <c r="AV101" s="11"/>
      <c r="AW101" s="11"/>
      <c r="AX101" s="11"/>
      <c r="AY101" s="11"/>
      <c r="AZ101" s="200">
        <v>-2186</v>
      </c>
      <c r="BA101" s="200"/>
      <c r="BB101" s="200"/>
      <c r="BC101" s="200"/>
      <c r="BD101" s="194"/>
      <c r="BE101" s="200">
        <v>-2461</v>
      </c>
      <c r="BF101" s="200"/>
      <c r="BG101" s="200"/>
      <c r="BH101" s="200"/>
      <c r="BI101" s="200"/>
      <c r="BJ101" s="200">
        <v>-2325</v>
      </c>
      <c r="BK101" s="200"/>
      <c r="BL101" s="200"/>
      <c r="BM101" s="200"/>
      <c r="BN101" s="200"/>
      <c r="BO101" s="200">
        <v>-1985</v>
      </c>
      <c r="BP101" s="200"/>
      <c r="BQ101" s="200"/>
      <c r="BR101" s="200"/>
      <c r="BS101" s="200"/>
      <c r="BT101" s="200">
        <v>-8316</v>
      </c>
      <c r="BU101" s="200">
        <v>-3513</v>
      </c>
      <c r="BV101" s="200">
        <v>-316</v>
      </c>
      <c r="BW101" s="200">
        <v>-1629</v>
      </c>
      <c r="BX101" s="319">
        <v>-381</v>
      </c>
      <c r="BY101" s="200">
        <f t="shared" si="123"/>
        <v>-5839</v>
      </c>
      <c r="BZ101" s="233"/>
      <c r="CA101" s="233"/>
      <c r="CB101" s="233"/>
      <c r="CC101" s="227"/>
      <c r="CD101" s="233">
        <f>AVERAGE(BY101,BT101,BO101,BJ101,BE101)</f>
        <v>-4185.2</v>
      </c>
      <c r="CE101" s="233"/>
      <c r="CF101" s="233"/>
      <c r="CG101" s="233"/>
      <c r="CH101" s="233"/>
      <c r="CI101" s="233">
        <f t="shared" ref="CI101:CX101" si="124">AVERAGE(CD101,BY101,BT101,BO101,BJ101)</f>
        <v>-4530.04</v>
      </c>
      <c r="CJ101" s="233"/>
      <c r="CK101" s="233"/>
      <c r="CL101" s="233"/>
      <c r="CM101" s="233"/>
      <c r="CN101" s="233">
        <f t="shared" si="124"/>
        <v>-4971.0479999999998</v>
      </c>
      <c r="CO101" s="233"/>
      <c r="CP101" s="233"/>
      <c r="CQ101" s="233"/>
      <c r="CR101" s="233"/>
      <c r="CS101" s="233">
        <f t="shared" si="124"/>
        <v>-5568.2575999999999</v>
      </c>
      <c r="CT101" s="233"/>
      <c r="CU101" s="233"/>
      <c r="CV101" s="233"/>
      <c r="CW101" s="233"/>
      <c r="CX101" s="233">
        <f t="shared" si="124"/>
        <v>-5018.7091200000004</v>
      </c>
    </row>
    <row r="102" spans="1:102" x14ac:dyDescent="0.2">
      <c r="B102" s="63" t="s">
        <v>94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200">
        <v>2306</v>
      </c>
      <c r="AB102" s="200"/>
      <c r="AC102" s="200"/>
      <c r="AD102" s="200"/>
      <c r="AE102" s="194"/>
      <c r="AF102" s="200">
        <v>3349</v>
      </c>
      <c r="AG102" s="200"/>
      <c r="AH102" s="200"/>
      <c r="AI102" s="200"/>
      <c r="AJ102" s="200"/>
      <c r="AK102" s="200">
        <v>3025</v>
      </c>
      <c r="AL102" s="200"/>
      <c r="AM102" s="200"/>
      <c r="AN102" s="200"/>
      <c r="AO102" s="200"/>
      <c r="AP102" s="200">
        <v>4733</v>
      </c>
      <c r="AQ102" s="200"/>
      <c r="AR102" s="200"/>
      <c r="AS102" s="200"/>
      <c r="AT102" s="200"/>
      <c r="AU102" s="200">
        <v>9988</v>
      </c>
      <c r="AV102" s="11"/>
      <c r="AW102" s="11"/>
      <c r="AX102" s="11"/>
      <c r="AY102" s="11"/>
      <c r="AZ102" s="200">
        <v>8240</v>
      </c>
      <c r="BA102" s="200"/>
      <c r="BB102" s="200"/>
      <c r="BC102" s="200"/>
      <c r="BD102" s="194"/>
      <c r="BE102" s="200">
        <v>22681</v>
      </c>
      <c r="BF102" s="200"/>
      <c r="BG102" s="200"/>
      <c r="BH102" s="200"/>
      <c r="BI102" s="200"/>
      <c r="BJ102" s="200">
        <v>50237</v>
      </c>
      <c r="BK102" s="200"/>
      <c r="BL102" s="200"/>
      <c r="BM102" s="200"/>
      <c r="BN102" s="200"/>
      <c r="BO102" s="200">
        <v>59384</v>
      </c>
      <c r="BP102" s="200"/>
      <c r="BQ102" s="200"/>
      <c r="BR102" s="200"/>
      <c r="BS102" s="200"/>
      <c r="BT102" s="200">
        <v>31601</v>
      </c>
      <c r="BU102" s="200">
        <v>1115</v>
      </c>
      <c r="BV102" s="200">
        <v>1551</v>
      </c>
      <c r="BW102" s="200">
        <v>1393</v>
      </c>
      <c r="BX102" s="319">
        <v>1568</v>
      </c>
      <c r="BY102" s="200">
        <f t="shared" si="123"/>
        <v>5627</v>
      </c>
      <c r="BZ102" s="233"/>
      <c r="CA102" s="233"/>
      <c r="CB102" s="233"/>
      <c r="CC102" s="227"/>
      <c r="CD102" s="233">
        <f t="shared" ref="CD102:CD103" si="125">AVERAGE(BY102,BT102,BO102,BJ102,BE102)</f>
        <v>33906</v>
      </c>
      <c r="CE102" s="233"/>
      <c r="CF102" s="233"/>
      <c r="CG102" s="233"/>
      <c r="CH102" s="233"/>
      <c r="CI102" s="233">
        <f t="shared" ref="CI102:CI103" si="126">AVERAGE(CD102,BY102,BT102,BO102,BJ102)</f>
        <v>36151</v>
      </c>
      <c r="CJ102" s="233"/>
      <c r="CK102" s="233"/>
      <c r="CL102" s="233"/>
      <c r="CM102" s="233"/>
      <c r="CN102" s="233">
        <f t="shared" ref="CN102:CN103" si="127">AVERAGE(CI102,CD102,BY102,BT102,BO102)</f>
        <v>33333.800000000003</v>
      </c>
      <c r="CO102" s="233"/>
      <c r="CP102" s="233"/>
      <c r="CQ102" s="233"/>
      <c r="CR102" s="233"/>
      <c r="CS102" s="233">
        <f t="shared" ref="CS102:CS103" si="128">AVERAGE(CN102,CI102,CD102,BY102,BT102)</f>
        <v>28123.759999999998</v>
      </c>
      <c r="CT102" s="233"/>
      <c r="CU102" s="233"/>
      <c r="CV102" s="233"/>
      <c r="CW102" s="233"/>
      <c r="CX102" s="233">
        <f t="shared" ref="CX102:CX103" si="129">AVERAGE(CS102,CN102,CI102,CD102,BY102)</f>
        <v>27428.311999999998</v>
      </c>
    </row>
    <row r="103" spans="1:102" x14ac:dyDescent="0.2">
      <c r="B103" s="63" t="s">
        <v>95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200">
        <v>-2826</v>
      </c>
      <c r="AB103" s="200"/>
      <c r="AC103" s="200"/>
      <c r="AD103" s="200"/>
      <c r="AE103" s="194"/>
      <c r="AF103" s="200">
        <v>-2542</v>
      </c>
      <c r="AG103" s="200"/>
      <c r="AH103" s="200"/>
      <c r="AI103" s="200"/>
      <c r="AJ103" s="200"/>
      <c r="AK103" s="200">
        <v>-4091</v>
      </c>
      <c r="AL103" s="200"/>
      <c r="AM103" s="200"/>
      <c r="AN103" s="200"/>
      <c r="AO103" s="200"/>
      <c r="AP103" s="200">
        <v>-7756</v>
      </c>
      <c r="AQ103" s="200"/>
      <c r="AR103" s="200"/>
      <c r="AS103" s="200"/>
      <c r="AT103" s="200"/>
      <c r="AU103" s="200">
        <v>-13777</v>
      </c>
      <c r="AV103" s="11"/>
      <c r="AW103" s="11"/>
      <c r="AX103" s="11"/>
      <c r="AY103" s="11"/>
      <c r="AZ103" s="200">
        <v>-7100</v>
      </c>
      <c r="BA103" s="200"/>
      <c r="BB103" s="200"/>
      <c r="BC103" s="200"/>
      <c r="BD103" s="194"/>
      <c r="BE103" s="200">
        <v>-31812</v>
      </c>
      <c r="BF103" s="200"/>
      <c r="BG103" s="200"/>
      <c r="BH103" s="200"/>
      <c r="BI103" s="200"/>
      <c r="BJ103" s="200">
        <v>-72479</v>
      </c>
      <c r="BK103" s="200"/>
      <c r="BL103" s="200"/>
      <c r="BM103" s="200"/>
      <c r="BN103" s="200"/>
      <c r="BO103" s="200">
        <v>-60157</v>
      </c>
      <c r="BP103" s="200"/>
      <c r="BQ103" s="200"/>
      <c r="BR103" s="200"/>
      <c r="BS103" s="200"/>
      <c r="BT103" s="200">
        <v>-2565</v>
      </c>
      <c r="BU103" s="200">
        <v>-338</v>
      </c>
      <c r="BV103" s="200">
        <v>-496</v>
      </c>
      <c r="BW103" s="200">
        <v>-219</v>
      </c>
      <c r="BX103" s="319">
        <v>-435</v>
      </c>
      <c r="BY103" s="200">
        <f t="shared" si="123"/>
        <v>-1488</v>
      </c>
      <c r="BZ103" s="233"/>
      <c r="CA103" s="233"/>
      <c r="CB103" s="233"/>
      <c r="CC103" s="227"/>
      <c r="CD103" s="233">
        <f t="shared" si="125"/>
        <v>-33700.199999999997</v>
      </c>
      <c r="CE103" s="233"/>
      <c r="CF103" s="233"/>
      <c r="CG103" s="233"/>
      <c r="CH103" s="233"/>
      <c r="CI103" s="233">
        <f t="shared" si="126"/>
        <v>-34077.840000000004</v>
      </c>
      <c r="CJ103" s="233"/>
      <c r="CK103" s="233"/>
      <c r="CL103" s="233"/>
      <c r="CM103" s="233"/>
      <c r="CN103" s="233">
        <f t="shared" si="127"/>
        <v>-26397.608</v>
      </c>
      <c r="CO103" s="233"/>
      <c r="CP103" s="233"/>
      <c r="CQ103" s="233"/>
      <c r="CR103" s="233"/>
      <c r="CS103" s="233">
        <f t="shared" si="128"/>
        <v>-19645.729599999999</v>
      </c>
      <c r="CT103" s="233"/>
      <c r="CU103" s="233"/>
      <c r="CV103" s="233"/>
      <c r="CW103" s="233"/>
      <c r="CX103" s="233">
        <f t="shared" si="129"/>
        <v>-23061.875519999998</v>
      </c>
    </row>
    <row r="104" spans="1:102" x14ac:dyDescent="0.2">
      <c r="A104" s="111"/>
      <c r="B104" s="111" t="s">
        <v>96</v>
      </c>
      <c r="C104" s="113">
        <f t="shared" ref="C104:AH104" si="130">SUM(C99:C103)</f>
        <v>0</v>
      </c>
      <c r="D104" s="113">
        <f t="shared" si="130"/>
        <v>0</v>
      </c>
      <c r="E104" s="113">
        <f t="shared" si="130"/>
        <v>0</v>
      </c>
      <c r="F104" s="113">
        <f t="shared" si="130"/>
        <v>0</v>
      </c>
      <c r="G104" s="113">
        <f t="shared" si="130"/>
        <v>0</v>
      </c>
      <c r="H104" s="113">
        <f t="shared" si="130"/>
        <v>0</v>
      </c>
      <c r="I104" s="113">
        <f t="shared" si="130"/>
        <v>0</v>
      </c>
      <c r="J104" s="113">
        <f t="shared" si="130"/>
        <v>0</v>
      </c>
      <c r="K104" s="113">
        <f t="shared" si="130"/>
        <v>0</v>
      </c>
      <c r="L104" s="113">
        <f t="shared" si="130"/>
        <v>0</v>
      </c>
      <c r="M104" s="113">
        <f t="shared" si="130"/>
        <v>0</v>
      </c>
      <c r="N104" s="113">
        <f t="shared" si="130"/>
        <v>0</v>
      </c>
      <c r="O104" s="113">
        <f t="shared" si="130"/>
        <v>0</v>
      </c>
      <c r="P104" s="113">
        <f t="shared" si="130"/>
        <v>0</v>
      </c>
      <c r="Q104" s="113">
        <f t="shared" si="130"/>
        <v>0</v>
      </c>
      <c r="R104" s="113">
        <f t="shared" si="130"/>
        <v>0</v>
      </c>
      <c r="S104" s="113">
        <f t="shared" si="130"/>
        <v>0</v>
      </c>
      <c r="T104" s="113">
        <f t="shared" si="130"/>
        <v>0</v>
      </c>
      <c r="U104" s="113">
        <f t="shared" si="130"/>
        <v>0</v>
      </c>
      <c r="V104" s="113">
        <f t="shared" si="130"/>
        <v>0</v>
      </c>
      <c r="W104" s="113">
        <f t="shared" si="130"/>
        <v>0</v>
      </c>
      <c r="X104" s="113">
        <f t="shared" si="130"/>
        <v>0</v>
      </c>
      <c r="Y104" s="113">
        <f t="shared" si="130"/>
        <v>0</v>
      </c>
      <c r="Z104" s="113">
        <f t="shared" si="130"/>
        <v>0</v>
      </c>
      <c r="AA104" s="195">
        <f t="shared" si="130"/>
        <v>-4276</v>
      </c>
      <c r="AB104" s="195">
        <f t="shared" si="130"/>
        <v>0</v>
      </c>
      <c r="AC104" s="195">
        <f t="shared" si="130"/>
        <v>0</v>
      </c>
      <c r="AD104" s="195">
        <f t="shared" si="130"/>
        <v>0</v>
      </c>
      <c r="AE104" s="195">
        <f t="shared" si="130"/>
        <v>0</v>
      </c>
      <c r="AF104" s="195">
        <f t="shared" si="130"/>
        <v>-5065</v>
      </c>
      <c r="AG104" s="195">
        <f t="shared" si="130"/>
        <v>0</v>
      </c>
      <c r="AH104" s="195">
        <f t="shared" si="130"/>
        <v>0</v>
      </c>
      <c r="AI104" s="195">
        <f t="shared" ref="AI104:CS104" si="131">SUM(AI99:AI103)</f>
        <v>0</v>
      </c>
      <c r="AJ104" s="195">
        <f t="shared" si="131"/>
        <v>0</v>
      </c>
      <c r="AK104" s="195">
        <f t="shared" si="131"/>
        <v>-6450</v>
      </c>
      <c r="AL104" s="195">
        <f t="shared" si="131"/>
        <v>0</v>
      </c>
      <c r="AM104" s="195">
        <f t="shared" si="131"/>
        <v>0</v>
      </c>
      <c r="AN104" s="195">
        <f t="shared" si="131"/>
        <v>0</v>
      </c>
      <c r="AO104" s="195">
        <f t="shared" si="131"/>
        <v>0</v>
      </c>
      <c r="AP104" s="195">
        <f t="shared" si="131"/>
        <v>-9876</v>
      </c>
      <c r="AQ104" s="195">
        <f t="shared" si="131"/>
        <v>0</v>
      </c>
      <c r="AR104" s="195">
        <f t="shared" si="131"/>
        <v>0</v>
      </c>
      <c r="AS104" s="195">
        <f t="shared" si="131"/>
        <v>0</v>
      </c>
      <c r="AT104" s="195">
        <f t="shared" si="131"/>
        <v>0</v>
      </c>
      <c r="AU104" s="195">
        <f t="shared" si="131"/>
        <v>-27819</v>
      </c>
      <c r="AV104" s="113">
        <f t="shared" si="131"/>
        <v>0</v>
      </c>
      <c r="AW104" s="113">
        <f t="shared" si="131"/>
        <v>0</v>
      </c>
      <c r="AX104" s="113">
        <f t="shared" si="131"/>
        <v>0</v>
      </c>
      <c r="AY104" s="113">
        <f t="shared" si="131"/>
        <v>0</v>
      </c>
      <c r="AZ104" s="195">
        <f t="shared" si="131"/>
        <v>-12369</v>
      </c>
      <c r="BA104" s="195">
        <f t="shared" si="131"/>
        <v>0</v>
      </c>
      <c r="BB104" s="195">
        <f t="shared" si="131"/>
        <v>0</v>
      </c>
      <c r="BC104" s="195">
        <f t="shared" si="131"/>
        <v>0</v>
      </c>
      <c r="BD104" s="195">
        <f t="shared" si="131"/>
        <v>0</v>
      </c>
      <c r="BE104" s="195">
        <f t="shared" si="131"/>
        <v>-24281</v>
      </c>
      <c r="BF104" s="195">
        <f t="shared" si="131"/>
        <v>0</v>
      </c>
      <c r="BG104" s="195">
        <f t="shared" si="131"/>
        <v>0</v>
      </c>
      <c r="BH104" s="195">
        <f t="shared" si="131"/>
        <v>0</v>
      </c>
      <c r="BI104" s="195">
        <f t="shared" si="131"/>
        <v>0</v>
      </c>
      <c r="BJ104" s="195">
        <f t="shared" si="131"/>
        <v>-59611</v>
      </c>
      <c r="BK104" s="195">
        <f t="shared" si="131"/>
        <v>0</v>
      </c>
      <c r="BL104" s="195">
        <f t="shared" si="131"/>
        <v>0</v>
      </c>
      <c r="BM104" s="195">
        <f t="shared" si="131"/>
        <v>0</v>
      </c>
      <c r="BN104" s="195">
        <f t="shared" si="131"/>
        <v>0</v>
      </c>
      <c r="BO104" s="195">
        <f t="shared" si="131"/>
        <v>-58154</v>
      </c>
      <c r="BP104" s="195">
        <f t="shared" si="131"/>
        <v>0</v>
      </c>
      <c r="BQ104" s="195">
        <f t="shared" si="131"/>
        <v>0</v>
      </c>
      <c r="BR104" s="195">
        <f t="shared" si="131"/>
        <v>0</v>
      </c>
      <c r="BS104" s="195">
        <f t="shared" si="131"/>
        <v>0</v>
      </c>
      <c r="BT104" s="195">
        <f t="shared" si="131"/>
        <v>-37601</v>
      </c>
      <c r="BU104" s="195">
        <f t="shared" si="131"/>
        <v>-15806</v>
      </c>
      <c r="BV104" s="195">
        <f t="shared" si="131"/>
        <v>-9673</v>
      </c>
      <c r="BW104" s="195">
        <f t="shared" si="131"/>
        <v>-11753</v>
      </c>
      <c r="BX104" s="195">
        <f t="shared" si="131"/>
        <v>-12601</v>
      </c>
      <c r="BY104" s="195">
        <f t="shared" si="131"/>
        <v>-50465</v>
      </c>
      <c r="BZ104" s="195">
        <f t="shared" si="131"/>
        <v>0</v>
      </c>
      <c r="CA104" s="195">
        <f t="shared" si="131"/>
        <v>0</v>
      </c>
      <c r="CB104" s="195">
        <f t="shared" si="131"/>
        <v>0</v>
      </c>
      <c r="CC104" s="195">
        <f t="shared" si="131"/>
        <v>0</v>
      </c>
      <c r="CD104" s="195">
        <f t="shared" si="131"/>
        <v>-52105.86217938867</v>
      </c>
      <c r="CE104" s="195"/>
      <c r="CF104" s="195"/>
      <c r="CG104" s="195"/>
      <c r="CH104" s="195"/>
      <c r="CI104" s="195">
        <f t="shared" si="131"/>
        <v>-62153.389553628855</v>
      </c>
      <c r="CJ104" s="195"/>
      <c r="CK104" s="195"/>
      <c r="CL104" s="195"/>
      <c r="CM104" s="195"/>
      <c r="CN104" s="195">
        <f t="shared" si="131"/>
        <v>-72429.350681846816</v>
      </c>
      <c r="CO104" s="195"/>
      <c r="CP104" s="195"/>
      <c r="CQ104" s="195"/>
      <c r="CR104" s="195"/>
      <c r="CS104" s="195">
        <f t="shared" si="131"/>
        <v>-90225.536423664656</v>
      </c>
      <c r="CT104" s="195"/>
      <c r="CU104" s="195"/>
      <c r="CV104" s="195"/>
      <c r="CW104" s="195"/>
      <c r="CX104" s="195">
        <f>SUM(CX99:CX103)</f>
        <v>-117766.68107390613</v>
      </c>
    </row>
    <row r="105" spans="1:102" x14ac:dyDescent="0.2">
      <c r="A105" s="125"/>
      <c r="B105" s="63" t="s">
        <v>441</v>
      </c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200">
        <v>78</v>
      </c>
      <c r="AB105" s="330"/>
      <c r="AC105" s="330"/>
      <c r="AD105" s="330"/>
      <c r="AE105" s="330"/>
      <c r="AF105" s="200">
        <v>6</v>
      </c>
      <c r="AG105" s="200"/>
      <c r="AH105" s="200"/>
      <c r="AI105" s="200"/>
      <c r="AJ105" s="200"/>
      <c r="AK105" s="200">
        <v>119</v>
      </c>
      <c r="AL105" s="200"/>
      <c r="AM105" s="200"/>
      <c r="AN105" s="200"/>
      <c r="AO105" s="200"/>
      <c r="AP105" s="200">
        <v>829</v>
      </c>
      <c r="AQ105" s="200"/>
      <c r="AR105" s="200"/>
      <c r="AS105" s="200"/>
      <c r="AT105" s="200"/>
      <c r="AU105" s="200">
        <v>0</v>
      </c>
      <c r="AV105" s="116"/>
      <c r="AW105" s="116"/>
      <c r="AX105" s="116"/>
      <c r="AY105" s="116"/>
      <c r="AZ105" s="200">
        <v>0</v>
      </c>
      <c r="BA105" s="330"/>
      <c r="BB105" s="330"/>
      <c r="BC105" s="330"/>
      <c r="BD105" s="330"/>
      <c r="BE105" s="206">
        <v>0</v>
      </c>
      <c r="BF105" s="206"/>
      <c r="BG105" s="206"/>
      <c r="BH105" s="206"/>
      <c r="BI105" s="206"/>
      <c r="BJ105" s="206">
        <v>0</v>
      </c>
      <c r="BK105" s="206"/>
      <c r="BL105" s="206"/>
      <c r="BM105" s="206"/>
      <c r="BN105" s="206"/>
      <c r="BO105" s="206">
        <v>0</v>
      </c>
      <c r="BP105" s="206"/>
      <c r="BQ105" s="206"/>
      <c r="BR105" s="206"/>
      <c r="BS105" s="206"/>
      <c r="BT105" s="206">
        <v>0</v>
      </c>
      <c r="BU105" s="206">
        <v>0</v>
      </c>
      <c r="BV105" s="206">
        <v>0</v>
      </c>
      <c r="BW105" s="206">
        <v>0</v>
      </c>
      <c r="BX105" s="206">
        <v>0</v>
      </c>
      <c r="BY105" s="206">
        <v>0</v>
      </c>
      <c r="BZ105" s="330"/>
      <c r="CA105" s="330"/>
      <c r="CB105" s="330">
        <v>0</v>
      </c>
      <c r="CC105" s="330">
        <v>0</v>
      </c>
      <c r="CD105" s="233">
        <v>0</v>
      </c>
      <c r="CE105" s="331"/>
      <c r="CF105" s="331"/>
      <c r="CG105" s="331"/>
      <c r="CH105" s="331"/>
      <c r="CI105" s="233">
        <v>0</v>
      </c>
      <c r="CJ105" s="233"/>
      <c r="CK105" s="233"/>
      <c r="CL105" s="233"/>
      <c r="CM105" s="233"/>
      <c r="CN105" s="233">
        <v>0</v>
      </c>
      <c r="CO105" s="233"/>
      <c r="CP105" s="233"/>
      <c r="CQ105" s="233"/>
      <c r="CR105" s="233"/>
      <c r="CS105" s="233">
        <v>0</v>
      </c>
      <c r="CT105" s="233"/>
      <c r="CU105" s="233"/>
      <c r="CV105" s="233"/>
      <c r="CW105" s="233"/>
      <c r="CX105" s="233">
        <v>0</v>
      </c>
    </row>
    <row r="106" spans="1:102" x14ac:dyDescent="0.2">
      <c r="A106" s="125"/>
      <c r="B106" s="63" t="s">
        <v>97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200">
        <v>0</v>
      </c>
      <c r="AB106" s="200"/>
      <c r="AC106" s="200"/>
      <c r="AD106" s="200"/>
      <c r="AE106" s="200"/>
      <c r="AF106" s="200">
        <v>0</v>
      </c>
      <c r="AG106" s="200"/>
      <c r="AH106" s="200"/>
      <c r="AI106" s="200"/>
      <c r="AJ106" s="200"/>
      <c r="AK106" s="200">
        <v>0</v>
      </c>
      <c r="AL106" s="200"/>
      <c r="AM106" s="200"/>
      <c r="AN106" s="200"/>
      <c r="AO106" s="200"/>
      <c r="AP106" s="200">
        <v>0</v>
      </c>
      <c r="AQ106" s="200"/>
      <c r="AR106" s="200"/>
      <c r="AS106" s="200"/>
      <c r="AT106" s="200"/>
      <c r="AU106" s="200">
        <v>0</v>
      </c>
      <c r="AV106" s="11"/>
      <c r="AW106" s="11"/>
      <c r="AX106" s="11"/>
      <c r="AY106" s="11"/>
      <c r="AZ106" s="200">
        <v>0</v>
      </c>
      <c r="BA106" s="200"/>
      <c r="BB106" s="200"/>
      <c r="BC106" s="200"/>
      <c r="BD106" s="200"/>
      <c r="BE106" s="200">
        <v>0</v>
      </c>
      <c r="BF106" s="200"/>
      <c r="BG106" s="200"/>
      <c r="BH106" s="200"/>
      <c r="BI106" s="200"/>
      <c r="BJ106" s="200">
        <v>0</v>
      </c>
      <c r="BK106" s="200"/>
      <c r="BL106" s="200"/>
      <c r="BM106" s="200"/>
      <c r="BN106" s="200"/>
      <c r="BO106" s="200">
        <v>0</v>
      </c>
      <c r="BP106" s="200"/>
      <c r="BQ106" s="200"/>
      <c r="BR106" s="200"/>
      <c r="BS106" s="200"/>
      <c r="BT106" s="200">
        <v>-6000</v>
      </c>
      <c r="BU106" s="200">
        <v>0</v>
      </c>
      <c r="BV106" s="200">
        <v>0</v>
      </c>
      <c r="BW106" s="200">
        <v>0</v>
      </c>
      <c r="BX106" s="323">
        <v>0</v>
      </c>
      <c r="BY106" s="200">
        <f>SUM(BU106:BX106)</f>
        <v>0</v>
      </c>
      <c r="BZ106" s="233"/>
      <c r="CA106" s="233"/>
      <c r="CB106" s="233"/>
      <c r="CC106" s="233"/>
      <c r="CD106" s="233">
        <v>0</v>
      </c>
      <c r="CE106" s="233"/>
      <c r="CF106" s="233"/>
      <c r="CG106" s="233"/>
      <c r="CH106" s="233"/>
      <c r="CI106" s="233">
        <v>0</v>
      </c>
      <c r="CJ106" s="233"/>
      <c r="CK106" s="233"/>
      <c r="CL106" s="233"/>
      <c r="CM106" s="233"/>
      <c r="CN106" s="233">
        <v>0</v>
      </c>
      <c r="CO106" s="233"/>
      <c r="CP106" s="233"/>
      <c r="CQ106" s="233"/>
      <c r="CR106" s="233"/>
      <c r="CS106" s="233">
        <v>0</v>
      </c>
      <c r="CT106" s="233"/>
      <c r="CU106" s="233"/>
      <c r="CV106" s="233"/>
      <c r="CW106" s="233"/>
      <c r="CX106" s="233">
        <v>0</v>
      </c>
    </row>
    <row r="107" spans="1:102" x14ac:dyDescent="0.2">
      <c r="A107" s="125"/>
      <c r="B107" s="63" t="s">
        <v>98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200">
        <v>0</v>
      </c>
      <c r="AB107" s="200"/>
      <c r="AC107" s="200"/>
      <c r="AD107" s="200"/>
      <c r="AE107" s="200"/>
      <c r="AF107" s="200">
        <v>0</v>
      </c>
      <c r="AG107" s="200"/>
      <c r="AH107" s="200"/>
      <c r="AI107" s="200"/>
      <c r="AJ107" s="200"/>
      <c r="AK107" s="200">
        <v>0</v>
      </c>
      <c r="AL107" s="200"/>
      <c r="AM107" s="200"/>
      <c r="AN107" s="200"/>
      <c r="AO107" s="200"/>
      <c r="AP107" s="200">
        <v>0</v>
      </c>
      <c r="AQ107" s="200"/>
      <c r="AR107" s="200"/>
      <c r="AS107" s="200"/>
      <c r="AT107" s="200"/>
      <c r="AU107" s="200">
        <v>0</v>
      </c>
      <c r="AV107" s="11"/>
      <c r="AW107" s="11"/>
      <c r="AX107" s="11"/>
      <c r="AY107" s="11"/>
      <c r="AZ107" s="200">
        <v>0</v>
      </c>
      <c r="BA107" s="200"/>
      <c r="BB107" s="200"/>
      <c r="BC107" s="200"/>
      <c r="BD107" s="200"/>
      <c r="BE107" s="200">
        <v>0</v>
      </c>
      <c r="BF107" s="200"/>
      <c r="BG107" s="200"/>
      <c r="BH107" s="200"/>
      <c r="BI107" s="200"/>
      <c r="BJ107" s="200">
        <v>6796</v>
      </c>
      <c r="BK107" s="200"/>
      <c r="BL107" s="200"/>
      <c r="BM107" s="200"/>
      <c r="BN107" s="200"/>
      <c r="BO107" s="200">
        <v>7956</v>
      </c>
      <c r="BP107" s="200"/>
      <c r="BQ107" s="200"/>
      <c r="BR107" s="200"/>
      <c r="BS107" s="200"/>
      <c r="BT107" s="200">
        <v>41553</v>
      </c>
      <c r="BU107" s="200">
        <v>12780</v>
      </c>
      <c r="BV107" s="200">
        <v>4399</v>
      </c>
      <c r="BW107" s="200">
        <v>216</v>
      </c>
      <c r="BX107" s="323">
        <v>734</v>
      </c>
      <c r="BY107" s="200">
        <f t="shared" ref="BY107:BY112" si="132">SUM(BU107:BX107)</f>
        <v>18129</v>
      </c>
      <c r="BZ107" s="233"/>
      <c r="CA107" s="233"/>
      <c r="CB107" s="233"/>
      <c r="CC107" s="233"/>
      <c r="CD107" s="233">
        <v>0</v>
      </c>
      <c r="CE107" s="233"/>
      <c r="CF107" s="233"/>
      <c r="CG107" s="233"/>
      <c r="CH107" s="233"/>
      <c r="CI107" s="233">
        <v>0</v>
      </c>
      <c r="CJ107" s="233"/>
      <c r="CK107" s="233"/>
      <c r="CL107" s="233"/>
      <c r="CM107" s="233"/>
      <c r="CN107" s="233">
        <v>0</v>
      </c>
      <c r="CO107" s="233"/>
      <c r="CP107" s="233"/>
      <c r="CQ107" s="233"/>
      <c r="CR107" s="233"/>
      <c r="CS107" s="233">
        <v>0</v>
      </c>
      <c r="CT107" s="233"/>
      <c r="CU107" s="233"/>
      <c r="CV107" s="233"/>
      <c r="CW107" s="233"/>
      <c r="CX107" s="233">
        <v>0</v>
      </c>
    </row>
    <row r="108" spans="1:102" x14ac:dyDescent="0.2">
      <c r="A108" s="125"/>
      <c r="B108" s="63" t="s">
        <v>99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200">
        <v>0</v>
      </c>
      <c r="AB108" s="200"/>
      <c r="AC108" s="200"/>
      <c r="AD108" s="200"/>
      <c r="AE108" s="200"/>
      <c r="AF108" s="200">
        <v>0</v>
      </c>
      <c r="AG108" s="200"/>
      <c r="AH108" s="200"/>
      <c r="AI108" s="200"/>
      <c r="AJ108" s="200"/>
      <c r="AK108" s="200">
        <v>0</v>
      </c>
      <c r="AL108" s="200"/>
      <c r="AM108" s="200"/>
      <c r="AN108" s="200"/>
      <c r="AO108" s="200"/>
      <c r="AP108" s="200">
        <v>0</v>
      </c>
      <c r="AQ108" s="200"/>
      <c r="AR108" s="200"/>
      <c r="AS108" s="200"/>
      <c r="AT108" s="200"/>
      <c r="AU108" s="200">
        <v>0</v>
      </c>
      <c r="AV108" s="11"/>
      <c r="AW108" s="11"/>
      <c r="AX108" s="11"/>
      <c r="AY108" s="11"/>
      <c r="AZ108" s="200">
        <v>0</v>
      </c>
      <c r="BA108" s="200"/>
      <c r="BB108" s="200"/>
      <c r="BC108" s="200"/>
      <c r="BD108" s="200"/>
      <c r="BE108" s="200">
        <v>0</v>
      </c>
      <c r="BF108" s="200"/>
      <c r="BG108" s="200"/>
      <c r="BH108" s="200"/>
      <c r="BI108" s="200"/>
      <c r="BJ108" s="200">
        <v>-6177</v>
      </c>
      <c r="BK108" s="200"/>
      <c r="BL108" s="200"/>
      <c r="BM108" s="200"/>
      <c r="BN108" s="200"/>
      <c r="BO108" s="200">
        <v>-7753</v>
      </c>
      <c r="BP108" s="200"/>
      <c r="BQ108" s="200"/>
      <c r="BR108" s="200"/>
      <c r="BS108" s="200"/>
      <c r="BT108" s="200">
        <v>-37554</v>
      </c>
      <c r="BU108" s="200">
        <v>-3603</v>
      </c>
      <c r="BV108" s="200">
        <v>-7641</v>
      </c>
      <c r="BW108" s="200">
        <v>-8095</v>
      </c>
      <c r="BX108" s="323">
        <v>-6338</v>
      </c>
      <c r="BY108" s="200">
        <f t="shared" si="132"/>
        <v>-25677</v>
      </c>
      <c r="BZ108" s="233"/>
      <c r="CA108" s="233"/>
      <c r="CB108" s="233"/>
      <c r="CC108" s="233"/>
      <c r="CD108" s="233">
        <f>AVERAGE(BJ108:BO108)</f>
        <v>-6965</v>
      </c>
      <c r="CE108" s="233"/>
      <c r="CF108" s="233"/>
      <c r="CG108" s="233"/>
      <c r="CH108" s="233"/>
      <c r="CI108" s="233">
        <f>AVERAGE(CD108,BY108)</f>
        <v>-16321</v>
      </c>
      <c r="CJ108" s="233"/>
      <c r="CK108" s="233"/>
      <c r="CL108" s="233"/>
      <c r="CM108" s="233"/>
      <c r="CN108" s="233">
        <f t="shared" ref="CN108:CX108" si="133">AVERAGE(CI108,CD108)</f>
        <v>-11643</v>
      </c>
      <c r="CO108" s="233"/>
      <c r="CP108" s="233"/>
      <c r="CQ108" s="233"/>
      <c r="CR108" s="233"/>
      <c r="CS108" s="233">
        <f t="shared" si="133"/>
        <v>-13982</v>
      </c>
      <c r="CT108" s="233"/>
      <c r="CU108" s="233"/>
      <c r="CV108" s="233"/>
      <c r="CW108" s="233"/>
      <c r="CX108" s="233">
        <f t="shared" si="133"/>
        <v>-12812.5</v>
      </c>
    </row>
    <row r="109" spans="1:102" ht="16" x14ac:dyDescent="0.2">
      <c r="B109" s="136" t="s">
        <v>100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200">
        <v>394</v>
      </c>
      <c r="AB109" s="200"/>
      <c r="AC109" s="200"/>
      <c r="AD109" s="200"/>
      <c r="AE109" s="200"/>
      <c r="AF109" s="200">
        <v>6359</v>
      </c>
      <c r="AG109" s="200"/>
      <c r="AH109" s="200"/>
      <c r="AI109" s="200"/>
      <c r="AJ109" s="200"/>
      <c r="AK109" s="200">
        <v>353</v>
      </c>
      <c r="AL109" s="200"/>
      <c r="AM109" s="200"/>
      <c r="AN109" s="200"/>
      <c r="AO109" s="200"/>
      <c r="AP109" s="200">
        <v>621</v>
      </c>
      <c r="AQ109" s="200"/>
      <c r="AR109" s="200"/>
      <c r="AS109" s="200"/>
      <c r="AT109" s="200"/>
      <c r="AU109" s="200">
        <v>16231</v>
      </c>
      <c r="AV109" s="11"/>
      <c r="AW109" s="110"/>
      <c r="AX109" s="11"/>
      <c r="AY109" s="11"/>
      <c r="AZ109" s="200">
        <v>768</v>
      </c>
      <c r="BA109" s="200"/>
      <c r="BB109" s="200"/>
      <c r="BC109" s="200"/>
      <c r="BD109" s="200"/>
      <c r="BE109" s="200">
        <v>2273</v>
      </c>
      <c r="BF109" s="200"/>
      <c r="BG109" s="200"/>
      <c r="BH109" s="200"/>
      <c r="BI109" s="200"/>
      <c r="BJ109" s="200">
        <v>10525</v>
      </c>
      <c r="BK109" s="200"/>
      <c r="BL109" s="200"/>
      <c r="BM109" s="200"/>
      <c r="BN109" s="200"/>
      <c r="BO109" s="200">
        <v>19003</v>
      </c>
      <c r="BP109" s="200"/>
      <c r="BQ109" s="200"/>
      <c r="BR109" s="200"/>
      <c r="BS109" s="200"/>
      <c r="BT109" s="200">
        <v>21166</v>
      </c>
      <c r="BU109" s="200">
        <v>0</v>
      </c>
      <c r="BV109" s="200">
        <v>0</v>
      </c>
      <c r="BW109" s="200">
        <v>0</v>
      </c>
      <c r="BX109" s="323">
        <v>0</v>
      </c>
      <c r="BY109" s="200">
        <f t="shared" si="132"/>
        <v>0</v>
      </c>
      <c r="BZ109" s="233">
        <f t="shared" ref="BZ109" si="134">SUM(BV109:BY109)</f>
        <v>0</v>
      </c>
      <c r="CA109" s="233">
        <f t="shared" ref="CA109" si="135">SUM(BW109:BZ109)</f>
        <v>0</v>
      </c>
      <c r="CB109" s="233">
        <f t="shared" ref="CB109" si="136">SUM(BX109:CA109)</f>
        <v>0</v>
      </c>
      <c r="CC109" s="233">
        <f t="shared" ref="CC109" si="137">SUM(BY109:CB109)</f>
        <v>0</v>
      </c>
      <c r="CD109" s="233">
        <f t="shared" ref="CD109" si="138">SUM(BZ109:CC109)</f>
        <v>0</v>
      </c>
      <c r="CE109" s="233"/>
      <c r="CF109" s="233"/>
      <c r="CG109" s="233"/>
      <c r="CH109" s="233"/>
      <c r="CI109" s="233">
        <f t="shared" ref="CI109" si="139">SUM(CE109:CH109)</f>
        <v>0</v>
      </c>
      <c r="CJ109" s="233"/>
      <c r="CK109" s="233"/>
      <c r="CL109" s="233"/>
      <c r="CM109" s="233"/>
      <c r="CN109" s="233">
        <f t="shared" ref="CN109" si="140">SUM(CJ109:CM109)</f>
        <v>0</v>
      </c>
      <c r="CO109" s="233"/>
      <c r="CP109" s="233"/>
      <c r="CQ109" s="233"/>
      <c r="CR109" s="233"/>
      <c r="CS109" s="233">
        <f t="shared" ref="CS109" si="141">SUM(CO109:CR109)</f>
        <v>0</v>
      </c>
      <c r="CT109" s="233"/>
      <c r="CU109" s="233"/>
      <c r="CV109" s="233"/>
      <c r="CW109" s="233"/>
      <c r="CX109" s="233">
        <f t="shared" ref="CX109" si="142">SUM(CT109:CW109)</f>
        <v>0</v>
      </c>
    </row>
    <row r="110" spans="1:102" x14ac:dyDescent="0.2">
      <c r="B110" s="63" t="s">
        <v>101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200">
        <v>-231</v>
      </c>
      <c r="AB110" s="200"/>
      <c r="AC110" s="200"/>
      <c r="AD110" s="200"/>
      <c r="AE110" s="194"/>
      <c r="AF110" s="200">
        <v>-513</v>
      </c>
      <c r="AG110" s="200"/>
      <c r="AH110" s="200"/>
      <c r="AI110" s="200"/>
      <c r="AJ110" s="200"/>
      <c r="AK110" s="200">
        <v>-1652</v>
      </c>
      <c r="AL110" s="200"/>
      <c r="AM110" s="200"/>
      <c r="AN110" s="200"/>
      <c r="AO110" s="200"/>
      <c r="AP110" s="200">
        <v>-354</v>
      </c>
      <c r="AQ110" s="200"/>
      <c r="AR110" s="200"/>
      <c r="AS110" s="200"/>
      <c r="AT110" s="200"/>
      <c r="AU110" s="200">
        <v>-1372</v>
      </c>
      <c r="AV110" s="11"/>
      <c r="AW110" s="11"/>
      <c r="AX110" s="11"/>
      <c r="AY110" s="11"/>
      <c r="AZ110" s="200">
        <v>-668</v>
      </c>
      <c r="BA110" s="200"/>
      <c r="BB110" s="200"/>
      <c r="BC110" s="200"/>
      <c r="BD110" s="194"/>
      <c r="BE110" s="200">
        <v>-2684</v>
      </c>
      <c r="BF110" s="200"/>
      <c r="BG110" s="200"/>
      <c r="BH110" s="200"/>
      <c r="BI110" s="200"/>
      <c r="BJ110" s="200">
        <v>-1553</v>
      </c>
      <c r="BK110" s="200"/>
      <c r="BL110" s="200"/>
      <c r="BM110" s="200"/>
      <c r="BN110" s="200"/>
      <c r="BO110" s="200">
        <v>-1590</v>
      </c>
      <c r="BP110" s="200"/>
      <c r="BQ110" s="200"/>
      <c r="BR110" s="200"/>
      <c r="BS110" s="200"/>
      <c r="BT110" s="200">
        <v>-1258</v>
      </c>
      <c r="BU110" s="200">
        <v>-1386</v>
      </c>
      <c r="BV110" s="200">
        <v>-2000</v>
      </c>
      <c r="BW110" s="200">
        <v>0</v>
      </c>
      <c r="BX110" s="323">
        <v>-290</v>
      </c>
      <c r="BY110" s="200">
        <f t="shared" si="132"/>
        <v>-3676</v>
      </c>
      <c r="BZ110" s="233"/>
      <c r="CA110" s="233"/>
      <c r="CB110" s="233"/>
      <c r="CC110" s="227"/>
      <c r="CD110" s="233">
        <v>0</v>
      </c>
      <c r="CE110" s="233"/>
      <c r="CF110" s="233"/>
      <c r="CG110" s="233"/>
      <c r="CH110" s="233"/>
      <c r="CI110" s="233">
        <v>0</v>
      </c>
      <c r="CJ110" s="233"/>
      <c r="CK110" s="233"/>
      <c r="CL110" s="233"/>
      <c r="CM110" s="233"/>
      <c r="CN110" s="233">
        <v>0</v>
      </c>
      <c r="CO110" s="233"/>
      <c r="CP110" s="233"/>
      <c r="CQ110" s="233"/>
      <c r="CR110" s="233"/>
      <c r="CS110" s="233">
        <v>0</v>
      </c>
      <c r="CT110" s="233"/>
      <c r="CU110" s="233"/>
      <c r="CV110" s="233"/>
      <c r="CW110" s="233"/>
      <c r="CX110" s="233">
        <v>0</v>
      </c>
    </row>
    <row r="111" spans="1:102" x14ac:dyDescent="0.2">
      <c r="B111" s="63" t="s">
        <v>102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200">
        <v>-775</v>
      </c>
      <c r="AB111" s="200"/>
      <c r="AC111" s="200"/>
      <c r="AD111" s="200"/>
      <c r="AE111" s="194"/>
      <c r="AF111" s="200">
        <v>-1285</v>
      </c>
      <c r="AG111" s="200"/>
      <c r="AH111" s="200"/>
      <c r="AI111" s="200"/>
      <c r="AJ111" s="200"/>
      <c r="AK111" s="200">
        <v>-2462</v>
      </c>
      <c r="AL111" s="200"/>
      <c r="AM111" s="200"/>
      <c r="AN111" s="200"/>
      <c r="AO111" s="200"/>
      <c r="AP111" s="200">
        <v>-3860</v>
      </c>
      <c r="AQ111" s="200"/>
      <c r="AR111" s="200"/>
      <c r="AS111" s="200"/>
      <c r="AT111" s="200"/>
      <c r="AU111" s="200">
        <v>-4799</v>
      </c>
      <c r="AV111" s="11"/>
      <c r="AW111" s="11"/>
      <c r="AX111" s="11"/>
      <c r="AY111" s="11"/>
      <c r="AZ111" s="200">
        <v>-7449</v>
      </c>
      <c r="BA111" s="200"/>
      <c r="BB111" s="200"/>
      <c r="BC111" s="200"/>
      <c r="BD111" s="194"/>
      <c r="BE111" s="200">
        <v>-9628</v>
      </c>
      <c r="BF111" s="200"/>
      <c r="BG111" s="200"/>
      <c r="BH111" s="200"/>
      <c r="BI111" s="200"/>
      <c r="BJ111" s="200">
        <v>-10642</v>
      </c>
      <c r="BK111" s="200"/>
      <c r="BL111" s="200"/>
      <c r="BM111" s="200"/>
      <c r="BN111" s="200"/>
      <c r="BO111" s="200">
        <v>-11163</v>
      </c>
      <c r="BP111" s="200"/>
      <c r="BQ111" s="200"/>
      <c r="BR111" s="200"/>
      <c r="BS111" s="200"/>
      <c r="BT111" s="200">
        <v>-7941</v>
      </c>
      <c r="BU111" s="200">
        <v>-1380</v>
      </c>
      <c r="BV111" s="200">
        <v>-1220</v>
      </c>
      <c r="BW111" s="200">
        <v>-1005</v>
      </c>
      <c r="BX111" s="323">
        <v>-779</v>
      </c>
      <c r="BY111" s="200">
        <f t="shared" si="132"/>
        <v>-4384</v>
      </c>
      <c r="BZ111" s="233"/>
      <c r="CA111" s="233"/>
      <c r="CB111" s="233"/>
      <c r="CC111" s="227"/>
      <c r="CD111" s="233">
        <v>0</v>
      </c>
      <c r="CE111" s="233"/>
      <c r="CF111" s="233"/>
      <c r="CG111" s="233"/>
      <c r="CH111" s="233"/>
      <c r="CI111" s="233">
        <v>0</v>
      </c>
      <c r="CJ111" s="233"/>
      <c r="CK111" s="233"/>
      <c r="CL111" s="233"/>
      <c r="CM111" s="233"/>
      <c r="CN111" s="233">
        <v>0</v>
      </c>
      <c r="CO111" s="233"/>
      <c r="CP111" s="233"/>
      <c r="CQ111" s="233"/>
      <c r="CR111" s="233"/>
      <c r="CS111" s="233">
        <v>0</v>
      </c>
      <c r="CT111" s="233"/>
      <c r="CU111" s="233"/>
      <c r="CV111" s="233"/>
      <c r="CW111" s="233"/>
      <c r="CX111" s="233">
        <v>0</v>
      </c>
    </row>
    <row r="112" spans="1:102" x14ac:dyDescent="0.2">
      <c r="B112" s="63" t="s">
        <v>103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200">
        <v>-5</v>
      </c>
      <c r="AB112" s="200"/>
      <c r="AC112" s="200"/>
      <c r="AD112" s="200"/>
      <c r="AE112" s="194"/>
      <c r="AF112" s="200">
        <v>-135</v>
      </c>
      <c r="AG112" s="200"/>
      <c r="AH112" s="200"/>
      <c r="AI112" s="200"/>
      <c r="AJ112" s="200"/>
      <c r="AK112" s="200">
        <v>-121</v>
      </c>
      <c r="AL112" s="200"/>
      <c r="AM112" s="200"/>
      <c r="AN112" s="200"/>
      <c r="AO112" s="200"/>
      <c r="AP112" s="200">
        <v>-147</v>
      </c>
      <c r="AQ112" s="200"/>
      <c r="AR112" s="200"/>
      <c r="AS112" s="200"/>
      <c r="AT112" s="200"/>
      <c r="AU112" s="200">
        <v>-200</v>
      </c>
      <c r="AV112" s="11"/>
      <c r="AW112" s="11"/>
      <c r="AX112" s="11"/>
      <c r="AY112" s="11"/>
      <c r="AZ112" s="200">
        <v>-337</v>
      </c>
      <c r="BA112" s="200"/>
      <c r="BB112" s="200"/>
      <c r="BC112" s="200"/>
      <c r="BD112" s="194"/>
      <c r="BE112" s="200">
        <v>-27</v>
      </c>
      <c r="BF112" s="200"/>
      <c r="BG112" s="200"/>
      <c r="BH112" s="200"/>
      <c r="BI112" s="200"/>
      <c r="BJ112" s="200">
        <v>-53</v>
      </c>
      <c r="BK112" s="200"/>
      <c r="BL112" s="200"/>
      <c r="BM112" s="200"/>
      <c r="BN112" s="200"/>
      <c r="BO112" s="200">
        <v>-162</v>
      </c>
      <c r="BP112" s="200"/>
      <c r="BQ112" s="200"/>
      <c r="BR112" s="200"/>
      <c r="BS112" s="200"/>
      <c r="BT112" s="200">
        <v>-248</v>
      </c>
      <c r="BU112" s="200">
        <v>-57</v>
      </c>
      <c r="BV112" s="200">
        <v>-77</v>
      </c>
      <c r="BW112" s="200">
        <v>-64</v>
      </c>
      <c r="BX112" s="323">
        <v>-73</v>
      </c>
      <c r="BY112" s="200">
        <f t="shared" si="132"/>
        <v>-271</v>
      </c>
      <c r="BZ112" s="233"/>
      <c r="CA112" s="233"/>
      <c r="CB112" s="233"/>
      <c r="CC112" s="227"/>
      <c r="CD112" s="233">
        <v>0</v>
      </c>
      <c r="CE112" s="233"/>
      <c r="CF112" s="233"/>
      <c r="CG112" s="233"/>
      <c r="CH112" s="233"/>
      <c r="CI112" s="233">
        <v>0</v>
      </c>
      <c r="CJ112" s="233"/>
      <c r="CK112" s="233"/>
      <c r="CL112" s="233"/>
      <c r="CM112" s="233"/>
      <c r="CN112" s="233">
        <v>0</v>
      </c>
      <c r="CO112" s="233"/>
      <c r="CP112" s="233"/>
      <c r="CQ112" s="233"/>
      <c r="CR112" s="233"/>
      <c r="CS112" s="233">
        <v>0</v>
      </c>
      <c r="CT112" s="233"/>
      <c r="CU112" s="233"/>
      <c r="CV112" s="233"/>
      <c r="CW112" s="233"/>
      <c r="CX112" s="233">
        <v>0</v>
      </c>
    </row>
    <row r="113" spans="1:102" x14ac:dyDescent="0.2">
      <c r="A113" s="111"/>
      <c r="B113" s="111" t="s">
        <v>104</v>
      </c>
      <c r="C113" s="113">
        <f t="shared" ref="C113:Z113" si="143">SUM(C109:C112)</f>
        <v>0</v>
      </c>
      <c r="D113" s="113">
        <f t="shared" si="143"/>
        <v>0</v>
      </c>
      <c r="E113" s="113">
        <f t="shared" si="143"/>
        <v>0</v>
      </c>
      <c r="F113" s="113">
        <f t="shared" si="143"/>
        <v>0</v>
      </c>
      <c r="G113" s="113">
        <f t="shared" si="143"/>
        <v>0</v>
      </c>
      <c r="H113" s="113">
        <f t="shared" si="143"/>
        <v>0</v>
      </c>
      <c r="I113" s="113">
        <f t="shared" si="143"/>
        <v>0</v>
      </c>
      <c r="J113" s="113">
        <f t="shared" si="143"/>
        <v>0</v>
      </c>
      <c r="K113" s="113">
        <f t="shared" si="143"/>
        <v>0</v>
      </c>
      <c r="L113" s="113">
        <f t="shared" si="143"/>
        <v>0</v>
      </c>
      <c r="M113" s="113">
        <f t="shared" si="143"/>
        <v>0</v>
      </c>
      <c r="N113" s="113">
        <f t="shared" si="143"/>
        <v>0</v>
      </c>
      <c r="O113" s="113">
        <f t="shared" si="143"/>
        <v>0</v>
      </c>
      <c r="P113" s="113">
        <f t="shared" si="143"/>
        <v>0</v>
      </c>
      <c r="Q113" s="113">
        <f t="shared" si="143"/>
        <v>0</v>
      </c>
      <c r="R113" s="113">
        <f t="shared" si="143"/>
        <v>0</v>
      </c>
      <c r="S113" s="113">
        <f t="shared" si="143"/>
        <v>0</v>
      </c>
      <c r="T113" s="113">
        <f t="shared" si="143"/>
        <v>0</v>
      </c>
      <c r="U113" s="113">
        <f t="shared" si="143"/>
        <v>0</v>
      </c>
      <c r="V113" s="113">
        <f t="shared" si="143"/>
        <v>0</v>
      </c>
      <c r="W113" s="113">
        <f t="shared" si="143"/>
        <v>0</v>
      </c>
      <c r="X113" s="113">
        <f t="shared" si="143"/>
        <v>0</v>
      </c>
      <c r="Y113" s="113">
        <f t="shared" si="143"/>
        <v>0</v>
      </c>
      <c r="Z113" s="113">
        <f t="shared" si="143"/>
        <v>0</v>
      </c>
      <c r="AA113" s="195">
        <f>SUM(AA105:AA112)</f>
        <v>-539</v>
      </c>
      <c r="AB113" s="195">
        <f t="shared" ref="AB113:CM113" si="144">SUM(AB105:AB112)</f>
        <v>0</v>
      </c>
      <c r="AC113" s="195">
        <f t="shared" si="144"/>
        <v>0</v>
      </c>
      <c r="AD113" s="195">
        <f t="shared" si="144"/>
        <v>0</v>
      </c>
      <c r="AE113" s="195">
        <f t="shared" si="144"/>
        <v>0</v>
      </c>
      <c r="AF113" s="195">
        <f t="shared" si="144"/>
        <v>4432</v>
      </c>
      <c r="AG113" s="195">
        <f t="shared" si="144"/>
        <v>0</v>
      </c>
      <c r="AH113" s="195">
        <f t="shared" si="144"/>
        <v>0</v>
      </c>
      <c r="AI113" s="195">
        <f t="shared" si="144"/>
        <v>0</v>
      </c>
      <c r="AJ113" s="195">
        <f t="shared" si="144"/>
        <v>0</v>
      </c>
      <c r="AK113" s="195">
        <f t="shared" si="144"/>
        <v>-3763</v>
      </c>
      <c r="AL113" s="195">
        <f t="shared" si="144"/>
        <v>0</v>
      </c>
      <c r="AM113" s="195">
        <f t="shared" si="144"/>
        <v>0</v>
      </c>
      <c r="AN113" s="195">
        <f t="shared" si="144"/>
        <v>0</v>
      </c>
      <c r="AO113" s="195">
        <f t="shared" si="144"/>
        <v>0</v>
      </c>
      <c r="AP113" s="195">
        <f t="shared" si="144"/>
        <v>-2911</v>
      </c>
      <c r="AQ113" s="195">
        <f t="shared" si="144"/>
        <v>0</v>
      </c>
      <c r="AR113" s="195">
        <f t="shared" si="144"/>
        <v>0</v>
      </c>
      <c r="AS113" s="195">
        <f t="shared" si="144"/>
        <v>0</v>
      </c>
      <c r="AT113" s="195">
        <f t="shared" si="144"/>
        <v>0</v>
      </c>
      <c r="AU113" s="195">
        <f t="shared" si="144"/>
        <v>9860</v>
      </c>
      <c r="AV113" s="195">
        <f t="shared" si="144"/>
        <v>0</v>
      </c>
      <c r="AW113" s="195">
        <f t="shared" si="144"/>
        <v>0</v>
      </c>
      <c r="AX113" s="195">
        <f t="shared" si="144"/>
        <v>0</v>
      </c>
      <c r="AY113" s="195">
        <f t="shared" si="144"/>
        <v>0</v>
      </c>
      <c r="AZ113" s="195">
        <f t="shared" si="144"/>
        <v>-7686</v>
      </c>
      <c r="BA113" s="195">
        <f t="shared" si="144"/>
        <v>0</v>
      </c>
      <c r="BB113" s="195">
        <f t="shared" si="144"/>
        <v>0</v>
      </c>
      <c r="BC113" s="195">
        <f t="shared" si="144"/>
        <v>0</v>
      </c>
      <c r="BD113" s="195">
        <f t="shared" si="144"/>
        <v>0</v>
      </c>
      <c r="BE113" s="195">
        <f t="shared" si="144"/>
        <v>-10066</v>
      </c>
      <c r="BF113" s="195">
        <f t="shared" si="144"/>
        <v>0</v>
      </c>
      <c r="BG113" s="195">
        <f t="shared" si="144"/>
        <v>0</v>
      </c>
      <c r="BH113" s="195">
        <f t="shared" si="144"/>
        <v>0</v>
      </c>
      <c r="BI113" s="195">
        <f t="shared" si="144"/>
        <v>0</v>
      </c>
      <c r="BJ113" s="195">
        <f t="shared" si="144"/>
        <v>-1104</v>
      </c>
      <c r="BK113" s="195">
        <f t="shared" si="144"/>
        <v>0</v>
      </c>
      <c r="BL113" s="195">
        <f t="shared" si="144"/>
        <v>0</v>
      </c>
      <c r="BM113" s="195">
        <f t="shared" si="144"/>
        <v>0</v>
      </c>
      <c r="BN113" s="195">
        <f t="shared" si="144"/>
        <v>0</v>
      </c>
      <c r="BO113" s="195">
        <f t="shared" si="144"/>
        <v>6291</v>
      </c>
      <c r="BP113" s="195">
        <f t="shared" si="144"/>
        <v>0</v>
      </c>
      <c r="BQ113" s="195">
        <f t="shared" si="144"/>
        <v>0</v>
      </c>
      <c r="BR113" s="195">
        <f t="shared" si="144"/>
        <v>0</v>
      </c>
      <c r="BS113" s="195">
        <f t="shared" si="144"/>
        <v>0</v>
      </c>
      <c r="BT113" s="195">
        <f t="shared" si="144"/>
        <v>9718</v>
      </c>
      <c r="BU113" s="195">
        <f t="shared" si="144"/>
        <v>6354</v>
      </c>
      <c r="BV113" s="195">
        <f t="shared" si="144"/>
        <v>-6539</v>
      </c>
      <c r="BW113" s="195">
        <f t="shared" si="144"/>
        <v>-8948</v>
      </c>
      <c r="BX113" s="195">
        <f t="shared" si="144"/>
        <v>-6746</v>
      </c>
      <c r="BY113" s="195">
        <f t="shared" si="144"/>
        <v>-15879</v>
      </c>
      <c r="BZ113" s="195">
        <f t="shared" si="144"/>
        <v>0</v>
      </c>
      <c r="CA113" s="195">
        <f t="shared" si="144"/>
        <v>0</v>
      </c>
      <c r="CB113" s="195">
        <f t="shared" si="144"/>
        <v>0</v>
      </c>
      <c r="CC113" s="195">
        <f t="shared" si="144"/>
        <v>0</v>
      </c>
      <c r="CD113" s="195">
        <f t="shared" si="144"/>
        <v>-6965</v>
      </c>
      <c r="CE113" s="195">
        <f t="shared" si="144"/>
        <v>0</v>
      </c>
      <c r="CF113" s="195">
        <f t="shared" si="144"/>
        <v>0</v>
      </c>
      <c r="CG113" s="195">
        <f t="shared" si="144"/>
        <v>0</v>
      </c>
      <c r="CH113" s="195">
        <f t="shared" si="144"/>
        <v>0</v>
      </c>
      <c r="CI113" s="195">
        <f t="shared" si="144"/>
        <v>-16321</v>
      </c>
      <c r="CJ113" s="195">
        <f t="shared" si="144"/>
        <v>0</v>
      </c>
      <c r="CK113" s="195">
        <f t="shared" si="144"/>
        <v>0</v>
      </c>
      <c r="CL113" s="195">
        <f t="shared" si="144"/>
        <v>0</v>
      </c>
      <c r="CM113" s="195">
        <f t="shared" si="144"/>
        <v>0</v>
      </c>
      <c r="CN113" s="195">
        <f t="shared" ref="CN113:CX113" si="145">SUM(CN105:CN112)</f>
        <v>-11643</v>
      </c>
      <c r="CO113" s="195">
        <f t="shared" si="145"/>
        <v>0</v>
      </c>
      <c r="CP113" s="195">
        <f t="shared" si="145"/>
        <v>0</v>
      </c>
      <c r="CQ113" s="195">
        <f t="shared" si="145"/>
        <v>0</v>
      </c>
      <c r="CR113" s="195">
        <f t="shared" si="145"/>
        <v>0</v>
      </c>
      <c r="CS113" s="195">
        <f t="shared" si="145"/>
        <v>-13982</v>
      </c>
      <c r="CT113" s="195">
        <f t="shared" si="145"/>
        <v>0</v>
      </c>
      <c r="CU113" s="195">
        <f t="shared" si="145"/>
        <v>0</v>
      </c>
      <c r="CV113" s="195">
        <f t="shared" si="145"/>
        <v>0</v>
      </c>
      <c r="CW113" s="195">
        <f t="shared" si="145"/>
        <v>0</v>
      </c>
      <c r="CX113" s="195">
        <f t="shared" si="145"/>
        <v>-12812.5</v>
      </c>
    </row>
    <row r="114" spans="1:102" x14ac:dyDescent="0.2">
      <c r="A114" s="111"/>
      <c r="B114" s="111" t="s">
        <v>105</v>
      </c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95">
        <v>-86</v>
      </c>
      <c r="AB114" s="195"/>
      <c r="AC114" s="195"/>
      <c r="AD114" s="195"/>
      <c r="AE114" s="195"/>
      <c r="AF114" s="195">
        <v>-310</v>
      </c>
      <c r="AG114" s="195"/>
      <c r="AH114" s="195"/>
      <c r="AI114" s="195"/>
      <c r="AJ114" s="195"/>
      <c r="AK114" s="195">
        <v>-374</v>
      </c>
      <c r="AL114" s="195"/>
      <c r="AM114" s="195"/>
      <c r="AN114" s="195"/>
      <c r="AO114" s="195"/>
      <c r="AP114" s="195">
        <v>-212</v>
      </c>
      <c r="AQ114" s="195"/>
      <c r="AR114" s="195"/>
      <c r="AS114" s="195"/>
      <c r="AT114" s="195"/>
      <c r="AU114" s="195">
        <v>713</v>
      </c>
      <c r="AV114" s="113"/>
      <c r="AW114" s="113"/>
      <c r="AX114" s="113"/>
      <c r="AY114" s="113"/>
      <c r="AZ114" s="195">
        <v>-351</v>
      </c>
      <c r="BA114" s="195"/>
      <c r="BB114" s="195"/>
      <c r="BC114" s="195"/>
      <c r="BD114" s="195"/>
      <c r="BE114" s="195">
        <v>70</v>
      </c>
      <c r="BF114" s="195"/>
      <c r="BG114" s="195"/>
      <c r="BH114" s="195"/>
      <c r="BI114" s="195"/>
      <c r="BJ114" s="195">
        <v>618</v>
      </c>
      <c r="BK114" s="195"/>
      <c r="BL114" s="195"/>
      <c r="BM114" s="195"/>
      <c r="BN114" s="195"/>
      <c r="BO114" s="195">
        <v>-364</v>
      </c>
      <c r="BP114" s="195"/>
      <c r="BQ114" s="195"/>
      <c r="BR114" s="195"/>
      <c r="BS114" s="195"/>
      <c r="BT114" s="195">
        <v>-1093</v>
      </c>
      <c r="BU114" s="195">
        <v>145</v>
      </c>
      <c r="BV114" s="195">
        <v>69</v>
      </c>
      <c r="BW114" s="195">
        <v>-502</v>
      </c>
      <c r="BX114" s="195">
        <v>691</v>
      </c>
      <c r="BY114" s="195">
        <v>0</v>
      </c>
      <c r="BZ114" s="195"/>
      <c r="CA114" s="195"/>
      <c r="CB114" s="195"/>
      <c r="CC114" s="195"/>
      <c r="CD114" s="195">
        <v>0</v>
      </c>
      <c r="CE114" s="195"/>
      <c r="CF114" s="195"/>
      <c r="CG114" s="195"/>
      <c r="CH114" s="195"/>
      <c r="CI114" s="195">
        <v>0</v>
      </c>
      <c r="CJ114" s="195"/>
      <c r="CK114" s="195"/>
      <c r="CL114" s="195"/>
      <c r="CM114" s="195"/>
      <c r="CN114" s="195">
        <v>0</v>
      </c>
      <c r="CO114" s="195"/>
      <c r="CP114" s="195"/>
      <c r="CQ114" s="195"/>
      <c r="CR114" s="195"/>
      <c r="CS114" s="195">
        <v>0</v>
      </c>
      <c r="CT114" s="195"/>
      <c r="CU114" s="195"/>
      <c r="CV114" s="195"/>
      <c r="CW114" s="195"/>
      <c r="CX114" s="195">
        <v>0</v>
      </c>
    </row>
    <row r="115" spans="1:102" x14ac:dyDescent="0.2">
      <c r="A115" s="111"/>
      <c r="B115" s="111" t="s">
        <v>106</v>
      </c>
      <c r="C115" s="113">
        <f t="shared" ref="C115:Z115" si="146">C113+C98+C104</f>
        <v>0</v>
      </c>
      <c r="D115" s="113">
        <f t="shared" si="146"/>
        <v>0</v>
      </c>
      <c r="E115" s="113">
        <f t="shared" si="146"/>
        <v>0</v>
      </c>
      <c r="F115" s="113">
        <f t="shared" si="146"/>
        <v>0</v>
      </c>
      <c r="G115" s="113">
        <f t="shared" si="146"/>
        <v>0</v>
      </c>
      <c r="H115" s="113">
        <f t="shared" si="146"/>
        <v>0</v>
      </c>
      <c r="I115" s="113">
        <f t="shared" si="146"/>
        <v>0</v>
      </c>
      <c r="J115" s="113">
        <f t="shared" si="146"/>
        <v>0</v>
      </c>
      <c r="K115" s="113">
        <f t="shared" si="146"/>
        <v>0</v>
      </c>
      <c r="L115" s="113">
        <f t="shared" si="146"/>
        <v>0</v>
      </c>
      <c r="M115" s="113">
        <f t="shared" si="146"/>
        <v>0</v>
      </c>
      <c r="N115" s="113">
        <f t="shared" si="146"/>
        <v>0</v>
      </c>
      <c r="O115" s="113">
        <f t="shared" si="146"/>
        <v>0</v>
      </c>
      <c r="P115" s="113">
        <f t="shared" si="146"/>
        <v>0</v>
      </c>
      <c r="Q115" s="113">
        <f t="shared" si="146"/>
        <v>0</v>
      </c>
      <c r="R115" s="113">
        <f t="shared" si="146"/>
        <v>0</v>
      </c>
      <c r="S115" s="113">
        <f t="shared" si="146"/>
        <v>0</v>
      </c>
      <c r="T115" s="113">
        <f t="shared" si="146"/>
        <v>0</v>
      </c>
      <c r="U115" s="113">
        <f t="shared" si="146"/>
        <v>0</v>
      </c>
      <c r="V115" s="113">
        <f t="shared" si="146"/>
        <v>0</v>
      </c>
      <c r="W115" s="113">
        <f t="shared" si="146"/>
        <v>0</v>
      </c>
      <c r="X115" s="113">
        <f t="shared" si="146"/>
        <v>0</v>
      </c>
      <c r="Y115" s="113">
        <f t="shared" si="146"/>
        <v>0</v>
      </c>
      <c r="Z115" s="113">
        <f t="shared" si="146"/>
        <v>0</v>
      </c>
      <c r="AA115" s="195">
        <f>AA113+AA98+AA104+AA114</f>
        <v>574</v>
      </c>
      <c r="AB115" s="195">
        <f t="shared" ref="AB115:AU115" si="147">AB113+AB98+AB104+AB114</f>
        <v>0</v>
      </c>
      <c r="AC115" s="195">
        <f t="shared" si="147"/>
        <v>0</v>
      </c>
      <c r="AD115" s="195">
        <f t="shared" si="147"/>
        <v>0</v>
      </c>
      <c r="AE115" s="195">
        <f t="shared" si="147"/>
        <v>0</v>
      </c>
      <c r="AF115" s="195">
        <f t="shared" si="147"/>
        <v>5899</v>
      </c>
      <c r="AG115" s="195">
        <f t="shared" si="147"/>
        <v>0</v>
      </c>
      <c r="AH115" s="195">
        <f t="shared" si="147"/>
        <v>0</v>
      </c>
      <c r="AI115" s="195">
        <f t="shared" si="147"/>
        <v>0</v>
      </c>
      <c r="AJ115" s="195">
        <f t="shared" si="147"/>
        <v>0</v>
      </c>
      <c r="AK115" s="195">
        <f t="shared" si="147"/>
        <v>1333</v>
      </c>
      <c r="AL115" s="195">
        <f t="shared" si="147"/>
        <v>0</v>
      </c>
      <c r="AM115" s="195">
        <f t="shared" si="147"/>
        <v>0</v>
      </c>
      <c r="AN115" s="195">
        <f t="shared" si="147"/>
        <v>0</v>
      </c>
      <c r="AO115" s="195">
        <f t="shared" si="147"/>
        <v>0</v>
      </c>
      <c r="AP115" s="195">
        <f t="shared" si="147"/>
        <v>3444</v>
      </c>
      <c r="AQ115" s="195">
        <f t="shared" si="147"/>
        <v>0</v>
      </c>
      <c r="AR115" s="195">
        <f t="shared" si="147"/>
        <v>0</v>
      </c>
      <c r="AS115" s="195">
        <f t="shared" si="147"/>
        <v>0</v>
      </c>
      <c r="AT115" s="195">
        <f t="shared" si="147"/>
        <v>0</v>
      </c>
      <c r="AU115" s="195">
        <f t="shared" si="147"/>
        <v>1188</v>
      </c>
      <c r="AV115" s="113">
        <f t="shared" ref="AV115:AY115" si="148">AV113+AV98+AV104</f>
        <v>0</v>
      </c>
      <c r="AW115" s="113">
        <f t="shared" si="148"/>
        <v>0</v>
      </c>
      <c r="AX115" s="113">
        <f t="shared" si="148"/>
        <v>0</v>
      </c>
      <c r="AY115" s="113">
        <f t="shared" si="148"/>
        <v>0</v>
      </c>
      <c r="AZ115" s="195">
        <f>AZ113+AZ98+AZ104+AZ114</f>
        <v>10317</v>
      </c>
      <c r="BA115" s="195">
        <f t="shared" ref="BA115:CX115" si="149">BA113+BA98+BA104+BA114</f>
        <v>0</v>
      </c>
      <c r="BB115" s="195">
        <f t="shared" si="149"/>
        <v>0</v>
      </c>
      <c r="BC115" s="195">
        <f t="shared" si="149"/>
        <v>0</v>
      </c>
      <c r="BD115" s="195">
        <f t="shared" si="149"/>
        <v>0</v>
      </c>
      <c r="BE115" s="195">
        <f t="shared" si="149"/>
        <v>4237</v>
      </c>
      <c r="BF115" s="195">
        <f t="shared" si="149"/>
        <v>0</v>
      </c>
      <c r="BG115" s="195">
        <f t="shared" si="149"/>
        <v>0</v>
      </c>
      <c r="BH115" s="195">
        <f t="shared" si="149"/>
        <v>0</v>
      </c>
      <c r="BI115" s="195">
        <f t="shared" si="149"/>
        <v>0</v>
      </c>
      <c r="BJ115" s="195">
        <f t="shared" si="149"/>
        <v>5967</v>
      </c>
      <c r="BK115" s="195">
        <f t="shared" si="149"/>
        <v>0</v>
      </c>
      <c r="BL115" s="195">
        <f t="shared" si="149"/>
        <v>0</v>
      </c>
      <c r="BM115" s="195">
        <f t="shared" si="149"/>
        <v>0</v>
      </c>
      <c r="BN115" s="195">
        <f t="shared" si="149"/>
        <v>0</v>
      </c>
      <c r="BO115" s="195">
        <f t="shared" si="149"/>
        <v>-5900</v>
      </c>
      <c r="BP115" s="195">
        <f t="shared" si="149"/>
        <v>0</v>
      </c>
      <c r="BQ115" s="195">
        <f t="shared" si="149"/>
        <v>0</v>
      </c>
      <c r="BR115" s="195">
        <f t="shared" si="149"/>
        <v>0</v>
      </c>
      <c r="BS115" s="195">
        <f t="shared" si="149"/>
        <v>0</v>
      </c>
      <c r="BT115" s="195">
        <f t="shared" si="149"/>
        <v>17776</v>
      </c>
      <c r="BU115" s="195">
        <f t="shared" si="149"/>
        <v>-4519</v>
      </c>
      <c r="BV115" s="195">
        <f t="shared" si="149"/>
        <v>333</v>
      </c>
      <c r="BW115" s="195">
        <f t="shared" si="149"/>
        <v>14</v>
      </c>
      <c r="BX115" s="195">
        <f t="shared" si="149"/>
        <v>23809</v>
      </c>
      <c r="BY115" s="195">
        <f t="shared" si="149"/>
        <v>23435.600000000006</v>
      </c>
      <c r="BZ115" s="195">
        <f t="shared" si="149"/>
        <v>0</v>
      </c>
      <c r="CA115" s="195">
        <f t="shared" si="149"/>
        <v>0</v>
      </c>
      <c r="CB115" s="195">
        <f t="shared" si="149"/>
        <v>0</v>
      </c>
      <c r="CC115" s="195">
        <f t="shared" si="149"/>
        <v>0</v>
      </c>
      <c r="CD115" s="195">
        <f t="shared" si="149"/>
        <v>45824.634243382679</v>
      </c>
      <c r="CE115" s="195"/>
      <c r="CF115" s="195"/>
      <c r="CG115" s="195"/>
      <c r="CH115" s="195"/>
      <c r="CI115" s="195">
        <f t="shared" si="149"/>
        <v>26696.299536214377</v>
      </c>
      <c r="CJ115" s="195"/>
      <c r="CK115" s="195"/>
      <c r="CL115" s="195"/>
      <c r="CM115" s="195"/>
      <c r="CN115" s="195">
        <f t="shared" si="149"/>
        <v>44422.413759665709</v>
      </c>
      <c r="CO115" s="195"/>
      <c r="CP115" s="195"/>
      <c r="CQ115" s="195"/>
      <c r="CR115" s="195"/>
      <c r="CS115" s="195">
        <f t="shared" si="149"/>
        <v>58758.24858106309</v>
      </c>
      <c r="CT115" s="195"/>
      <c r="CU115" s="195"/>
      <c r="CV115" s="195"/>
      <c r="CW115" s="195"/>
      <c r="CX115" s="195">
        <f t="shared" si="149"/>
        <v>64249.161788029742</v>
      </c>
    </row>
    <row r="116" spans="1:102" s="133" customFormat="1" x14ac:dyDescent="0.2">
      <c r="B116" s="133" t="s">
        <v>107</v>
      </c>
      <c r="C116" s="137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202">
        <v>8084</v>
      </c>
      <c r="AB116" s="202"/>
      <c r="AC116" s="202"/>
      <c r="AD116" s="202"/>
      <c r="AE116" s="202"/>
      <c r="AF116" s="202">
        <f>AA118</f>
        <v>8658</v>
      </c>
      <c r="AG116" s="202"/>
      <c r="AH116" s="202"/>
      <c r="AI116" s="202"/>
      <c r="AJ116" s="202"/>
      <c r="AK116" s="202">
        <f>AF118</f>
        <v>14557</v>
      </c>
      <c r="AL116" s="202"/>
      <c r="AM116" s="202"/>
      <c r="AN116" s="202"/>
      <c r="AO116" s="202"/>
      <c r="AP116" s="202">
        <f>AK118</f>
        <v>15890</v>
      </c>
      <c r="AQ116" s="202"/>
      <c r="AR116" s="202"/>
      <c r="AS116" s="202"/>
      <c r="AT116" s="202"/>
      <c r="AU116" s="202">
        <f>AP118</f>
        <v>19334</v>
      </c>
      <c r="AV116" s="137"/>
      <c r="AW116" s="137"/>
      <c r="AX116" s="137"/>
      <c r="AY116" s="137"/>
      <c r="AZ116" s="202">
        <v>21856</v>
      </c>
      <c r="BA116" s="202"/>
      <c r="BB116" s="202"/>
      <c r="BC116" s="202"/>
      <c r="BD116" s="202"/>
      <c r="BE116" s="202">
        <v>32173</v>
      </c>
      <c r="BF116" s="202"/>
      <c r="BG116" s="202"/>
      <c r="BH116" s="202"/>
      <c r="BI116" s="202"/>
      <c r="BJ116" s="202">
        <v>36410</v>
      </c>
      <c r="BK116" s="202"/>
      <c r="BL116" s="202"/>
      <c r="BM116" s="202"/>
      <c r="BN116" s="202"/>
      <c r="BO116" s="202">
        <v>42377</v>
      </c>
      <c r="BP116" s="202"/>
      <c r="BQ116" s="202"/>
      <c r="BR116" s="202"/>
      <c r="BS116" s="202"/>
      <c r="BT116" s="202">
        <v>36477</v>
      </c>
      <c r="BU116" s="202">
        <v>54253</v>
      </c>
      <c r="BV116" s="195">
        <v>49734</v>
      </c>
      <c r="BW116" s="202">
        <v>50067</v>
      </c>
      <c r="BX116" s="202">
        <v>50081</v>
      </c>
      <c r="BY116" s="202">
        <f t="shared" ref="BY116:CD116" si="150">BX118</f>
        <v>73387</v>
      </c>
      <c r="BZ116" s="202">
        <f t="shared" si="150"/>
        <v>73387</v>
      </c>
      <c r="CA116" s="202">
        <f t="shared" si="150"/>
        <v>73387</v>
      </c>
      <c r="CB116" s="202">
        <f t="shared" si="150"/>
        <v>73387</v>
      </c>
      <c r="CC116" s="202">
        <f t="shared" si="150"/>
        <v>73387</v>
      </c>
      <c r="CD116" s="202">
        <f t="shared" si="150"/>
        <v>73387</v>
      </c>
      <c r="CE116" s="202"/>
      <c r="CF116" s="202"/>
      <c r="CG116" s="202"/>
      <c r="CH116" s="202"/>
      <c r="CI116" s="202">
        <f>CD118</f>
        <v>119211.63424338268</v>
      </c>
      <c r="CJ116" s="202"/>
      <c r="CK116" s="202"/>
      <c r="CL116" s="202"/>
      <c r="CM116" s="202"/>
      <c r="CN116" s="202">
        <f>CI118</f>
        <v>145907.93377959705</v>
      </c>
      <c r="CO116" s="202"/>
      <c r="CP116" s="202"/>
      <c r="CQ116" s="202"/>
      <c r="CR116" s="202"/>
      <c r="CS116" s="202">
        <f>CN118</f>
        <v>190330.34753926276</v>
      </c>
      <c r="CT116" s="202"/>
      <c r="CU116" s="202"/>
      <c r="CV116" s="202"/>
      <c r="CW116" s="202"/>
      <c r="CX116" s="202">
        <f>CS118</f>
        <v>249088.59612032585</v>
      </c>
    </row>
    <row r="117" spans="1:102" x14ac:dyDescent="0.2">
      <c r="B117" s="63" t="s">
        <v>108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200">
        <v>0</v>
      </c>
      <c r="AB117" s="200"/>
      <c r="AC117" s="200"/>
      <c r="AD117" s="200"/>
      <c r="AE117" s="200"/>
      <c r="AF117" s="200">
        <v>0</v>
      </c>
      <c r="AG117" s="200"/>
      <c r="AH117" s="200"/>
      <c r="AI117" s="200"/>
      <c r="AJ117" s="200"/>
      <c r="AK117" s="200">
        <v>0</v>
      </c>
      <c r="AL117" s="200"/>
      <c r="AM117" s="200"/>
      <c r="AN117" s="200"/>
      <c r="AO117" s="200"/>
      <c r="AP117" s="200">
        <v>0</v>
      </c>
      <c r="AQ117" s="200"/>
      <c r="AR117" s="200"/>
      <c r="AS117" s="200"/>
      <c r="AT117" s="200"/>
      <c r="AU117" s="200">
        <v>0</v>
      </c>
      <c r="AV117" s="11"/>
      <c r="AW117" s="110"/>
      <c r="AX117" s="11"/>
      <c r="AY117" s="11"/>
      <c r="AZ117" s="200">
        <v>-423</v>
      </c>
      <c r="BA117" s="200"/>
      <c r="BB117" s="200"/>
      <c r="BC117" s="200"/>
      <c r="BD117" s="200"/>
      <c r="BE117" s="200">
        <v>-318</v>
      </c>
      <c r="BF117" s="200"/>
      <c r="BG117" s="200"/>
      <c r="BH117" s="200"/>
      <c r="BI117" s="200"/>
      <c r="BJ117" s="200">
        <v>-255</v>
      </c>
      <c r="BK117" s="200"/>
      <c r="BL117" s="200"/>
      <c r="BM117" s="200"/>
      <c r="BN117" s="200"/>
      <c r="BO117" s="200">
        <v>-257</v>
      </c>
      <c r="BP117" s="200"/>
      <c r="BQ117" s="200"/>
      <c r="BR117" s="200"/>
      <c r="BS117" s="200"/>
      <c r="BT117" s="200">
        <v>-365</v>
      </c>
      <c r="BU117" s="200">
        <v>-391</v>
      </c>
      <c r="BV117" s="200">
        <v>-538</v>
      </c>
      <c r="BW117" s="200">
        <v>-476</v>
      </c>
      <c r="BX117" s="323">
        <v>-503</v>
      </c>
      <c r="BY117" s="200">
        <f>-10735-12701+0.4</f>
        <v>-23435.599999999999</v>
      </c>
      <c r="BZ117" s="233"/>
      <c r="CA117" s="233"/>
      <c r="CB117" s="233"/>
      <c r="CC117" s="227"/>
      <c r="CD117" s="233">
        <v>0</v>
      </c>
      <c r="CE117" s="233"/>
      <c r="CF117" s="233"/>
      <c r="CG117" s="233"/>
      <c r="CH117" s="233"/>
      <c r="CI117" s="233">
        <v>0</v>
      </c>
      <c r="CJ117" s="233"/>
      <c r="CK117" s="233"/>
      <c r="CL117" s="233"/>
      <c r="CM117" s="233"/>
      <c r="CN117" s="233">
        <v>0</v>
      </c>
      <c r="CO117" s="233"/>
      <c r="CP117" s="233"/>
      <c r="CQ117" s="233"/>
      <c r="CR117" s="233"/>
      <c r="CS117" s="233">
        <v>0</v>
      </c>
      <c r="CT117" s="233"/>
      <c r="CU117" s="233"/>
      <c r="CV117" s="233"/>
      <c r="CW117" s="233"/>
      <c r="CX117" s="233">
        <v>0</v>
      </c>
    </row>
    <row r="118" spans="1:102" x14ac:dyDescent="0.2">
      <c r="A118" s="111"/>
      <c r="B118" s="111" t="s">
        <v>109</v>
      </c>
      <c r="C118" s="113">
        <f>C115+C116+C117</f>
        <v>0</v>
      </c>
      <c r="D118" s="113">
        <f t="shared" ref="D118:BO118" si="151">D115+D116+D117</f>
        <v>0</v>
      </c>
      <c r="E118" s="113">
        <f t="shared" si="151"/>
        <v>0</v>
      </c>
      <c r="F118" s="113">
        <f t="shared" si="151"/>
        <v>0</v>
      </c>
      <c r="G118" s="113">
        <f t="shared" si="151"/>
        <v>0</v>
      </c>
      <c r="H118" s="113">
        <f t="shared" si="151"/>
        <v>0</v>
      </c>
      <c r="I118" s="113">
        <f t="shared" si="151"/>
        <v>0</v>
      </c>
      <c r="J118" s="113">
        <f t="shared" si="151"/>
        <v>0</v>
      </c>
      <c r="K118" s="113">
        <f t="shared" si="151"/>
        <v>0</v>
      </c>
      <c r="L118" s="113">
        <f t="shared" si="151"/>
        <v>0</v>
      </c>
      <c r="M118" s="113">
        <f t="shared" si="151"/>
        <v>0</v>
      </c>
      <c r="N118" s="113">
        <f t="shared" si="151"/>
        <v>0</v>
      </c>
      <c r="O118" s="113">
        <f t="shared" si="151"/>
        <v>0</v>
      </c>
      <c r="P118" s="113">
        <f t="shared" si="151"/>
        <v>0</v>
      </c>
      <c r="Q118" s="113">
        <f t="shared" si="151"/>
        <v>0</v>
      </c>
      <c r="R118" s="113">
        <f t="shared" si="151"/>
        <v>0</v>
      </c>
      <c r="S118" s="113">
        <f t="shared" si="151"/>
        <v>0</v>
      </c>
      <c r="T118" s="113">
        <f t="shared" si="151"/>
        <v>0</v>
      </c>
      <c r="U118" s="113">
        <f t="shared" si="151"/>
        <v>0</v>
      </c>
      <c r="V118" s="113">
        <f t="shared" si="151"/>
        <v>0</v>
      </c>
      <c r="W118" s="113">
        <f t="shared" si="151"/>
        <v>0</v>
      </c>
      <c r="X118" s="113">
        <f t="shared" si="151"/>
        <v>0</v>
      </c>
      <c r="Y118" s="113">
        <f t="shared" si="151"/>
        <v>0</v>
      </c>
      <c r="Z118" s="113">
        <f t="shared" si="151"/>
        <v>0</v>
      </c>
      <c r="AA118" s="195">
        <f t="shared" si="151"/>
        <v>8658</v>
      </c>
      <c r="AB118" s="195">
        <f t="shared" si="151"/>
        <v>0</v>
      </c>
      <c r="AC118" s="195">
        <f t="shared" si="151"/>
        <v>0</v>
      </c>
      <c r="AD118" s="195">
        <f t="shared" si="151"/>
        <v>0</v>
      </c>
      <c r="AE118" s="195">
        <f t="shared" si="151"/>
        <v>0</v>
      </c>
      <c r="AF118" s="195">
        <f t="shared" si="151"/>
        <v>14557</v>
      </c>
      <c r="AG118" s="195">
        <f t="shared" si="151"/>
        <v>0</v>
      </c>
      <c r="AH118" s="195">
        <f t="shared" si="151"/>
        <v>0</v>
      </c>
      <c r="AI118" s="195">
        <f t="shared" si="151"/>
        <v>0</v>
      </c>
      <c r="AJ118" s="195">
        <f t="shared" si="151"/>
        <v>0</v>
      </c>
      <c r="AK118" s="195">
        <f t="shared" si="151"/>
        <v>15890</v>
      </c>
      <c r="AL118" s="195">
        <f t="shared" si="151"/>
        <v>0</v>
      </c>
      <c r="AM118" s="195">
        <f t="shared" si="151"/>
        <v>0</v>
      </c>
      <c r="AN118" s="195">
        <f>AN115+AN116+AN117</f>
        <v>0</v>
      </c>
      <c r="AO118" s="195">
        <f t="shared" si="151"/>
        <v>0</v>
      </c>
      <c r="AP118" s="195">
        <f>AP115+AP116+AP117</f>
        <v>19334</v>
      </c>
      <c r="AQ118" s="195">
        <f t="shared" si="151"/>
        <v>0</v>
      </c>
      <c r="AR118" s="195">
        <f>AR115+AR116+AR117</f>
        <v>0</v>
      </c>
      <c r="AS118" s="195">
        <f>AS115+AS116+AS117</f>
        <v>0</v>
      </c>
      <c r="AT118" s="195">
        <f t="shared" si="151"/>
        <v>0</v>
      </c>
      <c r="AU118" s="195">
        <f>AU115+AU116+AU117</f>
        <v>20522</v>
      </c>
      <c r="AV118" s="135">
        <f t="shared" si="151"/>
        <v>0</v>
      </c>
      <c r="AW118" s="113">
        <f>AW115+AW116+AW117</f>
        <v>0</v>
      </c>
      <c r="AX118" s="113">
        <f t="shared" si="151"/>
        <v>0</v>
      </c>
      <c r="AY118" s="113">
        <f t="shared" si="151"/>
        <v>0</v>
      </c>
      <c r="AZ118" s="195">
        <f t="shared" si="151"/>
        <v>31750</v>
      </c>
      <c r="BA118" s="195">
        <f t="shared" si="151"/>
        <v>0</v>
      </c>
      <c r="BB118" s="195">
        <f t="shared" si="151"/>
        <v>0</v>
      </c>
      <c r="BC118" s="195">
        <f t="shared" si="151"/>
        <v>0</v>
      </c>
      <c r="BD118" s="195">
        <f t="shared" si="151"/>
        <v>0</v>
      </c>
      <c r="BE118" s="195">
        <f>BE115+BE116+BE117</f>
        <v>36092</v>
      </c>
      <c r="BF118" s="195">
        <f t="shared" si="151"/>
        <v>0</v>
      </c>
      <c r="BG118" s="195">
        <f t="shared" si="151"/>
        <v>0</v>
      </c>
      <c r="BH118" s="195">
        <f t="shared" si="151"/>
        <v>0</v>
      </c>
      <c r="BI118" s="195">
        <f t="shared" si="151"/>
        <v>0</v>
      </c>
      <c r="BJ118" s="195">
        <f t="shared" si="151"/>
        <v>42122</v>
      </c>
      <c r="BK118" s="195">
        <f t="shared" si="151"/>
        <v>0</v>
      </c>
      <c r="BL118" s="195">
        <f t="shared" si="151"/>
        <v>0</v>
      </c>
      <c r="BM118" s="195">
        <f t="shared" si="151"/>
        <v>0</v>
      </c>
      <c r="BN118" s="195">
        <f t="shared" si="151"/>
        <v>0</v>
      </c>
      <c r="BO118" s="195">
        <f t="shared" si="151"/>
        <v>36220</v>
      </c>
      <c r="BP118" s="195">
        <f t="shared" ref="BP118:CX118" si="152">BP115+BP116+BP117</f>
        <v>0</v>
      </c>
      <c r="BQ118" s="195">
        <f t="shared" si="152"/>
        <v>0</v>
      </c>
      <c r="BR118" s="195">
        <f t="shared" si="152"/>
        <v>0</v>
      </c>
      <c r="BS118" s="195">
        <f t="shared" si="152"/>
        <v>0</v>
      </c>
      <c r="BT118" s="195">
        <f t="shared" si="152"/>
        <v>53888</v>
      </c>
      <c r="BU118" s="195">
        <f t="shared" si="152"/>
        <v>49343</v>
      </c>
      <c r="BV118" s="195">
        <f t="shared" si="152"/>
        <v>49529</v>
      </c>
      <c r="BW118" s="195">
        <f t="shared" si="152"/>
        <v>49605</v>
      </c>
      <c r="BX118" s="195">
        <f t="shared" si="152"/>
        <v>73387</v>
      </c>
      <c r="BY118" s="195">
        <f t="shared" si="152"/>
        <v>73387</v>
      </c>
      <c r="BZ118" s="195">
        <f t="shared" si="152"/>
        <v>73387</v>
      </c>
      <c r="CA118" s="195">
        <f t="shared" si="152"/>
        <v>73387</v>
      </c>
      <c r="CB118" s="195">
        <f t="shared" si="152"/>
        <v>73387</v>
      </c>
      <c r="CC118" s="195">
        <f t="shared" si="152"/>
        <v>73387</v>
      </c>
      <c r="CD118" s="195">
        <f t="shared" si="152"/>
        <v>119211.63424338268</v>
      </c>
      <c r="CE118" s="195"/>
      <c r="CF118" s="195"/>
      <c r="CG118" s="195"/>
      <c r="CH118" s="195"/>
      <c r="CI118" s="195">
        <f t="shared" si="152"/>
        <v>145907.93377959705</v>
      </c>
      <c r="CJ118" s="195"/>
      <c r="CK118" s="195"/>
      <c r="CL118" s="195"/>
      <c r="CM118" s="195"/>
      <c r="CN118" s="195">
        <f t="shared" si="152"/>
        <v>190330.34753926276</v>
      </c>
      <c r="CO118" s="195"/>
      <c r="CP118" s="195"/>
      <c r="CQ118" s="195"/>
      <c r="CR118" s="195"/>
      <c r="CS118" s="195">
        <f t="shared" si="152"/>
        <v>249088.59612032585</v>
      </c>
      <c r="CT118" s="195"/>
      <c r="CU118" s="195"/>
      <c r="CV118" s="195"/>
      <c r="CW118" s="195"/>
      <c r="CX118" s="195">
        <f t="shared" si="152"/>
        <v>313337.75790835556</v>
      </c>
    </row>
    <row r="119" spans="1:102" x14ac:dyDescent="0.2">
      <c r="A119" s="114"/>
      <c r="B119" s="114" t="s">
        <v>110</v>
      </c>
      <c r="C119" s="132">
        <f t="shared" ref="C119:AH119" si="153">C118-C50</f>
        <v>0</v>
      </c>
      <c r="D119" s="132">
        <f t="shared" si="153"/>
        <v>0</v>
      </c>
      <c r="E119" s="132">
        <f t="shared" si="153"/>
        <v>0</v>
      </c>
      <c r="F119" s="132">
        <f t="shared" si="153"/>
        <v>0</v>
      </c>
      <c r="G119" s="132">
        <f t="shared" si="153"/>
        <v>0</v>
      </c>
      <c r="H119" s="132">
        <f t="shared" si="153"/>
        <v>0</v>
      </c>
      <c r="I119" s="132">
        <f t="shared" si="153"/>
        <v>0</v>
      </c>
      <c r="J119" s="132">
        <f t="shared" si="153"/>
        <v>0</v>
      </c>
      <c r="K119" s="132">
        <f t="shared" si="153"/>
        <v>0</v>
      </c>
      <c r="L119" s="132">
        <f t="shared" si="153"/>
        <v>0</v>
      </c>
      <c r="M119" s="132">
        <f t="shared" si="153"/>
        <v>0</v>
      </c>
      <c r="N119" s="132">
        <f t="shared" si="153"/>
        <v>0</v>
      </c>
      <c r="O119" s="132">
        <f t="shared" si="153"/>
        <v>0</v>
      </c>
      <c r="P119" s="132">
        <f t="shared" si="153"/>
        <v>0</v>
      </c>
      <c r="Q119" s="132">
        <f t="shared" si="153"/>
        <v>0</v>
      </c>
      <c r="R119" s="132">
        <f t="shared" si="153"/>
        <v>0</v>
      </c>
      <c r="S119" s="132">
        <f t="shared" si="153"/>
        <v>0</v>
      </c>
      <c r="T119" s="132">
        <f t="shared" si="153"/>
        <v>0</v>
      </c>
      <c r="U119" s="132">
        <f t="shared" si="153"/>
        <v>0</v>
      </c>
      <c r="V119" s="132">
        <f t="shared" si="153"/>
        <v>0</v>
      </c>
      <c r="W119" s="132">
        <f t="shared" si="153"/>
        <v>0</v>
      </c>
      <c r="X119" s="132">
        <f t="shared" si="153"/>
        <v>0</v>
      </c>
      <c r="Y119" s="132">
        <f t="shared" si="153"/>
        <v>0</v>
      </c>
      <c r="Z119" s="132">
        <f t="shared" si="153"/>
        <v>0</v>
      </c>
      <c r="AA119" s="198">
        <f t="shared" si="153"/>
        <v>0</v>
      </c>
      <c r="AB119" s="198">
        <f t="shared" si="153"/>
        <v>0</v>
      </c>
      <c r="AC119" s="198">
        <f t="shared" si="153"/>
        <v>0</v>
      </c>
      <c r="AD119" s="198">
        <f t="shared" si="153"/>
        <v>0</v>
      </c>
      <c r="AE119" s="198">
        <f t="shared" si="153"/>
        <v>0</v>
      </c>
      <c r="AF119" s="198">
        <f t="shared" si="153"/>
        <v>0</v>
      </c>
      <c r="AG119" s="198">
        <f t="shared" si="153"/>
        <v>0</v>
      </c>
      <c r="AH119" s="198">
        <f t="shared" si="153"/>
        <v>0</v>
      </c>
      <c r="AI119" s="198">
        <f t="shared" ref="AI119:BN119" si="154">AI118-AI50</f>
        <v>0</v>
      </c>
      <c r="AJ119" s="198">
        <f t="shared" si="154"/>
        <v>0</v>
      </c>
      <c r="AK119" s="198">
        <f t="shared" si="154"/>
        <v>0</v>
      </c>
      <c r="AL119" s="198">
        <f t="shared" si="154"/>
        <v>0</v>
      </c>
      <c r="AM119" s="198">
        <f t="shared" si="154"/>
        <v>0</v>
      </c>
      <c r="AN119" s="198">
        <f t="shared" si="154"/>
        <v>0</v>
      </c>
      <c r="AO119" s="198">
        <f t="shared" si="154"/>
        <v>0</v>
      </c>
      <c r="AP119" s="198">
        <f t="shared" si="154"/>
        <v>0</v>
      </c>
      <c r="AQ119" s="198">
        <f t="shared" si="154"/>
        <v>0</v>
      </c>
      <c r="AR119" s="198">
        <f t="shared" si="154"/>
        <v>0</v>
      </c>
      <c r="AS119" s="198">
        <f t="shared" si="154"/>
        <v>0</v>
      </c>
      <c r="AT119" s="198">
        <f t="shared" si="154"/>
        <v>0</v>
      </c>
      <c r="AU119" s="198">
        <f t="shared" si="154"/>
        <v>0</v>
      </c>
      <c r="AV119" s="132">
        <f t="shared" si="154"/>
        <v>0</v>
      </c>
      <c r="AW119" s="132">
        <f t="shared" si="154"/>
        <v>0</v>
      </c>
      <c r="AX119" s="132">
        <f t="shared" si="154"/>
        <v>0</v>
      </c>
      <c r="AY119" s="132">
        <f t="shared" si="154"/>
        <v>0</v>
      </c>
      <c r="AZ119" s="198">
        <f t="shared" si="154"/>
        <v>0</v>
      </c>
      <c r="BA119" s="198">
        <f t="shared" si="154"/>
        <v>0</v>
      </c>
      <c r="BB119" s="198">
        <f t="shared" si="154"/>
        <v>0</v>
      </c>
      <c r="BC119" s="198">
        <f t="shared" si="154"/>
        <v>0</v>
      </c>
      <c r="BD119" s="198">
        <f t="shared" si="154"/>
        <v>0</v>
      </c>
      <c r="BE119" s="198">
        <f t="shared" si="154"/>
        <v>0</v>
      </c>
      <c r="BF119" s="198">
        <f t="shared" si="154"/>
        <v>0</v>
      </c>
      <c r="BG119" s="198">
        <f t="shared" si="154"/>
        <v>0</v>
      </c>
      <c r="BH119" s="198">
        <f t="shared" si="154"/>
        <v>0</v>
      </c>
      <c r="BI119" s="198">
        <f t="shared" si="154"/>
        <v>0</v>
      </c>
      <c r="BJ119" s="198">
        <f t="shared" si="154"/>
        <v>0</v>
      </c>
      <c r="BK119" s="198">
        <f t="shared" si="154"/>
        <v>0</v>
      </c>
      <c r="BL119" s="198">
        <f t="shared" si="154"/>
        <v>0</v>
      </c>
      <c r="BM119" s="198">
        <f t="shared" si="154"/>
        <v>0</v>
      </c>
      <c r="BN119" s="198">
        <f t="shared" si="154"/>
        <v>0</v>
      </c>
      <c r="BO119" s="198">
        <f t="shared" ref="BO119:CX119" si="155">BO118-BO50</f>
        <v>0</v>
      </c>
      <c r="BP119" s="198">
        <f t="shared" si="155"/>
        <v>0</v>
      </c>
      <c r="BQ119" s="198">
        <f t="shared" si="155"/>
        <v>0</v>
      </c>
      <c r="BR119" s="198">
        <f t="shared" si="155"/>
        <v>0</v>
      </c>
      <c r="BS119" s="198">
        <f t="shared" si="155"/>
        <v>0</v>
      </c>
      <c r="BT119" s="198">
        <f t="shared" si="155"/>
        <v>0</v>
      </c>
      <c r="BU119" s="198">
        <f t="shared" si="155"/>
        <v>0</v>
      </c>
      <c r="BV119" s="198">
        <f t="shared" si="155"/>
        <v>0</v>
      </c>
      <c r="BW119" s="198">
        <f t="shared" si="155"/>
        <v>0</v>
      </c>
      <c r="BX119" s="198">
        <f t="shared" si="155"/>
        <v>0</v>
      </c>
      <c r="BY119" s="341">
        <f t="shared" si="155"/>
        <v>0</v>
      </c>
      <c r="BZ119" s="341">
        <f t="shared" si="155"/>
        <v>73387</v>
      </c>
      <c r="CA119" s="341">
        <f t="shared" si="155"/>
        <v>73387</v>
      </c>
      <c r="CB119" s="341">
        <f t="shared" si="155"/>
        <v>73387</v>
      </c>
      <c r="CC119" s="341">
        <f t="shared" si="155"/>
        <v>73387</v>
      </c>
      <c r="CD119" s="341">
        <f t="shared" si="155"/>
        <v>0</v>
      </c>
      <c r="CE119" s="341">
        <f t="shared" si="155"/>
        <v>0</v>
      </c>
      <c r="CF119" s="341">
        <f t="shared" si="155"/>
        <v>0</v>
      </c>
      <c r="CG119" s="341">
        <f t="shared" si="155"/>
        <v>0</v>
      </c>
      <c r="CH119" s="341">
        <f t="shared" si="155"/>
        <v>0</v>
      </c>
      <c r="CI119" s="341">
        <f t="shared" si="155"/>
        <v>0</v>
      </c>
      <c r="CJ119" s="341">
        <f t="shared" si="155"/>
        <v>0</v>
      </c>
      <c r="CK119" s="341">
        <f t="shared" si="155"/>
        <v>0</v>
      </c>
      <c r="CL119" s="341">
        <f t="shared" si="155"/>
        <v>0</v>
      </c>
      <c r="CM119" s="341">
        <f t="shared" si="155"/>
        <v>0</v>
      </c>
      <c r="CN119" s="341">
        <f t="shared" si="155"/>
        <v>0</v>
      </c>
      <c r="CO119" s="341">
        <f t="shared" si="155"/>
        <v>0</v>
      </c>
      <c r="CP119" s="341">
        <f t="shared" si="155"/>
        <v>0</v>
      </c>
      <c r="CQ119" s="341">
        <f t="shared" si="155"/>
        <v>0</v>
      </c>
      <c r="CR119" s="341">
        <f t="shared" si="155"/>
        <v>0</v>
      </c>
      <c r="CS119" s="341">
        <f t="shared" si="155"/>
        <v>0</v>
      </c>
      <c r="CT119" s="341">
        <f t="shared" si="155"/>
        <v>0</v>
      </c>
      <c r="CU119" s="341">
        <f t="shared" si="155"/>
        <v>0</v>
      </c>
      <c r="CV119" s="341">
        <f t="shared" si="155"/>
        <v>0</v>
      </c>
      <c r="CW119" s="341">
        <f t="shared" si="155"/>
        <v>0</v>
      </c>
      <c r="CX119" s="341">
        <f t="shared" si="155"/>
        <v>0</v>
      </c>
    </row>
    <row r="120" spans="1:102" x14ac:dyDescent="0.2">
      <c r="AA120" s="201"/>
      <c r="AB120" s="201"/>
      <c r="AC120" s="201"/>
      <c r="AD120" s="201"/>
      <c r="AE120" s="201"/>
      <c r="AF120" s="201"/>
      <c r="AG120" s="203"/>
      <c r="AH120" s="201"/>
      <c r="AI120" s="201"/>
      <c r="AJ120" s="201"/>
      <c r="AK120" s="201"/>
      <c r="AL120" s="201"/>
      <c r="AM120" s="201"/>
      <c r="AN120" s="201"/>
      <c r="AO120" s="201"/>
      <c r="AP120" s="201"/>
      <c r="AQ120" s="201"/>
      <c r="AR120" s="201"/>
      <c r="AS120" s="201"/>
      <c r="AT120" s="201"/>
      <c r="AU120" s="201"/>
      <c r="AW120" s="138"/>
      <c r="AZ120" s="201"/>
      <c r="BA120" s="201"/>
      <c r="BB120" s="201"/>
      <c r="BC120" s="201"/>
      <c r="BD120" s="201"/>
      <c r="BE120" s="201"/>
      <c r="BF120" s="203"/>
      <c r="BG120" s="201"/>
      <c r="BH120" s="201"/>
      <c r="BI120" s="201"/>
      <c r="BJ120" s="201"/>
      <c r="BK120" s="201"/>
      <c r="BL120" s="201"/>
      <c r="BM120" s="201"/>
      <c r="BN120" s="201"/>
      <c r="BO120" s="201"/>
      <c r="BP120" s="201"/>
      <c r="BQ120" s="201"/>
      <c r="BR120" s="201"/>
      <c r="BS120" s="201"/>
      <c r="BT120" s="201"/>
      <c r="BU120" s="201"/>
      <c r="BV120" s="201"/>
      <c r="BW120" s="201"/>
      <c r="BX120" s="201"/>
      <c r="BY120" s="201"/>
      <c r="BZ120" s="201"/>
      <c r="CA120" s="201"/>
      <c r="CB120" s="201"/>
      <c r="CC120" s="201"/>
      <c r="CD120" s="201"/>
      <c r="CE120" s="201"/>
      <c r="CF120" s="201"/>
      <c r="CG120" s="201"/>
      <c r="CH120" s="201"/>
      <c r="CI120" s="201"/>
      <c r="CJ120" s="201"/>
      <c r="CK120" s="201"/>
      <c r="CL120" s="201"/>
      <c r="CM120" s="201"/>
      <c r="CN120" s="201"/>
      <c r="CO120" s="201"/>
      <c r="CP120" s="201"/>
      <c r="CQ120" s="201"/>
      <c r="CR120" s="201"/>
      <c r="CS120" s="201"/>
      <c r="CT120" s="201"/>
      <c r="CU120" s="201"/>
      <c r="CV120" s="201"/>
      <c r="CW120" s="201"/>
      <c r="CX120" s="201"/>
    </row>
    <row r="121" spans="1:102" x14ac:dyDescent="0.2">
      <c r="A121" s="94"/>
      <c r="B121" s="94" t="s">
        <v>111</v>
      </c>
      <c r="C121" s="64" t="str">
        <f t="shared" ref="C121:AH121" si="156">C8</f>
        <v>Q1-2001</v>
      </c>
      <c r="D121" s="64" t="str">
        <f t="shared" si="156"/>
        <v>Q2-2001</v>
      </c>
      <c r="E121" s="64" t="str">
        <f t="shared" si="156"/>
        <v>Q3-2001</v>
      </c>
      <c r="F121" s="64" t="str">
        <f t="shared" si="156"/>
        <v>Q4-2001</v>
      </c>
      <c r="G121" s="108">
        <f t="shared" si="156"/>
        <v>2001</v>
      </c>
      <c r="H121" s="64" t="str">
        <f t="shared" si="156"/>
        <v>Q1-2002</v>
      </c>
      <c r="I121" s="64" t="str">
        <f t="shared" si="156"/>
        <v>Q2-2002</v>
      </c>
      <c r="J121" s="64" t="str">
        <f t="shared" si="156"/>
        <v>Q3-2002</v>
      </c>
      <c r="K121" s="64" t="str">
        <f t="shared" si="156"/>
        <v>Q4-2002</v>
      </c>
      <c r="L121" s="108">
        <f t="shared" si="156"/>
        <v>2002</v>
      </c>
      <c r="M121" s="64" t="str">
        <f t="shared" si="156"/>
        <v>Q1-2003</v>
      </c>
      <c r="N121" s="64" t="str">
        <f t="shared" si="156"/>
        <v>Q2-2003</v>
      </c>
      <c r="O121" s="64" t="str">
        <f t="shared" si="156"/>
        <v>Q3-2003</v>
      </c>
      <c r="P121" s="64" t="str">
        <f t="shared" si="156"/>
        <v>Q4-2003</v>
      </c>
      <c r="Q121" s="108">
        <f t="shared" si="156"/>
        <v>2003</v>
      </c>
      <c r="R121" s="64" t="str">
        <f t="shared" si="156"/>
        <v>Q1-2004</v>
      </c>
      <c r="S121" s="64" t="str">
        <f t="shared" si="156"/>
        <v>Q2-2004</v>
      </c>
      <c r="T121" s="64" t="str">
        <f t="shared" si="156"/>
        <v>Q3-2004</v>
      </c>
      <c r="U121" s="64" t="str">
        <f t="shared" si="156"/>
        <v>Q4-2004</v>
      </c>
      <c r="V121" s="108">
        <f t="shared" si="156"/>
        <v>2004</v>
      </c>
      <c r="W121" s="64" t="str">
        <f t="shared" si="156"/>
        <v>Q1-2013</v>
      </c>
      <c r="X121" s="64" t="str">
        <f t="shared" si="156"/>
        <v>Q2-2013</v>
      </c>
      <c r="Y121" s="64" t="str">
        <f t="shared" si="156"/>
        <v>Q3-2013</v>
      </c>
      <c r="Z121" s="64" t="str">
        <f t="shared" si="156"/>
        <v>Q4-2013</v>
      </c>
      <c r="AA121" s="108">
        <f t="shared" si="156"/>
        <v>2013</v>
      </c>
      <c r="AB121" s="64" t="str">
        <f t="shared" si="156"/>
        <v>Q1-2014</v>
      </c>
      <c r="AC121" s="64" t="str">
        <f t="shared" si="156"/>
        <v>Q2-2014</v>
      </c>
      <c r="AD121" s="64" t="str">
        <f t="shared" si="156"/>
        <v>Q3-2014</v>
      </c>
      <c r="AE121" s="64" t="str">
        <f t="shared" si="156"/>
        <v>Q4-2014</v>
      </c>
      <c r="AF121" s="108">
        <f t="shared" si="156"/>
        <v>2014</v>
      </c>
      <c r="AG121" s="64" t="str">
        <f t="shared" si="156"/>
        <v>Q1-2015</v>
      </c>
      <c r="AH121" s="64" t="str">
        <f t="shared" si="156"/>
        <v>Q2-2015</v>
      </c>
      <c r="AI121" s="64" t="str">
        <f t="shared" ref="AI121:BN121" si="157">AI8</f>
        <v>Q3-2015</v>
      </c>
      <c r="AJ121" s="64" t="str">
        <f t="shared" si="157"/>
        <v>Q4-2015</v>
      </c>
      <c r="AK121" s="108">
        <f t="shared" si="157"/>
        <v>2015</v>
      </c>
      <c r="AL121" s="64" t="str">
        <f t="shared" si="157"/>
        <v>Q1-2016</v>
      </c>
      <c r="AM121" s="64" t="str">
        <f t="shared" si="157"/>
        <v>Q2-2016</v>
      </c>
      <c r="AN121" s="64" t="str">
        <f t="shared" si="157"/>
        <v>Q3-2016</v>
      </c>
      <c r="AO121" s="64" t="str">
        <f t="shared" si="157"/>
        <v>Q4-2016</v>
      </c>
      <c r="AP121" s="108">
        <f t="shared" si="157"/>
        <v>2016</v>
      </c>
      <c r="AQ121" s="64" t="str">
        <f t="shared" si="157"/>
        <v>Q1-2017</v>
      </c>
      <c r="AR121" s="64" t="str">
        <f t="shared" si="157"/>
        <v>Q2-2017</v>
      </c>
      <c r="AS121" s="64" t="str">
        <f t="shared" si="157"/>
        <v>Q3-2017</v>
      </c>
      <c r="AT121" s="64" t="str">
        <f t="shared" si="157"/>
        <v>Q4-2017</v>
      </c>
      <c r="AU121" s="108">
        <f t="shared" si="157"/>
        <v>2017</v>
      </c>
      <c r="AV121" s="64" t="str">
        <f t="shared" si="157"/>
        <v>Q1-2018</v>
      </c>
      <c r="AW121" s="64" t="str">
        <f t="shared" si="157"/>
        <v>Q2-2018</v>
      </c>
      <c r="AX121" s="64" t="str">
        <f t="shared" si="157"/>
        <v>Q3-2018</v>
      </c>
      <c r="AY121" s="64" t="str">
        <f t="shared" si="157"/>
        <v>Q4-2018</v>
      </c>
      <c r="AZ121" s="108">
        <f t="shared" si="157"/>
        <v>2018</v>
      </c>
      <c r="BA121" s="64" t="str">
        <f t="shared" si="157"/>
        <v>Q1-2019</v>
      </c>
      <c r="BB121" s="64" t="str">
        <f t="shared" si="157"/>
        <v>Q2-2019</v>
      </c>
      <c r="BC121" s="64" t="str">
        <f t="shared" si="157"/>
        <v>Q3-2019</v>
      </c>
      <c r="BD121" s="64" t="str">
        <f t="shared" si="157"/>
        <v>Q4-2019</v>
      </c>
      <c r="BE121" s="108">
        <f t="shared" si="157"/>
        <v>2019</v>
      </c>
      <c r="BF121" s="64" t="str">
        <f t="shared" si="157"/>
        <v>Q1-2020</v>
      </c>
      <c r="BG121" s="64" t="str">
        <f t="shared" si="157"/>
        <v>Q2-2020</v>
      </c>
      <c r="BH121" s="64" t="str">
        <f t="shared" si="157"/>
        <v>Q3-2020</v>
      </c>
      <c r="BI121" s="64" t="str">
        <f t="shared" si="157"/>
        <v>Q4-2020</v>
      </c>
      <c r="BJ121" s="108">
        <f t="shared" si="157"/>
        <v>2020</v>
      </c>
      <c r="BK121" s="64" t="str">
        <f t="shared" si="157"/>
        <v>Q1-2021</v>
      </c>
      <c r="BL121" s="64" t="str">
        <f t="shared" si="157"/>
        <v>Q2-2021</v>
      </c>
      <c r="BM121" s="64" t="str">
        <f t="shared" si="157"/>
        <v>Q3-2021</v>
      </c>
      <c r="BN121" s="64" t="str">
        <f t="shared" si="157"/>
        <v>Q4-2021</v>
      </c>
      <c r="BO121" s="108">
        <f t="shared" ref="BO121:CD121" si="158">BO8</f>
        <v>2021</v>
      </c>
      <c r="BP121" s="64" t="str">
        <f t="shared" si="158"/>
        <v>Q1-2022</v>
      </c>
      <c r="BQ121" s="64" t="str">
        <f t="shared" si="158"/>
        <v>Q2-2022</v>
      </c>
      <c r="BR121" s="64" t="str">
        <f t="shared" si="158"/>
        <v>Q3-2022</v>
      </c>
      <c r="BS121" s="64" t="str">
        <f t="shared" si="158"/>
        <v>Q4-2022</v>
      </c>
      <c r="BT121" s="108">
        <f t="shared" si="158"/>
        <v>2022</v>
      </c>
      <c r="BU121" s="64" t="str">
        <f t="shared" si="158"/>
        <v>Q1-2023</v>
      </c>
      <c r="BV121" s="64" t="str">
        <f t="shared" si="158"/>
        <v>Q2-2023</v>
      </c>
      <c r="BW121" s="64" t="str">
        <f t="shared" si="158"/>
        <v>Q3-2023</v>
      </c>
      <c r="BX121" s="318" t="str">
        <f t="shared" si="158"/>
        <v>Q4-2023</v>
      </c>
      <c r="BY121" s="324">
        <f t="shared" si="158"/>
        <v>2023</v>
      </c>
      <c r="BZ121" s="192" t="str">
        <f t="shared" si="158"/>
        <v>Q1-2024</v>
      </c>
      <c r="CA121" s="192" t="str">
        <f t="shared" si="158"/>
        <v>Q2-2024</v>
      </c>
      <c r="CB121" s="192" t="str">
        <f t="shared" si="158"/>
        <v>Q3-2024</v>
      </c>
      <c r="CC121" s="192" t="str">
        <f t="shared" si="158"/>
        <v>Q4-2024</v>
      </c>
      <c r="CD121" s="191">
        <f t="shared" si="158"/>
        <v>2024</v>
      </c>
      <c r="CE121" s="192"/>
      <c r="CF121" s="192"/>
      <c r="CG121" s="192"/>
      <c r="CH121" s="192"/>
      <c r="CI121" s="191">
        <f>CI8</f>
        <v>2025</v>
      </c>
      <c r="CJ121" s="192"/>
      <c r="CK121" s="192"/>
      <c r="CL121" s="192"/>
      <c r="CM121" s="192"/>
      <c r="CN121" s="191">
        <f>CN8</f>
        <v>2026</v>
      </c>
      <c r="CO121" s="192"/>
      <c r="CP121" s="192"/>
      <c r="CQ121" s="192"/>
      <c r="CR121" s="192"/>
      <c r="CS121" s="191">
        <f>CS8</f>
        <v>2027</v>
      </c>
      <c r="CT121" s="192"/>
      <c r="CU121" s="192"/>
      <c r="CV121" s="192"/>
      <c r="CW121" s="192"/>
      <c r="CX121" s="191">
        <f>CX8</f>
        <v>2028</v>
      </c>
    </row>
    <row r="122" spans="1:102" s="133" customFormat="1" x14ac:dyDescent="0.2">
      <c r="B122" s="133" t="s">
        <v>112</v>
      </c>
      <c r="C122" s="134">
        <f t="shared" ref="C122:AH122" si="159">C33</f>
        <v>0</v>
      </c>
      <c r="D122" s="134">
        <f t="shared" si="159"/>
        <v>0</v>
      </c>
      <c r="E122" s="134">
        <f t="shared" si="159"/>
        <v>0</v>
      </c>
      <c r="F122" s="134">
        <f t="shared" si="159"/>
        <v>0</v>
      </c>
      <c r="G122" s="134">
        <f t="shared" si="159"/>
        <v>0</v>
      </c>
      <c r="H122" s="134">
        <f t="shared" si="159"/>
        <v>0</v>
      </c>
      <c r="I122" s="134">
        <f t="shared" si="159"/>
        <v>0</v>
      </c>
      <c r="J122" s="134">
        <f t="shared" si="159"/>
        <v>0</v>
      </c>
      <c r="K122" s="134">
        <f t="shared" si="159"/>
        <v>0</v>
      </c>
      <c r="L122" s="134">
        <f t="shared" si="159"/>
        <v>0</v>
      </c>
      <c r="M122" s="134">
        <f t="shared" si="159"/>
        <v>0</v>
      </c>
      <c r="N122" s="134">
        <f t="shared" si="159"/>
        <v>0</v>
      </c>
      <c r="O122" s="134">
        <f t="shared" si="159"/>
        <v>0</v>
      </c>
      <c r="P122" s="134">
        <f t="shared" si="159"/>
        <v>0</v>
      </c>
      <c r="Q122" s="134">
        <f t="shared" si="159"/>
        <v>0</v>
      </c>
      <c r="R122" s="134">
        <f t="shared" si="159"/>
        <v>0</v>
      </c>
      <c r="S122" s="134">
        <f t="shared" si="159"/>
        <v>0</v>
      </c>
      <c r="T122" s="134">
        <f t="shared" si="159"/>
        <v>0</v>
      </c>
      <c r="U122" s="134">
        <f t="shared" si="159"/>
        <v>0</v>
      </c>
      <c r="V122" s="134">
        <f t="shared" si="159"/>
        <v>0</v>
      </c>
      <c r="W122" s="134">
        <f t="shared" si="159"/>
        <v>0</v>
      </c>
      <c r="X122" s="134">
        <f t="shared" si="159"/>
        <v>0</v>
      </c>
      <c r="Y122" s="134">
        <f t="shared" si="159"/>
        <v>0</v>
      </c>
      <c r="Z122" s="134">
        <f t="shared" si="159"/>
        <v>0</v>
      </c>
      <c r="AA122" s="134">
        <f t="shared" si="159"/>
        <v>0.6</v>
      </c>
      <c r="AB122" s="134">
        <f t="shared" si="159"/>
        <v>0</v>
      </c>
      <c r="AC122" s="134">
        <f t="shared" si="159"/>
        <v>0</v>
      </c>
      <c r="AD122" s="134">
        <f t="shared" si="159"/>
        <v>0</v>
      </c>
      <c r="AE122" s="134">
        <f t="shared" si="159"/>
        <v>0</v>
      </c>
      <c r="AF122" s="134">
        <f t="shared" si="159"/>
        <v>-0.52</v>
      </c>
      <c r="AG122" s="134">
        <f t="shared" si="159"/>
        <v>0</v>
      </c>
      <c r="AH122" s="134">
        <f t="shared" si="159"/>
        <v>0</v>
      </c>
      <c r="AI122" s="134">
        <f t="shared" ref="AI122:BN122" si="160">AI33</f>
        <v>0</v>
      </c>
      <c r="AJ122" s="134">
        <f t="shared" si="160"/>
        <v>0</v>
      </c>
      <c r="AK122" s="134">
        <f t="shared" si="160"/>
        <v>1.28</v>
      </c>
      <c r="AL122" s="134">
        <f t="shared" si="160"/>
        <v>0</v>
      </c>
      <c r="AM122" s="134">
        <f t="shared" si="160"/>
        <v>0</v>
      </c>
      <c r="AN122" s="134">
        <f t="shared" si="160"/>
        <v>0</v>
      </c>
      <c r="AO122" s="134">
        <f t="shared" si="160"/>
        <v>0</v>
      </c>
      <c r="AP122" s="134">
        <f t="shared" si="160"/>
        <v>5.01</v>
      </c>
      <c r="AQ122" s="134">
        <f t="shared" si="160"/>
        <v>0</v>
      </c>
      <c r="AR122" s="134">
        <f t="shared" si="160"/>
        <v>0</v>
      </c>
      <c r="AS122" s="134">
        <f t="shared" si="160"/>
        <v>0</v>
      </c>
      <c r="AT122" s="134">
        <f t="shared" si="160"/>
        <v>0</v>
      </c>
      <c r="AU122" s="134">
        <f t="shared" si="160"/>
        <v>6.32</v>
      </c>
      <c r="AV122" s="134">
        <f t="shared" si="160"/>
        <v>0</v>
      </c>
      <c r="AW122" s="134">
        <f t="shared" si="160"/>
        <v>0</v>
      </c>
      <c r="AX122" s="134">
        <f t="shared" si="160"/>
        <v>0</v>
      </c>
      <c r="AY122" s="134">
        <f t="shared" si="160"/>
        <v>0</v>
      </c>
      <c r="AZ122" s="134">
        <f t="shared" si="160"/>
        <v>20.68</v>
      </c>
      <c r="BA122" s="134">
        <f t="shared" si="160"/>
        <v>0</v>
      </c>
      <c r="BB122" s="134">
        <f t="shared" si="160"/>
        <v>0</v>
      </c>
      <c r="BC122" s="134">
        <f t="shared" si="160"/>
        <v>0</v>
      </c>
      <c r="BD122" s="134">
        <f t="shared" si="160"/>
        <v>0</v>
      </c>
      <c r="BE122" s="134">
        <f t="shared" si="160"/>
        <v>23.46</v>
      </c>
      <c r="BF122" s="134">
        <f t="shared" si="160"/>
        <v>0</v>
      </c>
      <c r="BG122" s="134">
        <f t="shared" si="160"/>
        <v>0</v>
      </c>
      <c r="BH122" s="134">
        <f t="shared" si="160"/>
        <v>0</v>
      </c>
      <c r="BI122" s="134">
        <f t="shared" si="160"/>
        <v>0</v>
      </c>
      <c r="BJ122" s="134">
        <f t="shared" si="160"/>
        <v>2.13</v>
      </c>
      <c r="BK122" s="134">
        <f t="shared" si="160"/>
        <v>0</v>
      </c>
      <c r="BL122" s="134">
        <f t="shared" si="160"/>
        <v>0</v>
      </c>
      <c r="BM122" s="134">
        <f t="shared" si="160"/>
        <v>0</v>
      </c>
      <c r="BN122" s="134">
        <f t="shared" si="160"/>
        <v>0</v>
      </c>
      <c r="BO122" s="134">
        <f t="shared" ref="BO122:CX122" si="161">BO33</f>
        <v>3.3</v>
      </c>
      <c r="BP122" s="134">
        <f t="shared" si="161"/>
        <v>0</v>
      </c>
      <c r="BQ122" s="134">
        <f t="shared" si="161"/>
        <v>0</v>
      </c>
      <c r="BR122" s="134">
        <f t="shared" si="161"/>
        <v>0</v>
      </c>
      <c r="BS122" s="134">
        <f t="shared" si="161"/>
        <v>0</v>
      </c>
      <c r="BT122" s="134">
        <f t="shared" si="161"/>
        <v>-0.27</v>
      </c>
      <c r="BU122" s="134">
        <f t="shared" si="161"/>
        <v>0.31</v>
      </c>
      <c r="BV122" s="134">
        <f t="shared" si="161"/>
        <v>0.66</v>
      </c>
      <c r="BW122" s="134">
        <f t="shared" si="161"/>
        <v>0.96</v>
      </c>
      <c r="BX122" s="134">
        <f t="shared" si="161"/>
        <v>1.0258787176516029</v>
      </c>
      <c r="BY122" s="134">
        <f t="shared" si="161"/>
        <v>2.9527368012422359</v>
      </c>
      <c r="BZ122" s="134">
        <f t="shared" si="161"/>
        <v>0</v>
      </c>
      <c r="CA122" s="134">
        <f t="shared" si="161"/>
        <v>0</v>
      </c>
      <c r="CB122" s="134">
        <f t="shared" si="161"/>
        <v>0</v>
      </c>
      <c r="CC122" s="134">
        <f t="shared" si="161"/>
        <v>0</v>
      </c>
      <c r="CD122" s="379">
        <f t="shared" si="161"/>
        <v>1.8197062035062597</v>
      </c>
      <c r="CE122" s="379"/>
      <c r="CF122" s="379"/>
      <c r="CG122" s="379"/>
      <c r="CH122" s="379"/>
      <c r="CI122" s="379">
        <f t="shared" si="161"/>
        <v>2.2571804334483763</v>
      </c>
      <c r="CJ122" s="379"/>
      <c r="CK122" s="379"/>
      <c r="CL122" s="379"/>
      <c r="CM122" s="379"/>
      <c r="CN122" s="379">
        <f t="shared" si="161"/>
        <v>2.8129248930591206</v>
      </c>
      <c r="CO122" s="379"/>
      <c r="CP122" s="379"/>
      <c r="CQ122" s="379"/>
      <c r="CR122" s="379"/>
      <c r="CS122" s="379">
        <f t="shared" si="161"/>
        <v>3.521532485144109</v>
      </c>
      <c r="CT122" s="379"/>
      <c r="CU122" s="379"/>
      <c r="CV122" s="379"/>
      <c r="CW122" s="379"/>
      <c r="CX122" s="379">
        <f t="shared" si="161"/>
        <v>4.4282044824482591</v>
      </c>
    </row>
    <row r="123" spans="1:102" s="133" customFormat="1" x14ac:dyDescent="0.2">
      <c r="B123" s="133" t="s">
        <v>113</v>
      </c>
      <c r="C123" s="134">
        <f t="shared" ref="C123:AH123" si="162">C34</f>
        <v>0</v>
      </c>
      <c r="D123" s="134">
        <f t="shared" si="162"/>
        <v>0</v>
      </c>
      <c r="E123" s="134">
        <f t="shared" si="162"/>
        <v>0</v>
      </c>
      <c r="F123" s="134">
        <f t="shared" si="162"/>
        <v>0</v>
      </c>
      <c r="G123" s="134">
        <f t="shared" si="162"/>
        <v>0</v>
      </c>
      <c r="H123" s="134">
        <f t="shared" si="162"/>
        <v>0</v>
      </c>
      <c r="I123" s="134">
        <f t="shared" si="162"/>
        <v>0</v>
      </c>
      <c r="J123" s="134">
        <f t="shared" si="162"/>
        <v>0</v>
      </c>
      <c r="K123" s="134">
        <f t="shared" si="162"/>
        <v>0</v>
      </c>
      <c r="L123" s="134">
        <f t="shared" si="162"/>
        <v>0</v>
      </c>
      <c r="M123" s="134">
        <f t="shared" si="162"/>
        <v>0</v>
      </c>
      <c r="N123" s="134">
        <f t="shared" si="162"/>
        <v>0</v>
      </c>
      <c r="O123" s="134">
        <f t="shared" si="162"/>
        <v>0</v>
      </c>
      <c r="P123" s="134">
        <f t="shared" si="162"/>
        <v>0</v>
      </c>
      <c r="Q123" s="134">
        <f t="shared" si="162"/>
        <v>0</v>
      </c>
      <c r="R123" s="134">
        <f t="shared" si="162"/>
        <v>0</v>
      </c>
      <c r="S123" s="134">
        <f t="shared" si="162"/>
        <v>0</v>
      </c>
      <c r="T123" s="134">
        <f t="shared" si="162"/>
        <v>0</v>
      </c>
      <c r="U123" s="134">
        <f t="shared" si="162"/>
        <v>0</v>
      </c>
      <c r="V123" s="134">
        <f t="shared" si="162"/>
        <v>0</v>
      </c>
      <c r="W123" s="134">
        <f t="shared" si="162"/>
        <v>0</v>
      </c>
      <c r="X123" s="134">
        <f t="shared" si="162"/>
        <v>0</v>
      </c>
      <c r="Y123" s="134">
        <f t="shared" si="162"/>
        <v>0</v>
      </c>
      <c r="Z123" s="134">
        <f t="shared" si="162"/>
        <v>0</v>
      </c>
      <c r="AA123" s="134">
        <f t="shared" si="162"/>
        <v>0.59</v>
      </c>
      <c r="AB123" s="134">
        <f t="shared" si="162"/>
        <v>0</v>
      </c>
      <c r="AC123" s="134">
        <f t="shared" si="162"/>
        <v>0</v>
      </c>
      <c r="AD123" s="134">
        <f t="shared" si="162"/>
        <v>0</v>
      </c>
      <c r="AE123" s="134">
        <f t="shared" si="162"/>
        <v>0</v>
      </c>
      <c r="AF123" s="134">
        <f t="shared" si="162"/>
        <v>-0.52</v>
      </c>
      <c r="AG123" s="134">
        <f t="shared" si="162"/>
        <v>0</v>
      </c>
      <c r="AH123" s="134">
        <f t="shared" si="162"/>
        <v>0</v>
      </c>
      <c r="AI123" s="134">
        <f t="shared" ref="AI123:BN123" si="163">AI34</f>
        <v>0</v>
      </c>
      <c r="AJ123" s="134">
        <f t="shared" si="163"/>
        <v>0</v>
      </c>
      <c r="AK123" s="134">
        <f t="shared" si="163"/>
        <v>1.25</v>
      </c>
      <c r="AL123" s="134">
        <f t="shared" si="163"/>
        <v>0</v>
      </c>
      <c r="AM123" s="134">
        <f t="shared" si="163"/>
        <v>0</v>
      </c>
      <c r="AN123" s="134">
        <f t="shared" si="163"/>
        <v>0</v>
      </c>
      <c r="AO123" s="134">
        <f t="shared" si="163"/>
        <v>0</v>
      </c>
      <c r="AP123" s="134">
        <f t="shared" si="163"/>
        <v>4.9000000000000004</v>
      </c>
      <c r="AQ123" s="134">
        <f t="shared" si="163"/>
        <v>0</v>
      </c>
      <c r="AR123" s="134">
        <f t="shared" si="163"/>
        <v>0</v>
      </c>
      <c r="AS123" s="134">
        <f t="shared" si="163"/>
        <v>0</v>
      </c>
      <c r="AT123" s="134">
        <f t="shared" si="163"/>
        <v>0</v>
      </c>
      <c r="AU123" s="134">
        <f t="shared" si="163"/>
        <v>6.15</v>
      </c>
      <c r="AV123" s="134">
        <f t="shared" si="163"/>
        <v>0</v>
      </c>
      <c r="AW123" s="134">
        <f t="shared" si="163"/>
        <v>0</v>
      </c>
      <c r="AX123" s="134">
        <f t="shared" si="163"/>
        <v>0</v>
      </c>
      <c r="AY123" s="134">
        <f t="shared" si="163"/>
        <v>0</v>
      </c>
      <c r="AZ123" s="134">
        <f t="shared" si="163"/>
        <v>20.14</v>
      </c>
      <c r="BA123" s="134">
        <f t="shared" si="163"/>
        <v>0</v>
      </c>
      <c r="BB123" s="134">
        <f t="shared" si="163"/>
        <v>0</v>
      </c>
      <c r="BC123" s="134">
        <f t="shared" si="163"/>
        <v>0</v>
      </c>
      <c r="BD123" s="134">
        <f t="shared" si="163"/>
        <v>0</v>
      </c>
      <c r="BE123" s="134">
        <f t="shared" si="163"/>
        <v>23.01</v>
      </c>
      <c r="BF123" s="134">
        <f t="shared" si="163"/>
        <v>0</v>
      </c>
      <c r="BG123" s="134">
        <f t="shared" si="163"/>
        <v>0</v>
      </c>
      <c r="BH123" s="134">
        <f t="shared" si="163"/>
        <v>0</v>
      </c>
      <c r="BI123" s="134">
        <f t="shared" si="163"/>
        <v>0</v>
      </c>
      <c r="BJ123" s="134">
        <f t="shared" si="163"/>
        <v>2.09</v>
      </c>
      <c r="BK123" s="134">
        <f t="shared" si="163"/>
        <v>0</v>
      </c>
      <c r="BL123" s="134">
        <f t="shared" si="163"/>
        <v>0</v>
      </c>
      <c r="BM123" s="134">
        <f t="shared" si="163"/>
        <v>0</v>
      </c>
      <c r="BN123" s="134">
        <f t="shared" si="163"/>
        <v>0</v>
      </c>
      <c r="BO123" s="134">
        <f t="shared" ref="BO123:CX123" si="164">BO34</f>
        <v>3.24</v>
      </c>
      <c r="BP123" s="134">
        <f t="shared" si="164"/>
        <v>0</v>
      </c>
      <c r="BQ123" s="134">
        <f t="shared" si="164"/>
        <v>0</v>
      </c>
      <c r="BR123" s="134">
        <f t="shared" si="164"/>
        <v>0</v>
      </c>
      <c r="BS123" s="134">
        <f t="shared" si="164"/>
        <v>0</v>
      </c>
      <c r="BT123" s="134">
        <f t="shared" si="164"/>
        <v>-0.27</v>
      </c>
      <c r="BU123" s="134">
        <f t="shared" si="164"/>
        <v>0.31</v>
      </c>
      <c r="BV123" s="134">
        <f t="shared" si="164"/>
        <v>0.65</v>
      </c>
      <c r="BW123" s="134">
        <f t="shared" si="164"/>
        <v>0.94</v>
      </c>
      <c r="BX123" s="134">
        <f t="shared" si="164"/>
        <v>1.0013195098963241</v>
      </c>
      <c r="BY123" s="134">
        <f t="shared" si="164"/>
        <v>2.8998284407167367</v>
      </c>
      <c r="BZ123" s="134">
        <f t="shared" si="164"/>
        <v>0</v>
      </c>
      <c r="CA123" s="134">
        <f t="shared" si="164"/>
        <v>0</v>
      </c>
      <c r="CB123" s="134">
        <f t="shared" si="164"/>
        <v>0</v>
      </c>
      <c r="CC123" s="134">
        <f t="shared" si="164"/>
        <v>0</v>
      </c>
      <c r="CD123" s="379">
        <f t="shared" si="164"/>
        <v>1.7870999543393538</v>
      </c>
      <c r="CE123" s="379"/>
      <c r="CF123" s="379"/>
      <c r="CG123" s="379"/>
      <c r="CH123" s="379"/>
      <c r="CI123" s="379">
        <f t="shared" si="164"/>
        <v>2.2167353399020273</v>
      </c>
      <c r="CJ123" s="379"/>
      <c r="CK123" s="379"/>
      <c r="CL123" s="379"/>
      <c r="CM123" s="379"/>
      <c r="CN123" s="379">
        <f t="shared" si="164"/>
        <v>2.7625217401907336</v>
      </c>
      <c r="CO123" s="379"/>
      <c r="CP123" s="379"/>
      <c r="CQ123" s="379"/>
      <c r="CR123" s="379"/>
      <c r="CS123" s="379">
        <f t="shared" si="164"/>
        <v>3.4584322080561285</v>
      </c>
      <c r="CT123" s="379"/>
      <c r="CU123" s="379"/>
      <c r="CV123" s="379"/>
      <c r="CW123" s="379"/>
      <c r="CX123" s="379">
        <f t="shared" si="164"/>
        <v>4.3488580811234145</v>
      </c>
    </row>
    <row r="124" spans="1:102" s="133" customFormat="1" hidden="1" x14ac:dyDescent="0.2">
      <c r="B124" s="133" t="s">
        <v>35</v>
      </c>
      <c r="C124" s="134" t="e">
        <f t="shared" ref="C124:AH124" si="165">C35</f>
        <v>#DIV/0!</v>
      </c>
      <c r="D124" s="134" t="e">
        <f t="shared" si="165"/>
        <v>#DIV/0!</v>
      </c>
      <c r="E124" s="134" t="e">
        <f t="shared" si="165"/>
        <v>#DIV/0!</v>
      </c>
      <c r="F124" s="134" t="e">
        <f t="shared" si="165"/>
        <v>#DIV/0!</v>
      </c>
      <c r="G124" s="134" t="e">
        <f t="shared" si="165"/>
        <v>#DIV/0!</v>
      </c>
      <c r="H124" s="134" t="e">
        <f t="shared" si="165"/>
        <v>#DIV/0!</v>
      </c>
      <c r="I124" s="134" t="e">
        <f t="shared" si="165"/>
        <v>#DIV/0!</v>
      </c>
      <c r="J124" s="134" t="e">
        <f t="shared" si="165"/>
        <v>#DIV/0!</v>
      </c>
      <c r="K124" s="134" t="e">
        <f t="shared" si="165"/>
        <v>#DIV/0!</v>
      </c>
      <c r="L124" s="134" t="e">
        <f t="shared" si="165"/>
        <v>#DIV/0!</v>
      </c>
      <c r="M124" s="134" t="e">
        <f t="shared" si="165"/>
        <v>#DIV/0!</v>
      </c>
      <c r="N124" s="134" t="e">
        <f t="shared" si="165"/>
        <v>#DIV/0!</v>
      </c>
      <c r="O124" s="134" t="e">
        <f t="shared" si="165"/>
        <v>#DIV/0!</v>
      </c>
      <c r="P124" s="134" t="e">
        <f t="shared" si="165"/>
        <v>#DIV/0!</v>
      </c>
      <c r="Q124" s="134" t="e">
        <f t="shared" si="165"/>
        <v>#DIV/0!</v>
      </c>
      <c r="R124" s="134" t="e">
        <f t="shared" si="165"/>
        <v>#DIV/0!</v>
      </c>
      <c r="S124" s="134" t="e">
        <f t="shared" si="165"/>
        <v>#DIV/0!</v>
      </c>
      <c r="T124" s="134" t="e">
        <f t="shared" si="165"/>
        <v>#DIV/0!</v>
      </c>
      <c r="U124" s="134" t="e">
        <f t="shared" si="165"/>
        <v>#DIV/0!</v>
      </c>
      <c r="V124" s="134" t="e">
        <f t="shared" si="165"/>
        <v>#DIV/0!</v>
      </c>
      <c r="W124" s="134" t="e">
        <f t="shared" si="165"/>
        <v>#DIV/0!</v>
      </c>
      <c r="X124" s="134" t="e">
        <f t="shared" si="165"/>
        <v>#DIV/0!</v>
      </c>
      <c r="Y124" s="134" t="e">
        <f t="shared" si="165"/>
        <v>#DIV/0!</v>
      </c>
      <c r="Z124" s="134" t="e">
        <f t="shared" si="165"/>
        <v>#DIV/0!</v>
      </c>
      <c r="AA124" s="134" t="e">
        <f t="shared" si="165"/>
        <v>#DIV/0!</v>
      </c>
      <c r="AB124" s="134" t="e">
        <f t="shared" si="165"/>
        <v>#DIV/0!</v>
      </c>
      <c r="AC124" s="134" t="e">
        <f t="shared" si="165"/>
        <v>#DIV/0!</v>
      </c>
      <c r="AD124" s="134" t="e">
        <f t="shared" si="165"/>
        <v>#DIV/0!</v>
      </c>
      <c r="AE124" s="134" t="e">
        <f t="shared" si="165"/>
        <v>#DIV/0!</v>
      </c>
      <c r="AF124" s="134" t="e">
        <f t="shared" si="165"/>
        <v>#DIV/0!</v>
      </c>
      <c r="AG124" s="134" t="e">
        <f t="shared" si="165"/>
        <v>#DIV/0!</v>
      </c>
      <c r="AH124" s="134" t="e">
        <f t="shared" si="165"/>
        <v>#DIV/0!</v>
      </c>
      <c r="AI124" s="134" t="e">
        <f t="shared" ref="AI124:BN124" si="166">AI35</f>
        <v>#DIV/0!</v>
      </c>
      <c r="AJ124" s="134" t="e">
        <f t="shared" si="166"/>
        <v>#DIV/0!</v>
      </c>
      <c r="AK124" s="134" t="e">
        <f t="shared" si="166"/>
        <v>#DIV/0!</v>
      </c>
      <c r="AL124" s="134" t="e">
        <f t="shared" si="166"/>
        <v>#DIV/0!</v>
      </c>
      <c r="AM124" s="134" t="e">
        <f t="shared" si="166"/>
        <v>#DIV/0!</v>
      </c>
      <c r="AN124" s="134" t="e">
        <f t="shared" si="166"/>
        <v>#DIV/0!</v>
      </c>
      <c r="AO124" s="134" t="e">
        <f t="shared" si="166"/>
        <v>#DIV/0!</v>
      </c>
      <c r="AP124" s="134" t="e">
        <f t="shared" si="166"/>
        <v>#DIV/0!</v>
      </c>
      <c r="AQ124" s="134" t="e">
        <f t="shared" si="166"/>
        <v>#DIV/0!</v>
      </c>
      <c r="AR124" s="134" t="e">
        <f t="shared" si="166"/>
        <v>#DIV/0!</v>
      </c>
      <c r="AS124" s="134" t="e">
        <f t="shared" si="166"/>
        <v>#DIV/0!</v>
      </c>
      <c r="AT124" s="134" t="e">
        <f t="shared" si="166"/>
        <v>#DIV/0!</v>
      </c>
      <c r="AU124" s="134" t="e">
        <f t="shared" si="166"/>
        <v>#DIV/0!</v>
      </c>
      <c r="AV124" s="134" t="e">
        <f t="shared" si="166"/>
        <v>#DIV/0!</v>
      </c>
      <c r="AW124" s="134" t="e">
        <f t="shared" si="166"/>
        <v>#DIV/0!</v>
      </c>
      <c r="AX124" s="134" t="e">
        <f t="shared" si="166"/>
        <v>#DIV/0!</v>
      </c>
      <c r="AY124" s="134" t="e">
        <f t="shared" si="166"/>
        <v>#DIV/0!</v>
      </c>
      <c r="AZ124" s="134" t="e">
        <f t="shared" si="166"/>
        <v>#DIV/0!</v>
      </c>
      <c r="BA124" s="134" t="e">
        <f t="shared" si="166"/>
        <v>#DIV/0!</v>
      </c>
      <c r="BB124" s="134" t="e">
        <f t="shared" si="166"/>
        <v>#DIV/0!</v>
      </c>
      <c r="BC124" s="134" t="e">
        <f t="shared" si="166"/>
        <v>#DIV/0!</v>
      </c>
      <c r="BD124" s="134" t="e">
        <f t="shared" si="166"/>
        <v>#DIV/0!</v>
      </c>
      <c r="BE124" s="134" t="e">
        <f t="shared" si="166"/>
        <v>#DIV/0!</v>
      </c>
      <c r="BF124" s="134" t="e">
        <f t="shared" si="166"/>
        <v>#DIV/0!</v>
      </c>
      <c r="BG124" s="134" t="e">
        <f t="shared" si="166"/>
        <v>#DIV/0!</v>
      </c>
      <c r="BH124" s="134" t="e">
        <f t="shared" si="166"/>
        <v>#DIV/0!</v>
      </c>
      <c r="BI124" s="134" t="e">
        <f t="shared" si="166"/>
        <v>#DIV/0!</v>
      </c>
      <c r="BJ124" s="134" t="e">
        <f t="shared" si="166"/>
        <v>#DIV/0!</v>
      </c>
      <c r="BK124" s="134" t="e">
        <f t="shared" si="166"/>
        <v>#DIV/0!</v>
      </c>
      <c r="BL124" s="134" t="e">
        <f t="shared" si="166"/>
        <v>#DIV/0!</v>
      </c>
      <c r="BM124" s="134" t="e">
        <f t="shared" si="166"/>
        <v>#DIV/0!</v>
      </c>
      <c r="BN124" s="134" t="e">
        <f t="shared" si="166"/>
        <v>#DIV/0!</v>
      </c>
      <c r="BO124" s="134" t="e">
        <f t="shared" ref="BO124:CX124" si="167">BO35</f>
        <v>#DIV/0!</v>
      </c>
      <c r="BP124" s="134" t="e">
        <f t="shared" si="167"/>
        <v>#DIV/0!</v>
      </c>
      <c r="BQ124" s="134" t="e">
        <f t="shared" si="167"/>
        <v>#DIV/0!</v>
      </c>
      <c r="BR124" s="134" t="e">
        <f t="shared" si="167"/>
        <v>#DIV/0!</v>
      </c>
      <c r="BS124" s="134" t="e">
        <f t="shared" si="167"/>
        <v>#DIV/0!</v>
      </c>
      <c r="BT124" s="134" t="e">
        <f t="shared" si="167"/>
        <v>#DIV/0!</v>
      </c>
      <c r="BU124" s="134" t="e">
        <f t="shared" si="167"/>
        <v>#DIV/0!</v>
      </c>
      <c r="BV124" s="134" t="e">
        <f t="shared" si="167"/>
        <v>#DIV/0!</v>
      </c>
      <c r="BW124" s="134" t="e">
        <f t="shared" si="167"/>
        <v>#DIV/0!</v>
      </c>
      <c r="BX124" s="134" t="e">
        <f t="shared" si="167"/>
        <v>#DIV/0!</v>
      </c>
      <c r="BY124" s="134" t="e">
        <f t="shared" si="167"/>
        <v>#DIV/0!</v>
      </c>
      <c r="BZ124" s="134" t="e">
        <f t="shared" si="167"/>
        <v>#DIV/0!</v>
      </c>
      <c r="CA124" s="134" t="e">
        <f t="shared" si="167"/>
        <v>#DIV/0!</v>
      </c>
      <c r="CB124" s="134" t="e">
        <f t="shared" si="167"/>
        <v>#DIV/0!</v>
      </c>
      <c r="CC124" s="134" t="e">
        <f t="shared" si="167"/>
        <v>#DIV/0!</v>
      </c>
      <c r="CD124" s="379" t="e">
        <f t="shared" si="167"/>
        <v>#DIV/0!</v>
      </c>
      <c r="CE124" s="379"/>
      <c r="CF124" s="379"/>
      <c r="CG124" s="379"/>
      <c r="CH124" s="379"/>
      <c r="CI124" s="379" t="e">
        <f t="shared" si="167"/>
        <v>#DIV/0!</v>
      </c>
      <c r="CJ124" s="379"/>
      <c r="CK124" s="379"/>
      <c r="CL124" s="379"/>
      <c r="CM124" s="379"/>
      <c r="CN124" s="379" t="e">
        <f t="shared" si="167"/>
        <v>#DIV/0!</v>
      </c>
      <c r="CO124" s="379"/>
      <c r="CP124" s="379"/>
      <c r="CQ124" s="379"/>
      <c r="CR124" s="379"/>
      <c r="CS124" s="379" t="e">
        <f t="shared" si="167"/>
        <v>#DIV/0!</v>
      </c>
      <c r="CT124" s="379"/>
      <c r="CU124" s="379"/>
      <c r="CV124" s="379"/>
      <c r="CW124" s="379"/>
      <c r="CX124" s="379" t="e">
        <f t="shared" si="167"/>
        <v>#DIV/0!</v>
      </c>
    </row>
    <row r="125" spans="1:102" s="133" customFormat="1" hidden="1" x14ac:dyDescent="0.2">
      <c r="B125" s="133" t="s">
        <v>114</v>
      </c>
      <c r="C125" s="134" t="e">
        <f t="shared" ref="C125:AH125" si="168">C36</f>
        <v>#DIV/0!</v>
      </c>
      <c r="D125" s="134" t="e">
        <f t="shared" si="168"/>
        <v>#DIV/0!</v>
      </c>
      <c r="E125" s="134" t="e">
        <f t="shared" si="168"/>
        <v>#DIV/0!</v>
      </c>
      <c r="F125" s="134" t="e">
        <f t="shared" si="168"/>
        <v>#DIV/0!</v>
      </c>
      <c r="G125" s="134" t="e">
        <f t="shared" si="168"/>
        <v>#DIV/0!</v>
      </c>
      <c r="H125" s="134" t="e">
        <f t="shared" si="168"/>
        <v>#DIV/0!</v>
      </c>
      <c r="I125" s="134" t="e">
        <f t="shared" si="168"/>
        <v>#DIV/0!</v>
      </c>
      <c r="J125" s="134" t="e">
        <f t="shared" si="168"/>
        <v>#DIV/0!</v>
      </c>
      <c r="K125" s="134" t="e">
        <f t="shared" si="168"/>
        <v>#DIV/0!</v>
      </c>
      <c r="L125" s="134" t="e">
        <f t="shared" si="168"/>
        <v>#DIV/0!</v>
      </c>
      <c r="M125" s="134" t="e">
        <f t="shared" si="168"/>
        <v>#DIV/0!</v>
      </c>
      <c r="N125" s="134" t="e">
        <f t="shared" si="168"/>
        <v>#DIV/0!</v>
      </c>
      <c r="O125" s="134" t="e">
        <f t="shared" si="168"/>
        <v>#DIV/0!</v>
      </c>
      <c r="P125" s="134" t="e">
        <f t="shared" si="168"/>
        <v>#DIV/0!</v>
      </c>
      <c r="Q125" s="134" t="e">
        <f t="shared" si="168"/>
        <v>#DIV/0!</v>
      </c>
      <c r="R125" s="134" t="e">
        <f t="shared" si="168"/>
        <v>#DIV/0!</v>
      </c>
      <c r="S125" s="134" t="e">
        <f t="shared" si="168"/>
        <v>#DIV/0!</v>
      </c>
      <c r="T125" s="134" t="e">
        <f t="shared" si="168"/>
        <v>#DIV/0!</v>
      </c>
      <c r="U125" s="134" t="e">
        <f t="shared" si="168"/>
        <v>#DIV/0!</v>
      </c>
      <c r="V125" s="134" t="e">
        <f t="shared" si="168"/>
        <v>#DIV/0!</v>
      </c>
      <c r="W125" s="134" t="e">
        <f t="shared" si="168"/>
        <v>#DIV/0!</v>
      </c>
      <c r="X125" s="134" t="e">
        <f t="shared" si="168"/>
        <v>#DIV/0!</v>
      </c>
      <c r="Y125" s="134" t="e">
        <f t="shared" si="168"/>
        <v>#DIV/0!</v>
      </c>
      <c r="Z125" s="134" t="e">
        <f t="shared" si="168"/>
        <v>#DIV/0!</v>
      </c>
      <c r="AA125" s="134" t="e">
        <f t="shared" si="168"/>
        <v>#DIV/0!</v>
      </c>
      <c r="AB125" s="134" t="e">
        <f t="shared" si="168"/>
        <v>#DIV/0!</v>
      </c>
      <c r="AC125" s="134" t="e">
        <f t="shared" si="168"/>
        <v>#DIV/0!</v>
      </c>
      <c r="AD125" s="134" t="e">
        <f t="shared" si="168"/>
        <v>#DIV/0!</v>
      </c>
      <c r="AE125" s="134" t="e">
        <f t="shared" si="168"/>
        <v>#DIV/0!</v>
      </c>
      <c r="AF125" s="134" t="e">
        <f t="shared" si="168"/>
        <v>#DIV/0!</v>
      </c>
      <c r="AG125" s="134" t="e">
        <f t="shared" si="168"/>
        <v>#DIV/0!</v>
      </c>
      <c r="AH125" s="134" t="e">
        <f t="shared" si="168"/>
        <v>#DIV/0!</v>
      </c>
      <c r="AI125" s="134" t="e">
        <f t="shared" ref="AI125:BN125" si="169">AI36</f>
        <v>#DIV/0!</v>
      </c>
      <c r="AJ125" s="134" t="e">
        <f t="shared" si="169"/>
        <v>#DIV/0!</v>
      </c>
      <c r="AK125" s="134" t="e">
        <f t="shared" si="169"/>
        <v>#DIV/0!</v>
      </c>
      <c r="AL125" s="134" t="e">
        <f t="shared" si="169"/>
        <v>#DIV/0!</v>
      </c>
      <c r="AM125" s="134" t="e">
        <f t="shared" si="169"/>
        <v>#DIV/0!</v>
      </c>
      <c r="AN125" s="134" t="e">
        <f t="shared" si="169"/>
        <v>#DIV/0!</v>
      </c>
      <c r="AO125" s="134" t="e">
        <f t="shared" si="169"/>
        <v>#DIV/0!</v>
      </c>
      <c r="AP125" s="134" t="e">
        <f t="shared" si="169"/>
        <v>#DIV/0!</v>
      </c>
      <c r="AQ125" s="134" t="e">
        <f t="shared" si="169"/>
        <v>#DIV/0!</v>
      </c>
      <c r="AR125" s="134" t="e">
        <f t="shared" si="169"/>
        <v>#DIV/0!</v>
      </c>
      <c r="AS125" s="134" t="e">
        <f t="shared" si="169"/>
        <v>#DIV/0!</v>
      </c>
      <c r="AT125" s="134" t="e">
        <f t="shared" si="169"/>
        <v>#DIV/0!</v>
      </c>
      <c r="AU125" s="134" t="e">
        <f t="shared" si="169"/>
        <v>#DIV/0!</v>
      </c>
      <c r="AV125" s="134" t="e">
        <f t="shared" si="169"/>
        <v>#DIV/0!</v>
      </c>
      <c r="AW125" s="134" t="e">
        <f t="shared" si="169"/>
        <v>#DIV/0!</v>
      </c>
      <c r="AX125" s="134" t="e">
        <f t="shared" si="169"/>
        <v>#DIV/0!</v>
      </c>
      <c r="AY125" s="134" t="e">
        <f t="shared" si="169"/>
        <v>#DIV/0!</v>
      </c>
      <c r="AZ125" s="134" t="e">
        <f t="shared" si="169"/>
        <v>#DIV/0!</v>
      </c>
      <c r="BA125" s="134" t="e">
        <f t="shared" si="169"/>
        <v>#DIV/0!</v>
      </c>
      <c r="BB125" s="134" t="e">
        <f t="shared" si="169"/>
        <v>#DIV/0!</v>
      </c>
      <c r="BC125" s="134" t="e">
        <f t="shared" si="169"/>
        <v>#DIV/0!</v>
      </c>
      <c r="BD125" s="134" t="e">
        <f t="shared" si="169"/>
        <v>#DIV/0!</v>
      </c>
      <c r="BE125" s="134" t="e">
        <f t="shared" si="169"/>
        <v>#DIV/0!</v>
      </c>
      <c r="BF125" s="134" t="e">
        <f t="shared" si="169"/>
        <v>#DIV/0!</v>
      </c>
      <c r="BG125" s="134" t="e">
        <f t="shared" si="169"/>
        <v>#DIV/0!</v>
      </c>
      <c r="BH125" s="134" t="e">
        <f t="shared" si="169"/>
        <v>#DIV/0!</v>
      </c>
      <c r="BI125" s="134" t="e">
        <f t="shared" si="169"/>
        <v>#DIV/0!</v>
      </c>
      <c r="BJ125" s="134" t="e">
        <f t="shared" si="169"/>
        <v>#DIV/0!</v>
      </c>
      <c r="BK125" s="134" t="e">
        <f t="shared" si="169"/>
        <v>#DIV/0!</v>
      </c>
      <c r="BL125" s="134" t="e">
        <f t="shared" si="169"/>
        <v>#DIV/0!</v>
      </c>
      <c r="BM125" s="134" t="e">
        <f t="shared" si="169"/>
        <v>#DIV/0!</v>
      </c>
      <c r="BN125" s="134" t="e">
        <f t="shared" si="169"/>
        <v>#DIV/0!</v>
      </c>
      <c r="BO125" s="134" t="e">
        <f t="shared" ref="BO125:CX125" si="170">BO36</f>
        <v>#DIV/0!</v>
      </c>
      <c r="BP125" s="134" t="e">
        <f t="shared" si="170"/>
        <v>#DIV/0!</v>
      </c>
      <c r="BQ125" s="134" t="e">
        <f t="shared" si="170"/>
        <v>#DIV/0!</v>
      </c>
      <c r="BR125" s="134" t="e">
        <f t="shared" si="170"/>
        <v>#DIV/0!</v>
      </c>
      <c r="BS125" s="134" t="e">
        <f t="shared" si="170"/>
        <v>#DIV/0!</v>
      </c>
      <c r="BT125" s="134" t="e">
        <f t="shared" si="170"/>
        <v>#DIV/0!</v>
      </c>
      <c r="BU125" s="134" t="e">
        <f t="shared" si="170"/>
        <v>#DIV/0!</v>
      </c>
      <c r="BV125" s="134" t="e">
        <f t="shared" si="170"/>
        <v>#DIV/0!</v>
      </c>
      <c r="BW125" s="134" t="e">
        <f t="shared" si="170"/>
        <v>#DIV/0!</v>
      </c>
      <c r="BX125" s="134" t="e">
        <f t="shared" si="170"/>
        <v>#DIV/0!</v>
      </c>
      <c r="BY125" s="134" t="e">
        <f t="shared" si="170"/>
        <v>#DIV/0!</v>
      </c>
      <c r="BZ125" s="134" t="e">
        <f t="shared" si="170"/>
        <v>#DIV/0!</v>
      </c>
      <c r="CA125" s="134" t="e">
        <f t="shared" si="170"/>
        <v>#DIV/0!</v>
      </c>
      <c r="CB125" s="134" t="e">
        <f t="shared" si="170"/>
        <v>#DIV/0!</v>
      </c>
      <c r="CC125" s="134" t="e">
        <f t="shared" si="170"/>
        <v>#DIV/0!</v>
      </c>
      <c r="CD125" s="379" t="e">
        <f t="shared" si="170"/>
        <v>#DIV/0!</v>
      </c>
      <c r="CE125" s="379"/>
      <c r="CF125" s="379"/>
      <c r="CG125" s="379"/>
      <c r="CH125" s="379"/>
      <c r="CI125" s="379" t="e">
        <f t="shared" si="170"/>
        <v>#DIV/0!</v>
      </c>
      <c r="CJ125" s="379"/>
      <c r="CK125" s="379"/>
      <c r="CL125" s="379"/>
      <c r="CM125" s="379"/>
      <c r="CN125" s="379" t="e">
        <f t="shared" si="170"/>
        <v>#DIV/0!</v>
      </c>
      <c r="CO125" s="379"/>
      <c r="CP125" s="379"/>
      <c r="CQ125" s="379"/>
      <c r="CR125" s="379"/>
      <c r="CS125" s="379" t="e">
        <f t="shared" si="170"/>
        <v>#DIV/0!</v>
      </c>
      <c r="CT125" s="379"/>
      <c r="CU125" s="379"/>
      <c r="CV125" s="379"/>
      <c r="CW125" s="379"/>
      <c r="CX125" s="379" t="e">
        <f t="shared" si="170"/>
        <v>#DIV/0!</v>
      </c>
    </row>
    <row r="126" spans="1:102" s="133" customFormat="1" x14ac:dyDescent="0.2">
      <c r="B126" s="133" t="s">
        <v>115</v>
      </c>
      <c r="C126" s="134" t="e">
        <f t="shared" ref="C126:Z126" si="171">C75/C45</f>
        <v>#DIV/0!</v>
      </c>
      <c r="D126" s="134" t="e">
        <f t="shared" si="171"/>
        <v>#DIV/0!</v>
      </c>
      <c r="E126" s="134" t="e">
        <f t="shared" si="171"/>
        <v>#DIV/0!</v>
      </c>
      <c r="F126" s="134" t="e">
        <f t="shared" si="171"/>
        <v>#DIV/0!</v>
      </c>
      <c r="G126" s="134" t="e">
        <f t="shared" si="171"/>
        <v>#DIV/0!</v>
      </c>
      <c r="H126" s="134" t="e">
        <f t="shared" si="171"/>
        <v>#DIV/0!</v>
      </c>
      <c r="I126" s="134" t="e">
        <f t="shared" si="171"/>
        <v>#DIV/0!</v>
      </c>
      <c r="J126" s="134" t="e">
        <f t="shared" si="171"/>
        <v>#DIV/0!</v>
      </c>
      <c r="K126" s="134" t="e">
        <f t="shared" si="171"/>
        <v>#DIV/0!</v>
      </c>
      <c r="L126" s="134" t="e">
        <f t="shared" si="171"/>
        <v>#DIV/0!</v>
      </c>
      <c r="M126" s="134" t="e">
        <f t="shared" si="171"/>
        <v>#DIV/0!</v>
      </c>
      <c r="N126" s="134" t="e">
        <f t="shared" si="171"/>
        <v>#DIV/0!</v>
      </c>
      <c r="O126" s="134" t="e">
        <f t="shared" si="171"/>
        <v>#DIV/0!</v>
      </c>
      <c r="P126" s="134" t="e">
        <f t="shared" si="171"/>
        <v>#DIV/0!</v>
      </c>
      <c r="Q126" s="134" t="e">
        <f t="shared" si="171"/>
        <v>#DIV/0!</v>
      </c>
      <c r="R126" s="134" t="e">
        <f t="shared" si="171"/>
        <v>#DIV/0!</v>
      </c>
      <c r="S126" s="134" t="e">
        <f t="shared" si="171"/>
        <v>#DIV/0!</v>
      </c>
      <c r="T126" s="134" t="e">
        <f t="shared" si="171"/>
        <v>#DIV/0!</v>
      </c>
      <c r="U126" s="134" t="e">
        <f t="shared" si="171"/>
        <v>#DIV/0!</v>
      </c>
      <c r="V126" s="134" t="e">
        <f t="shared" si="171"/>
        <v>#DIV/0!</v>
      </c>
      <c r="W126" s="134" t="e">
        <f t="shared" si="171"/>
        <v>#DIV/0!</v>
      </c>
      <c r="X126" s="134" t="e">
        <f t="shared" si="171"/>
        <v>#DIV/0!</v>
      </c>
      <c r="Y126" s="134" t="e">
        <f t="shared" si="171"/>
        <v>#DIV/0!</v>
      </c>
      <c r="Z126" s="134" t="e">
        <f t="shared" si="171"/>
        <v>#DIV/0!</v>
      </c>
      <c r="AA126" s="134">
        <f t="shared" ref="AA126:AY126" si="172">(AA75/AA33)/10000</f>
        <v>1.6243333333333334</v>
      </c>
      <c r="AB126" s="134" t="e">
        <f t="shared" si="172"/>
        <v>#DIV/0!</v>
      </c>
      <c r="AC126" s="134" t="e">
        <f t="shared" si="172"/>
        <v>#DIV/0!</v>
      </c>
      <c r="AD126" s="134" t="e">
        <f t="shared" si="172"/>
        <v>#DIV/0!</v>
      </c>
      <c r="AE126" s="134" t="e">
        <f t="shared" si="172"/>
        <v>#DIV/0!</v>
      </c>
      <c r="AF126" s="134">
        <f t="shared" si="172"/>
        <v>-2.065576923076923</v>
      </c>
      <c r="AG126" s="134" t="e">
        <f t="shared" si="172"/>
        <v>#DIV/0!</v>
      </c>
      <c r="AH126" s="134" t="e">
        <f t="shared" si="172"/>
        <v>#DIV/0!</v>
      </c>
      <c r="AI126" s="134" t="e">
        <f t="shared" si="172"/>
        <v>#DIV/0!</v>
      </c>
      <c r="AJ126" s="134" t="e">
        <f t="shared" si="172"/>
        <v>#DIV/0!</v>
      </c>
      <c r="AK126" s="134">
        <f t="shared" si="172"/>
        <v>1.045625</v>
      </c>
      <c r="AL126" s="134" t="e">
        <f t="shared" si="172"/>
        <v>#DIV/0!</v>
      </c>
      <c r="AM126" s="134" t="e">
        <f t="shared" si="172"/>
        <v>#DIV/0!</v>
      </c>
      <c r="AN126" s="134" t="e">
        <f t="shared" si="172"/>
        <v>#DIV/0!</v>
      </c>
      <c r="AO126" s="134" t="e">
        <f t="shared" si="172"/>
        <v>#DIV/0!</v>
      </c>
      <c r="AP126" s="134">
        <f t="shared" si="172"/>
        <v>0.38493013972055889</v>
      </c>
      <c r="AQ126" s="134" t="e">
        <f t="shared" si="172"/>
        <v>#DIV/0!</v>
      </c>
      <c r="AR126" s="134" t="e">
        <f t="shared" si="172"/>
        <v>#DIV/0!</v>
      </c>
      <c r="AS126" s="134" t="e">
        <f t="shared" si="172"/>
        <v>#DIV/0!</v>
      </c>
      <c r="AT126" s="134" t="e">
        <f t="shared" si="172"/>
        <v>#DIV/0!</v>
      </c>
      <c r="AU126" s="134">
        <f t="shared" si="172"/>
        <v>0.43843354430379738</v>
      </c>
      <c r="AV126" s="134" t="e">
        <f t="shared" si="172"/>
        <v>#DIV/0!</v>
      </c>
      <c r="AW126" s="134" t="e">
        <f t="shared" si="172"/>
        <v>#DIV/0!</v>
      </c>
      <c r="AX126" s="134" t="e">
        <f t="shared" si="172"/>
        <v>#DIV/0!</v>
      </c>
      <c r="AY126" s="134" t="e">
        <f t="shared" si="172"/>
        <v>#DIV/0!</v>
      </c>
      <c r="AZ126" s="134">
        <f>(AZ75/AZ33)/10000</f>
        <v>0.2105851063829787</v>
      </c>
      <c r="BA126" s="134" t="e">
        <f t="shared" ref="BA126:CX126" si="173">(BA75/BA33)/10000</f>
        <v>#DIV/0!</v>
      </c>
      <c r="BB126" s="134" t="e">
        <f t="shared" si="173"/>
        <v>#DIV/0!</v>
      </c>
      <c r="BC126" s="134" t="e">
        <f t="shared" si="173"/>
        <v>#DIV/0!</v>
      </c>
      <c r="BD126" s="134" t="e">
        <f t="shared" si="173"/>
        <v>#DIV/0!</v>
      </c>
      <c r="BE126" s="134">
        <f t="shared" si="173"/>
        <v>0.26453537936913896</v>
      </c>
      <c r="BF126" s="134" t="e">
        <f t="shared" si="173"/>
        <v>#DIV/0!</v>
      </c>
      <c r="BG126" s="134" t="e">
        <f t="shared" si="173"/>
        <v>#DIV/0!</v>
      </c>
      <c r="BH126" s="134" t="e">
        <f t="shared" si="173"/>
        <v>#DIV/0!</v>
      </c>
      <c r="BI126" s="134" t="e">
        <f t="shared" si="173"/>
        <v>#DIV/0!</v>
      </c>
      <c r="BJ126" s="134">
        <f t="shared" si="173"/>
        <v>4.3851643192488261</v>
      </c>
      <c r="BK126" s="134" t="e">
        <f t="shared" si="173"/>
        <v>#DIV/0!</v>
      </c>
      <c r="BL126" s="134" t="e">
        <f t="shared" si="173"/>
        <v>#DIV/0!</v>
      </c>
      <c r="BM126" s="134" t="e">
        <f t="shared" si="173"/>
        <v>#DIV/0!</v>
      </c>
      <c r="BN126" s="134" t="e">
        <f t="shared" si="173"/>
        <v>#DIV/0!</v>
      </c>
      <c r="BO126" s="134">
        <f t="shared" si="173"/>
        <v>4.1892424242424244</v>
      </c>
      <c r="BP126" s="134" t="e">
        <f t="shared" si="173"/>
        <v>#DIV/0!</v>
      </c>
      <c r="BQ126" s="134" t="e">
        <f t="shared" si="173"/>
        <v>#DIV/0!</v>
      </c>
      <c r="BR126" s="134" t="e">
        <f t="shared" si="173"/>
        <v>#DIV/0!</v>
      </c>
      <c r="BS126" s="134" t="e">
        <f t="shared" si="173"/>
        <v>#DIV/0!</v>
      </c>
      <c r="BT126" s="134">
        <f t="shared" si="173"/>
        <v>-54.09</v>
      </c>
      <c r="BU126" s="134">
        <f t="shared" si="173"/>
        <v>49.847096774193552</v>
      </c>
      <c r="BV126" s="134">
        <f t="shared" si="173"/>
        <v>25.545757575757573</v>
      </c>
      <c r="BW126" s="134">
        <f t="shared" si="173"/>
        <v>19.059687499999999</v>
      </c>
      <c r="BX126" s="134">
        <f t="shared" si="173"/>
        <v>19.678252070783135</v>
      </c>
      <c r="BY126" s="134">
        <f t="shared" si="173"/>
        <v>6.8368775677896467</v>
      </c>
      <c r="BZ126" s="134" t="e">
        <f t="shared" si="173"/>
        <v>#DIV/0!</v>
      </c>
      <c r="CA126" s="134" t="e">
        <f t="shared" si="173"/>
        <v>#DIV/0!</v>
      </c>
      <c r="CB126" s="134" t="e">
        <f t="shared" si="173"/>
        <v>#DIV/0!</v>
      </c>
      <c r="CC126" s="134" t="e">
        <f t="shared" si="173"/>
        <v>#DIV/0!</v>
      </c>
      <c r="CD126" s="379">
        <f t="shared" si="173"/>
        <v>10.952136236033398</v>
      </c>
      <c r="CE126" s="379"/>
      <c r="CF126" s="379"/>
      <c r="CG126" s="379"/>
      <c r="CH126" s="379"/>
      <c r="CI126" s="379">
        <f t="shared" si="173"/>
        <v>10.328876289676735</v>
      </c>
      <c r="CJ126" s="379"/>
      <c r="CK126" s="379"/>
      <c r="CL126" s="379"/>
      <c r="CM126" s="379"/>
      <c r="CN126" s="379">
        <f t="shared" si="173"/>
        <v>9.6995981819410257</v>
      </c>
      <c r="CO126" s="379"/>
      <c r="CP126" s="379"/>
      <c r="CQ126" s="379"/>
      <c r="CR126" s="379"/>
      <c r="CS126" s="379">
        <f t="shared" si="173"/>
        <v>9.077960752522058</v>
      </c>
      <c r="CT126" s="379"/>
      <c r="CU126" s="379"/>
      <c r="CV126" s="379"/>
      <c r="CW126" s="379"/>
      <c r="CX126" s="379">
        <f t="shared" si="173"/>
        <v>8.4546574233583236</v>
      </c>
    </row>
    <row r="127" spans="1:102" s="133" customFormat="1" x14ac:dyDescent="0.2">
      <c r="B127" s="133" t="s">
        <v>116</v>
      </c>
      <c r="C127" s="134" t="e">
        <f t="shared" ref="C127:Z127" si="174">C98/C40</f>
        <v>#DIV/0!</v>
      </c>
      <c r="D127" s="134" t="e">
        <f t="shared" si="174"/>
        <v>#DIV/0!</v>
      </c>
      <c r="E127" s="134" t="e">
        <f t="shared" si="174"/>
        <v>#DIV/0!</v>
      </c>
      <c r="F127" s="134" t="e">
        <f t="shared" si="174"/>
        <v>#DIV/0!</v>
      </c>
      <c r="G127" s="134" t="e">
        <f t="shared" si="174"/>
        <v>#DIV/0!</v>
      </c>
      <c r="H127" s="134" t="e">
        <f t="shared" si="174"/>
        <v>#DIV/0!</v>
      </c>
      <c r="I127" s="134" t="e">
        <f t="shared" si="174"/>
        <v>#DIV/0!</v>
      </c>
      <c r="J127" s="134" t="e">
        <f t="shared" si="174"/>
        <v>#DIV/0!</v>
      </c>
      <c r="K127" s="134" t="e">
        <f t="shared" si="174"/>
        <v>#DIV/0!</v>
      </c>
      <c r="L127" s="134" t="e">
        <f t="shared" si="174"/>
        <v>#DIV/0!</v>
      </c>
      <c r="M127" s="134" t="e">
        <f t="shared" si="174"/>
        <v>#DIV/0!</v>
      </c>
      <c r="N127" s="134" t="e">
        <f t="shared" si="174"/>
        <v>#DIV/0!</v>
      </c>
      <c r="O127" s="134" t="e">
        <f t="shared" si="174"/>
        <v>#DIV/0!</v>
      </c>
      <c r="P127" s="134" t="e">
        <f t="shared" si="174"/>
        <v>#DIV/0!</v>
      </c>
      <c r="Q127" s="134" t="e">
        <f t="shared" si="174"/>
        <v>#DIV/0!</v>
      </c>
      <c r="R127" s="134" t="e">
        <f t="shared" si="174"/>
        <v>#DIV/0!</v>
      </c>
      <c r="S127" s="134" t="e">
        <f t="shared" si="174"/>
        <v>#DIV/0!</v>
      </c>
      <c r="T127" s="134" t="e">
        <f t="shared" si="174"/>
        <v>#DIV/0!</v>
      </c>
      <c r="U127" s="134" t="e">
        <f t="shared" si="174"/>
        <v>#DIV/0!</v>
      </c>
      <c r="V127" s="134" t="e">
        <f t="shared" si="174"/>
        <v>#DIV/0!</v>
      </c>
      <c r="W127" s="134" t="e">
        <f t="shared" si="174"/>
        <v>#DIV/0!</v>
      </c>
      <c r="X127" s="134" t="e">
        <f t="shared" si="174"/>
        <v>#DIV/0!</v>
      </c>
      <c r="Y127" s="134" t="e">
        <f t="shared" si="174"/>
        <v>#DIV/0!</v>
      </c>
      <c r="Z127" s="134" t="e">
        <f t="shared" si="174"/>
        <v>#DIV/0!</v>
      </c>
      <c r="AA127" s="134">
        <f t="shared" ref="AA127:AY127" si="175">(AA98/AA33)/10000</f>
        <v>0.91249999999999998</v>
      </c>
      <c r="AB127" s="134" t="e">
        <f t="shared" si="175"/>
        <v>#DIV/0!</v>
      </c>
      <c r="AC127" s="134" t="e">
        <f t="shared" si="175"/>
        <v>#DIV/0!</v>
      </c>
      <c r="AD127" s="134" t="e">
        <f t="shared" si="175"/>
        <v>#DIV/0!</v>
      </c>
      <c r="AE127" s="134" t="e">
        <f t="shared" si="175"/>
        <v>#DIV/0!</v>
      </c>
      <c r="AF127" s="134">
        <f t="shared" si="175"/>
        <v>-1.3157692307692306</v>
      </c>
      <c r="AG127" s="134" t="e">
        <f t="shared" si="175"/>
        <v>#DIV/0!</v>
      </c>
      <c r="AH127" s="134" t="e">
        <f t="shared" si="175"/>
        <v>#DIV/0!</v>
      </c>
      <c r="AI127" s="134" t="e">
        <f t="shared" si="175"/>
        <v>#DIV/0!</v>
      </c>
      <c r="AJ127" s="134" t="e">
        <f t="shared" si="175"/>
        <v>#DIV/0!</v>
      </c>
      <c r="AK127" s="134">
        <f t="shared" si="175"/>
        <v>0.93125000000000002</v>
      </c>
      <c r="AL127" s="134" t="e">
        <f t="shared" si="175"/>
        <v>#DIV/0!</v>
      </c>
      <c r="AM127" s="134" t="e">
        <f t="shared" si="175"/>
        <v>#DIV/0!</v>
      </c>
      <c r="AN127" s="134" t="e">
        <f t="shared" si="175"/>
        <v>#DIV/0!</v>
      </c>
      <c r="AO127" s="134" t="e">
        <f t="shared" si="175"/>
        <v>#DIV/0!</v>
      </c>
      <c r="AP127" s="134">
        <f t="shared" si="175"/>
        <v>0.32820359281437128</v>
      </c>
      <c r="AQ127" s="134" t="e">
        <f t="shared" si="175"/>
        <v>#DIV/0!</v>
      </c>
      <c r="AR127" s="134" t="e">
        <f t="shared" si="175"/>
        <v>#DIV/0!</v>
      </c>
      <c r="AS127" s="134" t="e">
        <f t="shared" si="175"/>
        <v>#DIV/0!</v>
      </c>
      <c r="AT127" s="134" t="e">
        <f t="shared" si="175"/>
        <v>#DIV/0!</v>
      </c>
      <c r="AU127" s="134">
        <f t="shared" si="175"/>
        <v>0.29167721518987344</v>
      </c>
      <c r="AV127" s="134" t="e">
        <f t="shared" si="175"/>
        <v>#DIV/0!</v>
      </c>
      <c r="AW127" s="134" t="e">
        <f t="shared" si="175"/>
        <v>#DIV/0!</v>
      </c>
      <c r="AX127" s="134" t="e">
        <f t="shared" si="175"/>
        <v>#DIV/0!</v>
      </c>
      <c r="AY127" s="134" t="e">
        <f t="shared" si="175"/>
        <v>#DIV/0!</v>
      </c>
      <c r="AZ127" s="134">
        <f>(AZ98/AZ33)/10000</f>
        <v>0.14856382978723404</v>
      </c>
      <c r="BA127" s="134" t="e">
        <f t="shared" ref="BA127:CX127" si="176">(BA98/BA33)/10000</f>
        <v>#DIV/0!</v>
      </c>
      <c r="BB127" s="134" t="e">
        <f t="shared" si="176"/>
        <v>#DIV/0!</v>
      </c>
      <c r="BC127" s="134" t="e">
        <f t="shared" si="176"/>
        <v>#DIV/0!</v>
      </c>
      <c r="BD127" s="134" t="e">
        <f t="shared" si="176"/>
        <v>#DIV/0!</v>
      </c>
      <c r="BE127" s="134">
        <f t="shared" si="176"/>
        <v>0.16416879795396419</v>
      </c>
      <c r="BF127" s="134" t="e">
        <f t="shared" si="176"/>
        <v>#DIV/0!</v>
      </c>
      <c r="BG127" s="134" t="e">
        <f t="shared" si="176"/>
        <v>#DIV/0!</v>
      </c>
      <c r="BH127" s="134" t="e">
        <f t="shared" si="176"/>
        <v>#DIV/0!</v>
      </c>
      <c r="BI127" s="134" t="e">
        <f t="shared" si="176"/>
        <v>#DIV/0!</v>
      </c>
      <c r="BJ127" s="134">
        <f t="shared" si="176"/>
        <v>3.1015962441314553</v>
      </c>
      <c r="BK127" s="134" t="e">
        <f t="shared" si="176"/>
        <v>#DIV/0!</v>
      </c>
      <c r="BL127" s="134" t="e">
        <f t="shared" si="176"/>
        <v>#DIV/0!</v>
      </c>
      <c r="BM127" s="134" t="e">
        <f t="shared" si="176"/>
        <v>#DIV/0!</v>
      </c>
      <c r="BN127" s="134" t="e">
        <f t="shared" si="176"/>
        <v>#DIV/0!</v>
      </c>
      <c r="BO127" s="134">
        <f t="shared" si="176"/>
        <v>1.4038484848484849</v>
      </c>
      <c r="BP127" s="134" t="e">
        <f t="shared" si="176"/>
        <v>#DIV/0!</v>
      </c>
      <c r="BQ127" s="134" t="e">
        <f t="shared" si="176"/>
        <v>#DIV/0!</v>
      </c>
      <c r="BR127" s="134" t="e">
        <f t="shared" si="176"/>
        <v>#DIV/0!</v>
      </c>
      <c r="BS127" s="134" t="e">
        <f t="shared" si="176"/>
        <v>#DIV/0!</v>
      </c>
      <c r="BT127" s="134">
        <f t="shared" si="176"/>
        <v>-17.315555555555552</v>
      </c>
      <c r="BU127" s="134">
        <f t="shared" si="176"/>
        <v>1.5445161290322582</v>
      </c>
      <c r="BV127" s="134">
        <f t="shared" si="176"/>
        <v>2.4963636363636366</v>
      </c>
      <c r="BW127" s="134">
        <f t="shared" si="176"/>
        <v>2.210104166666667</v>
      </c>
      <c r="BX127" s="134">
        <f t="shared" si="176"/>
        <v>4.1393782003012047</v>
      </c>
      <c r="BY127" s="134">
        <f t="shared" si="176"/>
        <v>3.0405554589975354</v>
      </c>
      <c r="BZ127" s="134" t="e">
        <f t="shared" si="176"/>
        <v>#DIV/0!</v>
      </c>
      <c r="CA127" s="134" t="e">
        <f t="shared" si="176"/>
        <v>#DIV/0!</v>
      </c>
      <c r="CB127" s="134" t="e">
        <f t="shared" si="176"/>
        <v>#DIV/0!</v>
      </c>
      <c r="CC127" s="134" t="e">
        <f t="shared" si="176"/>
        <v>#DIV/0!</v>
      </c>
      <c r="CD127" s="379">
        <f t="shared" si="176"/>
        <v>5.7644193453127679</v>
      </c>
      <c r="CE127" s="379"/>
      <c r="CF127" s="379"/>
      <c r="CG127" s="379"/>
      <c r="CH127" s="379"/>
      <c r="CI127" s="379">
        <f t="shared" si="176"/>
        <v>4.659383340886496</v>
      </c>
      <c r="CJ127" s="379"/>
      <c r="CK127" s="379"/>
      <c r="CL127" s="379"/>
      <c r="CM127" s="379"/>
      <c r="CN127" s="379">
        <f t="shared" si="176"/>
        <v>4.5680126319253231</v>
      </c>
      <c r="CO127" s="379"/>
      <c r="CP127" s="379"/>
      <c r="CQ127" s="379"/>
      <c r="CR127" s="379"/>
      <c r="CS127" s="379">
        <f t="shared" si="176"/>
        <v>4.6276950643565851</v>
      </c>
      <c r="CT127" s="379"/>
      <c r="CU127" s="379"/>
      <c r="CV127" s="379"/>
      <c r="CW127" s="379"/>
      <c r="CX127" s="379">
        <f t="shared" si="176"/>
        <v>4.3997142325780647</v>
      </c>
    </row>
    <row r="128" spans="1:102" s="133" customFormat="1" hidden="1" x14ac:dyDescent="0.2">
      <c r="B128" s="63" t="s">
        <v>117</v>
      </c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134"/>
      <c r="AS128" s="134"/>
      <c r="AT128" s="134"/>
      <c r="AU128" s="134"/>
      <c r="AV128" s="134"/>
      <c r="AW128" s="134"/>
      <c r="AX128" s="134"/>
      <c r="AY128" s="134"/>
      <c r="AZ128" s="134"/>
      <c r="BA128" s="134"/>
      <c r="BB128" s="134"/>
      <c r="BC128" s="134"/>
      <c r="BD128" s="134"/>
      <c r="BE128" s="134"/>
      <c r="BF128" s="134"/>
      <c r="BG128" s="134"/>
      <c r="BH128" s="134"/>
      <c r="BI128" s="134"/>
      <c r="BJ128" s="134"/>
      <c r="BK128" s="134"/>
      <c r="BL128" s="134"/>
      <c r="BM128" s="134"/>
      <c r="BN128" s="134"/>
      <c r="BO128" s="134"/>
      <c r="BP128" s="134"/>
      <c r="BQ128" s="134"/>
      <c r="BR128" s="134"/>
      <c r="BS128" s="134"/>
      <c r="BT128" s="134"/>
      <c r="BU128" s="134"/>
      <c r="BV128" s="134"/>
      <c r="BW128" s="134"/>
      <c r="BX128" s="110"/>
      <c r="BY128" s="110"/>
      <c r="BZ128" s="110"/>
      <c r="CA128" s="110"/>
      <c r="CB128" s="110"/>
      <c r="CC128" s="110"/>
      <c r="CD128" s="379"/>
      <c r="CE128" s="379"/>
      <c r="CF128" s="379"/>
      <c r="CG128" s="379"/>
      <c r="CH128" s="379"/>
      <c r="CI128" s="379"/>
      <c r="CJ128" s="379"/>
      <c r="CK128" s="379"/>
      <c r="CL128" s="379"/>
      <c r="CM128" s="379"/>
      <c r="CN128" s="379">
        <f>+SUM(CJ128:CM128)</f>
        <v>0</v>
      </c>
      <c r="CO128" s="379"/>
      <c r="CP128" s="379"/>
      <c r="CQ128" s="379"/>
      <c r="CR128" s="379"/>
      <c r="CS128" s="379">
        <f>+SUM(CO128:CR128)</f>
        <v>0</v>
      </c>
      <c r="CT128" s="379"/>
      <c r="CU128" s="379"/>
      <c r="CV128" s="379"/>
      <c r="CW128" s="379"/>
      <c r="CX128" s="379">
        <f>+SUM(CT128:CW128)</f>
        <v>0</v>
      </c>
    </row>
    <row r="129" spans="1:102" hidden="1" x14ac:dyDescent="0.2">
      <c r="B129" s="125" t="s">
        <v>118</v>
      </c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  <c r="BK129" s="110"/>
      <c r="BL129" s="110"/>
      <c r="BM129" s="110"/>
      <c r="BN129" s="110"/>
      <c r="BO129" s="110"/>
      <c r="BP129" s="110"/>
      <c r="BQ129" s="110"/>
      <c r="BR129" s="110"/>
      <c r="BS129" s="110"/>
      <c r="BT129" s="110"/>
      <c r="BU129" s="110"/>
      <c r="BV129" s="110"/>
      <c r="BW129" s="110"/>
      <c r="BX129" s="139" t="e">
        <f t="shared" ref="BX129:CX129" si="177">+BX128/BX41</f>
        <v>#DIV/0!</v>
      </c>
      <c r="BY129" s="139" t="e">
        <f t="shared" si="177"/>
        <v>#DIV/0!</v>
      </c>
      <c r="BZ129" s="139" t="e">
        <f t="shared" si="177"/>
        <v>#DIV/0!</v>
      </c>
      <c r="CA129" s="139" t="e">
        <f t="shared" si="177"/>
        <v>#DIV/0!</v>
      </c>
      <c r="CB129" s="139" t="e">
        <f t="shared" si="177"/>
        <v>#DIV/0!</v>
      </c>
      <c r="CC129" s="139" t="e">
        <f t="shared" si="177"/>
        <v>#DIV/0!</v>
      </c>
      <c r="CD129" s="379" t="e">
        <f t="shared" si="177"/>
        <v>#DIV/0!</v>
      </c>
      <c r="CE129" s="379"/>
      <c r="CF129" s="379"/>
      <c r="CG129" s="379"/>
      <c r="CH129" s="379"/>
      <c r="CI129" s="379" t="e">
        <f t="shared" si="177"/>
        <v>#DIV/0!</v>
      </c>
      <c r="CJ129" s="379"/>
      <c r="CK129" s="379"/>
      <c r="CL129" s="379"/>
      <c r="CM129" s="379"/>
      <c r="CN129" s="379" t="e">
        <f t="shared" si="177"/>
        <v>#DIV/0!</v>
      </c>
      <c r="CO129" s="379"/>
      <c r="CP129" s="379"/>
      <c r="CQ129" s="379"/>
      <c r="CR129" s="379"/>
      <c r="CS129" s="379" t="e">
        <f t="shared" si="177"/>
        <v>#DIV/0!</v>
      </c>
      <c r="CT129" s="379"/>
      <c r="CU129" s="379"/>
      <c r="CV129" s="379"/>
      <c r="CW129" s="379"/>
      <c r="CX129" s="379" t="e">
        <f t="shared" si="177"/>
        <v>#DIV/0!</v>
      </c>
    </row>
    <row r="130" spans="1:102" s="133" customFormat="1" hidden="1" x14ac:dyDescent="0.2">
      <c r="B130" s="133" t="s">
        <v>119</v>
      </c>
      <c r="C130" s="137">
        <f>C47*C40</f>
        <v>0</v>
      </c>
      <c r="D130" s="137">
        <f>D47*D40</f>
        <v>0</v>
      </c>
      <c r="E130" s="137">
        <f>E47*E40</f>
        <v>0</v>
      </c>
      <c r="F130" s="137">
        <f>F47*F40</f>
        <v>0</v>
      </c>
      <c r="G130" s="137">
        <f t="shared" ref="G130:AL130" si="178">G47*G45</f>
        <v>0</v>
      </c>
      <c r="H130" s="137">
        <f t="shared" si="178"/>
        <v>0</v>
      </c>
      <c r="I130" s="137">
        <f t="shared" si="178"/>
        <v>0</v>
      </c>
      <c r="J130" s="137">
        <f t="shared" si="178"/>
        <v>0</v>
      </c>
      <c r="K130" s="137">
        <f t="shared" si="178"/>
        <v>0</v>
      </c>
      <c r="L130" s="137">
        <f t="shared" si="178"/>
        <v>0</v>
      </c>
      <c r="M130" s="137">
        <f t="shared" si="178"/>
        <v>0</v>
      </c>
      <c r="N130" s="137">
        <f t="shared" si="178"/>
        <v>0</v>
      </c>
      <c r="O130" s="137">
        <f t="shared" si="178"/>
        <v>0</v>
      </c>
      <c r="P130" s="137">
        <f t="shared" si="178"/>
        <v>0</v>
      </c>
      <c r="Q130" s="137">
        <f t="shared" si="178"/>
        <v>0</v>
      </c>
      <c r="R130" s="137">
        <f t="shared" si="178"/>
        <v>0</v>
      </c>
      <c r="S130" s="137">
        <f t="shared" si="178"/>
        <v>0</v>
      </c>
      <c r="T130" s="137">
        <f t="shared" si="178"/>
        <v>0</v>
      </c>
      <c r="U130" s="137">
        <f t="shared" si="178"/>
        <v>0</v>
      </c>
      <c r="V130" s="137">
        <f t="shared" si="178"/>
        <v>0</v>
      </c>
      <c r="W130" s="137">
        <f t="shared" si="178"/>
        <v>0</v>
      </c>
      <c r="X130" s="137">
        <f t="shared" si="178"/>
        <v>0</v>
      </c>
      <c r="Y130" s="137">
        <f t="shared" si="178"/>
        <v>0</v>
      </c>
      <c r="Z130" s="137">
        <f t="shared" si="178"/>
        <v>0</v>
      </c>
      <c r="AA130" s="137">
        <f t="shared" si="178"/>
        <v>0</v>
      </c>
      <c r="AB130" s="137">
        <f t="shared" si="178"/>
        <v>0</v>
      </c>
      <c r="AC130" s="137">
        <f t="shared" si="178"/>
        <v>0</v>
      </c>
      <c r="AD130" s="137">
        <f t="shared" si="178"/>
        <v>0</v>
      </c>
      <c r="AE130" s="137">
        <f t="shared" si="178"/>
        <v>0</v>
      </c>
      <c r="AF130" s="137">
        <f t="shared" si="178"/>
        <v>0</v>
      </c>
      <c r="AG130" s="137">
        <f t="shared" si="178"/>
        <v>0</v>
      </c>
      <c r="AH130" s="137">
        <f t="shared" si="178"/>
        <v>0</v>
      </c>
      <c r="AI130" s="137">
        <f t="shared" si="178"/>
        <v>0</v>
      </c>
      <c r="AJ130" s="137">
        <f t="shared" si="178"/>
        <v>0</v>
      </c>
      <c r="AK130" s="137">
        <f t="shared" si="178"/>
        <v>0</v>
      </c>
      <c r="AL130" s="137">
        <f t="shared" si="178"/>
        <v>0</v>
      </c>
      <c r="AM130" s="137">
        <f t="shared" ref="AM130:BR130" si="179">AM47*AM45</f>
        <v>0</v>
      </c>
      <c r="AN130" s="137">
        <f t="shared" si="179"/>
        <v>0</v>
      </c>
      <c r="AO130" s="137">
        <f t="shared" si="179"/>
        <v>0</v>
      </c>
      <c r="AP130" s="137">
        <f t="shared" si="179"/>
        <v>0</v>
      </c>
      <c r="AQ130" s="137">
        <f t="shared" si="179"/>
        <v>0</v>
      </c>
      <c r="AR130" s="137">
        <f t="shared" si="179"/>
        <v>0</v>
      </c>
      <c r="AS130" s="137">
        <f t="shared" si="179"/>
        <v>0</v>
      </c>
      <c r="AT130" s="137">
        <f t="shared" si="179"/>
        <v>0</v>
      </c>
      <c r="AU130" s="137" t="e">
        <f t="shared" si="179"/>
        <v>#DIV/0!</v>
      </c>
      <c r="AV130" s="137" t="e">
        <f t="shared" si="179"/>
        <v>#DIV/0!</v>
      </c>
      <c r="AW130" s="137" t="e">
        <f t="shared" si="179"/>
        <v>#DIV/0!</v>
      </c>
      <c r="AX130" s="137" t="e">
        <f t="shared" si="179"/>
        <v>#DIV/0!</v>
      </c>
      <c r="AY130" s="137" t="e">
        <f t="shared" si="179"/>
        <v>#DIV/0!</v>
      </c>
      <c r="AZ130" s="137" t="e">
        <f t="shared" si="179"/>
        <v>#DIV/0!</v>
      </c>
      <c r="BA130" s="137" t="e">
        <f t="shared" si="179"/>
        <v>#DIV/0!</v>
      </c>
      <c r="BB130" s="137" t="e">
        <f t="shared" si="179"/>
        <v>#DIV/0!</v>
      </c>
      <c r="BC130" s="137" t="e">
        <f t="shared" si="179"/>
        <v>#DIV/0!</v>
      </c>
      <c r="BD130" s="137" t="e">
        <f t="shared" si="179"/>
        <v>#DIV/0!</v>
      </c>
      <c r="BE130" s="137" t="e">
        <f t="shared" si="179"/>
        <v>#DIV/0!</v>
      </c>
      <c r="BF130" s="137" t="e">
        <f t="shared" si="179"/>
        <v>#DIV/0!</v>
      </c>
      <c r="BG130" s="137" t="e">
        <f t="shared" si="179"/>
        <v>#DIV/0!</v>
      </c>
      <c r="BH130" s="137" t="e">
        <f t="shared" si="179"/>
        <v>#DIV/0!</v>
      </c>
      <c r="BI130" s="137" t="e">
        <f t="shared" si="179"/>
        <v>#DIV/0!</v>
      </c>
      <c r="BJ130" s="137" t="e">
        <f t="shared" si="179"/>
        <v>#DIV/0!</v>
      </c>
      <c r="BK130" s="137" t="e">
        <f t="shared" si="179"/>
        <v>#DIV/0!</v>
      </c>
      <c r="BL130" s="137" t="e">
        <f t="shared" si="179"/>
        <v>#DIV/0!</v>
      </c>
      <c r="BM130" s="137" t="e">
        <f t="shared" si="179"/>
        <v>#DIV/0!</v>
      </c>
      <c r="BN130" s="137" t="e">
        <f t="shared" si="179"/>
        <v>#DIV/0!</v>
      </c>
      <c r="BO130" s="137" t="e">
        <f t="shared" si="179"/>
        <v>#DIV/0!</v>
      </c>
      <c r="BP130" s="137" t="e">
        <f t="shared" si="179"/>
        <v>#DIV/0!</v>
      </c>
      <c r="BQ130" s="137" t="e">
        <f t="shared" si="179"/>
        <v>#DIV/0!</v>
      </c>
      <c r="BR130" s="137" t="e">
        <f t="shared" si="179"/>
        <v>#DIV/0!</v>
      </c>
      <c r="BS130" s="137" t="e">
        <f t="shared" ref="BS130:CX130" si="180">BS47*BS45</f>
        <v>#DIV/0!</v>
      </c>
      <c r="BT130" s="137">
        <f t="shared" si="180"/>
        <v>0</v>
      </c>
      <c r="BU130" s="137">
        <f t="shared" si="180"/>
        <v>0</v>
      </c>
      <c r="BV130" s="137" t="e">
        <f t="shared" si="180"/>
        <v>#DIV/0!</v>
      </c>
      <c r="BW130" s="137" t="e">
        <f t="shared" si="180"/>
        <v>#DIV/0!</v>
      </c>
      <c r="BX130" s="137" t="e">
        <f t="shared" si="180"/>
        <v>#DIV/0!</v>
      </c>
      <c r="BY130" s="137" t="e">
        <f t="shared" si="180"/>
        <v>#DIV/0!</v>
      </c>
      <c r="BZ130" s="137" t="e">
        <f t="shared" si="180"/>
        <v>#DIV/0!</v>
      </c>
      <c r="CA130" s="137" t="e">
        <f t="shared" si="180"/>
        <v>#DIV/0!</v>
      </c>
      <c r="CB130" s="137" t="e">
        <f t="shared" si="180"/>
        <v>#DIV/0!</v>
      </c>
      <c r="CC130" s="137" t="e">
        <f t="shared" si="180"/>
        <v>#DIV/0!</v>
      </c>
      <c r="CD130" s="380" t="e">
        <f t="shared" si="180"/>
        <v>#DIV/0!</v>
      </c>
      <c r="CE130" s="380"/>
      <c r="CF130" s="380"/>
      <c r="CG130" s="380"/>
      <c r="CH130" s="380"/>
      <c r="CI130" s="380" t="e">
        <f t="shared" si="180"/>
        <v>#DIV/0!</v>
      </c>
      <c r="CJ130" s="380"/>
      <c r="CK130" s="380"/>
      <c r="CL130" s="380"/>
      <c r="CM130" s="380"/>
      <c r="CN130" s="380" t="e">
        <f t="shared" si="180"/>
        <v>#DIV/0!</v>
      </c>
      <c r="CO130" s="380"/>
      <c r="CP130" s="380"/>
      <c r="CQ130" s="380"/>
      <c r="CR130" s="380"/>
      <c r="CS130" s="380" t="e">
        <f t="shared" si="180"/>
        <v>#DIV/0!</v>
      </c>
      <c r="CT130" s="380"/>
      <c r="CU130" s="380"/>
      <c r="CV130" s="380"/>
      <c r="CW130" s="380"/>
      <c r="CX130" s="380" t="e">
        <f t="shared" si="180"/>
        <v>#DIV/0!</v>
      </c>
    </row>
    <row r="131" spans="1:102" s="133" customFormat="1" hidden="1" x14ac:dyDescent="0.2">
      <c r="B131" s="133" t="s">
        <v>120</v>
      </c>
      <c r="C131" s="140">
        <f>C130+C62+C63+C65-C50</f>
        <v>0</v>
      </c>
      <c r="D131" s="140">
        <f>D130+D62+D63+D65-D50</f>
        <v>0</v>
      </c>
      <c r="E131" s="140">
        <f>E130+E62+E63+E65-E50</f>
        <v>0</v>
      </c>
      <c r="F131" s="140">
        <f>F130+F62+F63+F65-F50</f>
        <v>0</v>
      </c>
      <c r="G131" s="140">
        <f>G130+G62+G63+G65-G50</f>
        <v>0</v>
      </c>
      <c r="H131" s="140">
        <f t="shared" ref="H131:AM131" si="181">IF(H130&lt;=0,0,(H130+H62+H63+H65-H50))</f>
        <v>0</v>
      </c>
      <c r="I131" s="140">
        <f t="shared" si="181"/>
        <v>0</v>
      </c>
      <c r="J131" s="140">
        <f t="shared" si="181"/>
        <v>0</v>
      </c>
      <c r="K131" s="140">
        <f t="shared" si="181"/>
        <v>0</v>
      </c>
      <c r="L131" s="140">
        <f t="shared" si="181"/>
        <v>0</v>
      </c>
      <c r="M131" s="140">
        <f t="shared" si="181"/>
        <v>0</v>
      </c>
      <c r="N131" s="140">
        <f t="shared" si="181"/>
        <v>0</v>
      </c>
      <c r="O131" s="140">
        <f t="shared" si="181"/>
        <v>0</v>
      </c>
      <c r="P131" s="140">
        <f t="shared" si="181"/>
        <v>0</v>
      </c>
      <c r="Q131" s="140">
        <f t="shared" si="181"/>
        <v>0</v>
      </c>
      <c r="R131" s="140">
        <f t="shared" si="181"/>
        <v>0</v>
      </c>
      <c r="S131" s="140">
        <f t="shared" si="181"/>
        <v>0</v>
      </c>
      <c r="T131" s="140">
        <f t="shared" si="181"/>
        <v>0</v>
      </c>
      <c r="U131" s="140">
        <f t="shared" si="181"/>
        <v>0</v>
      </c>
      <c r="V131" s="140">
        <f t="shared" si="181"/>
        <v>0</v>
      </c>
      <c r="W131" s="140">
        <f t="shared" si="181"/>
        <v>0</v>
      </c>
      <c r="X131" s="140">
        <f t="shared" si="181"/>
        <v>0</v>
      </c>
      <c r="Y131" s="140">
        <f t="shared" si="181"/>
        <v>0</v>
      </c>
      <c r="Z131" s="140">
        <f t="shared" si="181"/>
        <v>0</v>
      </c>
      <c r="AA131" s="140">
        <f t="shared" si="181"/>
        <v>0</v>
      </c>
      <c r="AB131" s="140">
        <f t="shared" si="181"/>
        <v>0</v>
      </c>
      <c r="AC131" s="140">
        <f t="shared" si="181"/>
        <v>0</v>
      </c>
      <c r="AD131" s="140">
        <f t="shared" si="181"/>
        <v>0</v>
      </c>
      <c r="AE131" s="140">
        <f t="shared" si="181"/>
        <v>0</v>
      </c>
      <c r="AF131" s="140">
        <f t="shared" si="181"/>
        <v>0</v>
      </c>
      <c r="AG131" s="140">
        <f t="shared" si="181"/>
        <v>0</v>
      </c>
      <c r="AH131" s="140">
        <f t="shared" si="181"/>
        <v>0</v>
      </c>
      <c r="AI131" s="140">
        <f t="shared" si="181"/>
        <v>0</v>
      </c>
      <c r="AJ131" s="140">
        <f t="shared" si="181"/>
        <v>0</v>
      </c>
      <c r="AK131" s="140">
        <f t="shared" si="181"/>
        <v>0</v>
      </c>
      <c r="AL131" s="140">
        <f t="shared" si="181"/>
        <v>0</v>
      </c>
      <c r="AM131" s="140">
        <f t="shared" si="181"/>
        <v>0</v>
      </c>
      <c r="AN131" s="140">
        <f t="shared" ref="AN131:BS131" si="182">IF(AN130&lt;=0,0,(AN130+AN62+AN63+AN65-AN50))</f>
        <v>0</v>
      </c>
      <c r="AO131" s="140">
        <f t="shared" si="182"/>
        <v>0</v>
      </c>
      <c r="AP131" s="140">
        <f t="shared" si="182"/>
        <v>0</v>
      </c>
      <c r="AQ131" s="140">
        <f t="shared" si="182"/>
        <v>0</v>
      </c>
      <c r="AR131" s="140">
        <f t="shared" si="182"/>
        <v>0</v>
      </c>
      <c r="AS131" s="140">
        <f t="shared" si="182"/>
        <v>0</v>
      </c>
      <c r="AT131" s="140">
        <f t="shared" si="182"/>
        <v>0</v>
      </c>
      <c r="AU131" s="140" t="e">
        <f t="shared" si="182"/>
        <v>#DIV/0!</v>
      </c>
      <c r="AV131" s="140" t="e">
        <f t="shared" si="182"/>
        <v>#DIV/0!</v>
      </c>
      <c r="AW131" s="140" t="e">
        <f t="shared" si="182"/>
        <v>#DIV/0!</v>
      </c>
      <c r="AX131" s="140" t="e">
        <f t="shared" si="182"/>
        <v>#DIV/0!</v>
      </c>
      <c r="AY131" s="140" t="e">
        <f t="shared" si="182"/>
        <v>#DIV/0!</v>
      </c>
      <c r="AZ131" s="140" t="e">
        <f t="shared" si="182"/>
        <v>#DIV/0!</v>
      </c>
      <c r="BA131" s="140" t="e">
        <f t="shared" si="182"/>
        <v>#DIV/0!</v>
      </c>
      <c r="BB131" s="140" t="e">
        <f t="shared" si="182"/>
        <v>#DIV/0!</v>
      </c>
      <c r="BC131" s="140" t="e">
        <f t="shared" si="182"/>
        <v>#DIV/0!</v>
      </c>
      <c r="BD131" s="140" t="e">
        <f t="shared" si="182"/>
        <v>#DIV/0!</v>
      </c>
      <c r="BE131" s="140" t="e">
        <f t="shared" si="182"/>
        <v>#DIV/0!</v>
      </c>
      <c r="BF131" s="140" t="e">
        <f t="shared" si="182"/>
        <v>#DIV/0!</v>
      </c>
      <c r="BG131" s="140" t="e">
        <f t="shared" si="182"/>
        <v>#DIV/0!</v>
      </c>
      <c r="BH131" s="140" t="e">
        <f t="shared" si="182"/>
        <v>#DIV/0!</v>
      </c>
      <c r="BI131" s="140" t="e">
        <f t="shared" si="182"/>
        <v>#DIV/0!</v>
      </c>
      <c r="BJ131" s="140" t="e">
        <f t="shared" si="182"/>
        <v>#DIV/0!</v>
      </c>
      <c r="BK131" s="140" t="e">
        <f t="shared" si="182"/>
        <v>#DIV/0!</v>
      </c>
      <c r="BL131" s="140" t="e">
        <f t="shared" si="182"/>
        <v>#DIV/0!</v>
      </c>
      <c r="BM131" s="140" t="e">
        <f t="shared" si="182"/>
        <v>#DIV/0!</v>
      </c>
      <c r="BN131" s="140" t="e">
        <f t="shared" si="182"/>
        <v>#DIV/0!</v>
      </c>
      <c r="BO131" s="140" t="e">
        <f t="shared" si="182"/>
        <v>#DIV/0!</v>
      </c>
      <c r="BP131" s="140" t="e">
        <f t="shared" si="182"/>
        <v>#DIV/0!</v>
      </c>
      <c r="BQ131" s="140" t="e">
        <f t="shared" si="182"/>
        <v>#DIV/0!</v>
      </c>
      <c r="BR131" s="140" t="e">
        <f t="shared" si="182"/>
        <v>#DIV/0!</v>
      </c>
      <c r="BS131" s="140" t="e">
        <f t="shared" si="182"/>
        <v>#DIV/0!</v>
      </c>
      <c r="BT131" s="140">
        <f t="shared" ref="BT131:CX131" si="183">IF(BT130&lt;=0,0,(BT130+BT62+BT63+BT65-BT50))</f>
        <v>0</v>
      </c>
      <c r="BU131" s="140">
        <f t="shared" si="183"/>
        <v>0</v>
      </c>
      <c r="BV131" s="140" t="e">
        <f t="shared" si="183"/>
        <v>#DIV/0!</v>
      </c>
      <c r="BW131" s="140" t="e">
        <f t="shared" si="183"/>
        <v>#DIV/0!</v>
      </c>
      <c r="BX131" s="140" t="e">
        <f t="shared" si="183"/>
        <v>#DIV/0!</v>
      </c>
      <c r="BY131" s="140" t="e">
        <f t="shared" si="183"/>
        <v>#DIV/0!</v>
      </c>
      <c r="BZ131" s="140" t="e">
        <f t="shared" si="183"/>
        <v>#DIV/0!</v>
      </c>
      <c r="CA131" s="140" t="e">
        <f t="shared" si="183"/>
        <v>#DIV/0!</v>
      </c>
      <c r="CB131" s="140" t="e">
        <f t="shared" si="183"/>
        <v>#DIV/0!</v>
      </c>
      <c r="CC131" s="140" t="e">
        <f t="shared" si="183"/>
        <v>#DIV/0!</v>
      </c>
      <c r="CD131" s="381" t="e">
        <f t="shared" si="183"/>
        <v>#DIV/0!</v>
      </c>
      <c r="CE131" s="381"/>
      <c r="CF131" s="381"/>
      <c r="CG131" s="381"/>
      <c r="CH131" s="381"/>
      <c r="CI131" s="381" t="e">
        <f t="shared" si="183"/>
        <v>#DIV/0!</v>
      </c>
      <c r="CJ131" s="381"/>
      <c r="CK131" s="381"/>
      <c r="CL131" s="381"/>
      <c r="CM131" s="381"/>
      <c r="CN131" s="381" t="e">
        <f t="shared" si="183"/>
        <v>#DIV/0!</v>
      </c>
      <c r="CO131" s="381"/>
      <c r="CP131" s="381"/>
      <c r="CQ131" s="381"/>
      <c r="CR131" s="381"/>
      <c r="CS131" s="381" t="e">
        <f t="shared" si="183"/>
        <v>#DIV/0!</v>
      </c>
      <c r="CT131" s="381"/>
      <c r="CU131" s="381"/>
      <c r="CV131" s="381"/>
      <c r="CW131" s="381"/>
      <c r="CX131" s="381" t="e">
        <f t="shared" si="183"/>
        <v>#DIV/0!</v>
      </c>
    </row>
    <row r="132" spans="1:102" s="133" customFormat="1" x14ac:dyDescent="0.2">
      <c r="B132" s="133" t="s">
        <v>121</v>
      </c>
      <c r="C132" s="140">
        <f t="shared" ref="C132:Z132" si="184">C62+C63+C65-C50</f>
        <v>0</v>
      </c>
      <c r="D132" s="140">
        <f t="shared" si="184"/>
        <v>0</v>
      </c>
      <c r="E132" s="140">
        <f t="shared" si="184"/>
        <v>0</v>
      </c>
      <c r="F132" s="140">
        <f t="shared" si="184"/>
        <v>0</v>
      </c>
      <c r="G132" s="140">
        <f t="shared" si="184"/>
        <v>0</v>
      </c>
      <c r="H132" s="140">
        <f t="shared" si="184"/>
        <v>0</v>
      </c>
      <c r="I132" s="140">
        <f t="shared" si="184"/>
        <v>0</v>
      </c>
      <c r="J132" s="140">
        <f t="shared" si="184"/>
        <v>0</v>
      </c>
      <c r="K132" s="140">
        <f t="shared" si="184"/>
        <v>0</v>
      </c>
      <c r="L132" s="140">
        <f t="shared" si="184"/>
        <v>0</v>
      </c>
      <c r="M132" s="140">
        <f t="shared" si="184"/>
        <v>0</v>
      </c>
      <c r="N132" s="140">
        <f t="shared" si="184"/>
        <v>0</v>
      </c>
      <c r="O132" s="140">
        <f t="shared" si="184"/>
        <v>0</v>
      </c>
      <c r="P132" s="140">
        <f t="shared" si="184"/>
        <v>0</v>
      </c>
      <c r="Q132" s="140">
        <f t="shared" si="184"/>
        <v>0</v>
      </c>
      <c r="R132" s="140">
        <f t="shared" si="184"/>
        <v>0</v>
      </c>
      <c r="S132" s="140">
        <f t="shared" si="184"/>
        <v>0</v>
      </c>
      <c r="T132" s="140">
        <f t="shared" si="184"/>
        <v>0</v>
      </c>
      <c r="U132" s="140">
        <f t="shared" si="184"/>
        <v>0</v>
      </c>
      <c r="V132" s="140">
        <f t="shared" si="184"/>
        <v>0</v>
      </c>
      <c r="W132" s="140">
        <f t="shared" si="184"/>
        <v>0</v>
      </c>
      <c r="X132" s="140">
        <f t="shared" si="184"/>
        <v>0</v>
      </c>
      <c r="Y132" s="140">
        <f t="shared" si="184"/>
        <v>0</v>
      </c>
      <c r="Z132" s="140">
        <f t="shared" si="184"/>
        <v>0</v>
      </c>
      <c r="AA132" s="140">
        <f t="shared" ref="AA132:BX132" si="185">AA69-(AA50+AA51)</f>
        <v>17966</v>
      </c>
      <c r="AB132" s="140">
        <f t="shared" si="185"/>
        <v>0</v>
      </c>
      <c r="AC132" s="140">
        <f t="shared" si="185"/>
        <v>0</v>
      </c>
      <c r="AD132" s="140">
        <f t="shared" si="185"/>
        <v>0</v>
      </c>
      <c r="AE132" s="140">
        <f t="shared" si="185"/>
        <v>0</v>
      </c>
      <c r="AF132" s="140">
        <f t="shared" si="185"/>
        <v>26348</v>
      </c>
      <c r="AG132" s="140">
        <f t="shared" si="185"/>
        <v>0</v>
      </c>
      <c r="AH132" s="140">
        <f t="shared" si="185"/>
        <v>0</v>
      </c>
      <c r="AI132" s="140">
        <f t="shared" si="185"/>
        <v>0</v>
      </c>
      <c r="AJ132" s="140">
        <f t="shared" si="185"/>
        <v>0</v>
      </c>
      <c r="AK132" s="140">
        <f t="shared" si="185"/>
        <v>31555</v>
      </c>
      <c r="AL132" s="140">
        <f t="shared" si="185"/>
        <v>0</v>
      </c>
      <c r="AM132" s="140">
        <f t="shared" si="185"/>
        <v>0</v>
      </c>
      <c r="AN132" s="140">
        <f t="shared" si="185"/>
        <v>0</v>
      </c>
      <c r="AO132" s="140">
        <f t="shared" si="185"/>
        <v>0</v>
      </c>
      <c r="AP132" s="140">
        <f t="shared" si="185"/>
        <v>38136</v>
      </c>
      <c r="AQ132" s="140">
        <f t="shared" si="185"/>
        <v>0</v>
      </c>
      <c r="AR132" s="140">
        <f t="shared" si="185"/>
        <v>0</v>
      </c>
      <c r="AS132" s="140">
        <f t="shared" si="185"/>
        <v>0</v>
      </c>
      <c r="AT132" s="140">
        <f t="shared" si="185"/>
        <v>0</v>
      </c>
      <c r="AU132" s="140">
        <f t="shared" si="185"/>
        <v>72615</v>
      </c>
      <c r="AV132" s="140">
        <f t="shared" si="185"/>
        <v>0</v>
      </c>
      <c r="AW132" s="140">
        <f t="shared" si="185"/>
        <v>0</v>
      </c>
      <c r="AX132" s="140">
        <f t="shared" si="185"/>
        <v>0</v>
      </c>
      <c r="AY132" s="140">
        <f t="shared" si="185"/>
        <v>0</v>
      </c>
      <c r="AZ132" s="140">
        <f t="shared" si="185"/>
        <v>77849</v>
      </c>
      <c r="BA132" s="140">
        <f t="shared" si="185"/>
        <v>0</v>
      </c>
      <c r="BB132" s="140">
        <f t="shared" si="185"/>
        <v>0</v>
      </c>
      <c r="BC132" s="140">
        <f t="shared" si="185"/>
        <v>0</v>
      </c>
      <c r="BD132" s="140">
        <f t="shared" si="185"/>
        <v>0</v>
      </c>
      <c r="BE132" s="140">
        <f t="shared" si="185"/>
        <v>108167</v>
      </c>
      <c r="BF132" s="140">
        <f t="shared" si="185"/>
        <v>0</v>
      </c>
      <c r="BG132" s="140">
        <f t="shared" si="185"/>
        <v>0</v>
      </c>
      <c r="BH132" s="140">
        <f t="shared" si="185"/>
        <v>0</v>
      </c>
      <c r="BI132" s="140">
        <f t="shared" si="185"/>
        <v>0</v>
      </c>
      <c r="BJ132" s="140">
        <f t="shared" si="185"/>
        <v>143395</v>
      </c>
      <c r="BK132" s="140">
        <f t="shared" si="185"/>
        <v>0</v>
      </c>
      <c r="BL132" s="140">
        <f t="shared" si="185"/>
        <v>0</v>
      </c>
      <c r="BM132" s="140">
        <f t="shared" si="185"/>
        <v>0</v>
      </c>
      <c r="BN132" s="140">
        <f t="shared" si="185"/>
        <v>0</v>
      </c>
      <c r="BO132" s="140">
        <f t="shared" si="185"/>
        <v>186255</v>
      </c>
      <c r="BP132" s="140">
        <f t="shared" si="185"/>
        <v>0</v>
      </c>
      <c r="BQ132" s="140">
        <f t="shared" si="185"/>
        <v>0</v>
      </c>
      <c r="BR132" s="140">
        <f t="shared" si="185"/>
        <v>0</v>
      </c>
      <c r="BS132" s="140">
        <f t="shared" si="185"/>
        <v>0</v>
      </c>
      <c r="BT132" s="140">
        <f t="shared" si="185"/>
        <v>246606</v>
      </c>
      <c r="BU132" s="140">
        <f t="shared" si="185"/>
        <v>245447</v>
      </c>
      <c r="BV132" s="140">
        <f t="shared" si="185"/>
        <v>245035</v>
      </c>
      <c r="BW132" s="140">
        <f t="shared" si="185"/>
        <v>239741</v>
      </c>
      <c r="BX132" s="140">
        <f t="shared" si="185"/>
        <v>239199</v>
      </c>
      <c r="BY132" s="140">
        <f>BY69-(BY50+BY51)</f>
        <v>239199</v>
      </c>
      <c r="BZ132" s="140">
        <f t="shared" ref="BZ132:CX132" si="186">BZ69-(BZ50+BZ51)</f>
        <v>0</v>
      </c>
      <c r="CA132" s="140">
        <f t="shared" si="186"/>
        <v>0</v>
      </c>
      <c r="CB132" s="140">
        <f t="shared" si="186"/>
        <v>0</v>
      </c>
      <c r="CC132" s="140">
        <f t="shared" si="186"/>
        <v>0</v>
      </c>
      <c r="CD132" s="381">
        <f t="shared" si="186"/>
        <v>219313.62606386186</v>
      </c>
      <c r="CE132" s="381">
        <f t="shared" si="186"/>
        <v>-17089.051934425559</v>
      </c>
      <c r="CF132" s="381">
        <f t="shared" si="186"/>
        <v>-16384.477425643308</v>
      </c>
      <c r="CG132" s="381">
        <f t="shared" si="186"/>
        <v>-16524.03083076443</v>
      </c>
      <c r="CH132" s="381">
        <f t="shared" si="186"/>
        <v>-15195.43703079017</v>
      </c>
      <c r="CI132" s="381">
        <f t="shared" si="186"/>
        <v>262745.56219416275</v>
      </c>
      <c r="CJ132" s="381">
        <f t="shared" si="186"/>
        <v>-18238.978762907042</v>
      </c>
      <c r="CK132" s="381">
        <f t="shared" si="186"/>
        <v>-17486.993248913863</v>
      </c>
      <c r="CL132" s="381">
        <f t="shared" si="186"/>
        <v>-17635.937239608164</v>
      </c>
      <c r="CM132" s="381">
        <f t="shared" si="186"/>
        <v>-16217.942011128272</v>
      </c>
      <c r="CN132" s="381">
        <f t="shared" si="186"/>
        <v>302816.89656515495</v>
      </c>
      <c r="CO132" s="381">
        <f t="shared" si="186"/>
        <v>-19057.182569026136</v>
      </c>
      <c r="CP132" s="381">
        <f t="shared" si="186"/>
        <v>-18271.462852164819</v>
      </c>
      <c r="CQ132" s="381">
        <f t="shared" si="186"/>
        <v>-18427.088496567299</v>
      </c>
      <c r="CR132" s="381">
        <f t="shared" si="186"/>
        <v>-16945.481751889994</v>
      </c>
      <c r="CS132" s="381">
        <f t="shared" si="186"/>
        <v>329832.54444587772</v>
      </c>
      <c r="CT132" s="381">
        <f t="shared" si="186"/>
        <v>-19698.363998969795</v>
      </c>
      <c r="CU132" s="381">
        <f t="shared" si="186"/>
        <v>-18886.208638236811</v>
      </c>
      <c r="CV132" s="381">
        <f t="shared" si="186"/>
        <v>-19047.070328043825</v>
      </c>
      <c r="CW132" s="381">
        <f t="shared" si="186"/>
        <v>-17515.614728336375</v>
      </c>
      <c r="CX132" s="381">
        <f t="shared" si="186"/>
        <v>357902.63235495391</v>
      </c>
    </row>
    <row r="133" spans="1:102" s="133" customFormat="1" x14ac:dyDescent="0.2">
      <c r="B133" s="133" t="s">
        <v>122</v>
      </c>
      <c r="C133" s="140">
        <f t="shared" ref="C133:Z133" si="187">C99+C100</f>
        <v>0</v>
      </c>
      <c r="D133" s="140">
        <f t="shared" si="187"/>
        <v>0</v>
      </c>
      <c r="E133" s="140">
        <f t="shared" si="187"/>
        <v>0</v>
      </c>
      <c r="F133" s="140">
        <f t="shared" si="187"/>
        <v>0</v>
      </c>
      <c r="G133" s="140">
        <f t="shared" si="187"/>
        <v>0</v>
      </c>
      <c r="H133" s="140">
        <f t="shared" si="187"/>
        <v>0</v>
      </c>
      <c r="I133" s="140">
        <f t="shared" si="187"/>
        <v>0</v>
      </c>
      <c r="J133" s="140">
        <f t="shared" si="187"/>
        <v>0</v>
      </c>
      <c r="K133" s="140">
        <f t="shared" si="187"/>
        <v>0</v>
      </c>
      <c r="L133" s="140">
        <f t="shared" si="187"/>
        <v>0</v>
      </c>
      <c r="M133" s="140">
        <f t="shared" si="187"/>
        <v>0</v>
      </c>
      <c r="N133" s="140">
        <f t="shared" si="187"/>
        <v>0</v>
      </c>
      <c r="O133" s="140">
        <f t="shared" si="187"/>
        <v>0</v>
      </c>
      <c r="P133" s="140">
        <f t="shared" si="187"/>
        <v>0</v>
      </c>
      <c r="Q133" s="140">
        <f t="shared" si="187"/>
        <v>0</v>
      </c>
      <c r="R133" s="140">
        <f t="shared" si="187"/>
        <v>0</v>
      </c>
      <c r="S133" s="140">
        <f t="shared" si="187"/>
        <v>0</v>
      </c>
      <c r="T133" s="140">
        <f t="shared" si="187"/>
        <v>0</v>
      </c>
      <c r="U133" s="140">
        <f t="shared" si="187"/>
        <v>0</v>
      </c>
      <c r="V133" s="140">
        <f t="shared" si="187"/>
        <v>0</v>
      </c>
      <c r="W133" s="140">
        <f t="shared" si="187"/>
        <v>0</v>
      </c>
      <c r="X133" s="140">
        <f t="shared" si="187"/>
        <v>0</v>
      </c>
      <c r="Y133" s="140">
        <f t="shared" si="187"/>
        <v>0</v>
      </c>
      <c r="Z133" s="140">
        <f t="shared" si="187"/>
        <v>0</v>
      </c>
      <c r="AA133" s="140">
        <f t="shared" ref="AA133:AY133" si="188">AA$99</f>
        <v>-3444</v>
      </c>
      <c r="AB133" s="140">
        <f t="shared" si="188"/>
        <v>0</v>
      </c>
      <c r="AC133" s="140">
        <f t="shared" si="188"/>
        <v>0</v>
      </c>
      <c r="AD133" s="140">
        <f t="shared" si="188"/>
        <v>0</v>
      </c>
      <c r="AE133" s="140">
        <f t="shared" si="188"/>
        <v>0</v>
      </c>
      <c r="AF133" s="140">
        <f t="shared" si="188"/>
        <v>-4893</v>
      </c>
      <c r="AG133" s="140">
        <f t="shared" si="188"/>
        <v>0</v>
      </c>
      <c r="AH133" s="140">
        <f t="shared" si="188"/>
        <v>0</v>
      </c>
      <c r="AI133" s="140">
        <f t="shared" si="188"/>
        <v>0</v>
      </c>
      <c r="AJ133" s="140">
        <f t="shared" si="188"/>
        <v>0</v>
      </c>
      <c r="AK133" s="140">
        <f t="shared" si="188"/>
        <v>-4589</v>
      </c>
      <c r="AL133" s="140">
        <f t="shared" si="188"/>
        <v>0</v>
      </c>
      <c r="AM133" s="140">
        <f t="shared" si="188"/>
        <v>0</v>
      </c>
      <c r="AN133" s="140">
        <f t="shared" si="188"/>
        <v>0</v>
      </c>
      <c r="AO133" s="140">
        <f t="shared" si="188"/>
        <v>0</v>
      </c>
      <c r="AP133" s="140">
        <f t="shared" si="188"/>
        <v>-6737</v>
      </c>
      <c r="AQ133" s="140">
        <f t="shared" si="188"/>
        <v>0</v>
      </c>
      <c r="AR133" s="140">
        <f t="shared" si="188"/>
        <v>0</v>
      </c>
      <c r="AS133" s="140">
        <f t="shared" si="188"/>
        <v>0</v>
      </c>
      <c r="AT133" s="140">
        <f t="shared" si="188"/>
        <v>0</v>
      </c>
      <c r="AU133" s="140">
        <f t="shared" si="188"/>
        <v>-11955</v>
      </c>
      <c r="AV133" s="140">
        <f t="shared" si="188"/>
        <v>0</v>
      </c>
      <c r="AW133" s="140">
        <f t="shared" si="188"/>
        <v>0</v>
      </c>
      <c r="AX133" s="140">
        <f t="shared" si="188"/>
        <v>0</v>
      </c>
      <c r="AY133" s="140">
        <f t="shared" si="188"/>
        <v>0</v>
      </c>
      <c r="AZ133" s="140">
        <f>AZ$99</f>
        <v>-13427</v>
      </c>
      <c r="BA133" s="140">
        <f t="shared" ref="BA133:BY133" si="189">BA$99</f>
        <v>0</v>
      </c>
      <c r="BB133" s="140">
        <f t="shared" si="189"/>
        <v>0</v>
      </c>
      <c r="BC133" s="140">
        <f t="shared" si="189"/>
        <v>0</v>
      </c>
      <c r="BD133" s="140">
        <f t="shared" si="189"/>
        <v>0</v>
      </c>
      <c r="BE133" s="140">
        <f t="shared" si="189"/>
        <v>-16861</v>
      </c>
      <c r="BF133" s="140">
        <f t="shared" si="189"/>
        <v>0</v>
      </c>
      <c r="BG133" s="140">
        <f t="shared" si="189"/>
        <v>0</v>
      </c>
      <c r="BH133" s="140">
        <f t="shared" si="189"/>
        <v>0</v>
      </c>
      <c r="BI133" s="140">
        <f t="shared" si="189"/>
        <v>0</v>
      </c>
      <c r="BJ133" s="140">
        <f t="shared" si="189"/>
        <v>-40140</v>
      </c>
      <c r="BK133" s="140">
        <f t="shared" si="189"/>
        <v>0</v>
      </c>
      <c r="BL133" s="140">
        <f t="shared" si="189"/>
        <v>0</v>
      </c>
      <c r="BM133" s="140">
        <f t="shared" si="189"/>
        <v>0</v>
      </c>
      <c r="BN133" s="140">
        <f t="shared" si="189"/>
        <v>0</v>
      </c>
      <c r="BO133" s="140">
        <f t="shared" si="189"/>
        <v>-61053</v>
      </c>
      <c r="BP133" s="140">
        <f t="shared" si="189"/>
        <v>0</v>
      </c>
      <c r="BQ133" s="140">
        <f t="shared" si="189"/>
        <v>0</v>
      </c>
      <c r="BR133" s="140">
        <f t="shared" si="189"/>
        <v>0</v>
      </c>
      <c r="BS133" s="140">
        <f t="shared" si="189"/>
        <v>0</v>
      </c>
      <c r="BT133" s="140">
        <f t="shared" si="189"/>
        <v>-63645</v>
      </c>
      <c r="BU133" s="140">
        <f t="shared" si="189"/>
        <v>-14207</v>
      </c>
      <c r="BV133" s="140">
        <f t="shared" si="189"/>
        <v>-11455</v>
      </c>
      <c r="BW133" s="140">
        <f t="shared" si="189"/>
        <v>-12479</v>
      </c>
      <c r="BX133" s="140">
        <f t="shared" si="189"/>
        <v>-14588</v>
      </c>
      <c r="BY133" s="140">
        <f t="shared" si="189"/>
        <v>-53361</v>
      </c>
      <c r="BZ133" s="140">
        <f t="shared" ref="BZ133:CC133" si="190">BZ99</f>
        <v>0</v>
      </c>
      <c r="CA133" s="140">
        <f t="shared" si="190"/>
        <v>0</v>
      </c>
      <c r="CB133" s="140">
        <f t="shared" si="190"/>
        <v>0</v>
      </c>
      <c r="CC133" s="140">
        <f t="shared" si="190"/>
        <v>0</v>
      </c>
      <c r="CD133" s="381">
        <f>-CD$9*'As % of Revenue'!$C$16</f>
        <v>-48126.462179388676</v>
      </c>
      <c r="CE133" s="381"/>
      <c r="CF133" s="381"/>
      <c r="CG133" s="381"/>
      <c r="CH133" s="381"/>
      <c r="CI133" s="381">
        <f>-CI$9*'As % of Revenue'!$C$16</f>
        <v>-59696.50955362885</v>
      </c>
      <c r="CJ133" s="381"/>
      <c r="CK133" s="381"/>
      <c r="CL133" s="381"/>
      <c r="CM133" s="381"/>
      <c r="CN133" s="381">
        <f>-CN$9*'As % of Revenue'!$C$16</f>
        <v>-74394.494681846831</v>
      </c>
      <c r="CO133" s="381"/>
      <c r="CP133" s="381"/>
      <c r="CQ133" s="381"/>
      <c r="CR133" s="381"/>
      <c r="CS133" s="381">
        <f>-CS$9*'As % of Revenue'!$C$16</f>
        <v>-93135.309223664663</v>
      </c>
      <c r="CT133" s="381"/>
      <c r="CU133" s="381"/>
      <c r="CV133" s="381"/>
      <c r="CW133" s="381"/>
      <c r="CX133" s="381">
        <f>-CX$9*'As % of Revenue'!$C$16</f>
        <v>-117114.40843390612</v>
      </c>
    </row>
    <row r="134" spans="1:102" s="133" customFormat="1" x14ac:dyDescent="0.2">
      <c r="B134" s="133" t="s">
        <v>123</v>
      </c>
      <c r="C134" s="140">
        <f t="shared" ref="C134:AY134" si="191">C98+C133</f>
        <v>0</v>
      </c>
      <c r="D134" s="140">
        <f t="shared" si="191"/>
        <v>0</v>
      </c>
      <c r="E134" s="140">
        <f t="shared" si="191"/>
        <v>0</v>
      </c>
      <c r="F134" s="140">
        <f t="shared" si="191"/>
        <v>0</v>
      </c>
      <c r="G134" s="140">
        <f t="shared" si="191"/>
        <v>0</v>
      </c>
      <c r="H134" s="140">
        <f t="shared" si="191"/>
        <v>0</v>
      </c>
      <c r="I134" s="140">
        <f t="shared" si="191"/>
        <v>0</v>
      </c>
      <c r="J134" s="140">
        <f t="shared" si="191"/>
        <v>0</v>
      </c>
      <c r="K134" s="140">
        <f t="shared" si="191"/>
        <v>0</v>
      </c>
      <c r="L134" s="140">
        <f t="shared" si="191"/>
        <v>0</v>
      </c>
      <c r="M134" s="140">
        <f t="shared" si="191"/>
        <v>0</v>
      </c>
      <c r="N134" s="140">
        <f t="shared" si="191"/>
        <v>0</v>
      </c>
      <c r="O134" s="140">
        <f t="shared" si="191"/>
        <v>0</v>
      </c>
      <c r="P134" s="140">
        <f t="shared" si="191"/>
        <v>0</v>
      </c>
      <c r="Q134" s="140">
        <f t="shared" si="191"/>
        <v>0</v>
      </c>
      <c r="R134" s="140">
        <f t="shared" si="191"/>
        <v>0</v>
      </c>
      <c r="S134" s="140">
        <f t="shared" si="191"/>
        <v>0</v>
      </c>
      <c r="T134" s="140">
        <f t="shared" si="191"/>
        <v>0</v>
      </c>
      <c r="U134" s="140">
        <f t="shared" si="191"/>
        <v>0</v>
      </c>
      <c r="V134" s="140">
        <f t="shared" si="191"/>
        <v>0</v>
      </c>
      <c r="W134" s="140">
        <f t="shared" si="191"/>
        <v>0</v>
      </c>
      <c r="X134" s="140">
        <f t="shared" si="191"/>
        <v>0</v>
      </c>
      <c r="Y134" s="140">
        <f t="shared" si="191"/>
        <v>0</v>
      </c>
      <c r="Z134" s="140">
        <f t="shared" si="191"/>
        <v>0</v>
      </c>
      <c r="AA134" s="140">
        <f t="shared" si="191"/>
        <v>2031</v>
      </c>
      <c r="AB134" s="140">
        <f t="shared" si="191"/>
        <v>0</v>
      </c>
      <c r="AC134" s="140">
        <f t="shared" si="191"/>
        <v>0</v>
      </c>
      <c r="AD134" s="140">
        <f t="shared" si="191"/>
        <v>0</v>
      </c>
      <c r="AE134" s="140">
        <f t="shared" si="191"/>
        <v>0</v>
      </c>
      <c r="AF134" s="140">
        <f t="shared" si="191"/>
        <v>1949</v>
      </c>
      <c r="AG134" s="140">
        <f t="shared" si="191"/>
        <v>0</v>
      </c>
      <c r="AH134" s="140">
        <f t="shared" si="191"/>
        <v>0</v>
      </c>
      <c r="AI134" s="140">
        <f t="shared" si="191"/>
        <v>0</v>
      </c>
      <c r="AJ134" s="140">
        <f t="shared" si="191"/>
        <v>0</v>
      </c>
      <c r="AK134" s="140">
        <f t="shared" si="191"/>
        <v>7331</v>
      </c>
      <c r="AL134" s="140">
        <f t="shared" si="191"/>
        <v>0</v>
      </c>
      <c r="AM134" s="140">
        <f t="shared" si="191"/>
        <v>0</v>
      </c>
      <c r="AN134" s="140">
        <f t="shared" si="191"/>
        <v>0</v>
      </c>
      <c r="AO134" s="140">
        <f t="shared" si="191"/>
        <v>0</v>
      </c>
      <c r="AP134" s="140">
        <f t="shared" si="191"/>
        <v>9706</v>
      </c>
      <c r="AQ134" s="140">
        <f t="shared" si="191"/>
        <v>0</v>
      </c>
      <c r="AR134" s="140">
        <f t="shared" si="191"/>
        <v>0</v>
      </c>
      <c r="AS134" s="140">
        <f t="shared" si="191"/>
        <v>0</v>
      </c>
      <c r="AT134" s="140">
        <f t="shared" si="191"/>
        <v>0</v>
      </c>
      <c r="AU134" s="140">
        <f t="shared" si="191"/>
        <v>6479</v>
      </c>
      <c r="AV134" s="140">
        <f t="shared" si="191"/>
        <v>0</v>
      </c>
      <c r="AW134" s="140">
        <f t="shared" si="191"/>
        <v>0</v>
      </c>
      <c r="AX134" s="140">
        <f t="shared" si="191"/>
        <v>0</v>
      </c>
      <c r="AY134" s="140">
        <f t="shared" si="191"/>
        <v>0</v>
      </c>
      <c r="AZ134" s="140">
        <f t="shared" ref="AZ134:BN134" si="192">AZ98+AZ133</f>
        <v>17296</v>
      </c>
      <c r="BA134" s="140">
        <f t="shared" si="192"/>
        <v>0</v>
      </c>
      <c r="BB134" s="140">
        <f t="shared" si="192"/>
        <v>0</v>
      </c>
      <c r="BC134" s="140">
        <f t="shared" si="192"/>
        <v>0</v>
      </c>
      <c r="BD134" s="140">
        <f t="shared" si="192"/>
        <v>0</v>
      </c>
      <c r="BE134" s="140">
        <f t="shared" si="192"/>
        <v>21653</v>
      </c>
      <c r="BF134" s="140">
        <f t="shared" si="192"/>
        <v>0</v>
      </c>
      <c r="BG134" s="140">
        <f t="shared" si="192"/>
        <v>0</v>
      </c>
      <c r="BH134" s="140">
        <f t="shared" si="192"/>
        <v>0</v>
      </c>
      <c r="BI134" s="140">
        <f t="shared" si="192"/>
        <v>0</v>
      </c>
      <c r="BJ134" s="140">
        <f t="shared" si="192"/>
        <v>25924</v>
      </c>
      <c r="BK134" s="140">
        <f t="shared" si="192"/>
        <v>0</v>
      </c>
      <c r="BL134" s="140">
        <f t="shared" si="192"/>
        <v>0</v>
      </c>
      <c r="BM134" s="140">
        <f t="shared" si="192"/>
        <v>0</v>
      </c>
      <c r="BN134" s="140">
        <f t="shared" si="192"/>
        <v>0</v>
      </c>
      <c r="BO134" s="140">
        <f t="shared" ref="BO134:CS134" si="193">BO98+BO133</f>
        <v>-14726</v>
      </c>
      <c r="BP134" s="140">
        <f t="shared" si="193"/>
        <v>0</v>
      </c>
      <c r="BQ134" s="140">
        <f t="shared" si="193"/>
        <v>0</v>
      </c>
      <c r="BR134" s="140">
        <f t="shared" si="193"/>
        <v>0</v>
      </c>
      <c r="BS134" s="140">
        <f t="shared" si="193"/>
        <v>0</v>
      </c>
      <c r="BT134" s="140">
        <f t="shared" si="193"/>
        <v>-16893</v>
      </c>
      <c r="BU134" s="140">
        <f t="shared" si="193"/>
        <v>-9419</v>
      </c>
      <c r="BV134" s="140">
        <f t="shared" si="193"/>
        <v>5021</v>
      </c>
      <c r="BW134" s="140">
        <f t="shared" si="193"/>
        <v>8738</v>
      </c>
      <c r="BX134" s="140">
        <f t="shared" si="193"/>
        <v>27877</v>
      </c>
      <c r="BY134" s="140">
        <f t="shared" si="193"/>
        <v>36418.600000000006</v>
      </c>
      <c r="BZ134" s="140">
        <f t="shared" si="193"/>
        <v>0</v>
      </c>
      <c r="CA134" s="140">
        <f t="shared" si="193"/>
        <v>0</v>
      </c>
      <c r="CB134" s="140">
        <f t="shared" si="193"/>
        <v>0</v>
      </c>
      <c r="CC134" s="140">
        <f t="shared" si="193"/>
        <v>0</v>
      </c>
      <c r="CD134" s="381">
        <f t="shared" si="193"/>
        <v>56769.034243382674</v>
      </c>
      <c r="CE134" s="381"/>
      <c r="CF134" s="381"/>
      <c r="CG134" s="381"/>
      <c r="CH134" s="381"/>
      <c r="CI134" s="381">
        <f t="shared" si="193"/>
        <v>45474.179536214382</v>
      </c>
      <c r="CJ134" s="381"/>
      <c r="CK134" s="381"/>
      <c r="CL134" s="381"/>
      <c r="CM134" s="381"/>
      <c r="CN134" s="381">
        <f t="shared" si="193"/>
        <v>54100.269759665694</v>
      </c>
      <c r="CO134" s="381"/>
      <c r="CP134" s="381"/>
      <c r="CQ134" s="381"/>
      <c r="CR134" s="381"/>
      <c r="CS134" s="381">
        <f t="shared" si="193"/>
        <v>69830.475781063084</v>
      </c>
      <c r="CT134" s="381"/>
      <c r="CU134" s="381"/>
      <c r="CV134" s="381"/>
      <c r="CW134" s="381"/>
      <c r="CX134" s="381">
        <f t="shared" ref="CX134" si="194">CX98+CX133</f>
        <v>77713.934428029752</v>
      </c>
    </row>
    <row r="135" spans="1:102" hidden="1" x14ac:dyDescent="0.2">
      <c r="A135" s="111"/>
      <c r="B135" s="111" t="s">
        <v>124</v>
      </c>
      <c r="C135" s="141" t="e">
        <f>C47/(C124*4)</f>
        <v>#DIV/0!</v>
      </c>
      <c r="D135" s="141" t="e">
        <f>D47/(SUM(D124,C124)*2)</f>
        <v>#DIV/0!</v>
      </c>
      <c r="E135" s="141" t="e">
        <f>E47/(SUM(E124,D124,C124)*4/3)</f>
        <v>#DIV/0!</v>
      </c>
      <c r="F135" s="141" t="e">
        <f>F47/SUM(F124,E124,D124,C124)</f>
        <v>#DIV/0!</v>
      </c>
      <c r="G135" s="113" t="e">
        <f>G47/G124</f>
        <v>#DIV/0!</v>
      </c>
      <c r="H135" s="113" t="e">
        <f>H47/SUM(H124,F124,E124,D124)</f>
        <v>#DIV/0!</v>
      </c>
      <c r="I135" s="113" t="e">
        <f>I47/SUM(I124,H124,F124,E124)</f>
        <v>#DIV/0!</v>
      </c>
      <c r="J135" s="113" t="e">
        <f>J47/SUM(J124,I124,H124,F124)</f>
        <v>#DIV/0!</v>
      </c>
      <c r="K135" s="141" t="e">
        <f>K47/SUM(K124,J124,I124,H124)</f>
        <v>#DIV/0!</v>
      </c>
      <c r="L135" s="113" t="e">
        <f>L47/L124</f>
        <v>#DIV/0!</v>
      </c>
      <c r="M135" s="113" t="e">
        <f>M47/SUM(M124,K124,J124,I124)</f>
        <v>#DIV/0!</v>
      </c>
      <c r="N135" s="113" t="e">
        <f>N47/SUM(N124,M124,K124,J124)</f>
        <v>#DIV/0!</v>
      </c>
      <c r="O135" s="113" t="e">
        <f>O47/SUM(O124,N124,M124,K124)</f>
        <v>#DIV/0!</v>
      </c>
      <c r="P135" s="141" t="e">
        <f>P47/SUM(P124,O124,N124,M124)</f>
        <v>#DIV/0!</v>
      </c>
      <c r="Q135" s="113" t="e">
        <f>Q47/Q124</f>
        <v>#DIV/0!</v>
      </c>
      <c r="R135" s="113" t="e">
        <f>R47/SUM(R124,P124,O124,N124)</f>
        <v>#DIV/0!</v>
      </c>
      <c r="S135" s="113" t="e">
        <f>S47/SUM(S124,R124,P124,O124)</f>
        <v>#DIV/0!</v>
      </c>
      <c r="T135" s="113" t="e">
        <f>T47/SUM(T124,S124,R124,P124)</f>
        <v>#DIV/0!</v>
      </c>
      <c r="U135" s="141" t="e">
        <f>U47/SUM(U124,T124,S124,R124)</f>
        <v>#DIV/0!</v>
      </c>
      <c r="V135" s="113" t="e">
        <f>V47/V124</f>
        <v>#DIV/0!</v>
      </c>
      <c r="W135" s="113" t="e">
        <f>W47/SUM(W124,U124,T124,S124)</f>
        <v>#DIV/0!</v>
      </c>
      <c r="X135" s="113" t="e">
        <f>X47/SUM(X124,W124,U124,T124)</f>
        <v>#DIV/0!</v>
      </c>
      <c r="Y135" s="113" t="e">
        <f>Y47/SUM(Y124,X124,W124,U124)</f>
        <v>#DIV/0!</v>
      </c>
      <c r="Z135" s="141" t="e">
        <f>Z47/SUM(Z124,Y124,X124,W124)</f>
        <v>#DIV/0!</v>
      </c>
      <c r="AA135" s="113" t="e">
        <f>AA47/AA124</f>
        <v>#DIV/0!</v>
      </c>
      <c r="AB135" s="142"/>
      <c r="AC135" s="142"/>
      <c r="AD135" s="142"/>
      <c r="AE135" s="142"/>
      <c r="AF135" s="113" t="e">
        <f>AF47/AF124</f>
        <v>#DIV/0!</v>
      </c>
      <c r="AG135" s="113" t="e">
        <f>AG47/SUM(AG124,AE124,AD124,AC124)</f>
        <v>#DIV/0!</v>
      </c>
      <c r="AH135" s="113" t="e">
        <f>AH47/SUM(AH124,AG124,AE124,AD124)</f>
        <v>#DIV/0!</v>
      </c>
      <c r="AI135" s="113" t="e">
        <f>AI47/SUM(AI124,AH124,AG124,AE124)</f>
        <v>#DIV/0!</v>
      </c>
      <c r="AJ135" s="113" t="e">
        <f>AJ47/SUM(AJ124,AI124,AH124,AG124)</f>
        <v>#DIV/0!</v>
      </c>
      <c r="AK135" s="113" t="e">
        <f>AK47/AK124</f>
        <v>#DIV/0!</v>
      </c>
      <c r="AL135" s="113" t="e">
        <f>AL47/SUM(AL124,AJ124,AI124,AH124)</f>
        <v>#DIV/0!</v>
      </c>
      <c r="AM135" s="113" t="e">
        <f>AM47/SUM(AM124,AL124,AJ124,AI124)</f>
        <v>#DIV/0!</v>
      </c>
      <c r="AN135" s="113" t="e">
        <f>AN47/SUM(AN124,AM124,AL124,AJ124)</f>
        <v>#DIV/0!</v>
      </c>
      <c r="AO135" s="113" t="e">
        <f>AO47/SUM(AO124,AN124,AM124,AL124)</f>
        <v>#DIV/0!</v>
      </c>
      <c r="AP135" s="113" t="e">
        <f>AP47/AP124</f>
        <v>#DIV/0!</v>
      </c>
      <c r="AQ135" s="113" t="e">
        <f>AQ47/SUM(AQ124,AO124,AN124,AM124)</f>
        <v>#DIV/0!</v>
      </c>
      <c r="AR135" s="113" t="e">
        <f>AR47/SUM(AR124,AQ124,AO124,AN124)</f>
        <v>#DIV/0!</v>
      </c>
      <c r="AS135" s="113" t="e">
        <f>AS47/SUM(AS124,AR124,AQ124,AO124)</f>
        <v>#DIV/0!</v>
      </c>
      <c r="AT135" s="113" t="e">
        <f>AT47/SUM(AT124,AS124,AR124,AQ124)</f>
        <v>#DIV/0!</v>
      </c>
      <c r="AU135" s="113" t="e">
        <f>AU47/AU124</f>
        <v>#DIV/0!</v>
      </c>
      <c r="AV135" s="113" t="e">
        <f>AV47/SUM(AV124,AT124,AS124,AR124)</f>
        <v>#DIV/0!</v>
      </c>
      <c r="AW135" s="113" t="e">
        <f>AW47/SUM(AW124,AV124,AT124,AS124)</f>
        <v>#DIV/0!</v>
      </c>
      <c r="AX135" s="113" t="e">
        <f>AX47/SUM(AX124,AW124,AV124,AT124)</f>
        <v>#DIV/0!</v>
      </c>
      <c r="AY135" s="113" t="e">
        <f>AY47/SUM(AY124,AX124,AW124,AV124)</f>
        <v>#DIV/0!</v>
      </c>
      <c r="AZ135" s="113" t="e">
        <f t="shared" ref="AZ135:BE135" si="195">AZ47/AZ124</f>
        <v>#DIV/0!</v>
      </c>
      <c r="BA135" s="142" t="e">
        <f t="shared" si="195"/>
        <v>#DIV/0!</v>
      </c>
      <c r="BB135" s="142" t="e">
        <f t="shared" si="195"/>
        <v>#DIV/0!</v>
      </c>
      <c r="BC135" s="142" t="e">
        <f t="shared" si="195"/>
        <v>#DIV/0!</v>
      </c>
      <c r="BD135" s="142" t="e">
        <f t="shared" si="195"/>
        <v>#DIV/0!</v>
      </c>
      <c r="BE135" s="113" t="e">
        <f t="shared" si="195"/>
        <v>#DIV/0!</v>
      </c>
      <c r="BF135" s="113" t="e">
        <f>BF47/SUM(BF124,BD124,BC124,BB124)</f>
        <v>#DIV/0!</v>
      </c>
      <c r="BG135" s="113" t="e">
        <f>BG47/SUM(BG124,BF124,BD124,BC124)</f>
        <v>#DIV/0!</v>
      </c>
      <c r="BH135" s="113" t="e">
        <f>BH47/SUM(BH124,BG124,BF124,BD124)</f>
        <v>#DIV/0!</v>
      </c>
      <c r="BI135" s="113" t="e">
        <f>BI47/SUM(BI124,BH124,BG124,BF124)</f>
        <v>#DIV/0!</v>
      </c>
      <c r="BJ135" s="113" t="e">
        <f>BJ47/BJ124</f>
        <v>#DIV/0!</v>
      </c>
      <c r="BK135" s="113" t="e">
        <f>BK47/SUM(BK124,BI124,BH124,BG124)</f>
        <v>#DIV/0!</v>
      </c>
      <c r="BL135" s="113" t="e">
        <f>BL47/SUM(BL124,BK124,BI124,BH124)</f>
        <v>#DIV/0!</v>
      </c>
      <c r="BM135" s="113" t="e">
        <f>BM47/SUM(BM124,BL124,BK124,BI124)</f>
        <v>#DIV/0!</v>
      </c>
      <c r="BN135" s="113" t="e">
        <f>BN47/SUM(BN124,BM124,BL124,BK124)</f>
        <v>#DIV/0!</v>
      </c>
      <c r="BO135" s="113" t="e">
        <f>BO47/BO124</f>
        <v>#DIV/0!</v>
      </c>
      <c r="BP135" s="113" t="e">
        <f>BP47/SUM(BP124,BN124,BM124,BL124)</f>
        <v>#DIV/0!</v>
      </c>
      <c r="BQ135" s="113" t="e">
        <f>BQ47/SUM(BQ124,BP124,BN124,BM124)</f>
        <v>#DIV/0!</v>
      </c>
      <c r="BR135" s="113" t="e">
        <f>BR47/SUM(BR124,BQ124,BP124,BN124)</f>
        <v>#DIV/0!</v>
      </c>
      <c r="BS135" s="113" t="e">
        <f>BS47/SUM(BS124,BR124,BQ124,BP124)</f>
        <v>#DIV/0!</v>
      </c>
      <c r="BT135" s="113" t="e">
        <f>BT47/BT124</f>
        <v>#DIV/0!</v>
      </c>
      <c r="BU135" s="113" t="e">
        <f>BU47/SUM(BU124,BS124,BR124,BQ124)</f>
        <v>#DIV/0!</v>
      </c>
      <c r="BV135" s="113" t="e">
        <f>BV47/SUM(BV124,BU124,BS124,BR124)</f>
        <v>#DIV/0!</v>
      </c>
      <c r="BW135" s="113" t="e">
        <f>BW47/SUM(BW124,BV124,BU124,BS124)</f>
        <v>#DIV/0!</v>
      </c>
      <c r="BX135" s="113" t="e">
        <f>BX47/SUM(BX124,BW124,BV124,BU124)</f>
        <v>#DIV/0!</v>
      </c>
      <c r="BY135" s="113" t="e">
        <f>BY47/BY124</f>
        <v>#DIV/0!</v>
      </c>
      <c r="BZ135" s="113" t="e">
        <f>BZ47/SUM(BZ124,BX124,BW124,BV124)</f>
        <v>#DIV/0!</v>
      </c>
      <c r="CA135" s="113" t="e">
        <f>CA47/SUM(CA124,BZ124,BX124,BW124)</f>
        <v>#DIV/0!</v>
      </c>
      <c r="CB135" s="113" t="e">
        <f>CB47/SUM(CB124,CA124,BZ124,BX124)</f>
        <v>#DIV/0!</v>
      </c>
      <c r="CC135" s="113" t="e">
        <f>CC47/SUM(CC124,CB124,CA124,BZ124)</f>
        <v>#DIV/0!</v>
      </c>
      <c r="CD135" s="382" t="e">
        <f>CD47/CD124</f>
        <v>#DIV/0!</v>
      </c>
      <c r="CE135" s="382"/>
      <c r="CF135" s="382"/>
      <c r="CG135" s="382"/>
      <c r="CH135" s="382"/>
      <c r="CI135" s="382" t="e">
        <f>CI47/CI124</f>
        <v>#DIV/0!</v>
      </c>
      <c r="CJ135" s="382"/>
      <c r="CK135" s="382"/>
      <c r="CL135" s="382"/>
      <c r="CM135" s="382"/>
      <c r="CN135" s="382" t="e">
        <f>CN47/CN124</f>
        <v>#DIV/0!</v>
      </c>
      <c r="CO135" s="382"/>
      <c r="CP135" s="382"/>
      <c r="CQ135" s="382"/>
      <c r="CR135" s="382"/>
      <c r="CS135" s="382" t="e">
        <f>CS47/CS124</f>
        <v>#DIV/0!</v>
      </c>
      <c r="CT135" s="382"/>
      <c r="CU135" s="382"/>
      <c r="CV135" s="382"/>
      <c r="CW135" s="382"/>
      <c r="CX135" s="382" t="e">
        <f>CX47/CX124</f>
        <v>#DIV/0!</v>
      </c>
    </row>
    <row r="136" spans="1:102" hidden="1" x14ac:dyDescent="0.2">
      <c r="A136" s="111"/>
      <c r="B136" s="111" t="s">
        <v>125</v>
      </c>
      <c r="C136" s="141" t="e">
        <f>C47/(C125*4)</f>
        <v>#DIV/0!</v>
      </c>
      <c r="D136" s="141" t="e">
        <f>D47/(SUM(D125,C125)*2)</f>
        <v>#DIV/0!</v>
      </c>
      <c r="E136" s="141" t="e">
        <f>E47/(SUM(E125,D125,C125)*4/3)</f>
        <v>#DIV/0!</v>
      </c>
      <c r="F136" s="141" t="e">
        <f>F47/SUM(F125,E125,D125,C125)</f>
        <v>#DIV/0!</v>
      </c>
      <c r="G136" s="113" t="e">
        <f>G47/G125</f>
        <v>#DIV/0!</v>
      </c>
      <c r="H136" s="113" t="e">
        <f>H47/SUM(H125,F125,E125,D125)</f>
        <v>#DIV/0!</v>
      </c>
      <c r="I136" s="113" t="e">
        <f>I47/SUM(I125,H125,F125,E125)</f>
        <v>#DIV/0!</v>
      </c>
      <c r="J136" s="113" t="e">
        <f>J47/SUM(J125,I125,H125,F125)</f>
        <v>#DIV/0!</v>
      </c>
      <c r="K136" s="141" t="e">
        <f>K47/SUM(K125,J125,I125,H125)</f>
        <v>#DIV/0!</v>
      </c>
      <c r="L136" s="113" t="e">
        <f>L47/L125</f>
        <v>#DIV/0!</v>
      </c>
      <c r="M136" s="113" t="e">
        <f>M47/SUM(M125,K125,J125,I125)</f>
        <v>#DIV/0!</v>
      </c>
      <c r="N136" s="113" t="e">
        <f>N47/SUM(N125,M125,K125,J125)</f>
        <v>#DIV/0!</v>
      </c>
      <c r="O136" s="113" t="e">
        <f>O47/SUM(O125,N125,M125,K125)</f>
        <v>#DIV/0!</v>
      </c>
      <c r="P136" s="141" t="e">
        <f>P47/SUM(P125,O125,N125,M125)</f>
        <v>#DIV/0!</v>
      </c>
      <c r="Q136" s="113" t="e">
        <f>Q47/Q125</f>
        <v>#DIV/0!</v>
      </c>
      <c r="R136" s="113" t="e">
        <f>R47/SUM(R125,P125,O125,N125)</f>
        <v>#DIV/0!</v>
      </c>
      <c r="S136" s="113" t="e">
        <f>S47/SUM(S125,R125,P125,O125)</f>
        <v>#DIV/0!</v>
      </c>
      <c r="T136" s="113" t="e">
        <f>T47/SUM(T125,S125,R125,P125)</f>
        <v>#DIV/0!</v>
      </c>
      <c r="U136" s="141" t="e">
        <f>U47/SUM(U125,T125,S125,R125)</f>
        <v>#DIV/0!</v>
      </c>
      <c r="V136" s="113" t="e">
        <f>V47/V125</f>
        <v>#DIV/0!</v>
      </c>
      <c r="W136" s="113" t="e">
        <f>W47/SUM(W125,U125,T125,S125)</f>
        <v>#DIV/0!</v>
      </c>
      <c r="X136" s="113" t="e">
        <f>X47/SUM(X125,W125,U125,T125)</f>
        <v>#DIV/0!</v>
      </c>
      <c r="Y136" s="113" t="e">
        <f>Y47/SUM(Y125,X125,W125,U125)</f>
        <v>#DIV/0!</v>
      </c>
      <c r="Z136" s="141" t="e">
        <f>Z47/SUM(Z125,Y125,X125,W125)</f>
        <v>#DIV/0!</v>
      </c>
      <c r="AA136" s="113" t="e">
        <f>AA47/AA125</f>
        <v>#DIV/0!</v>
      </c>
      <c r="AB136" s="142"/>
      <c r="AC136" s="142"/>
      <c r="AD136" s="142"/>
      <c r="AE136" s="142"/>
      <c r="AF136" s="113" t="e">
        <f>AF47/AF125</f>
        <v>#DIV/0!</v>
      </c>
      <c r="AG136" s="113" t="e">
        <f>AG47/SUM(AG125,AE125,AD125,AC125)</f>
        <v>#DIV/0!</v>
      </c>
      <c r="AH136" s="113" t="e">
        <f>AH47/SUM(AH125,AG125,AE125,AD125)</f>
        <v>#DIV/0!</v>
      </c>
      <c r="AI136" s="113" t="e">
        <f>AI47/SUM(AI125,AH125,AG125,AE125)</f>
        <v>#DIV/0!</v>
      </c>
      <c r="AJ136" s="113" t="e">
        <f>AJ47/SUM(AJ125,AI125,AH125,AG125)</f>
        <v>#DIV/0!</v>
      </c>
      <c r="AK136" s="113" t="e">
        <f>AK47/AK125</f>
        <v>#DIV/0!</v>
      </c>
      <c r="AL136" s="113" t="e">
        <f>AL47/SUM(AL125,AJ125,AI125,AH125)</f>
        <v>#DIV/0!</v>
      </c>
      <c r="AM136" s="113" t="e">
        <f>AM47/SUM(AM125,AL125,AJ125,AI125)</f>
        <v>#DIV/0!</v>
      </c>
      <c r="AN136" s="113" t="e">
        <f>AN47/SUM(AN125,AM125,AL125,AJ125)</f>
        <v>#DIV/0!</v>
      </c>
      <c r="AO136" s="113" t="e">
        <f>AO47/SUM(AO125,AN125,AM125,AL125)</f>
        <v>#DIV/0!</v>
      </c>
      <c r="AP136" s="113" t="e">
        <f>AP47/AP125</f>
        <v>#DIV/0!</v>
      </c>
      <c r="AQ136" s="113" t="e">
        <f>AQ47/SUM(AQ125,AO125,AN125,AM125)</f>
        <v>#DIV/0!</v>
      </c>
      <c r="AR136" s="113" t="e">
        <f>AR47/SUM(AR125,AQ125,AO125,AN125)</f>
        <v>#DIV/0!</v>
      </c>
      <c r="AS136" s="113" t="e">
        <f>AS47/SUM(AS125,AR125,AQ125,AO125)</f>
        <v>#DIV/0!</v>
      </c>
      <c r="AT136" s="113" t="e">
        <f>AT47/SUM(AT125,AS125,AR125,AQ125)</f>
        <v>#DIV/0!</v>
      </c>
      <c r="AU136" s="113" t="e">
        <f>AU47/AU125</f>
        <v>#DIV/0!</v>
      </c>
      <c r="AV136" s="113" t="e">
        <f>AV47/SUM(AV125,AT125,AS125,AR125)</f>
        <v>#DIV/0!</v>
      </c>
      <c r="AW136" s="113" t="e">
        <f>AW47/SUM(AW125,AV125,AT125,AS125)</f>
        <v>#DIV/0!</v>
      </c>
      <c r="AX136" s="113" t="e">
        <f>AX47/SUM(AX125,AW125,AV125,AT125)</f>
        <v>#DIV/0!</v>
      </c>
      <c r="AY136" s="113" t="e">
        <f>AY47/SUM(AY125,AX125,AW125,AV125)</f>
        <v>#DIV/0!</v>
      </c>
      <c r="AZ136" s="113" t="e">
        <f t="shared" ref="AZ136:BE136" si="196">AZ47/AZ125</f>
        <v>#DIV/0!</v>
      </c>
      <c r="BA136" s="142" t="e">
        <f t="shared" si="196"/>
        <v>#DIV/0!</v>
      </c>
      <c r="BB136" s="142" t="e">
        <f t="shared" si="196"/>
        <v>#DIV/0!</v>
      </c>
      <c r="BC136" s="142" t="e">
        <f t="shared" si="196"/>
        <v>#DIV/0!</v>
      </c>
      <c r="BD136" s="142" t="e">
        <f t="shared" si="196"/>
        <v>#DIV/0!</v>
      </c>
      <c r="BE136" s="113" t="e">
        <f t="shared" si="196"/>
        <v>#DIV/0!</v>
      </c>
      <c r="BF136" s="113" t="e">
        <f>BF47/SUM(BF125,BD125,BC125,BB125)</f>
        <v>#DIV/0!</v>
      </c>
      <c r="BG136" s="113" t="e">
        <f>BG47/SUM(BG125,BF125,BD125,BC125)</f>
        <v>#DIV/0!</v>
      </c>
      <c r="BH136" s="113" t="e">
        <f>BH47/SUM(BH125,BG125,BF125,BD125)</f>
        <v>#DIV/0!</v>
      </c>
      <c r="BI136" s="113" t="e">
        <f>BI47/SUM(BI125,BH125,BG125,BF125)</f>
        <v>#DIV/0!</v>
      </c>
      <c r="BJ136" s="113" t="e">
        <f>BJ47/BJ125</f>
        <v>#DIV/0!</v>
      </c>
      <c r="BK136" s="113" t="e">
        <f>BK47/SUM(BK125,BI125,BH125,BG125)</f>
        <v>#DIV/0!</v>
      </c>
      <c r="BL136" s="113" t="e">
        <f>BL47/SUM(BL125,BK125,BI125,BH125)</f>
        <v>#DIV/0!</v>
      </c>
      <c r="BM136" s="113" t="e">
        <f>BM47/SUM(BM125,BL125,BK125,BI125)</f>
        <v>#DIV/0!</v>
      </c>
      <c r="BN136" s="113" t="e">
        <f>BN47/SUM(BN125,BM125,BL125,BK125)</f>
        <v>#DIV/0!</v>
      </c>
      <c r="BO136" s="113" t="e">
        <f>BO47/BO125</f>
        <v>#DIV/0!</v>
      </c>
      <c r="BP136" s="113" t="e">
        <f>BP47/SUM(BP125,BN125,BM125,BL125)</f>
        <v>#DIV/0!</v>
      </c>
      <c r="BQ136" s="113" t="e">
        <f>BQ47/SUM(BQ125,BP125,BN125,BM125)</f>
        <v>#DIV/0!</v>
      </c>
      <c r="BR136" s="113" t="e">
        <f>BR47/SUM(BR125,BQ125,BP125,BN125)</f>
        <v>#DIV/0!</v>
      </c>
      <c r="BS136" s="113" t="e">
        <f>BS47/SUM(BS125,BR125,BQ125,BP125)</f>
        <v>#DIV/0!</v>
      </c>
      <c r="BT136" s="113" t="e">
        <f>BT47/BT125</f>
        <v>#DIV/0!</v>
      </c>
      <c r="BU136" s="113" t="e">
        <f>BU47/SUM(BU125,BS125,BR125,BQ125)</f>
        <v>#DIV/0!</v>
      </c>
      <c r="BV136" s="113" t="e">
        <f>BV47/SUM(BV125,BU125,BS125,BR125)</f>
        <v>#DIV/0!</v>
      </c>
      <c r="BW136" s="113" t="e">
        <f>BW47/SUM(BW125,BV125,BU125,BS125)</f>
        <v>#DIV/0!</v>
      </c>
      <c r="BX136" s="113" t="e">
        <f>BX47/SUM(BX125,BW125,BV125,BU125)</f>
        <v>#DIV/0!</v>
      </c>
      <c r="BY136" s="113" t="e">
        <f>BY47/BY125</f>
        <v>#DIV/0!</v>
      </c>
      <c r="BZ136" s="113" t="e">
        <f>BZ47/SUM(BZ125,BX125,BW125,BV125)</f>
        <v>#DIV/0!</v>
      </c>
      <c r="CA136" s="113" t="e">
        <f>CA47/SUM(CA125,BZ125,BX125,BW125)</f>
        <v>#DIV/0!</v>
      </c>
      <c r="CB136" s="113" t="e">
        <f>CB47/SUM(CB125,CA125,BZ125,BX125)</f>
        <v>#DIV/0!</v>
      </c>
      <c r="CC136" s="113" t="e">
        <f>CC47/SUM(CC125,CB125,CA125,BZ125)</f>
        <v>#DIV/0!</v>
      </c>
      <c r="CD136" s="382" t="e">
        <f>CD47/CD125</f>
        <v>#DIV/0!</v>
      </c>
      <c r="CE136" s="382"/>
      <c r="CF136" s="382"/>
      <c r="CG136" s="382"/>
      <c r="CH136" s="382"/>
      <c r="CI136" s="382" t="e">
        <f>CI47/CI125</f>
        <v>#DIV/0!</v>
      </c>
      <c r="CJ136" s="382"/>
      <c r="CK136" s="382"/>
      <c r="CL136" s="382"/>
      <c r="CM136" s="382"/>
      <c r="CN136" s="382" t="e">
        <f>CN47/CN125</f>
        <v>#DIV/0!</v>
      </c>
      <c r="CO136" s="382"/>
      <c r="CP136" s="382"/>
      <c r="CQ136" s="382"/>
      <c r="CR136" s="382"/>
      <c r="CS136" s="382" t="e">
        <f>CS47/CS125</f>
        <v>#DIV/0!</v>
      </c>
      <c r="CT136" s="382"/>
      <c r="CU136" s="382"/>
      <c r="CV136" s="382"/>
      <c r="CW136" s="382"/>
      <c r="CX136" s="382" t="e">
        <f>CX47/CX125</f>
        <v>#DIV/0!</v>
      </c>
    </row>
    <row r="137" spans="1:102" hidden="1" x14ac:dyDescent="0.2">
      <c r="A137" s="111"/>
      <c r="B137" s="111" t="s">
        <v>126</v>
      </c>
      <c r="C137" s="113" t="e">
        <f t="shared" ref="C137:AA137" si="197">C47/C126</f>
        <v>#DIV/0!</v>
      </c>
      <c r="D137" s="113" t="e">
        <f t="shared" si="197"/>
        <v>#DIV/0!</v>
      </c>
      <c r="E137" s="113" t="e">
        <f t="shared" si="197"/>
        <v>#DIV/0!</v>
      </c>
      <c r="F137" s="113" t="e">
        <f t="shared" si="197"/>
        <v>#DIV/0!</v>
      </c>
      <c r="G137" s="113" t="e">
        <f t="shared" si="197"/>
        <v>#DIV/0!</v>
      </c>
      <c r="H137" s="113" t="e">
        <f t="shared" si="197"/>
        <v>#DIV/0!</v>
      </c>
      <c r="I137" s="113" t="e">
        <f t="shared" si="197"/>
        <v>#DIV/0!</v>
      </c>
      <c r="J137" s="113" t="e">
        <f t="shared" si="197"/>
        <v>#DIV/0!</v>
      </c>
      <c r="K137" s="113" t="e">
        <f t="shared" si="197"/>
        <v>#DIV/0!</v>
      </c>
      <c r="L137" s="113" t="e">
        <f t="shared" si="197"/>
        <v>#DIV/0!</v>
      </c>
      <c r="M137" s="113" t="e">
        <f t="shared" si="197"/>
        <v>#DIV/0!</v>
      </c>
      <c r="N137" s="113" t="e">
        <f t="shared" si="197"/>
        <v>#DIV/0!</v>
      </c>
      <c r="O137" s="113" t="e">
        <f t="shared" si="197"/>
        <v>#DIV/0!</v>
      </c>
      <c r="P137" s="113" t="e">
        <f t="shared" si="197"/>
        <v>#DIV/0!</v>
      </c>
      <c r="Q137" s="113" t="e">
        <f t="shared" si="197"/>
        <v>#DIV/0!</v>
      </c>
      <c r="R137" s="113" t="e">
        <f t="shared" si="197"/>
        <v>#DIV/0!</v>
      </c>
      <c r="S137" s="113" t="e">
        <f t="shared" si="197"/>
        <v>#DIV/0!</v>
      </c>
      <c r="T137" s="113" t="e">
        <f t="shared" si="197"/>
        <v>#DIV/0!</v>
      </c>
      <c r="U137" s="113" t="e">
        <f t="shared" si="197"/>
        <v>#DIV/0!</v>
      </c>
      <c r="V137" s="113" t="e">
        <f t="shared" si="197"/>
        <v>#DIV/0!</v>
      </c>
      <c r="W137" s="113" t="e">
        <f t="shared" si="197"/>
        <v>#DIV/0!</v>
      </c>
      <c r="X137" s="113" t="e">
        <f t="shared" si="197"/>
        <v>#DIV/0!</v>
      </c>
      <c r="Y137" s="113" t="e">
        <f t="shared" si="197"/>
        <v>#DIV/0!</v>
      </c>
      <c r="Z137" s="113" t="e">
        <f t="shared" si="197"/>
        <v>#DIV/0!</v>
      </c>
      <c r="AA137" s="113">
        <f t="shared" si="197"/>
        <v>0</v>
      </c>
      <c r="AB137" s="142"/>
      <c r="AC137" s="142"/>
      <c r="AD137" s="142"/>
      <c r="AE137" s="142"/>
      <c r="AF137" s="113">
        <f t="shared" ref="AF137:BK137" si="198">AF47/AF126</f>
        <v>0</v>
      </c>
      <c r="AG137" s="113" t="e">
        <f t="shared" si="198"/>
        <v>#DIV/0!</v>
      </c>
      <c r="AH137" s="113" t="e">
        <f t="shared" si="198"/>
        <v>#DIV/0!</v>
      </c>
      <c r="AI137" s="113" t="e">
        <f t="shared" si="198"/>
        <v>#DIV/0!</v>
      </c>
      <c r="AJ137" s="113" t="e">
        <f t="shared" si="198"/>
        <v>#DIV/0!</v>
      </c>
      <c r="AK137" s="113">
        <f t="shared" si="198"/>
        <v>0</v>
      </c>
      <c r="AL137" s="113" t="e">
        <f t="shared" si="198"/>
        <v>#DIV/0!</v>
      </c>
      <c r="AM137" s="113" t="e">
        <f t="shared" si="198"/>
        <v>#DIV/0!</v>
      </c>
      <c r="AN137" s="113" t="e">
        <f t="shared" si="198"/>
        <v>#DIV/0!</v>
      </c>
      <c r="AO137" s="113" t="e">
        <f t="shared" si="198"/>
        <v>#DIV/0!</v>
      </c>
      <c r="AP137" s="113">
        <f t="shared" si="198"/>
        <v>0</v>
      </c>
      <c r="AQ137" s="113" t="e">
        <f t="shared" si="198"/>
        <v>#DIV/0!</v>
      </c>
      <c r="AR137" s="113" t="e">
        <f t="shared" si="198"/>
        <v>#DIV/0!</v>
      </c>
      <c r="AS137" s="113" t="e">
        <f t="shared" si="198"/>
        <v>#DIV/0!</v>
      </c>
      <c r="AT137" s="113" t="e">
        <f t="shared" si="198"/>
        <v>#DIV/0!</v>
      </c>
      <c r="AU137" s="113">
        <f t="shared" si="198"/>
        <v>0</v>
      </c>
      <c r="AV137" s="113" t="e">
        <f t="shared" si="198"/>
        <v>#DIV/0!</v>
      </c>
      <c r="AW137" s="113" t="e">
        <f t="shared" si="198"/>
        <v>#DIV/0!</v>
      </c>
      <c r="AX137" s="113" t="e">
        <f t="shared" si="198"/>
        <v>#DIV/0!</v>
      </c>
      <c r="AY137" s="113" t="e">
        <f t="shared" si="198"/>
        <v>#DIV/0!</v>
      </c>
      <c r="AZ137" s="113">
        <f t="shared" si="198"/>
        <v>0</v>
      </c>
      <c r="BA137" s="142" t="e">
        <f t="shared" si="198"/>
        <v>#DIV/0!</v>
      </c>
      <c r="BB137" s="142" t="e">
        <f t="shared" si="198"/>
        <v>#DIV/0!</v>
      </c>
      <c r="BC137" s="142" t="e">
        <f t="shared" si="198"/>
        <v>#DIV/0!</v>
      </c>
      <c r="BD137" s="142" t="e">
        <f t="shared" si="198"/>
        <v>#DIV/0!</v>
      </c>
      <c r="BE137" s="113">
        <f t="shared" si="198"/>
        <v>0</v>
      </c>
      <c r="BF137" s="113" t="e">
        <f t="shared" si="198"/>
        <v>#DIV/0!</v>
      </c>
      <c r="BG137" s="113" t="e">
        <f t="shared" si="198"/>
        <v>#DIV/0!</v>
      </c>
      <c r="BH137" s="113" t="e">
        <f t="shared" si="198"/>
        <v>#DIV/0!</v>
      </c>
      <c r="BI137" s="113" t="e">
        <f t="shared" si="198"/>
        <v>#DIV/0!</v>
      </c>
      <c r="BJ137" s="113">
        <f t="shared" si="198"/>
        <v>0</v>
      </c>
      <c r="BK137" s="113" t="e">
        <f t="shared" si="198"/>
        <v>#DIV/0!</v>
      </c>
      <c r="BL137" s="113" t="e">
        <f t="shared" ref="BL137:CN137" si="199">BL47/BL126</f>
        <v>#DIV/0!</v>
      </c>
      <c r="BM137" s="113" t="e">
        <f t="shared" si="199"/>
        <v>#DIV/0!</v>
      </c>
      <c r="BN137" s="113" t="e">
        <f t="shared" si="199"/>
        <v>#DIV/0!</v>
      </c>
      <c r="BO137" s="113">
        <f t="shared" si="199"/>
        <v>0</v>
      </c>
      <c r="BP137" s="113" t="e">
        <f t="shared" si="199"/>
        <v>#DIV/0!</v>
      </c>
      <c r="BQ137" s="113" t="e">
        <f t="shared" si="199"/>
        <v>#DIV/0!</v>
      </c>
      <c r="BR137" s="113" t="e">
        <f t="shared" si="199"/>
        <v>#DIV/0!</v>
      </c>
      <c r="BS137" s="113" t="e">
        <f t="shared" si="199"/>
        <v>#DIV/0!</v>
      </c>
      <c r="BT137" s="113">
        <f t="shared" si="199"/>
        <v>0</v>
      </c>
      <c r="BU137" s="113">
        <f t="shared" si="199"/>
        <v>0</v>
      </c>
      <c r="BV137" s="113" t="e">
        <f t="shared" si="199"/>
        <v>#DIV/0!</v>
      </c>
      <c r="BW137" s="113" t="e">
        <f t="shared" si="199"/>
        <v>#DIV/0!</v>
      </c>
      <c r="BX137" s="113" t="e">
        <f t="shared" si="199"/>
        <v>#DIV/0!</v>
      </c>
      <c r="BY137" s="113" t="e">
        <f t="shared" si="199"/>
        <v>#DIV/0!</v>
      </c>
      <c r="BZ137" s="113" t="e">
        <f t="shared" si="199"/>
        <v>#DIV/0!</v>
      </c>
      <c r="CA137" s="113" t="e">
        <f t="shared" si="199"/>
        <v>#DIV/0!</v>
      </c>
      <c r="CB137" s="113" t="e">
        <f t="shared" si="199"/>
        <v>#DIV/0!</v>
      </c>
      <c r="CC137" s="113" t="e">
        <f t="shared" si="199"/>
        <v>#DIV/0!</v>
      </c>
      <c r="CD137" s="382" t="e">
        <f t="shared" si="199"/>
        <v>#DIV/0!</v>
      </c>
      <c r="CE137" s="382"/>
      <c r="CF137" s="382"/>
      <c r="CG137" s="382"/>
      <c r="CH137" s="382"/>
      <c r="CI137" s="382" t="e">
        <f t="shared" si="199"/>
        <v>#DIV/0!</v>
      </c>
      <c r="CJ137" s="382"/>
      <c r="CK137" s="382"/>
      <c r="CL137" s="382"/>
      <c r="CM137" s="382"/>
      <c r="CN137" s="382" t="e">
        <f t="shared" si="199"/>
        <v>#DIV/0!</v>
      </c>
      <c r="CO137" s="382"/>
      <c r="CP137" s="382"/>
      <c r="CQ137" s="382"/>
      <c r="CR137" s="382"/>
      <c r="CS137" s="382" t="e">
        <f t="shared" ref="CS137:CX137" si="200">CS47/CS126</f>
        <v>#DIV/0!</v>
      </c>
      <c r="CT137" s="382"/>
      <c r="CU137" s="382"/>
      <c r="CV137" s="382"/>
      <c r="CW137" s="382"/>
      <c r="CX137" s="382" t="e">
        <f t="shared" si="200"/>
        <v>#DIV/0!</v>
      </c>
    </row>
    <row r="138" spans="1:102" hidden="1" x14ac:dyDescent="0.2">
      <c r="A138" s="111"/>
      <c r="B138" s="111" t="s">
        <v>127</v>
      </c>
      <c r="C138" s="113" t="e">
        <f>C47/C127</f>
        <v>#DIV/0!</v>
      </c>
      <c r="D138" s="113" t="e">
        <f>D47/D127</f>
        <v>#DIV/0!</v>
      </c>
      <c r="E138" s="113" t="e">
        <f>E47/E127</f>
        <v>#DIV/0!</v>
      </c>
      <c r="F138" s="113" t="e">
        <f>F47/F127</f>
        <v>#DIV/0!</v>
      </c>
      <c r="G138" s="113" t="e">
        <f>G47/G127</f>
        <v>#DIV/0!</v>
      </c>
      <c r="H138" s="113" t="e">
        <f>H47/SUM(H127,F127,E127,D127)</f>
        <v>#DIV/0!</v>
      </c>
      <c r="I138" s="113" t="e">
        <f>I47/SUM(I127,H127,F127,E127)</f>
        <v>#DIV/0!</v>
      </c>
      <c r="J138" s="113" t="e">
        <f>J47/SUM(J127,I127,H127,F127)</f>
        <v>#DIV/0!</v>
      </c>
      <c r="K138" s="113" t="e">
        <f>K47/SUM(K127,J127,I127,H127)</f>
        <v>#DIV/0!</v>
      </c>
      <c r="L138" s="113" t="e">
        <f>L47/L127</f>
        <v>#DIV/0!</v>
      </c>
      <c r="M138" s="113" t="e">
        <f>M47/SUM(M127,K127,J127,I127)</f>
        <v>#DIV/0!</v>
      </c>
      <c r="N138" s="113" t="e">
        <f>N47/SUM(N127,M127,K127,J127)</f>
        <v>#DIV/0!</v>
      </c>
      <c r="O138" s="113" t="e">
        <f>O47/SUM(O127,N127,M127,K127)</f>
        <v>#DIV/0!</v>
      </c>
      <c r="P138" s="113" t="e">
        <f>P47/SUM(P127,O127,N127,M127)</f>
        <v>#DIV/0!</v>
      </c>
      <c r="Q138" s="113" t="e">
        <f>Q47/Q127</f>
        <v>#DIV/0!</v>
      </c>
      <c r="R138" s="113" t="e">
        <f>R47/SUM(R127,P127,O127,N127)</f>
        <v>#DIV/0!</v>
      </c>
      <c r="S138" s="113" t="e">
        <f>S47/SUM(S127,R127,P127,O127)</f>
        <v>#DIV/0!</v>
      </c>
      <c r="T138" s="113" t="e">
        <f>T47/SUM(T127,S127,R127,P127)</f>
        <v>#DIV/0!</v>
      </c>
      <c r="U138" s="113" t="e">
        <f>U47/SUM(U127,T127,S127,R127)</f>
        <v>#DIV/0!</v>
      </c>
      <c r="V138" s="113" t="e">
        <f>V47/V127</f>
        <v>#DIV/0!</v>
      </c>
      <c r="W138" s="113" t="e">
        <f>W47/SUM(W127,U127,T127,S127)</f>
        <v>#DIV/0!</v>
      </c>
      <c r="X138" s="113" t="e">
        <f>X47/SUM(X127,W127,U127,T127)</f>
        <v>#DIV/0!</v>
      </c>
      <c r="Y138" s="113" t="e">
        <f>Y47/SUM(Y127,X127,W127,U127)</f>
        <v>#DIV/0!</v>
      </c>
      <c r="Z138" s="113" t="e">
        <f>Z47/SUM(Z127,Y127,X127,W127)</f>
        <v>#DIV/0!</v>
      </c>
      <c r="AA138" s="113">
        <f>AA47/AA127</f>
        <v>0</v>
      </c>
      <c r="AB138" s="142"/>
      <c r="AC138" s="142"/>
      <c r="AD138" s="142"/>
      <c r="AE138" s="142"/>
      <c r="AF138" s="113">
        <f>AF47/AF127</f>
        <v>0</v>
      </c>
      <c r="AG138" s="113" t="e">
        <f>AG47/SUM(AG127,AE127,AD127,AC127)</f>
        <v>#DIV/0!</v>
      </c>
      <c r="AH138" s="113" t="e">
        <f>AH47/SUM(AH127,AG127,AE127,AD127)</f>
        <v>#DIV/0!</v>
      </c>
      <c r="AI138" s="113" t="e">
        <f>AI47/SUM(AI127,AH127,AG127,AE127)</f>
        <v>#DIV/0!</v>
      </c>
      <c r="AJ138" s="113" t="e">
        <f>AJ47/SUM(AJ127,AI127,AH127,AG127)</f>
        <v>#DIV/0!</v>
      </c>
      <c r="AK138" s="113">
        <f>AK47/AK127</f>
        <v>0</v>
      </c>
      <c r="AL138" s="113" t="e">
        <f>AL47/SUM(AL127,AJ127,AI127,AH127)</f>
        <v>#DIV/0!</v>
      </c>
      <c r="AM138" s="113" t="e">
        <f>AM47/SUM(AM127,AL127,AJ127,AI127)</f>
        <v>#DIV/0!</v>
      </c>
      <c r="AN138" s="113" t="e">
        <f>AN47/SUM(AN127,AM127,AL127,AJ127)</f>
        <v>#DIV/0!</v>
      </c>
      <c r="AO138" s="113" t="e">
        <f>AO47/SUM(AO127,AN127,AM127,AL127)</f>
        <v>#DIV/0!</v>
      </c>
      <c r="AP138" s="113">
        <f>AP47/AP127</f>
        <v>0</v>
      </c>
      <c r="AQ138" s="113" t="e">
        <f>AQ47/SUM(AQ127,AO127,AN127,AM127)</f>
        <v>#DIV/0!</v>
      </c>
      <c r="AR138" s="113" t="e">
        <f>AR47/SUM(AR127,AQ127,AO127,AN127)</f>
        <v>#DIV/0!</v>
      </c>
      <c r="AS138" s="113" t="e">
        <f>AS47/SUM(AS127,AR127,AQ127,AO127)</f>
        <v>#DIV/0!</v>
      </c>
      <c r="AT138" s="113" t="e">
        <f>AT47/SUM(AT127,AS127,AR127,AQ127)</f>
        <v>#DIV/0!</v>
      </c>
      <c r="AU138" s="113">
        <f>AU47/AU127</f>
        <v>0</v>
      </c>
      <c r="AV138" s="113" t="e">
        <f>AV47/SUM(AV127,AT127,AS127,AR127)</f>
        <v>#DIV/0!</v>
      </c>
      <c r="AW138" s="113" t="e">
        <f>AW47/SUM(AW127,AV127,AT127,AS127)</f>
        <v>#DIV/0!</v>
      </c>
      <c r="AX138" s="113" t="e">
        <f>AX47/SUM(AX127,AW127,AV127,AT127)</f>
        <v>#DIV/0!</v>
      </c>
      <c r="AY138" s="113" t="e">
        <f>AY47/SUM(AY127,AX127,AW127,AV127)</f>
        <v>#DIV/0!</v>
      </c>
      <c r="AZ138" s="113">
        <f t="shared" ref="AZ138:BE138" si="201">AZ47/AZ127</f>
        <v>0</v>
      </c>
      <c r="BA138" s="142" t="e">
        <f t="shared" si="201"/>
        <v>#DIV/0!</v>
      </c>
      <c r="BB138" s="142" t="e">
        <f t="shared" si="201"/>
        <v>#DIV/0!</v>
      </c>
      <c r="BC138" s="142" t="e">
        <f t="shared" si="201"/>
        <v>#DIV/0!</v>
      </c>
      <c r="BD138" s="142" t="e">
        <f t="shared" si="201"/>
        <v>#DIV/0!</v>
      </c>
      <c r="BE138" s="113">
        <f t="shared" si="201"/>
        <v>0</v>
      </c>
      <c r="BF138" s="113" t="e">
        <f>BF47/SUM(BF127,BD127,BC127,BB127)</f>
        <v>#DIV/0!</v>
      </c>
      <c r="BG138" s="113" t="e">
        <f>BG47/SUM(BG127,BF127,BD127,BC127)</f>
        <v>#DIV/0!</v>
      </c>
      <c r="BH138" s="113" t="e">
        <f>BH47/SUM(BH127,BG127,BF127,BD127)</f>
        <v>#DIV/0!</v>
      </c>
      <c r="BI138" s="113" t="e">
        <f>BI47/SUM(BI127,BH127,BG127,BF127)</f>
        <v>#DIV/0!</v>
      </c>
      <c r="BJ138" s="113">
        <f>BJ47/BJ127</f>
        <v>0</v>
      </c>
      <c r="BK138" s="113" t="e">
        <f>BK47/SUM(BK127,BI127,BH127,BG127)</f>
        <v>#DIV/0!</v>
      </c>
      <c r="BL138" s="113" t="e">
        <f>BL47/SUM(BL127,BK127,BI127,BH127)</f>
        <v>#DIV/0!</v>
      </c>
      <c r="BM138" s="113" t="e">
        <f>BM47/SUM(BM127,BL127,BK127,BI127)</f>
        <v>#DIV/0!</v>
      </c>
      <c r="BN138" s="113" t="e">
        <f>BN47/SUM(BN127,BM127,BL127,BK127)</f>
        <v>#DIV/0!</v>
      </c>
      <c r="BO138" s="113">
        <f>BO47/BO127</f>
        <v>0</v>
      </c>
      <c r="BP138" s="113" t="e">
        <f>BP47/SUM(BP127,BN127,BM127,BL127)</f>
        <v>#DIV/0!</v>
      </c>
      <c r="BQ138" s="113" t="e">
        <f>BQ47/SUM(BQ127,BP127,BN127,BM127)</f>
        <v>#DIV/0!</v>
      </c>
      <c r="BR138" s="113" t="e">
        <f>BR47/SUM(BR127,BQ127,BP127,BN127)</f>
        <v>#DIV/0!</v>
      </c>
      <c r="BS138" s="113" t="e">
        <f>BS47/SUM(BS127,BR127,BQ127,BP127)</f>
        <v>#DIV/0!</v>
      </c>
      <c r="BT138" s="113">
        <f>BT47/BT127</f>
        <v>0</v>
      </c>
      <c r="BU138" s="113" t="e">
        <f>BU47/SUM(BU127,BS127,BR127,BQ127)</f>
        <v>#DIV/0!</v>
      </c>
      <c r="BV138" s="113" t="e">
        <f>BV47/SUM(BV127,BU127,BS127,BR127)</f>
        <v>#DIV/0!</v>
      </c>
      <c r="BW138" s="113" t="e">
        <f>BW47/SUM(BW127,BV127,BU127,BS127)</f>
        <v>#DIV/0!</v>
      </c>
      <c r="BX138" s="113" t="e">
        <f>BX47/SUM(BX127,BW127,BV127,BU127)</f>
        <v>#DIV/0!</v>
      </c>
      <c r="BY138" s="113" t="e">
        <f>BY47/BY127</f>
        <v>#DIV/0!</v>
      </c>
      <c r="BZ138" s="113" t="e">
        <f>BZ47/SUM(BZ127,BX127,BW127,BV127)</f>
        <v>#DIV/0!</v>
      </c>
      <c r="CA138" s="113" t="e">
        <f>CA47/SUM(CA127,BZ127,BX127,BW127)</f>
        <v>#DIV/0!</v>
      </c>
      <c r="CB138" s="113" t="e">
        <f>CB47/SUM(CB127,CA127,BZ127,BX127)</f>
        <v>#DIV/0!</v>
      </c>
      <c r="CC138" s="113" t="e">
        <f>CC47/SUM(CC127,CB127,CA127,BZ127)</f>
        <v>#DIV/0!</v>
      </c>
      <c r="CD138" s="382" t="e">
        <f>CD47/CD127</f>
        <v>#DIV/0!</v>
      </c>
      <c r="CE138" s="382"/>
      <c r="CF138" s="382"/>
      <c r="CG138" s="382"/>
      <c r="CH138" s="382"/>
      <c r="CI138" s="382" t="e">
        <f>CI47/CI127</f>
        <v>#DIV/0!</v>
      </c>
      <c r="CJ138" s="382"/>
      <c r="CK138" s="382"/>
      <c r="CL138" s="382"/>
      <c r="CM138" s="382"/>
      <c r="CN138" s="382" t="e">
        <f>CN47/CN127</f>
        <v>#DIV/0!</v>
      </c>
      <c r="CO138" s="382"/>
      <c r="CP138" s="382"/>
      <c r="CQ138" s="382"/>
      <c r="CR138" s="382"/>
      <c r="CS138" s="382" t="e">
        <f>CS47/CS127</f>
        <v>#DIV/0!</v>
      </c>
      <c r="CT138" s="382"/>
      <c r="CU138" s="382"/>
      <c r="CV138" s="382"/>
      <c r="CW138" s="382"/>
      <c r="CX138" s="382" t="e">
        <f>CX47/CX127</f>
        <v>#DIV/0!</v>
      </c>
    </row>
    <row r="139" spans="1:102" hidden="1" x14ac:dyDescent="0.2">
      <c r="A139" s="111"/>
      <c r="B139" s="111" t="s">
        <v>128</v>
      </c>
      <c r="C139" s="113" t="e">
        <f>C131/C19</f>
        <v>#DIV/0!</v>
      </c>
      <c r="D139" s="113" t="e">
        <f>D131/D19</f>
        <v>#DIV/0!</v>
      </c>
      <c r="E139" s="113" t="e">
        <f>E131/E19</f>
        <v>#DIV/0!</v>
      </c>
      <c r="F139" s="113" t="e">
        <f>F131/F19</f>
        <v>#DIV/0!</v>
      </c>
      <c r="G139" s="113" t="e">
        <f>G131/G19</f>
        <v>#DIV/0!</v>
      </c>
      <c r="H139" s="113" t="e">
        <f>H131/SUM(H19,F19,E19,D19)</f>
        <v>#DIV/0!</v>
      </c>
      <c r="I139" s="113" t="e">
        <f>I131/SUM(I19,H19,F19,E19)</f>
        <v>#DIV/0!</v>
      </c>
      <c r="J139" s="113" t="e">
        <f>J131/SUM(J19,I19,H19,F19)</f>
        <v>#DIV/0!</v>
      </c>
      <c r="K139" s="113" t="e">
        <f>K131/SUM(K19,J19,I19,H19)</f>
        <v>#DIV/0!</v>
      </c>
      <c r="L139" s="113" t="e">
        <f>L131/L19</f>
        <v>#DIV/0!</v>
      </c>
      <c r="M139" s="113" t="e">
        <f>M131/SUM(M19,K19,J19,I19)</f>
        <v>#DIV/0!</v>
      </c>
      <c r="N139" s="113" t="e">
        <f>N131/SUM(N19,M19,K19,J19)</f>
        <v>#DIV/0!</v>
      </c>
      <c r="O139" s="113" t="e">
        <f>O131/SUM(O19,N19,M19,K19)</f>
        <v>#DIV/0!</v>
      </c>
      <c r="P139" s="113" t="e">
        <f>P131/SUM(P19,O19,N19,M19)</f>
        <v>#DIV/0!</v>
      </c>
      <c r="Q139" s="113" t="e">
        <f>Q131/Q19</f>
        <v>#DIV/0!</v>
      </c>
      <c r="R139" s="113" t="e">
        <f>R131/SUM(R19,P19,O19,N19)</f>
        <v>#DIV/0!</v>
      </c>
      <c r="S139" s="113" t="e">
        <f>S131/SUM(S19,R19,P19,O19)</f>
        <v>#DIV/0!</v>
      </c>
      <c r="T139" s="113" t="e">
        <f>T131/SUM(T19,S19,R19,P19)</f>
        <v>#DIV/0!</v>
      </c>
      <c r="U139" s="113" t="e">
        <f>U131/SUM(U19,T19,S19,R19)</f>
        <v>#DIV/0!</v>
      </c>
      <c r="V139" s="113" t="e">
        <f>V131/V19</f>
        <v>#DIV/0!</v>
      </c>
      <c r="W139" s="113" t="e">
        <f>W131/SUM(W19,U19,T19,S19)</f>
        <v>#DIV/0!</v>
      </c>
      <c r="X139" s="113" t="e">
        <f>X131/SUM(X19,W19,U19,T19)</f>
        <v>#DIV/0!</v>
      </c>
      <c r="Y139" s="113" t="e">
        <f>Y131/SUM(Y19,X19,W19,U19)</f>
        <v>#DIV/0!</v>
      </c>
      <c r="Z139" s="113" t="e">
        <f>Z131/SUM(Z19,Y19,X19,W19)</f>
        <v>#DIV/0!</v>
      </c>
      <c r="AA139" s="113">
        <f>AA131/AA19</f>
        <v>0</v>
      </c>
      <c r="AB139" s="142"/>
      <c r="AC139" s="142"/>
      <c r="AD139" s="142"/>
      <c r="AE139" s="142"/>
      <c r="AF139" s="113">
        <f>AF131/AF19</f>
        <v>0</v>
      </c>
      <c r="AG139" s="113" t="e">
        <f>AG131/SUM(AG19,AE19,AD19,AC19)</f>
        <v>#DIV/0!</v>
      </c>
      <c r="AH139" s="113" t="e">
        <f>AH131/SUM(AH19,AG19,AE19,AD19)</f>
        <v>#DIV/0!</v>
      </c>
      <c r="AI139" s="113" t="e">
        <f>AI131/SUM(AI19,AH19,AG19,AE19)</f>
        <v>#DIV/0!</v>
      </c>
      <c r="AJ139" s="113" t="e">
        <f>AJ131/SUM(AJ19,AI19,AH19,AG19)</f>
        <v>#DIV/0!</v>
      </c>
      <c r="AK139" s="113">
        <f>AK131/AK19</f>
        <v>0</v>
      </c>
      <c r="AL139" s="113" t="e">
        <f>AL131/SUM(AL19,AJ19,AI19,AH19)</f>
        <v>#DIV/0!</v>
      </c>
      <c r="AM139" s="113" t="e">
        <f>AM131/SUM(AM19,AL19,AJ19,AI19)</f>
        <v>#DIV/0!</v>
      </c>
      <c r="AN139" s="113" t="e">
        <f>AN131/SUM(AN19,AM19,AL19,AJ19)</f>
        <v>#DIV/0!</v>
      </c>
      <c r="AO139" s="113" t="e">
        <f>AO131/SUM(AO19,AN19,AM19,AL19)</f>
        <v>#DIV/0!</v>
      </c>
      <c r="AP139" s="113">
        <f>AP131/AP19</f>
        <v>0</v>
      </c>
      <c r="AQ139" s="113" t="e">
        <f>AQ131/SUM(AQ19,AO19,AN19,AM19)</f>
        <v>#DIV/0!</v>
      </c>
      <c r="AR139" s="113" t="e">
        <f>AR131/SUM(AR19,AQ19,AO19,AN19)</f>
        <v>#DIV/0!</v>
      </c>
      <c r="AS139" s="113" t="e">
        <f>AS131/SUM(AS19,AR19,AQ19,AO19)</f>
        <v>#DIV/0!</v>
      </c>
      <c r="AT139" s="113" t="e">
        <f>AT131/SUM(AT19,AS19,AR19,AQ19)</f>
        <v>#DIV/0!</v>
      </c>
      <c r="AU139" s="113" t="e">
        <f>AU131/AU19</f>
        <v>#DIV/0!</v>
      </c>
      <c r="AV139" s="113" t="e">
        <f>AV131/SUM(AV19,AT19,AS19,AR19)</f>
        <v>#DIV/0!</v>
      </c>
      <c r="AW139" s="113" t="e">
        <f>AW131/SUM(AW19,AV19,AT19,AS19)</f>
        <v>#DIV/0!</v>
      </c>
      <c r="AX139" s="113" t="e">
        <f>AX131/SUM(AX19,AW19,AV19,AT19)</f>
        <v>#DIV/0!</v>
      </c>
      <c r="AY139" s="113" t="e">
        <f>AY131/SUM(AY19,AX19,AW19,AV19)</f>
        <v>#DIV/0!</v>
      </c>
      <c r="AZ139" s="113" t="e">
        <f t="shared" ref="AZ139:BE139" si="202">AZ131/AZ19</f>
        <v>#DIV/0!</v>
      </c>
      <c r="BA139" s="142" t="e">
        <f t="shared" si="202"/>
        <v>#DIV/0!</v>
      </c>
      <c r="BB139" s="142" t="e">
        <f t="shared" si="202"/>
        <v>#DIV/0!</v>
      </c>
      <c r="BC139" s="142" t="e">
        <f t="shared" si="202"/>
        <v>#DIV/0!</v>
      </c>
      <c r="BD139" s="142" t="e">
        <f t="shared" si="202"/>
        <v>#DIV/0!</v>
      </c>
      <c r="BE139" s="113" t="e">
        <f t="shared" si="202"/>
        <v>#DIV/0!</v>
      </c>
      <c r="BF139" s="113" t="e">
        <f>BF131/SUM(BF19,BD19,BC19,BB19)</f>
        <v>#DIV/0!</v>
      </c>
      <c r="BG139" s="113" t="e">
        <f>BG131/SUM(BG19,BF19,BD19,BC19)</f>
        <v>#DIV/0!</v>
      </c>
      <c r="BH139" s="113" t="e">
        <f>BH131/SUM(BH19,BG19,BF19,BD19)</f>
        <v>#DIV/0!</v>
      </c>
      <c r="BI139" s="113" t="e">
        <f>BI131/SUM(BI19,BH19,BG19,BF19)</f>
        <v>#DIV/0!</v>
      </c>
      <c r="BJ139" s="113" t="e">
        <f>BJ131/BJ19</f>
        <v>#DIV/0!</v>
      </c>
      <c r="BK139" s="113" t="e">
        <f>BK131/SUM(BK19,BI19,BH19,BG19)</f>
        <v>#DIV/0!</v>
      </c>
      <c r="BL139" s="113" t="e">
        <f>BL131/SUM(BL19,BK19,BI19,BH19)</f>
        <v>#DIV/0!</v>
      </c>
      <c r="BM139" s="113" t="e">
        <f>BM131/SUM(BM19,BL19,BK19,BI19)</f>
        <v>#DIV/0!</v>
      </c>
      <c r="BN139" s="113" t="e">
        <f>BN131/SUM(BN19,BM19,BL19,BK19)</f>
        <v>#DIV/0!</v>
      </c>
      <c r="BO139" s="113" t="e">
        <f>BO131/BO19</f>
        <v>#DIV/0!</v>
      </c>
      <c r="BP139" s="113" t="e">
        <f>BP131/SUM(BP19,BN19,BM19,BL19)</f>
        <v>#DIV/0!</v>
      </c>
      <c r="BQ139" s="113" t="e">
        <f>BQ131/SUM(BQ19,BP19,BN19,BM19)</f>
        <v>#DIV/0!</v>
      </c>
      <c r="BR139" s="113" t="e">
        <f>BR131/SUM(BR19,BQ19,BP19,BN19)</f>
        <v>#DIV/0!</v>
      </c>
      <c r="BS139" s="113" t="e">
        <f>BS131/SUM(BS19,BR19,BQ19,BP19)</f>
        <v>#DIV/0!</v>
      </c>
      <c r="BT139" s="113">
        <f>BT131/BT19</f>
        <v>0</v>
      </c>
      <c r="BU139" s="113">
        <f>BU131/SUM(BU19,BS19,BR19,BQ19)</f>
        <v>0</v>
      </c>
      <c r="BV139" s="113" t="e">
        <f>BV131/SUM(BV19,BU19,BS19,BR19)</f>
        <v>#DIV/0!</v>
      </c>
      <c r="BW139" s="113" t="e">
        <f>BW131/SUM(BW19,BV19,BU19,BS19)</f>
        <v>#DIV/0!</v>
      </c>
      <c r="BX139" s="113" t="e">
        <f>BX131/SUM(BX19,BW19,BV19,BU19)</f>
        <v>#DIV/0!</v>
      </c>
      <c r="BY139" s="113" t="e">
        <f>BY131/BY19</f>
        <v>#DIV/0!</v>
      </c>
      <c r="BZ139" s="113" t="e">
        <f>BZ131/SUM(BZ19,BX19,BW19,BV19)</f>
        <v>#DIV/0!</v>
      </c>
      <c r="CA139" s="113" t="e">
        <f>CA131/SUM(CA19,BZ19,BX19,BW19)</f>
        <v>#DIV/0!</v>
      </c>
      <c r="CB139" s="113" t="e">
        <f>CB131/SUM(CB19,CA19,BZ19,BX19)</f>
        <v>#DIV/0!</v>
      </c>
      <c r="CC139" s="113" t="e">
        <f>CC131/SUM(CC19,CB19,CA19,BZ19)</f>
        <v>#DIV/0!</v>
      </c>
      <c r="CD139" s="382" t="e">
        <f>CD131/CD19</f>
        <v>#DIV/0!</v>
      </c>
      <c r="CE139" s="382"/>
      <c r="CF139" s="382"/>
      <c r="CG139" s="382"/>
      <c r="CH139" s="382"/>
      <c r="CI139" s="382" t="e">
        <f>CI131/CI19</f>
        <v>#DIV/0!</v>
      </c>
      <c r="CJ139" s="382"/>
      <c r="CK139" s="382"/>
      <c r="CL139" s="382"/>
      <c r="CM139" s="382"/>
      <c r="CN139" s="382" t="e">
        <f>CN131/CN19</f>
        <v>#DIV/0!</v>
      </c>
      <c r="CO139" s="382"/>
      <c r="CP139" s="382"/>
      <c r="CQ139" s="382"/>
      <c r="CR139" s="382"/>
      <c r="CS139" s="382" t="e">
        <f>CS131/CS19</f>
        <v>#DIV/0!</v>
      </c>
      <c r="CT139" s="382"/>
      <c r="CU139" s="382"/>
      <c r="CV139" s="382"/>
      <c r="CW139" s="382"/>
      <c r="CX139" s="382" t="e">
        <f>CX131/CX19</f>
        <v>#DIV/0!</v>
      </c>
    </row>
    <row r="140" spans="1:102" x14ac:dyDescent="0.2">
      <c r="CD140" s="383"/>
      <c r="CE140" s="383"/>
      <c r="CF140" s="383"/>
      <c r="CG140" s="383"/>
      <c r="CH140" s="383"/>
      <c r="CI140" s="383"/>
      <c r="CJ140" s="383"/>
      <c r="CK140" s="383"/>
      <c r="CL140" s="383"/>
      <c r="CM140" s="383"/>
      <c r="CN140" s="383"/>
      <c r="CO140" s="383"/>
      <c r="CP140" s="383"/>
      <c r="CQ140" s="383"/>
      <c r="CR140" s="383"/>
      <c r="CS140" s="383"/>
      <c r="CT140" s="383"/>
      <c r="CU140" s="383"/>
      <c r="CV140" s="383"/>
      <c r="CW140" s="383"/>
      <c r="CX140" s="383"/>
    </row>
    <row r="141" spans="1:102" s="133" customFormat="1" x14ac:dyDescent="0.2">
      <c r="B141" s="133" t="s">
        <v>129</v>
      </c>
      <c r="C141" s="143" t="e">
        <f t="shared" ref="C141:AH141" si="203">C11/C9</f>
        <v>#DIV/0!</v>
      </c>
      <c r="D141" s="143" t="e">
        <f t="shared" si="203"/>
        <v>#DIV/0!</v>
      </c>
      <c r="E141" s="143" t="e">
        <f t="shared" si="203"/>
        <v>#DIV/0!</v>
      </c>
      <c r="F141" s="143" t="e">
        <f t="shared" si="203"/>
        <v>#DIV/0!</v>
      </c>
      <c r="G141" s="143" t="e">
        <f t="shared" si="203"/>
        <v>#DIV/0!</v>
      </c>
      <c r="H141" s="143" t="e">
        <f t="shared" si="203"/>
        <v>#DIV/0!</v>
      </c>
      <c r="I141" s="143" t="e">
        <f t="shared" si="203"/>
        <v>#DIV/0!</v>
      </c>
      <c r="J141" s="143" t="e">
        <f t="shared" si="203"/>
        <v>#DIV/0!</v>
      </c>
      <c r="K141" s="143" t="e">
        <f t="shared" si="203"/>
        <v>#DIV/0!</v>
      </c>
      <c r="L141" s="143" t="e">
        <f t="shared" si="203"/>
        <v>#DIV/0!</v>
      </c>
      <c r="M141" s="143" t="e">
        <f t="shared" si="203"/>
        <v>#DIV/0!</v>
      </c>
      <c r="N141" s="143" t="e">
        <f t="shared" si="203"/>
        <v>#DIV/0!</v>
      </c>
      <c r="O141" s="143" t="e">
        <f t="shared" si="203"/>
        <v>#DIV/0!</v>
      </c>
      <c r="P141" s="143" t="e">
        <f t="shared" si="203"/>
        <v>#DIV/0!</v>
      </c>
      <c r="Q141" s="143" t="e">
        <f t="shared" si="203"/>
        <v>#DIV/0!</v>
      </c>
      <c r="R141" s="143" t="e">
        <f t="shared" si="203"/>
        <v>#DIV/0!</v>
      </c>
      <c r="S141" s="143" t="e">
        <f t="shared" si="203"/>
        <v>#DIV/0!</v>
      </c>
      <c r="T141" s="143" t="e">
        <f t="shared" si="203"/>
        <v>#DIV/0!</v>
      </c>
      <c r="U141" s="143" t="e">
        <f t="shared" si="203"/>
        <v>#DIV/0!</v>
      </c>
      <c r="V141" s="143" t="e">
        <f t="shared" si="203"/>
        <v>#DIV/0!</v>
      </c>
      <c r="W141" s="143" t="e">
        <f t="shared" si="203"/>
        <v>#DIV/0!</v>
      </c>
      <c r="X141" s="143" t="e">
        <f t="shared" si="203"/>
        <v>#DIV/0!</v>
      </c>
      <c r="Y141" s="143" t="e">
        <f t="shared" si="203"/>
        <v>#DIV/0!</v>
      </c>
      <c r="Z141" s="143" t="e">
        <f t="shared" si="203"/>
        <v>#DIV/0!</v>
      </c>
      <c r="AA141" s="143">
        <f t="shared" si="203"/>
        <v>0.27226938161500025</v>
      </c>
      <c r="AB141" s="143" t="e">
        <f t="shared" si="203"/>
        <v>#DIV/0!</v>
      </c>
      <c r="AC141" s="143" t="e">
        <f t="shared" si="203"/>
        <v>#DIV/0!</v>
      </c>
      <c r="AD141" s="143" t="e">
        <f t="shared" si="203"/>
        <v>#DIV/0!</v>
      </c>
      <c r="AE141" s="143" t="e">
        <f t="shared" si="203"/>
        <v>#DIV/0!</v>
      </c>
      <c r="AF141" s="143">
        <f t="shared" si="203"/>
        <v>0.29482626871038792</v>
      </c>
      <c r="AG141" s="143" t="e">
        <f t="shared" si="203"/>
        <v>#DIV/0!</v>
      </c>
      <c r="AH141" s="143" t="e">
        <f t="shared" si="203"/>
        <v>#DIV/0!</v>
      </c>
      <c r="AI141" s="143" t="e">
        <f t="shared" ref="AI141:BN141" si="204">AI11/AI9</f>
        <v>#DIV/0!</v>
      </c>
      <c r="AJ141" s="143" t="e">
        <f t="shared" si="204"/>
        <v>#DIV/0!</v>
      </c>
      <c r="AK141" s="143">
        <f t="shared" si="204"/>
        <v>0.33040203353083003</v>
      </c>
      <c r="AL141" s="143" t="e">
        <f t="shared" si="204"/>
        <v>#DIV/0!</v>
      </c>
      <c r="AM141" s="143" t="e">
        <f t="shared" si="204"/>
        <v>#DIV/0!</v>
      </c>
      <c r="AN141" s="143" t="e">
        <f t="shared" si="204"/>
        <v>#DIV/0!</v>
      </c>
      <c r="AO141" s="143" t="e">
        <f t="shared" si="204"/>
        <v>#DIV/0!</v>
      </c>
      <c r="AP141" s="143">
        <f t="shared" si="204"/>
        <v>0.35093060366064405</v>
      </c>
      <c r="AQ141" s="143" t="e">
        <f t="shared" si="204"/>
        <v>#DIV/0!</v>
      </c>
      <c r="AR141" s="143" t="e">
        <f t="shared" si="204"/>
        <v>#DIV/0!</v>
      </c>
      <c r="AS141" s="143" t="e">
        <f t="shared" si="204"/>
        <v>#DIV/0!</v>
      </c>
      <c r="AT141" s="143" t="e">
        <f t="shared" si="204"/>
        <v>#DIV/0!</v>
      </c>
      <c r="AU141" s="143">
        <f t="shared" si="204"/>
        <v>0.3706835482891615</v>
      </c>
      <c r="AV141" s="143" t="e">
        <f t="shared" si="204"/>
        <v>#DIV/0!</v>
      </c>
      <c r="AW141" s="143" t="e">
        <f t="shared" si="204"/>
        <v>#DIV/0!</v>
      </c>
      <c r="AX141" s="143" t="e">
        <f t="shared" si="204"/>
        <v>#DIV/0!</v>
      </c>
      <c r="AY141" s="143" t="e">
        <f t="shared" si="204"/>
        <v>#DIV/0!</v>
      </c>
      <c r="AZ141" s="143">
        <f t="shared" si="204"/>
        <v>0.40247416128852193</v>
      </c>
      <c r="BA141" s="143" t="e">
        <f t="shared" si="204"/>
        <v>#DIV/0!</v>
      </c>
      <c r="BB141" s="143" t="e">
        <f t="shared" si="204"/>
        <v>#DIV/0!</v>
      </c>
      <c r="BC141" s="143" t="e">
        <f t="shared" si="204"/>
        <v>#DIV/0!</v>
      </c>
      <c r="BD141" s="143" t="e">
        <f t="shared" si="204"/>
        <v>#DIV/0!</v>
      </c>
      <c r="BE141" s="143">
        <f t="shared" si="204"/>
        <v>0.40990011478600608</v>
      </c>
      <c r="BF141" s="143" t="e">
        <f t="shared" si="204"/>
        <v>#DIV/0!</v>
      </c>
      <c r="BG141" s="143" t="e">
        <f t="shared" si="204"/>
        <v>#DIV/0!</v>
      </c>
      <c r="BH141" s="143" t="e">
        <f t="shared" si="204"/>
        <v>#DIV/0!</v>
      </c>
      <c r="BI141" s="143" t="e">
        <f t="shared" si="204"/>
        <v>#DIV/0!</v>
      </c>
      <c r="BJ141" s="143">
        <f t="shared" si="204"/>
        <v>0.3956779186870571</v>
      </c>
      <c r="BK141" s="143" t="e">
        <f t="shared" si="204"/>
        <v>#DIV/0!</v>
      </c>
      <c r="BL141" s="143" t="e">
        <f t="shared" si="204"/>
        <v>#DIV/0!</v>
      </c>
      <c r="BM141" s="143" t="e">
        <f t="shared" si="204"/>
        <v>#DIV/0!</v>
      </c>
      <c r="BN141" s="143" t="e">
        <f t="shared" si="204"/>
        <v>#DIV/0!</v>
      </c>
      <c r="BO141" s="143">
        <f t="shared" ref="BO141:CD141" si="205">BO11/BO9</f>
        <v>0.42032514441639601</v>
      </c>
      <c r="BP141" s="143" t="e">
        <f t="shared" si="205"/>
        <v>#DIV/0!</v>
      </c>
      <c r="BQ141" s="143" t="e">
        <f t="shared" si="205"/>
        <v>#DIV/0!</v>
      </c>
      <c r="BR141" s="143" t="e">
        <f t="shared" si="205"/>
        <v>#DIV/0!</v>
      </c>
      <c r="BS141" s="143" t="e">
        <f t="shared" si="205"/>
        <v>#DIV/0!</v>
      </c>
      <c r="BT141" s="143">
        <f t="shared" si="205"/>
        <v>0.43805339865326287</v>
      </c>
      <c r="BU141" s="143">
        <f t="shared" si="205"/>
        <v>0.46771306082067871</v>
      </c>
      <c r="BV141" s="143">
        <f t="shared" si="205"/>
        <v>0.48376654785203488</v>
      </c>
      <c r="BW141" s="143">
        <f t="shared" si="205"/>
        <v>0.47567495789157344</v>
      </c>
      <c r="BX141" s="143">
        <f t="shared" si="205"/>
        <v>0.45544566106342044</v>
      </c>
      <c r="BY141" s="143">
        <f t="shared" si="205"/>
        <v>0.46982088955000567</v>
      </c>
      <c r="BZ141" s="143" t="e">
        <f t="shared" si="205"/>
        <v>#DIV/0!</v>
      </c>
      <c r="CA141" s="143" t="e">
        <f t="shared" si="205"/>
        <v>#DIV/0!</v>
      </c>
      <c r="CB141" s="143" t="e">
        <f t="shared" si="205"/>
        <v>#DIV/0!</v>
      </c>
      <c r="CC141" s="143" t="e">
        <f t="shared" si="205"/>
        <v>#DIV/0!</v>
      </c>
      <c r="CD141" s="384">
        <f t="shared" si="205"/>
        <v>0.37776031483520667</v>
      </c>
      <c r="CE141" s="384"/>
      <c r="CF141" s="384"/>
      <c r="CG141" s="384"/>
      <c r="CH141" s="384"/>
      <c r="CI141" s="384">
        <f>CI11/CI9</f>
        <v>0.37776031483520667</v>
      </c>
      <c r="CJ141" s="384"/>
      <c r="CK141" s="384"/>
      <c r="CL141" s="384"/>
      <c r="CM141" s="384"/>
      <c r="CN141" s="384">
        <f>CN11/CN9</f>
        <v>0.37776031483520672</v>
      </c>
      <c r="CO141" s="384"/>
      <c r="CP141" s="384"/>
      <c r="CQ141" s="384"/>
      <c r="CR141" s="384"/>
      <c r="CS141" s="384">
        <f>CS11/CS9</f>
        <v>0.37776031483520667</v>
      </c>
      <c r="CT141" s="384"/>
      <c r="CU141" s="384"/>
      <c r="CV141" s="384"/>
      <c r="CW141" s="384"/>
      <c r="CX141" s="384">
        <f>CX11/CX9</f>
        <v>0.37776031483520667</v>
      </c>
    </row>
    <row r="142" spans="1:102" s="133" customFormat="1" x14ac:dyDescent="0.2">
      <c r="B142" s="133" t="s">
        <v>130</v>
      </c>
      <c r="C142" s="143" t="e">
        <f t="shared" ref="C142:AH142" si="206">C19/C9</f>
        <v>#DIV/0!</v>
      </c>
      <c r="D142" s="143" t="e">
        <f t="shared" si="206"/>
        <v>#DIV/0!</v>
      </c>
      <c r="E142" s="143" t="e">
        <f t="shared" si="206"/>
        <v>#DIV/0!</v>
      </c>
      <c r="F142" s="143" t="e">
        <f t="shared" si="206"/>
        <v>#DIV/0!</v>
      </c>
      <c r="G142" s="143" t="e">
        <f t="shared" si="206"/>
        <v>#DIV/0!</v>
      </c>
      <c r="H142" s="143" t="e">
        <f t="shared" si="206"/>
        <v>#DIV/0!</v>
      </c>
      <c r="I142" s="143" t="e">
        <f t="shared" si="206"/>
        <v>#DIV/0!</v>
      </c>
      <c r="J142" s="143" t="e">
        <f t="shared" si="206"/>
        <v>#DIV/0!</v>
      </c>
      <c r="K142" s="143" t="e">
        <f t="shared" si="206"/>
        <v>#DIV/0!</v>
      </c>
      <c r="L142" s="143" t="e">
        <f t="shared" si="206"/>
        <v>#DIV/0!</v>
      </c>
      <c r="M142" s="143" t="e">
        <f t="shared" si="206"/>
        <v>#DIV/0!</v>
      </c>
      <c r="N142" s="143" t="e">
        <f t="shared" si="206"/>
        <v>#DIV/0!</v>
      </c>
      <c r="O142" s="143" t="e">
        <f t="shared" si="206"/>
        <v>#DIV/0!</v>
      </c>
      <c r="P142" s="143" t="e">
        <f t="shared" si="206"/>
        <v>#DIV/0!</v>
      </c>
      <c r="Q142" s="143" t="e">
        <f t="shared" si="206"/>
        <v>#DIV/0!</v>
      </c>
      <c r="R142" s="143" t="e">
        <f t="shared" si="206"/>
        <v>#DIV/0!</v>
      </c>
      <c r="S142" s="143" t="e">
        <f t="shared" si="206"/>
        <v>#DIV/0!</v>
      </c>
      <c r="T142" s="143" t="e">
        <f t="shared" si="206"/>
        <v>#DIV/0!</v>
      </c>
      <c r="U142" s="143" t="e">
        <f t="shared" si="206"/>
        <v>#DIV/0!</v>
      </c>
      <c r="V142" s="143" t="e">
        <f t="shared" si="206"/>
        <v>#DIV/0!</v>
      </c>
      <c r="W142" s="143" t="e">
        <f t="shared" si="206"/>
        <v>#DIV/0!</v>
      </c>
      <c r="X142" s="143" t="e">
        <f t="shared" si="206"/>
        <v>#DIV/0!</v>
      </c>
      <c r="Y142" s="143" t="e">
        <f t="shared" si="206"/>
        <v>#DIV/0!</v>
      </c>
      <c r="Z142" s="143" t="e">
        <f t="shared" si="206"/>
        <v>#DIV/0!</v>
      </c>
      <c r="AA142" s="143">
        <f t="shared" si="206"/>
        <v>1.0006447106860796E-2</v>
      </c>
      <c r="AB142" s="143" t="e">
        <f t="shared" si="206"/>
        <v>#DIV/0!</v>
      </c>
      <c r="AC142" s="143" t="e">
        <f t="shared" si="206"/>
        <v>#DIV/0!</v>
      </c>
      <c r="AD142" s="143" t="e">
        <f t="shared" si="206"/>
        <v>#DIV/0!</v>
      </c>
      <c r="AE142" s="143" t="e">
        <f t="shared" si="206"/>
        <v>#DIV/0!</v>
      </c>
      <c r="AF142" s="143">
        <f t="shared" si="206"/>
        <v>2.000269699285297E-3</v>
      </c>
      <c r="AG142" s="143" t="e">
        <f t="shared" si="206"/>
        <v>#DIV/0!</v>
      </c>
      <c r="AH142" s="143" t="e">
        <f t="shared" si="206"/>
        <v>#DIV/0!</v>
      </c>
      <c r="AI142" s="143" t="e">
        <f t="shared" ref="AI142:BN142" si="207">AI19/AI9</f>
        <v>#DIV/0!</v>
      </c>
      <c r="AJ142" s="143" t="e">
        <f t="shared" si="207"/>
        <v>#DIV/0!</v>
      </c>
      <c r="AK142" s="143">
        <f t="shared" si="207"/>
        <v>2.0867988710913405E-2</v>
      </c>
      <c r="AL142" s="143" t="e">
        <f t="shared" si="207"/>
        <v>#DIV/0!</v>
      </c>
      <c r="AM142" s="143" t="e">
        <f t="shared" si="207"/>
        <v>#DIV/0!</v>
      </c>
      <c r="AN142" s="143" t="e">
        <f t="shared" si="207"/>
        <v>#DIV/0!</v>
      </c>
      <c r="AO142" s="143" t="e">
        <f t="shared" si="207"/>
        <v>#DIV/0!</v>
      </c>
      <c r="AP142" s="143">
        <f t="shared" si="207"/>
        <v>3.0782354195621642E-2</v>
      </c>
      <c r="AQ142" s="143" t="e">
        <f t="shared" si="207"/>
        <v>#DIV/0!</v>
      </c>
      <c r="AR142" s="143" t="e">
        <f t="shared" si="207"/>
        <v>#DIV/0!</v>
      </c>
      <c r="AS142" s="143" t="e">
        <f t="shared" si="207"/>
        <v>#DIV/0!</v>
      </c>
      <c r="AT142" s="143" t="e">
        <f t="shared" si="207"/>
        <v>#DIV/0!</v>
      </c>
      <c r="AU142" s="143">
        <f t="shared" si="207"/>
        <v>2.3084794170892695E-2</v>
      </c>
      <c r="AV142" s="143" t="e">
        <f t="shared" si="207"/>
        <v>#DIV/0!</v>
      </c>
      <c r="AW142" s="143" t="e">
        <f t="shared" si="207"/>
        <v>#DIV/0!</v>
      </c>
      <c r="AX142" s="143" t="e">
        <f t="shared" si="207"/>
        <v>#DIV/0!</v>
      </c>
      <c r="AY142" s="143" t="e">
        <f t="shared" si="207"/>
        <v>#DIV/0!</v>
      </c>
      <c r="AZ142" s="143">
        <f t="shared" si="207"/>
        <v>5.3334879147397665E-2</v>
      </c>
      <c r="BA142" s="143" t="e">
        <f t="shared" si="207"/>
        <v>#DIV/0!</v>
      </c>
      <c r="BB142" s="143" t="e">
        <f t="shared" si="207"/>
        <v>#DIV/0!</v>
      </c>
      <c r="BC142" s="143" t="e">
        <f t="shared" si="207"/>
        <v>#DIV/0!</v>
      </c>
      <c r="BD142" s="143" t="e">
        <f t="shared" si="207"/>
        <v>#DIV/0!</v>
      </c>
      <c r="BE142" s="143">
        <f t="shared" si="207"/>
        <v>5.1835506662579051E-2</v>
      </c>
      <c r="BF142" s="143" t="e">
        <f t="shared" si="207"/>
        <v>#DIV/0!</v>
      </c>
      <c r="BG142" s="143" t="e">
        <f t="shared" si="207"/>
        <v>#DIV/0!</v>
      </c>
      <c r="BH142" s="143" t="e">
        <f t="shared" si="207"/>
        <v>#DIV/0!</v>
      </c>
      <c r="BI142" s="143" t="e">
        <f t="shared" si="207"/>
        <v>#DIV/0!</v>
      </c>
      <c r="BJ142" s="143">
        <f t="shared" si="207"/>
        <v>5.9313999751336569E-2</v>
      </c>
      <c r="BK142" s="143" t="e">
        <f t="shared" si="207"/>
        <v>#DIV/0!</v>
      </c>
      <c r="BL142" s="143" t="e">
        <f t="shared" si="207"/>
        <v>#DIV/0!</v>
      </c>
      <c r="BM142" s="143" t="e">
        <f t="shared" si="207"/>
        <v>#DIV/0!</v>
      </c>
      <c r="BN142" s="143" t="e">
        <f t="shared" si="207"/>
        <v>#DIV/0!</v>
      </c>
      <c r="BO142" s="143">
        <f t="shared" ref="BO142:CD142" si="208">BO19/BO9</f>
        <v>5.2954097509269465E-2</v>
      </c>
      <c r="BP142" s="143" t="e">
        <f t="shared" si="208"/>
        <v>#DIV/0!</v>
      </c>
      <c r="BQ142" s="143" t="e">
        <f t="shared" si="208"/>
        <v>#DIV/0!</v>
      </c>
      <c r="BR142" s="143" t="e">
        <f t="shared" si="208"/>
        <v>#DIV/0!</v>
      </c>
      <c r="BS142" s="143" t="e">
        <f t="shared" si="208"/>
        <v>#DIV/0!</v>
      </c>
      <c r="BT142" s="143">
        <f t="shared" si="208"/>
        <v>2.3829581912242232E-2</v>
      </c>
      <c r="BU142" s="143">
        <f t="shared" si="208"/>
        <v>3.7484885126964934E-2</v>
      </c>
      <c r="BV142" s="143">
        <f t="shared" si="208"/>
        <v>5.7157527365812637E-2</v>
      </c>
      <c r="BW142" s="143">
        <f t="shared" si="208"/>
        <v>7.8192377850618167E-2</v>
      </c>
      <c r="BX142" s="143">
        <f t="shared" si="208"/>
        <v>7.771782938438819E-2</v>
      </c>
      <c r="BY142" s="143">
        <f t="shared" si="208"/>
        <v>6.4114407996033296E-2</v>
      </c>
      <c r="BZ142" s="143" t="e">
        <f t="shared" si="208"/>
        <v>#DIV/0!</v>
      </c>
      <c r="CA142" s="143" t="e">
        <f t="shared" si="208"/>
        <v>#DIV/0!</v>
      </c>
      <c r="CB142" s="143" t="e">
        <f t="shared" si="208"/>
        <v>#DIV/0!</v>
      </c>
      <c r="CC142" s="143" t="e">
        <f t="shared" si="208"/>
        <v>#DIV/0!</v>
      </c>
      <c r="CD142" s="384">
        <f t="shared" si="208"/>
        <v>3.5647666078402827E-2</v>
      </c>
      <c r="CE142" s="384"/>
      <c r="CF142" s="384"/>
      <c r="CG142" s="384"/>
      <c r="CH142" s="384"/>
      <c r="CI142" s="384">
        <f>CI19/CI9</f>
        <v>3.5647666078402911E-2</v>
      </c>
      <c r="CJ142" s="384"/>
      <c r="CK142" s="384"/>
      <c r="CL142" s="384"/>
      <c r="CM142" s="384"/>
      <c r="CN142" s="384">
        <f>CN19/CN9</f>
        <v>3.5647666078402952E-2</v>
      </c>
      <c r="CO142" s="384"/>
      <c r="CP142" s="384"/>
      <c r="CQ142" s="384"/>
      <c r="CR142" s="384"/>
      <c r="CS142" s="384">
        <f>CS19/CS9</f>
        <v>3.5647666078402862E-2</v>
      </c>
      <c r="CT142" s="384"/>
      <c r="CU142" s="384"/>
      <c r="CV142" s="384"/>
      <c r="CW142" s="384"/>
      <c r="CX142" s="384">
        <f>CX19/CX9</f>
        <v>3.5647666078402931E-2</v>
      </c>
    </row>
    <row r="143" spans="1:102" s="133" customFormat="1" x14ac:dyDescent="0.2">
      <c r="B143" s="133" t="s">
        <v>131</v>
      </c>
      <c r="C143" s="143" t="e">
        <f t="shared" ref="C143:AH143" si="209">C23/C9</f>
        <v>#DIV/0!</v>
      </c>
      <c r="D143" s="143" t="e">
        <f t="shared" si="209"/>
        <v>#DIV/0!</v>
      </c>
      <c r="E143" s="143" t="e">
        <f t="shared" si="209"/>
        <v>#DIV/0!</v>
      </c>
      <c r="F143" s="143" t="e">
        <f t="shared" si="209"/>
        <v>#DIV/0!</v>
      </c>
      <c r="G143" s="143" t="e">
        <f t="shared" si="209"/>
        <v>#DIV/0!</v>
      </c>
      <c r="H143" s="143" t="e">
        <f t="shared" si="209"/>
        <v>#DIV/0!</v>
      </c>
      <c r="I143" s="143" t="e">
        <f t="shared" si="209"/>
        <v>#DIV/0!</v>
      </c>
      <c r="J143" s="143" t="e">
        <f t="shared" si="209"/>
        <v>#DIV/0!</v>
      </c>
      <c r="K143" s="143" t="e">
        <f t="shared" si="209"/>
        <v>#DIV/0!</v>
      </c>
      <c r="L143" s="143" t="e">
        <f t="shared" si="209"/>
        <v>#DIV/0!</v>
      </c>
      <c r="M143" s="143" t="e">
        <f t="shared" si="209"/>
        <v>#DIV/0!</v>
      </c>
      <c r="N143" s="143" t="e">
        <f t="shared" si="209"/>
        <v>#DIV/0!</v>
      </c>
      <c r="O143" s="143" t="e">
        <f t="shared" si="209"/>
        <v>#DIV/0!</v>
      </c>
      <c r="P143" s="143" t="e">
        <f t="shared" si="209"/>
        <v>#DIV/0!</v>
      </c>
      <c r="Q143" s="143" t="e">
        <f t="shared" si="209"/>
        <v>#DIV/0!</v>
      </c>
      <c r="R143" s="143" t="e">
        <f t="shared" si="209"/>
        <v>#DIV/0!</v>
      </c>
      <c r="S143" s="143" t="e">
        <f t="shared" si="209"/>
        <v>#DIV/0!</v>
      </c>
      <c r="T143" s="143" t="e">
        <f t="shared" si="209"/>
        <v>#DIV/0!</v>
      </c>
      <c r="U143" s="143" t="e">
        <f t="shared" si="209"/>
        <v>#DIV/0!</v>
      </c>
      <c r="V143" s="143" t="e">
        <f t="shared" si="209"/>
        <v>#DIV/0!</v>
      </c>
      <c r="W143" s="143" t="e">
        <f t="shared" si="209"/>
        <v>#DIV/0!</v>
      </c>
      <c r="X143" s="143" t="e">
        <f t="shared" si="209"/>
        <v>#DIV/0!</v>
      </c>
      <c r="Y143" s="143" t="e">
        <f t="shared" si="209"/>
        <v>#DIV/0!</v>
      </c>
      <c r="Z143" s="143" t="e">
        <f t="shared" si="209"/>
        <v>#DIV/0!</v>
      </c>
      <c r="AA143" s="143">
        <f t="shared" si="209"/>
        <v>1.0006447106860796E-2</v>
      </c>
      <c r="AB143" s="143" t="e">
        <f t="shared" si="209"/>
        <v>#DIV/0!</v>
      </c>
      <c r="AC143" s="143" t="e">
        <f t="shared" si="209"/>
        <v>#DIV/0!</v>
      </c>
      <c r="AD143" s="143" t="e">
        <f t="shared" si="209"/>
        <v>#DIV/0!</v>
      </c>
      <c r="AE143" s="143" t="e">
        <f t="shared" si="209"/>
        <v>#DIV/0!</v>
      </c>
      <c r="AF143" s="143">
        <f t="shared" si="209"/>
        <v>2.000269699285297E-3</v>
      </c>
      <c r="AG143" s="143" t="e">
        <f t="shared" si="209"/>
        <v>#DIV/0!</v>
      </c>
      <c r="AH143" s="143" t="e">
        <f t="shared" si="209"/>
        <v>#DIV/0!</v>
      </c>
      <c r="AI143" s="143" t="e">
        <f t="shared" ref="AI143:BN143" si="210">AI23/AI9</f>
        <v>#DIV/0!</v>
      </c>
      <c r="AJ143" s="143" t="e">
        <f t="shared" si="210"/>
        <v>#DIV/0!</v>
      </c>
      <c r="AK143" s="143">
        <f t="shared" si="210"/>
        <v>2.0867988710913405E-2</v>
      </c>
      <c r="AL143" s="143" t="e">
        <f t="shared" si="210"/>
        <v>#DIV/0!</v>
      </c>
      <c r="AM143" s="143" t="e">
        <f t="shared" si="210"/>
        <v>#DIV/0!</v>
      </c>
      <c r="AN143" s="143" t="e">
        <f t="shared" si="210"/>
        <v>#DIV/0!</v>
      </c>
      <c r="AO143" s="143" t="e">
        <f t="shared" si="210"/>
        <v>#DIV/0!</v>
      </c>
      <c r="AP143" s="143">
        <f t="shared" si="210"/>
        <v>3.0782354195621642E-2</v>
      </c>
      <c r="AQ143" s="143" t="e">
        <f t="shared" si="210"/>
        <v>#DIV/0!</v>
      </c>
      <c r="AR143" s="143" t="e">
        <f t="shared" si="210"/>
        <v>#DIV/0!</v>
      </c>
      <c r="AS143" s="143" t="e">
        <f t="shared" si="210"/>
        <v>#DIV/0!</v>
      </c>
      <c r="AT143" s="143" t="e">
        <f t="shared" si="210"/>
        <v>#DIV/0!</v>
      </c>
      <c r="AU143" s="143">
        <f t="shared" si="210"/>
        <v>2.3084794170892695E-2</v>
      </c>
      <c r="AV143" s="143" t="e">
        <f t="shared" si="210"/>
        <v>#DIV/0!</v>
      </c>
      <c r="AW143" s="143" t="e">
        <f t="shared" si="210"/>
        <v>#DIV/0!</v>
      </c>
      <c r="AX143" s="143" t="e">
        <f t="shared" si="210"/>
        <v>#DIV/0!</v>
      </c>
      <c r="AY143" s="143" t="e">
        <f t="shared" si="210"/>
        <v>#DIV/0!</v>
      </c>
      <c r="AZ143" s="143">
        <f t="shared" si="210"/>
        <v>5.3334879147397665E-2</v>
      </c>
      <c r="BA143" s="143" t="e">
        <f t="shared" si="210"/>
        <v>#DIV/0!</v>
      </c>
      <c r="BB143" s="143" t="e">
        <f t="shared" si="210"/>
        <v>#DIV/0!</v>
      </c>
      <c r="BC143" s="143" t="e">
        <f t="shared" si="210"/>
        <v>#DIV/0!</v>
      </c>
      <c r="BD143" s="143" t="e">
        <f t="shared" si="210"/>
        <v>#DIV/0!</v>
      </c>
      <c r="BE143" s="143">
        <f t="shared" si="210"/>
        <v>5.1835506662579051E-2</v>
      </c>
      <c r="BF143" s="143" t="e">
        <f t="shared" si="210"/>
        <v>#DIV/0!</v>
      </c>
      <c r="BG143" s="143" t="e">
        <f t="shared" si="210"/>
        <v>#DIV/0!</v>
      </c>
      <c r="BH143" s="143" t="e">
        <f t="shared" si="210"/>
        <v>#DIV/0!</v>
      </c>
      <c r="BI143" s="143" t="e">
        <f t="shared" si="210"/>
        <v>#DIV/0!</v>
      </c>
      <c r="BJ143" s="143">
        <f t="shared" si="210"/>
        <v>5.9313999751336569E-2</v>
      </c>
      <c r="BK143" s="143" t="e">
        <f t="shared" si="210"/>
        <v>#DIV/0!</v>
      </c>
      <c r="BL143" s="143" t="e">
        <f t="shared" si="210"/>
        <v>#DIV/0!</v>
      </c>
      <c r="BM143" s="143" t="e">
        <f t="shared" si="210"/>
        <v>#DIV/0!</v>
      </c>
      <c r="BN143" s="143" t="e">
        <f t="shared" si="210"/>
        <v>#DIV/0!</v>
      </c>
      <c r="BO143" s="143">
        <f t="shared" ref="BO143:CD143" si="211">BO23/BO9</f>
        <v>5.2954097509269465E-2</v>
      </c>
      <c r="BP143" s="143" t="e">
        <f t="shared" si="211"/>
        <v>#DIV/0!</v>
      </c>
      <c r="BQ143" s="143" t="e">
        <f t="shared" si="211"/>
        <v>#DIV/0!</v>
      </c>
      <c r="BR143" s="143" t="e">
        <f t="shared" si="211"/>
        <v>#DIV/0!</v>
      </c>
      <c r="BS143" s="143" t="e">
        <f t="shared" si="211"/>
        <v>#DIV/0!</v>
      </c>
      <c r="BT143" s="143">
        <f t="shared" si="211"/>
        <v>2.3829581912242232E-2</v>
      </c>
      <c r="BU143" s="143">
        <f t="shared" si="211"/>
        <v>3.7484885126964934E-2</v>
      </c>
      <c r="BV143" s="143">
        <f t="shared" si="211"/>
        <v>5.7157527365812637E-2</v>
      </c>
      <c r="BW143" s="143">
        <f t="shared" si="211"/>
        <v>7.8192377850618167E-2</v>
      </c>
      <c r="BX143" s="143">
        <f t="shared" si="211"/>
        <v>7.771782938438819E-2</v>
      </c>
      <c r="BY143" s="143">
        <f t="shared" si="211"/>
        <v>6.4114407996033296E-2</v>
      </c>
      <c r="BZ143" s="143" t="e">
        <f t="shared" si="211"/>
        <v>#DIV/0!</v>
      </c>
      <c r="CA143" s="143" t="e">
        <f t="shared" si="211"/>
        <v>#DIV/0!</v>
      </c>
      <c r="CB143" s="143" t="e">
        <f t="shared" si="211"/>
        <v>#DIV/0!</v>
      </c>
      <c r="CC143" s="143" t="e">
        <f t="shared" si="211"/>
        <v>#DIV/0!</v>
      </c>
      <c r="CD143" s="384">
        <f t="shared" si="211"/>
        <v>3.5647666078402827E-2</v>
      </c>
      <c r="CE143" s="384"/>
      <c r="CF143" s="384"/>
      <c r="CG143" s="384"/>
      <c r="CH143" s="384"/>
      <c r="CI143" s="384">
        <f>CI23/CI9</f>
        <v>3.5647666078402911E-2</v>
      </c>
      <c r="CJ143" s="384"/>
      <c r="CK143" s="384"/>
      <c r="CL143" s="384"/>
      <c r="CM143" s="384"/>
      <c r="CN143" s="384">
        <f>CN23/CN9</f>
        <v>3.5647666078402952E-2</v>
      </c>
      <c r="CO143" s="384"/>
      <c r="CP143" s="384"/>
      <c r="CQ143" s="384"/>
      <c r="CR143" s="384"/>
      <c r="CS143" s="384">
        <f>CS23/CS9</f>
        <v>3.5647666078402862E-2</v>
      </c>
      <c r="CT143" s="384"/>
      <c r="CU143" s="384"/>
      <c r="CV143" s="384"/>
      <c r="CW143" s="384"/>
      <c r="CX143" s="384">
        <f>CX23/CX9</f>
        <v>3.5647666078402931E-2</v>
      </c>
    </row>
    <row r="144" spans="1:102" s="133" customFormat="1" x14ac:dyDescent="0.2">
      <c r="B144" s="133" t="s">
        <v>132</v>
      </c>
      <c r="C144" s="143" t="e">
        <f t="shared" ref="C144:AH144" si="212">C29/C9</f>
        <v>#DIV/0!</v>
      </c>
      <c r="D144" s="143" t="e">
        <f t="shared" si="212"/>
        <v>#DIV/0!</v>
      </c>
      <c r="E144" s="143" t="e">
        <f t="shared" si="212"/>
        <v>#DIV/0!</v>
      </c>
      <c r="F144" s="143" t="e">
        <f t="shared" si="212"/>
        <v>#DIV/0!</v>
      </c>
      <c r="G144" s="143" t="e">
        <f t="shared" si="212"/>
        <v>#DIV/0!</v>
      </c>
      <c r="H144" s="143" t="e">
        <f t="shared" si="212"/>
        <v>#DIV/0!</v>
      </c>
      <c r="I144" s="143" t="e">
        <f t="shared" si="212"/>
        <v>#DIV/0!</v>
      </c>
      <c r="J144" s="143" t="e">
        <f t="shared" si="212"/>
        <v>#DIV/0!</v>
      </c>
      <c r="K144" s="143" t="e">
        <f t="shared" si="212"/>
        <v>#DIV/0!</v>
      </c>
      <c r="L144" s="143" t="e">
        <f t="shared" si="212"/>
        <v>#DIV/0!</v>
      </c>
      <c r="M144" s="143" t="e">
        <f t="shared" si="212"/>
        <v>#DIV/0!</v>
      </c>
      <c r="N144" s="143" t="e">
        <f t="shared" si="212"/>
        <v>#DIV/0!</v>
      </c>
      <c r="O144" s="143" t="e">
        <f t="shared" si="212"/>
        <v>#DIV/0!</v>
      </c>
      <c r="P144" s="143" t="e">
        <f t="shared" si="212"/>
        <v>#DIV/0!</v>
      </c>
      <c r="Q144" s="143" t="e">
        <f t="shared" si="212"/>
        <v>#DIV/0!</v>
      </c>
      <c r="R144" s="143" t="e">
        <f t="shared" si="212"/>
        <v>#DIV/0!</v>
      </c>
      <c r="S144" s="143" t="e">
        <f t="shared" si="212"/>
        <v>#DIV/0!</v>
      </c>
      <c r="T144" s="143" t="e">
        <f t="shared" si="212"/>
        <v>#DIV/0!</v>
      </c>
      <c r="U144" s="143" t="e">
        <f t="shared" si="212"/>
        <v>#DIV/0!</v>
      </c>
      <c r="V144" s="143" t="e">
        <f t="shared" si="212"/>
        <v>#DIV/0!</v>
      </c>
      <c r="W144" s="143" t="e">
        <f t="shared" si="212"/>
        <v>#DIV/0!</v>
      </c>
      <c r="X144" s="143" t="e">
        <f t="shared" si="212"/>
        <v>#DIV/0!</v>
      </c>
      <c r="Y144" s="143" t="e">
        <f t="shared" si="212"/>
        <v>#DIV/0!</v>
      </c>
      <c r="Z144" s="143" t="e">
        <f t="shared" si="212"/>
        <v>#DIV/0!</v>
      </c>
      <c r="AA144" s="143">
        <f t="shared" si="212"/>
        <v>3.6802234997045076E-3</v>
      </c>
      <c r="AB144" s="143" t="e">
        <f t="shared" si="212"/>
        <v>#DIV/0!</v>
      </c>
      <c r="AC144" s="143" t="e">
        <f t="shared" si="212"/>
        <v>#DIV/0!</v>
      </c>
      <c r="AD144" s="143" t="e">
        <f t="shared" si="212"/>
        <v>#DIV/0!</v>
      </c>
      <c r="AE144" s="143" t="e">
        <f t="shared" si="212"/>
        <v>#DIV/0!</v>
      </c>
      <c r="AF144" s="143">
        <f t="shared" si="212"/>
        <v>-2.7082303231896437E-3</v>
      </c>
      <c r="AG144" s="143" t="e">
        <f t="shared" si="212"/>
        <v>#DIV/0!</v>
      </c>
      <c r="AH144" s="143" t="e">
        <f t="shared" si="212"/>
        <v>#DIV/0!</v>
      </c>
      <c r="AI144" s="143" t="e">
        <f t="shared" ref="AI144:BN144" si="213">AI29/AI9</f>
        <v>#DIV/0!</v>
      </c>
      <c r="AJ144" s="143" t="e">
        <f t="shared" si="213"/>
        <v>#DIV/0!</v>
      </c>
      <c r="AK144" s="143">
        <f t="shared" si="213"/>
        <v>5.5697811337681999E-3</v>
      </c>
      <c r="AL144" s="143" t="e">
        <f t="shared" si="213"/>
        <v>#DIV/0!</v>
      </c>
      <c r="AM144" s="143" t="e">
        <f t="shared" si="213"/>
        <v>#DIV/0!</v>
      </c>
      <c r="AN144" s="143" t="e">
        <f t="shared" si="213"/>
        <v>#DIV/0!</v>
      </c>
      <c r="AO144" s="143" t="e">
        <f t="shared" si="213"/>
        <v>#DIV/0!</v>
      </c>
      <c r="AP144" s="143">
        <f t="shared" si="213"/>
        <v>1.7435490157147373E-2</v>
      </c>
      <c r="AQ144" s="143" t="e">
        <f t="shared" si="213"/>
        <v>#DIV/0!</v>
      </c>
      <c r="AR144" s="143" t="e">
        <f t="shared" si="213"/>
        <v>#DIV/0!</v>
      </c>
      <c r="AS144" s="143" t="e">
        <f t="shared" si="213"/>
        <v>#DIV/0!</v>
      </c>
      <c r="AT144" s="143" t="e">
        <f t="shared" si="213"/>
        <v>#DIV/0!</v>
      </c>
      <c r="AU144" s="143">
        <f t="shared" si="213"/>
        <v>1.7052162864178651E-2</v>
      </c>
      <c r="AV144" s="143" t="e">
        <f t="shared" si="213"/>
        <v>#DIV/0!</v>
      </c>
      <c r="AW144" s="143" t="e">
        <f t="shared" si="213"/>
        <v>#DIV/0!</v>
      </c>
      <c r="AX144" s="143" t="e">
        <f t="shared" si="213"/>
        <v>#DIV/0!</v>
      </c>
      <c r="AY144" s="143" t="e">
        <f t="shared" si="213"/>
        <v>#DIV/0!</v>
      </c>
      <c r="AZ144" s="143">
        <f t="shared" si="213"/>
        <v>4.3252736305590261E-2</v>
      </c>
      <c r="BA144" s="143" t="e">
        <f t="shared" si="213"/>
        <v>#DIV/0!</v>
      </c>
      <c r="BB144" s="143" t="e">
        <f t="shared" si="213"/>
        <v>#DIV/0!</v>
      </c>
      <c r="BC144" s="143" t="e">
        <f t="shared" si="213"/>
        <v>#DIV/0!</v>
      </c>
      <c r="BD144" s="143" t="e">
        <f t="shared" si="213"/>
        <v>#DIV/0!</v>
      </c>
      <c r="BE144" s="143">
        <f t="shared" si="213"/>
        <v>4.1308703060722513E-2</v>
      </c>
      <c r="BF144" s="143" t="e">
        <f t="shared" si="213"/>
        <v>#DIV/0!</v>
      </c>
      <c r="BG144" s="143" t="e">
        <f t="shared" si="213"/>
        <v>#DIV/0!</v>
      </c>
      <c r="BH144" s="143" t="e">
        <f t="shared" si="213"/>
        <v>#DIV/0!</v>
      </c>
      <c r="BI144" s="143" t="e">
        <f t="shared" si="213"/>
        <v>#DIV/0!</v>
      </c>
      <c r="BJ144" s="143">
        <f t="shared" si="213"/>
        <v>5.5252496995316841E-2</v>
      </c>
      <c r="BK144" s="143" t="e">
        <f t="shared" si="213"/>
        <v>#DIV/0!</v>
      </c>
      <c r="BL144" s="143" t="e">
        <f t="shared" si="213"/>
        <v>#DIV/0!</v>
      </c>
      <c r="BM144" s="143" t="e">
        <f t="shared" si="213"/>
        <v>#DIV/0!</v>
      </c>
      <c r="BN144" s="143" t="e">
        <f t="shared" si="213"/>
        <v>#DIV/0!</v>
      </c>
      <c r="BO144" s="143">
        <f t="shared" ref="BO144:CD144" si="214">BO29/BO9</f>
        <v>7.1014128755145567E-2</v>
      </c>
      <c r="BP144" s="143" t="e">
        <f t="shared" si="214"/>
        <v>#DIV/0!</v>
      </c>
      <c r="BQ144" s="143" t="e">
        <f t="shared" si="214"/>
        <v>#DIV/0!</v>
      </c>
      <c r="BR144" s="143" t="e">
        <f t="shared" si="214"/>
        <v>#DIV/0!</v>
      </c>
      <c r="BS144" s="143" t="e">
        <f t="shared" si="214"/>
        <v>#DIV/0!</v>
      </c>
      <c r="BT144" s="143">
        <f t="shared" si="214"/>
        <v>-5.2958950004183018E-3</v>
      </c>
      <c r="BU144" s="143">
        <f t="shared" si="214"/>
        <v>2.4906170008951147E-2</v>
      </c>
      <c r="BV144" s="143">
        <f t="shared" si="214"/>
        <v>5.0229567728060844E-2</v>
      </c>
      <c r="BW144" s="143">
        <f t="shared" si="214"/>
        <v>6.9043841686293975E-2</v>
      </c>
      <c r="BX144" s="143">
        <f t="shared" si="214"/>
        <v>6.2508457822676972E-2</v>
      </c>
      <c r="BY144" s="143">
        <f t="shared" si="214"/>
        <v>5.2932835755978319E-2</v>
      </c>
      <c r="BZ144" s="143" t="e">
        <f t="shared" si="214"/>
        <v>#DIV/0!</v>
      </c>
      <c r="CA144" s="143" t="e">
        <f t="shared" si="214"/>
        <v>#DIV/0!</v>
      </c>
      <c r="CB144" s="143" t="e">
        <f t="shared" si="214"/>
        <v>#DIV/0!</v>
      </c>
      <c r="CC144" s="143" t="e">
        <f t="shared" si="214"/>
        <v>#DIV/0!</v>
      </c>
      <c r="CD144" s="384">
        <f t="shared" si="214"/>
        <v>2.9370066362318877E-2</v>
      </c>
      <c r="CE144" s="384"/>
      <c r="CF144" s="384"/>
      <c r="CG144" s="384"/>
      <c r="CH144" s="384"/>
      <c r="CI144" s="384">
        <f>CI29/CI9</f>
        <v>2.9370066362318956E-2</v>
      </c>
      <c r="CJ144" s="384"/>
      <c r="CK144" s="384"/>
      <c r="CL144" s="384"/>
      <c r="CM144" s="384"/>
      <c r="CN144" s="384">
        <f>CN29/CN9</f>
        <v>2.9370066362318998E-2</v>
      </c>
      <c r="CO144" s="384"/>
      <c r="CP144" s="384"/>
      <c r="CQ144" s="384"/>
      <c r="CR144" s="384"/>
      <c r="CS144" s="384">
        <f>CS29/CS9</f>
        <v>2.9370066362318911E-2</v>
      </c>
      <c r="CT144" s="384"/>
      <c r="CU144" s="384"/>
      <c r="CV144" s="384"/>
      <c r="CW144" s="384"/>
      <c r="CX144" s="384">
        <f>CX29/CX9</f>
        <v>2.9370066362318977E-2</v>
      </c>
    </row>
    <row r="145" spans="1:102" s="133" customFormat="1" x14ac:dyDescent="0.2">
      <c r="B145" s="133" t="s">
        <v>133</v>
      </c>
      <c r="C145" s="143" t="e">
        <f t="shared" ref="C145:Z145" si="215">C27/C23</f>
        <v>#DIV/0!</v>
      </c>
      <c r="D145" s="143" t="e">
        <f t="shared" si="215"/>
        <v>#DIV/0!</v>
      </c>
      <c r="E145" s="143" t="e">
        <f t="shared" si="215"/>
        <v>#DIV/0!</v>
      </c>
      <c r="F145" s="143" t="e">
        <f t="shared" si="215"/>
        <v>#DIV/0!</v>
      </c>
      <c r="G145" s="143" t="e">
        <f t="shared" si="215"/>
        <v>#DIV/0!</v>
      </c>
      <c r="H145" s="143" t="e">
        <f t="shared" si="215"/>
        <v>#DIV/0!</v>
      </c>
      <c r="I145" s="143" t="e">
        <f t="shared" si="215"/>
        <v>#DIV/0!</v>
      </c>
      <c r="J145" s="143" t="e">
        <f t="shared" si="215"/>
        <v>#DIV/0!</v>
      </c>
      <c r="K145" s="143" t="e">
        <f t="shared" si="215"/>
        <v>#DIV/0!</v>
      </c>
      <c r="L145" s="143" t="e">
        <f t="shared" si="215"/>
        <v>#DIV/0!</v>
      </c>
      <c r="M145" s="143" t="e">
        <f t="shared" si="215"/>
        <v>#DIV/0!</v>
      </c>
      <c r="N145" s="143" t="e">
        <f t="shared" si="215"/>
        <v>#DIV/0!</v>
      </c>
      <c r="O145" s="143" t="e">
        <f t="shared" si="215"/>
        <v>#DIV/0!</v>
      </c>
      <c r="P145" s="143" t="e">
        <f t="shared" si="215"/>
        <v>#DIV/0!</v>
      </c>
      <c r="Q145" s="143" t="e">
        <f t="shared" si="215"/>
        <v>#DIV/0!</v>
      </c>
      <c r="R145" s="143" t="e">
        <f t="shared" si="215"/>
        <v>#DIV/0!</v>
      </c>
      <c r="S145" s="143" t="e">
        <f t="shared" si="215"/>
        <v>#DIV/0!</v>
      </c>
      <c r="T145" s="143" t="e">
        <f t="shared" si="215"/>
        <v>#DIV/0!</v>
      </c>
      <c r="U145" s="143" t="e">
        <f t="shared" si="215"/>
        <v>#DIV/0!</v>
      </c>
      <c r="V145" s="143" t="e">
        <f t="shared" si="215"/>
        <v>#DIV/0!</v>
      </c>
      <c r="W145" s="143" t="e">
        <f t="shared" si="215"/>
        <v>#DIV/0!</v>
      </c>
      <c r="X145" s="143" t="e">
        <f t="shared" si="215"/>
        <v>#DIV/0!</v>
      </c>
      <c r="Y145" s="143" t="e">
        <f t="shared" si="215"/>
        <v>#DIV/0!</v>
      </c>
      <c r="Z145" s="143" t="e">
        <f t="shared" si="215"/>
        <v>#DIV/0!</v>
      </c>
      <c r="AA145" s="143">
        <f t="shared" ref="AA145:AY145" si="216">-AA27/AA23</f>
        <v>0.21610738255033557</v>
      </c>
      <c r="AB145" s="143" t="e">
        <f t="shared" si="216"/>
        <v>#DIV/0!</v>
      </c>
      <c r="AC145" s="143" t="e">
        <f t="shared" si="216"/>
        <v>#DIV/0!</v>
      </c>
      <c r="AD145" s="143" t="e">
        <f t="shared" si="216"/>
        <v>#DIV/0!</v>
      </c>
      <c r="AE145" s="143" t="e">
        <f t="shared" si="216"/>
        <v>#DIV/0!</v>
      </c>
      <c r="AF145" s="143">
        <f t="shared" si="216"/>
        <v>0.9382022471910112</v>
      </c>
      <c r="AG145" s="143" t="e">
        <f t="shared" si="216"/>
        <v>#DIV/0!</v>
      </c>
      <c r="AH145" s="143" t="e">
        <f t="shared" si="216"/>
        <v>#DIV/0!</v>
      </c>
      <c r="AI145" s="143" t="e">
        <f t="shared" si="216"/>
        <v>#DIV/0!</v>
      </c>
      <c r="AJ145" s="143" t="e">
        <f t="shared" si="216"/>
        <v>#DIV/0!</v>
      </c>
      <c r="AK145" s="143">
        <f t="shared" si="216"/>
        <v>0.42543663233318407</v>
      </c>
      <c r="AL145" s="143" t="e">
        <f t="shared" si="216"/>
        <v>#DIV/0!</v>
      </c>
      <c r="AM145" s="143" t="e">
        <f t="shared" si="216"/>
        <v>#DIV/0!</v>
      </c>
      <c r="AN145" s="143" t="e">
        <f t="shared" si="216"/>
        <v>#DIV/0!</v>
      </c>
      <c r="AO145" s="143" t="e">
        <f t="shared" si="216"/>
        <v>#DIV/0!</v>
      </c>
      <c r="AP145" s="143">
        <f t="shared" si="216"/>
        <v>0.34042044911610131</v>
      </c>
      <c r="AQ145" s="143" t="e">
        <f t="shared" si="216"/>
        <v>#DIV/0!</v>
      </c>
      <c r="AR145" s="143" t="e">
        <f t="shared" si="216"/>
        <v>#DIV/0!</v>
      </c>
      <c r="AS145" s="143" t="e">
        <f t="shared" si="216"/>
        <v>#DIV/0!</v>
      </c>
      <c r="AT145" s="143" t="e">
        <f t="shared" si="216"/>
        <v>#DIV/0!</v>
      </c>
      <c r="AU145" s="143">
        <f t="shared" si="216"/>
        <v>0.18728689722357525</v>
      </c>
      <c r="AV145" s="143" t="e">
        <f t="shared" si="216"/>
        <v>#DIV/0!</v>
      </c>
      <c r="AW145" s="143" t="e">
        <f t="shared" si="216"/>
        <v>#DIV/0!</v>
      </c>
      <c r="AX145" s="143" t="e">
        <f t="shared" si="216"/>
        <v>#DIV/0!</v>
      </c>
      <c r="AY145" s="143" t="e">
        <f t="shared" si="216"/>
        <v>#DIV/0!</v>
      </c>
      <c r="AZ145" s="143">
        <f>-AZ27/AZ23</f>
        <v>9.6369052411239026E-2</v>
      </c>
      <c r="BA145" s="143" t="e">
        <f t="shared" ref="BA145:CX145" si="217">-BA27/BA23</f>
        <v>#DIV/0!</v>
      </c>
      <c r="BB145" s="143" t="e">
        <f t="shared" si="217"/>
        <v>#DIV/0!</v>
      </c>
      <c r="BC145" s="143" t="e">
        <f t="shared" si="217"/>
        <v>#DIV/0!</v>
      </c>
      <c r="BD145" s="143" t="e">
        <f t="shared" si="217"/>
        <v>#DIV/0!</v>
      </c>
      <c r="BE145" s="143">
        <f t="shared" si="217"/>
        <v>0.16326249914036173</v>
      </c>
      <c r="BF145" s="143" t="e">
        <f t="shared" si="217"/>
        <v>#DIV/0!</v>
      </c>
      <c r="BG145" s="143" t="e">
        <f t="shared" si="217"/>
        <v>#DIV/0!</v>
      </c>
      <c r="BH145" s="143" t="e">
        <f t="shared" si="217"/>
        <v>#DIV/0!</v>
      </c>
      <c r="BI145" s="143" t="e">
        <f t="shared" si="217"/>
        <v>#DIV/0!</v>
      </c>
      <c r="BJ145" s="143">
        <f t="shared" si="217"/>
        <v>0.12502729376828683</v>
      </c>
      <c r="BK145" s="143" t="e">
        <f t="shared" si="217"/>
        <v>#DIV/0!</v>
      </c>
      <c r="BL145" s="143" t="e">
        <f t="shared" si="217"/>
        <v>#DIV/0!</v>
      </c>
      <c r="BM145" s="143" t="e">
        <f t="shared" si="217"/>
        <v>#DIV/0!</v>
      </c>
      <c r="BN145" s="143" t="e">
        <f t="shared" si="217"/>
        <v>#DIV/0!</v>
      </c>
      <c r="BO145" s="143">
        <f t="shared" si="217"/>
        <v>0.1925720487157844</v>
      </c>
      <c r="BP145" s="143" t="e">
        <f t="shared" si="217"/>
        <v>#DIV/0!</v>
      </c>
      <c r="BQ145" s="143" t="e">
        <f t="shared" si="217"/>
        <v>#DIV/0!</v>
      </c>
      <c r="BR145" s="143" t="e">
        <f t="shared" si="217"/>
        <v>#DIV/0!</v>
      </c>
      <c r="BS145" s="143" t="e">
        <f t="shared" si="217"/>
        <v>#DIV/0!</v>
      </c>
      <c r="BT145" s="143">
        <f t="shared" si="217"/>
        <v>-0.2626551273677335</v>
      </c>
      <c r="BU145" s="143">
        <f t="shared" si="217"/>
        <v>0.19857561793045664</v>
      </c>
      <c r="BV145" s="143">
        <f t="shared" si="217"/>
        <v>0.10467387058976696</v>
      </c>
      <c r="BW145" s="143">
        <f t="shared" si="217"/>
        <v>0.2061136932427601</v>
      </c>
      <c r="BX145" s="143">
        <f t="shared" si="217"/>
        <v>0.23181164357634945</v>
      </c>
      <c r="BY145" s="143">
        <f t="shared" si="217"/>
        <v>0.19320525344621731</v>
      </c>
      <c r="BZ145" s="143" t="e">
        <f t="shared" si="217"/>
        <v>#DIV/0!</v>
      </c>
      <c r="CA145" s="143" t="e">
        <f t="shared" si="217"/>
        <v>#DIV/0!</v>
      </c>
      <c r="CB145" s="143" t="e">
        <f t="shared" si="217"/>
        <v>#DIV/0!</v>
      </c>
      <c r="CC145" s="143" t="e">
        <f t="shared" si="217"/>
        <v>#DIV/0!</v>
      </c>
      <c r="CD145" s="384">
        <f t="shared" si="217"/>
        <v>0.16592647263498569</v>
      </c>
      <c r="CE145" s="384" t="e">
        <f t="shared" si="217"/>
        <v>#DIV/0!</v>
      </c>
      <c r="CF145" s="384" t="e">
        <f t="shared" si="217"/>
        <v>#DIV/0!</v>
      </c>
      <c r="CG145" s="384" t="e">
        <f t="shared" si="217"/>
        <v>#DIV/0!</v>
      </c>
      <c r="CH145" s="384" t="e">
        <f t="shared" si="217"/>
        <v>#DIV/0!</v>
      </c>
      <c r="CI145" s="384">
        <f t="shared" si="217"/>
        <v>0.16592647263498531</v>
      </c>
      <c r="CJ145" s="384" t="e">
        <f t="shared" si="217"/>
        <v>#DIV/0!</v>
      </c>
      <c r="CK145" s="384" t="e">
        <f t="shared" si="217"/>
        <v>#DIV/0!</v>
      </c>
      <c r="CL145" s="384" t="e">
        <f t="shared" si="217"/>
        <v>#DIV/0!</v>
      </c>
      <c r="CM145" s="384" t="e">
        <f t="shared" si="217"/>
        <v>#DIV/0!</v>
      </c>
      <c r="CN145" s="384">
        <f t="shared" si="217"/>
        <v>0.16592647263498511</v>
      </c>
      <c r="CO145" s="384" t="e">
        <f t="shared" si="217"/>
        <v>#DIV/0!</v>
      </c>
      <c r="CP145" s="384" t="e">
        <f t="shared" si="217"/>
        <v>#DIV/0!</v>
      </c>
      <c r="CQ145" s="384" t="e">
        <f t="shared" si="217"/>
        <v>#DIV/0!</v>
      </c>
      <c r="CR145" s="384" t="e">
        <f t="shared" si="217"/>
        <v>#DIV/0!</v>
      </c>
      <c r="CS145" s="384">
        <f t="shared" si="217"/>
        <v>0.16592647263498553</v>
      </c>
      <c r="CT145" s="384" t="e">
        <f t="shared" si="217"/>
        <v>#DIV/0!</v>
      </c>
      <c r="CU145" s="384" t="e">
        <f t="shared" si="217"/>
        <v>#DIV/0!</v>
      </c>
      <c r="CV145" s="384" t="e">
        <f t="shared" si="217"/>
        <v>#DIV/0!</v>
      </c>
      <c r="CW145" s="384" t="e">
        <f t="shared" si="217"/>
        <v>#DIV/0!</v>
      </c>
      <c r="CX145" s="384">
        <f t="shared" si="217"/>
        <v>0.16592647263498519</v>
      </c>
    </row>
    <row r="146" spans="1:102" s="133" customFormat="1" x14ac:dyDescent="0.2">
      <c r="B146" s="133" t="s">
        <v>134</v>
      </c>
      <c r="C146" s="145" t="e">
        <f t="shared" ref="C146:AH146" si="218">C23/C26</f>
        <v>#DIV/0!</v>
      </c>
      <c r="D146" s="145" t="e">
        <f t="shared" si="218"/>
        <v>#DIV/0!</v>
      </c>
      <c r="E146" s="145" t="e">
        <f t="shared" si="218"/>
        <v>#DIV/0!</v>
      </c>
      <c r="F146" s="145" t="e">
        <f t="shared" si="218"/>
        <v>#DIV/0!</v>
      </c>
      <c r="G146" s="145" t="e">
        <f t="shared" si="218"/>
        <v>#DIV/0!</v>
      </c>
      <c r="H146" s="145" t="e">
        <f t="shared" si="218"/>
        <v>#DIV/0!</v>
      </c>
      <c r="I146" s="145" t="e">
        <f t="shared" si="218"/>
        <v>#DIV/0!</v>
      </c>
      <c r="J146" s="145" t="e">
        <f t="shared" si="218"/>
        <v>#DIV/0!</v>
      </c>
      <c r="K146" s="145" t="e">
        <f t="shared" si="218"/>
        <v>#DIV/0!</v>
      </c>
      <c r="L146" s="145" t="e">
        <f t="shared" si="218"/>
        <v>#DIV/0!</v>
      </c>
      <c r="M146" s="145" t="e">
        <f t="shared" si="218"/>
        <v>#DIV/0!</v>
      </c>
      <c r="N146" s="145" t="e">
        <f t="shared" si="218"/>
        <v>#DIV/0!</v>
      </c>
      <c r="O146" s="145" t="e">
        <f t="shared" si="218"/>
        <v>#DIV/0!</v>
      </c>
      <c r="P146" s="145" t="e">
        <f t="shared" si="218"/>
        <v>#DIV/0!</v>
      </c>
      <c r="Q146" s="145" t="e">
        <f t="shared" si="218"/>
        <v>#DIV/0!</v>
      </c>
      <c r="R146" s="145" t="e">
        <f t="shared" si="218"/>
        <v>#DIV/0!</v>
      </c>
      <c r="S146" s="145" t="e">
        <f t="shared" si="218"/>
        <v>#DIV/0!</v>
      </c>
      <c r="T146" s="145" t="e">
        <f t="shared" si="218"/>
        <v>#DIV/0!</v>
      </c>
      <c r="U146" s="145" t="e">
        <f t="shared" si="218"/>
        <v>#DIV/0!</v>
      </c>
      <c r="V146" s="145" t="e">
        <f t="shared" si="218"/>
        <v>#DIV/0!</v>
      </c>
      <c r="W146" s="145" t="e">
        <f t="shared" si="218"/>
        <v>#DIV/0!</v>
      </c>
      <c r="X146" s="145" t="e">
        <f t="shared" si="218"/>
        <v>#DIV/0!</v>
      </c>
      <c r="Y146" s="145" t="e">
        <f t="shared" si="218"/>
        <v>#DIV/0!</v>
      </c>
      <c r="Z146" s="145" t="e">
        <f t="shared" si="218"/>
        <v>#DIV/0!</v>
      </c>
      <c r="AA146" s="145">
        <f t="shared" si="218"/>
        <v>-5.4779411764705879</v>
      </c>
      <c r="AB146" s="145" t="e">
        <f t="shared" si="218"/>
        <v>#DIV/0!</v>
      </c>
      <c r="AC146" s="145" t="e">
        <f t="shared" si="218"/>
        <v>#DIV/0!</v>
      </c>
      <c r="AD146" s="145" t="e">
        <f t="shared" si="218"/>
        <v>#DIV/0!</v>
      </c>
      <c r="AE146" s="145" t="e">
        <f t="shared" si="218"/>
        <v>#DIV/0!</v>
      </c>
      <c r="AF146" s="143">
        <f t="shared" si="218"/>
        <v>-1.5084745762711864</v>
      </c>
      <c r="AG146" s="145" t="e">
        <f t="shared" si="218"/>
        <v>#DIV/0!</v>
      </c>
      <c r="AH146" s="145" t="e">
        <f t="shared" si="218"/>
        <v>#DIV/0!</v>
      </c>
      <c r="AI146" s="145" t="e">
        <f t="shared" ref="AI146:BN146" si="219">AI23/AI26</f>
        <v>#DIV/0!</v>
      </c>
      <c r="AJ146" s="145" t="e">
        <f t="shared" si="219"/>
        <v>#DIV/0!</v>
      </c>
      <c r="AK146" s="145">
        <f t="shared" si="219"/>
        <v>-8.72265625</v>
      </c>
      <c r="AL146" s="145" t="e">
        <f t="shared" si="219"/>
        <v>#DIV/0!</v>
      </c>
      <c r="AM146" s="145" t="e">
        <f t="shared" si="219"/>
        <v>#DIV/0!</v>
      </c>
      <c r="AN146" s="145" t="e">
        <f t="shared" si="219"/>
        <v>#DIV/0!</v>
      </c>
      <c r="AO146" s="145" t="e">
        <f t="shared" si="219"/>
        <v>#DIV/0!</v>
      </c>
      <c r="AP146" s="145">
        <f t="shared" si="219"/>
        <v>46.511111111111113</v>
      </c>
      <c r="AQ146" s="145" t="e">
        <f t="shared" si="219"/>
        <v>#DIV/0!</v>
      </c>
      <c r="AR146" s="145" t="e">
        <f t="shared" si="219"/>
        <v>#DIV/0!</v>
      </c>
      <c r="AS146" s="145" t="e">
        <f t="shared" si="219"/>
        <v>#DIV/0!</v>
      </c>
      <c r="AT146" s="145" t="e">
        <f t="shared" si="219"/>
        <v>#DIV/0!</v>
      </c>
      <c r="AU146" s="145">
        <f t="shared" si="219"/>
        <v>11.867052023121387</v>
      </c>
      <c r="AV146" s="145" t="e">
        <f t="shared" si="219"/>
        <v>#DIV/0!</v>
      </c>
      <c r="AW146" s="145" t="e">
        <f t="shared" si="219"/>
        <v>#DIV/0!</v>
      </c>
      <c r="AX146" s="145" t="e">
        <f t="shared" si="219"/>
        <v>#DIV/0!</v>
      </c>
      <c r="AY146" s="145" t="e">
        <f t="shared" si="219"/>
        <v>#DIV/0!</v>
      </c>
      <c r="AZ146" s="145">
        <f t="shared" si="219"/>
        <v>-67.874316939890704</v>
      </c>
      <c r="BA146" s="145" t="e">
        <f t="shared" si="219"/>
        <v>#DIV/0!</v>
      </c>
      <c r="BB146" s="145" t="e">
        <f t="shared" si="219"/>
        <v>#DIV/0!</v>
      </c>
      <c r="BC146" s="145" t="e">
        <f t="shared" si="219"/>
        <v>#DIV/0!</v>
      </c>
      <c r="BD146" s="145" t="e">
        <f t="shared" si="219"/>
        <v>#DIV/0!</v>
      </c>
      <c r="BE146" s="143">
        <f t="shared" si="219"/>
        <v>71.630541871921181</v>
      </c>
      <c r="BF146" s="145" t="e">
        <f t="shared" si="219"/>
        <v>#DIV/0!</v>
      </c>
      <c r="BG146" s="145" t="e">
        <f t="shared" si="219"/>
        <v>#DIV/0!</v>
      </c>
      <c r="BH146" s="145" t="e">
        <f t="shared" si="219"/>
        <v>#DIV/0!</v>
      </c>
      <c r="BI146" s="145" t="e">
        <f t="shared" si="219"/>
        <v>#DIV/0!</v>
      </c>
      <c r="BJ146" s="145">
        <f t="shared" si="219"/>
        <v>9.6579502319696324</v>
      </c>
      <c r="BK146" s="145" t="e">
        <f t="shared" si="219"/>
        <v>#DIV/0!</v>
      </c>
      <c r="BL146" s="145" t="e">
        <f t="shared" si="219"/>
        <v>#DIV/0!</v>
      </c>
      <c r="BM146" s="145" t="e">
        <f t="shared" si="219"/>
        <v>#DIV/0!</v>
      </c>
      <c r="BN146" s="145" t="e">
        <f t="shared" si="219"/>
        <v>#DIV/0!</v>
      </c>
      <c r="BO146" s="145">
        <f t="shared" ref="BO146:CD146" si="220">BO23/BO26</f>
        <v>1.7001981821909382</v>
      </c>
      <c r="BP146" s="145" t="e">
        <f t="shared" si="220"/>
        <v>#DIV/0!</v>
      </c>
      <c r="BQ146" s="145" t="e">
        <f t="shared" si="220"/>
        <v>#DIV/0!</v>
      </c>
      <c r="BR146" s="145" t="e">
        <f t="shared" si="220"/>
        <v>#DIV/0!</v>
      </c>
      <c r="BS146" s="145" t="e">
        <f t="shared" si="220"/>
        <v>#DIV/0!</v>
      </c>
      <c r="BT146" s="145">
        <f t="shared" si="220"/>
        <v>-0.72878733785552774</v>
      </c>
      <c r="BU146" s="145">
        <f t="shared" si="220"/>
        <v>-10.776523702031604</v>
      </c>
      <c r="BV146" s="145">
        <f t="shared" si="220"/>
        <v>125.91803278688525</v>
      </c>
      <c r="BW146" s="145">
        <f t="shared" si="220"/>
        <v>10.851600387972843</v>
      </c>
      <c r="BX146" s="145">
        <f t="shared" si="220"/>
        <v>45.705882352941174</v>
      </c>
      <c r="BY146" s="145">
        <f t="shared" si="220"/>
        <v>39.287846481876329</v>
      </c>
      <c r="BZ146" s="145" t="e">
        <f t="shared" si="220"/>
        <v>#DIV/0!</v>
      </c>
      <c r="CA146" s="145" t="e">
        <f t="shared" si="220"/>
        <v>#DIV/0!</v>
      </c>
      <c r="CB146" s="145" t="e">
        <f t="shared" si="220"/>
        <v>#DIV/0!</v>
      </c>
      <c r="CC146" s="145" t="e">
        <f t="shared" si="220"/>
        <v>#DIV/0!</v>
      </c>
      <c r="CD146" s="385">
        <f t="shared" si="220"/>
        <v>121.72006518090281</v>
      </c>
      <c r="CE146" s="385"/>
      <c r="CF146" s="385"/>
      <c r="CG146" s="385"/>
      <c r="CH146" s="385"/>
      <c r="CI146" s="385">
        <f>CI23/CI26</f>
        <v>121.72006518090309</v>
      </c>
      <c r="CJ146" s="385"/>
      <c r="CK146" s="385"/>
      <c r="CL146" s="385"/>
      <c r="CM146" s="385"/>
      <c r="CN146" s="385">
        <f>CN23/CN26</f>
        <v>121.72006518090325</v>
      </c>
      <c r="CO146" s="385"/>
      <c r="CP146" s="385"/>
      <c r="CQ146" s="385"/>
      <c r="CR146" s="385"/>
      <c r="CS146" s="385">
        <f>CS23/CS26</f>
        <v>121.72006518090294</v>
      </c>
      <c r="CT146" s="385"/>
      <c r="CU146" s="385"/>
      <c r="CV146" s="385"/>
      <c r="CW146" s="385"/>
      <c r="CX146" s="385">
        <f>CX23/CX26</f>
        <v>121.72006518090316</v>
      </c>
    </row>
    <row r="147" spans="1:102" s="133" customFormat="1" x14ac:dyDescent="0.2">
      <c r="B147" s="133" t="s">
        <v>448</v>
      </c>
      <c r="C147" s="143" t="e">
        <f t="shared" ref="C147:AH147" si="221">C17/C9</f>
        <v>#DIV/0!</v>
      </c>
      <c r="D147" s="143" t="e">
        <f t="shared" si="221"/>
        <v>#DIV/0!</v>
      </c>
      <c r="E147" s="143" t="e">
        <f t="shared" si="221"/>
        <v>#DIV/0!</v>
      </c>
      <c r="F147" s="143" t="e">
        <f t="shared" si="221"/>
        <v>#DIV/0!</v>
      </c>
      <c r="G147" s="143" t="e">
        <f t="shared" si="221"/>
        <v>#DIV/0!</v>
      </c>
      <c r="H147" s="143" t="e">
        <f t="shared" si="221"/>
        <v>#DIV/0!</v>
      </c>
      <c r="I147" s="143" t="e">
        <f t="shared" si="221"/>
        <v>#DIV/0!</v>
      </c>
      <c r="J147" s="143" t="e">
        <f t="shared" si="221"/>
        <v>#DIV/0!</v>
      </c>
      <c r="K147" s="143" t="e">
        <f t="shared" si="221"/>
        <v>#DIV/0!</v>
      </c>
      <c r="L147" s="143" t="e">
        <f t="shared" si="221"/>
        <v>#DIV/0!</v>
      </c>
      <c r="M147" s="143" t="e">
        <f t="shared" si="221"/>
        <v>#DIV/0!</v>
      </c>
      <c r="N147" s="143" t="e">
        <f t="shared" si="221"/>
        <v>#DIV/0!</v>
      </c>
      <c r="O147" s="143" t="e">
        <f t="shared" si="221"/>
        <v>#DIV/0!</v>
      </c>
      <c r="P147" s="143" t="e">
        <f t="shared" si="221"/>
        <v>#DIV/0!</v>
      </c>
      <c r="Q147" s="143" t="e">
        <f t="shared" si="221"/>
        <v>#DIV/0!</v>
      </c>
      <c r="R147" s="143" t="e">
        <f t="shared" si="221"/>
        <v>#DIV/0!</v>
      </c>
      <c r="S147" s="143" t="e">
        <f t="shared" si="221"/>
        <v>#DIV/0!</v>
      </c>
      <c r="T147" s="143" t="e">
        <f t="shared" si="221"/>
        <v>#DIV/0!</v>
      </c>
      <c r="U147" s="143" t="e">
        <f t="shared" si="221"/>
        <v>#DIV/0!</v>
      </c>
      <c r="V147" s="143" t="e">
        <f t="shared" si="221"/>
        <v>#DIV/0!</v>
      </c>
      <c r="W147" s="143" t="e">
        <f t="shared" si="221"/>
        <v>#DIV/0!</v>
      </c>
      <c r="X147" s="143" t="e">
        <f t="shared" si="221"/>
        <v>#DIV/0!</v>
      </c>
      <c r="Y147" s="143" t="e">
        <f t="shared" si="221"/>
        <v>#DIV/0!</v>
      </c>
      <c r="Z147" s="143" t="e">
        <f t="shared" si="221"/>
        <v>#DIV/0!</v>
      </c>
      <c r="AA147" s="143">
        <f t="shared" si="221"/>
        <v>0.26226293450813948</v>
      </c>
      <c r="AB147" s="143" t="e">
        <f t="shared" si="221"/>
        <v>#DIV/0!</v>
      </c>
      <c r="AC147" s="143" t="e">
        <f t="shared" si="221"/>
        <v>#DIV/0!</v>
      </c>
      <c r="AD147" s="143" t="e">
        <f t="shared" si="221"/>
        <v>#DIV/0!</v>
      </c>
      <c r="AE147" s="143" t="e">
        <f t="shared" si="221"/>
        <v>#DIV/0!</v>
      </c>
      <c r="AF147" s="143">
        <f t="shared" si="221"/>
        <v>0.29282599901110262</v>
      </c>
      <c r="AG147" s="143" t="e">
        <f t="shared" si="221"/>
        <v>#DIV/0!</v>
      </c>
      <c r="AH147" s="143" t="e">
        <f t="shared" si="221"/>
        <v>#DIV/0!</v>
      </c>
      <c r="AI147" s="143" t="e">
        <f t="shared" ref="AI147:BN147" si="222">AI17/AI9</f>
        <v>#DIV/0!</v>
      </c>
      <c r="AJ147" s="143" t="e">
        <f t="shared" si="222"/>
        <v>#DIV/0!</v>
      </c>
      <c r="AK147" s="143">
        <f t="shared" si="222"/>
        <v>0.30953404481991664</v>
      </c>
      <c r="AL147" s="143" t="e">
        <f t="shared" si="222"/>
        <v>#DIV/0!</v>
      </c>
      <c r="AM147" s="143" t="e">
        <f t="shared" si="222"/>
        <v>#DIV/0!</v>
      </c>
      <c r="AN147" s="143" t="e">
        <f t="shared" si="222"/>
        <v>#DIV/0!</v>
      </c>
      <c r="AO147" s="143" t="e">
        <f t="shared" si="222"/>
        <v>#DIV/0!</v>
      </c>
      <c r="AP147" s="143">
        <f t="shared" si="222"/>
        <v>0.32014824946502241</v>
      </c>
      <c r="AQ147" s="143" t="e">
        <f t="shared" si="222"/>
        <v>#DIV/0!</v>
      </c>
      <c r="AR147" s="143" t="e">
        <f t="shared" si="222"/>
        <v>#DIV/0!</v>
      </c>
      <c r="AS147" s="143" t="e">
        <f t="shared" si="222"/>
        <v>#DIV/0!</v>
      </c>
      <c r="AT147" s="143" t="e">
        <f t="shared" si="222"/>
        <v>#DIV/0!</v>
      </c>
      <c r="AU147" s="143">
        <f t="shared" si="222"/>
        <v>0.34759875411826879</v>
      </c>
      <c r="AV147" s="143" t="e">
        <f t="shared" si="222"/>
        <v>#DIV/0!</v>
      </c>
      <c r="AW147" s="143" t="e">
        <f t="shared" si="222"/>
        <v>#DIV/0!</v>
      </c>
      <c r="AX147" s="143" t="e">
        <f t="shared" si="222"/>
        <v>#DIV/0!</v>
      </c>
      <c r="AY147" s="143" t="e">
        <f t="shared" si="222"/>
        <v>#DIV/0!</v>
      </c>
      <c r="AZ147" s="143">
        <f t="shared" si="222"/>
        <v>0.34913928214112422</v>
      </c>
      <c r="BA147" s="143" t="e">
        <f t="shared" si="222"/>
        <v>#DIV/0!</v>
      </c>
      <c r="BB147" s="143" t="e">
        <f t="shared" si="222"/>
        <v>#DIV/0!</v>
      </c>
      <c r="BC147" s="143" t="e">
        <f t="shared" si="222"/>
        <v>#DIV/0!</v>
      </c>
      <c r="BD147" s="143" t="e">
        <f t="shared" si="222"/>
        <v>#DIV/0!</v>
      </c>
      <c r="BE147" s="143">
        <f t="shared" si="222"/>
        <v>0.35806460812342705</v>
      </c>
      <c r="BF147" s="143" t="e">
        <f t="shared" si="222"/>
        <v>#DIV/0!</v>
      </c>
      <c r="BG147" s="143" t="e">
        <f t="shared" si="222"/>
        <v>#DIV/0!</v>
      </c>
      <c r="BH147" s="143" t="e">
        <f t="shared" si="222"/>
        <v>#DIV/0!</v>
      </c>
      <c r="BI147" s="143" t="e">
        <f t="shared" si="222"/>
        <v>#DIV/0!</v>
      </c>
      <c r="BJ147" s="143">
        <f t="shared" si="222"/>
        <v>0.33636391893572049</v>
      </c>
      <c r="BK147" s="143" t="e">
        <f t="shared" si="222"/>
        <v>#DIV/0!</v>
      </c>
      <c r="BL147" s="143" t="e">
        <f t="shared" si="222"/>
        <v>#DIV/0!</v>
      </c>
      <c r="BM147" s="143" t="e">
        <f t="shared" si="222"/>
        <v>#DIV/0!</v>
      </c>
      <c r="BN147" s="143" t="e">
        <f t="shared" si="222"/>
        <v>#DIV/0!</v>
      </c>
      <c r="BO147" s="143">
        <f t="shared" ref="BO147:CD147" si="223">BO17/BO9</f>
        <v>0.36737104690712652</v>
      </c>
      <c r="BP147" s="143" t="e">
        <f t="shared" si="223"/>
        <v>#DIV/0!</v>
      </c>
      <c r="BQ147" s="143" t="e">
        <f t="shared" si="223"/>
        <v>#DIV/0!</v>
      </c>
      <c r="BR147" s="143" t="e">
        <f t="shared" si="223"/>
        <v>#DIV/0!</v>
      </c>
      <c r="BS147" s="143" t="e">
        <f t="shared" si="223"/>
        <v>#DIV/0!</v>
      </c>
      <c r="BT147" s="143">
        <f t="shared" si="223"/>
        <v>0.4142238167410206</v>
      </c>
      <c r="BU147" s="143">
        <f t="shared" si="223"/>
        <v>0.4302281756937138</v>
      </c>
      <c r="BV147" s="143">
        <f t="shared" si="223"/>
        <v>0.42660902048622223</v>
      </c>
      <c r="BW147" s="143">
        <f t="shared" si="223"/>
        <v>0.39748258004095527</v>
      </c>
      <c r="BX147" s="143">
        <f t="shared" si="223"/>
        <v>0.37772783167903223</v>
      </c>
      <c r="BY147" s="143">
        <f t="shared" si="223"/>
        <v>0.40570648155397238</v>
      </c>
      <c r="BZ147" s="143" t="e">
        <f t="shared" si="223"/>
        <v>#DIV/0!</v>
      </c>
      <c r="CA147" s="143" t="e">
        <f t="shared" si="223"/>
        <v>#DIV/0!</v>
      </c>
      <c r="CB147" s="143" t="e">
        <f t="shared" si="223"/>
        <v>#DIV/0!</v>
      </c>
      <c r="CC147" s="143" t="e">
        <f t="shared" si="223"/>
        <v>#DIV/0!</v>
      </c>
      <c r="CD147" s="384">
        <f t="shared" si="223"/>
        <v>0.34211264875680381</v>
      </c>
      <c r="CE147" s="384"/>
      <c r="CF147" s="384"/>
      <c r="CG147" s="384"/>
      <c r="CH147" s="384"/>
      <c r="CI147" s="384">
        <f>CI17/CI9</f>
        <v>0.34211264875680375</v>
      </c>
      <c r="CJ147" s="384"/>
      <c r="CK147" s="384"/>
      <c r="CL147" s="384"/>
      <c r="CM147" s="384"/>
      <c r="CN147" s="384">
        <f>CN17/CN9</f>
        <v>0.34211264875680375</v>
      </c>
      <c r="CO147" s="384"/>
      <c r="CP147" s="384"/>
      <c r="CQ147" s="384"/>
      <c r="CR147" s="384"/>
      <c r="CS147" s="384">
        <f>CS17/CS9</f>
        <v>0.34211264875680381</v>
      </c>
      <c r="CT147" s="384"/>
      <c r="CU147" s="384"/>
      <c r="CV147" s="384"/>
      <c r="CW147" s="384"/>
      <c r="CX147" s="384">
        <f>CX17/CX9</f>
        <v>0.34211264875680375</v>
      </c>
    </row>
    <row r="148" spans="1:102" s="133" customFormat="1" hidden="1" x14ac:dyDescent="0.2">
      <c r="B148" s="133" t="s">
        <v>135</v>
      </c>
      <c r="C148" s="143" t="e">
        <f>C26*4/(C62+C63+C65)</f>
        <v>#DIV/0!</v>
      </c>
      <c r="D148" s="143" t="e">
        <f>D26*4/(D62+D63+D65)</f>
        <v>#DIV/0!</v>
      </c>
      <c r="E148" s="143" t="e">
        <f>E26*4/(E62+E63+E65)</f>
        <v>#DIV/0!</v>
      </c>
      <c r="F148" s="143" t="e">
        <f>SUM(C26:F26)/(F62+F63+F65)</f>
        <v>#DIV/0!</v>
      </c>
      <c r="G148" s="146" t="e">
        <f>G26/(G62+G63+G65)</f>
        <v>#DIV/0!</v>
      </c>
      <c r="H148" s="146" t="e">
        <f>H26*4/(H62+H63+H65)</f>
        <v>#DIV/0!</v>
      </c>
      <c r="I148" s="146" t="e">
        <f>I26*4/(I62+I63+I65)</f>
        <v>#DIV/0!</v>
      </c>
      <c r="J148" s="146" t="e">
        <f>J26*4/(J62+J63+J65)</f>
        <v>#DIV/0!</v>
      </c>
      <c r="K148" s="146" t="e">
        <f>SUM(H26:K26)/(K62+K63+K65)</f>
        <v>#DIV/0!</v>
      </c>
      <c r="L148" s="146" t="e">
        <f>L26/AVERAGE((L62+L63+L65),(G62+G63+G65))</f>
        <v>#DIV/0!</v>
      </c>
      <c r="M148" s="146" t="e">
        <f>M26*4/(M62+M63+M65)</f>
        <v>#DIV/0!</v>
      </c>
      <c r="N148" s="146" t="e">
        <f>N26*4/(N62+N63+N65)</f>
        <v>#DIV/0!</v>
      </c>
      <c r="O148" s="146" t="e">
        <f>O26*4/(O62+O63+O65)</f>
        <v>#DIV/0!</v>
      </c>
      <c r="P148" s="146" t="e">
        <f>SUM(M26:P26)/(P62+P63+P65)</f>
        <v>#DIV/0!</v>
      </c>
      <c r="Q148" s="146" t="e">
        <f>Q26/AVERAGE((Q62+Q63+Q65),(L62+L63+L65))</f>
        <v>#DIV/0!</v>
      </c>
      <c r="R148" s="146" t="e">
        <f>R26*4/(R62+R63+R65)</f>
        <v>#DIV/0!</v>
      </c>
      <c r="S148" s="146" t="e">
        <f>S26*4/(S62+S63+S65)</f>
        <v>#DIV/0!</v>
      </c>
      <c r="T148" s="146" t="e">
        <f>T26*4/(T62+T63+T65)</f>
        <v>#DIV/0!</v>
      </c>
      <c r="U148" s="146" t="e">
        <f>SUM(R26:U26)/(U62+U63+U65)</f>
        <v>#DIV/0!</v>
      </c>
      <c r="V148" s="146" t="e">
        <f>V26/AVERAGE((V62+V63+V65),(Q62+Q63+Q65))</f>
        <v>#DIV/0!</v>
      </c>
      <c r="W148" s="146" t="e">
        <f>W26*4/(W62+W63+W65)</f>
        <v>#DIV/0!</v>
      </c>
      <c r="X148" s="146" t="e">
        <f>X26*4/(X62+X63+X65)</f>
        <v>#DIV/0!</v>
      </c>
      <c r="Y148" s="146" t="e">
        <f>Y26*4/(Y62+Y63+Y65)</f>
        <v>#DIV/0!</v>
      </c>
      <c r="Z148" s="146" t="e">
        <f>SUM(W26:Z26)/(Z62+Z63+Z65)</f>
        <v>#DIV/0!</v>
      </c>
      <c r="AA148" s="146">
        <f>AA26/AVERAGE((AA62+AA63+AA65),(V62+V63+V65))</f>
        <v>-3.4662928507709953E-2</v>
      </c>
      <c r="AB148" s="146" t="e">
        <f>AB26*4/(AB62+AB63+AB65)</f>
        <v>#DIV/0!</v>
      </c>
      <c r="AC148" s="146" t="e">
        <f>AC26*4/(AC62+AC63+AC65)</f>
        <v>#DIV/0!</v>
      </c>
      <c r="AD148" s="146" t="e">
        <f>AD26*4/(AD62+AD63+AD65)</f>
        <v>#DIV/0!</v>
      </c>
      <c r="AE148" s="146" t="e">
        <f>SUM(AB26:AE26)/(AE62+AE63+AE65)</f>
        <v>#DIV/0!</v>
      </c>
      <c r="AF148" s="144">
        <f>AF26/AVERAGE((AF62+AF63+AF65),(AA62+AA63+AA65))</f>
        <v>-1.2116855778610668E-2</v>
      </c>
      <c r="AG148" s="146" t="e">
        <f>AG26*4/(AG62+AG63+AG65)</f>
        <v>#DIV/0!</v>
      </c>
      <c r="AH148" s="146" t="e">
        <f>AH26*4/(AH62+AH63+AH65)</f>
        <v>#DIV/0!</v>
      </c>
      <c r="AI148" s="146" t="e">
        <f>AI26*4/(AI62+AI63+AI65)</f>
        <v>#DIV/0!</v>
      </c>
      <c r="AJ148" s="146" t="e">
        <f>SUM(AG26:AJ26)/(AJ62+AJ63+AJ65)</f>
        <v>#DIV/0!</v>
      </c>
      <c r="AK148" s="146">
        <f t="shared" ref="AK148:AZ148" si="224">AK26/AVERAGE((AK62+AK63+AK65),(AF62+AF63+AF65))</f>
        <v>-2.038216560509554E-2</v>
      </c>
      <c r="AL148" s="146" t="e">
        <f t="shared" si="224"/>
        <v>#DIV/0!</v>
      </c>
      <c r="AM148" s="146" t="e">
        <f t="shared" si="224"/>
        <v>#DIV/0!</v>
      </c>
      <c r="AN148" s="146" t="e">
        <f t="shared" si="224"/>
        <v>#DIV/0!</v>
      </c>
      <c r="AO148" s="146" t="e">
        <f t="shared" si="224"/>
        <v>#DIV/0!</v>
      </c>
      <c r="AP148" s="146">
        <f t="shared" si="224"/>
        <v>5.6255273931931117E-3</v>
      </c>
      <c r="AQ148" s="146" t="e">
        <f t="shared" si="224"/>
        <v>#DIV/0!</v>
      </c>
      <c r="AR148" s="146" t="e">
        <f t="shared" si="224"/>
        <v>#DIV/0!</v>
      </c>
      <c r="AS148" s="146" t="e">
        <f t="shared" si="224"/>
        <v>#DIV/0!</v>
      </c>
      <c r="AT148" s="146" t="e">
        <f t="shared" si="224"/>
        <v>#DIV/0!</v>
      </c>
      <c r="AU148" s="146">
        <f t="shared" si="224"/>
        <v>1.6565327715804087E-2</v>
      </c>
      <c r="AV148" s="146" t="e">
        <f t="shared" si="224"/>
        <v>#DIV/0!</v>
      </c>
      <c r="AW148" s="146" t="e">
        <f t="shared" si="224"/>
        <v>#DIV/0!</v>
      </c>
      <c r="AX148" s="146" t="e">
        <f t="shared" si="224"/>
        <v>#DIV/0!</v>
      </c>
      <c r="AY148" s="146" t="e">
        <f t="shared" si="224"/>
        <v>#DIV/0!</v>
      </c>
      <c r="AZ148" s="146">
        <f t="shared" si="224"/>
        <v>-5.7988465682235887E-3</v>
      </c>
      <c r="BA148" s="146" t="e">
        <f>BA26*4/(BA62+BA63+BA65)</f>
        <v>#DIV/0!</v>
      </c>
      <c r="BB148" s="146" t="e">
        <f>BB26*4/(BB62+BB63+BB65)</f>
        <v>#DIV/0!</v>
      </c>
      <c r="BC148" s="146" t="e">
        <f>BC26*4/(BC62+BC63+BC65)</f>
        <v>#DIV/0!</v>
      </c>
      <c r="BD148" s="146" t="e">
        <f>SUM(BA26:BD26)/(BD62+BD63+BD65)</f>
        <v>#DIV/0!</v>
      </c>
      <c r="BE148" s="144">
        <f t="shared" ref="BE148:CD148" si="225">BE26/AVERAGE((BE62+BE63+BE65),(AZ62+AZ63+AZ65))</f>
        <v>3.375765991236312E-3</v>
      </c>
      <c r="BF148" s="146" t="e">
        <f t="shared" si="225"/>
        <v>#DIV/0!</v>
      </c>
      <c r="BG148" s="146" t="e">
        <f t="shared" si="225"/>
        <v>#DIV/0!</v>
      </c>
      <c r="BH148" s="146" t="e">
        <f t="shared" si="225"/>
        <v>#DIV/0!</v>
      </c>
      <c r="BI148" s="146" t="e">
        <f t="shared" si="225"/>
        <v>#DIV/0!</v>
      </c>
      <c r="BJ148" s="146">
        <f t="shared" si="225"/>
        <v>2.5380140120638623E-2</v>
      </c>
      <c r="BK148" s="146" t="e">
        <f t="shared" si="225"/>
        <v>#DIV/0!</v>
      </c>
      <c r="BL148" s="146" t="e">
        <f t="shared" si="225"/>
        <v>#DIV/0!</v>
      </c>
      <c r="BM148" s="146" t="e">
        <f t="shared" si="225"/>
        <v>#DIV/0!</v>
      </c>
      <c r="BN148" s="146" t="e">
        <f t="shared" si="225"/>
        <v>#DIV/0!</v>
      </c>
      <c r="BO148" s="146">
        <f t="shared" si="225"/>
        <v>0.12313608670773167</v>
      </c>
      <c r="BP148" s="146" t="e">
        <f t="shared" si="225"/>
        <v>#DIV/0!</v>
      </c>
      <c r="BQ148" s="146" t="e">
        <f t="shared" si="225"/>
        <v>#DIV/0!</v>
      </c>
      <c r="BR148" s="146" t="e">
        <f t="shared" si="225"/>
        <v>#DIV/0!</v>
      </c>
      <c r="BS148" s="146" t="e">
        <f t="shared" si="225"/>
        <v>#DIV/0!</v>
      </c>
      <c r="BT148" s="146">
        <f t="shared" si="225"/>
        <v>-0.12003685530009214</v>
      </c>
      <c r="BU148" s="146">
        <f t="shared" si="225"/>
        <v>-5.7187116762408832E-3</v>
      </c>
      <c r="BV148" s="146">
        <f t="shared" si="225"/>
        <v>7.8924045310165025E-4</v>
      </c>
      <c r="BW148" s="146">
        <f t="shared" si="225"/>
        <v>1.3829551780336818E-2</v>
      </c>
      <c r="BX148" s="146">
        <f t="shared" si="225"/>
        <v>3.6760730889825927E-3</v>
      </c>
      <c r="BY148" s="146">
        <f t="shared" si="225"/>
        <v>6.1308391667810481E-3</v>
      </c>
      <c r="BZ148" s="146">
        <f t="shared" si="225"/>
        <v>0</v>
      </c>
      <c r="CA148" s="146">
        <f t="shared" si="225"/>
        <v>0</v>
      </c>
      <c r="CB148" s="146">
        <f t="shared" si="225"/>
        <v>0</v>
      </c>
      <c r="CC148" s="146">
        <f t="shared" si="225"/>
        <v>0</v>
      </c>
      <c r="CD148" s="386">
        <f t="shared" si="225"/>
        <v>1.1313637028330401E-3</v>
      </c>
      <c r="CE148" s="386"/>
      <c r="CF148" s="386"/>
      <c r="CG148" s="386"/>
      <c r="CH148" s="386"/>
      <c r="CI148" s="386">
        <f>CI26/AVERAGE((CI62+CI63+CI65),(CD62+CD63+CD65))</f>
        <v>1.2442920065964718E-3</v>
      </c>
      <c r="CJ148" s="386"/>
      <c r="CK148" s="386"/>
      <c r="CL148" s="386"/>
      <c r="CM148" s="386"/>
      <c r="CN148" s="386">
        <f>CN26/AVERAGE((CN62+CN63+CN65),(CI62+CI63+CI65))</f>
        <v>1.3275769239047012E-3</v>
      </c>
      <c r="CO148" s="386"/>
      <c r="CP148" s="386"/>
      <c r="CQ148" s="386"/>
      <c r="CR148" s="386"/>
      <c r="CS148" s="386">
        <f>CS26/AVERAGE((CS62+CS63+CS65),(CN62+CN63+CN65))</f>
        <v>1.454572437399315E-3</v>
      </c>
      <c r="CT148" s="386"/>
      <c r="CU148" s="386"/>
      <c r="CV148" s="386"/>
      <c r="CW148" s="386"/>
      <c r="CX148" s="386">
        <f>CX26/AVERAGE((CX62+CX63+CX65),(CS62+CS63+CS65))</f>
        <v>1.6459380091906758E-3</v>
      </c>
    </row>
    <row r="149" spans="1:102" s="133" customFormat="1" x14ac:dyDescent="0.2">
      <c r="AF149" s="140"/>
      <c r="BE149" s="140"/>
      <c r="CD149" s="383"/>
      <c r="CE149" s="383"/>
      <c r="CF149" s="383"/>
      <c r="CG149" s="383"/>
      <c r="CH149" s="383"/>
      <c r="CI149" s="383"/>
      <c r="CJ149" s="383"/>
      <c r="CK149" s="383"/>
      <c r="CL149" s="383"/>
      <c r="CM149" s="383"/>
      <c r="CN149" s="383"/>
      <c r="CO149" s="383"/>
      <c r="CP149" s="383"/>
      <c r="CQ149" s="383"/>
      <c r="CR149" s="383"/>
      <c r="CS149" s="383"/>
      <c r="CT149" s="383"/>
      <c r="CU149" s="383"/>
      <c r="CV149" s="383"/>
      <c r="CW149" s="383"/>
      <c r="CX149" s="383"/>
    </row>
    <row r="150" spans="1:102" s="133" customFormat="1" x14ac:dyDescent="0.2">
      <c r="B150" s="133" t="s">
        <v>136</v>
      </c>
      <c r="C150" s="134" t="e">
        <f t="shared" ref="C150:AH150" si="226">C54/C64</f>
        <v>#DIV/0!</v>
      </c>
      <c r="D150" s="134" t="e">
        <f t="shared" si="226"/>
        <v>#DIV/0!</v>
      </c>
      <c r="E150" s="134" t="e">
        <f t="shared" si="226"/>
        <v>#DIV/0!</v>
      </c>
      <c r="F150" s="134" t="e">
        <f t="shared" si="226"/>
        <v>#DIV/0!</v>
      </c>
      <c r="G150" s="134" t="e">
        <f t="shared" si="226"/>
        <v>#DIV/0!</v>
      </c>
      <c r="H150" s="134" t="e">
        <f t="shared" si="226"/>
        <v>#DIV/0!</v>
      </c>
      <c r="I150" s="134" t="e">
        <f t="shared" si="226"/>
        <v>#DIV/0!</v>
      </c>
      <c r="J150" s="134" t="e">
        <f t="shared" si="226"/>
        <v>#DIV/0!</v>
      </c>
      <c r="K150" s="134" t="e">
        <f t="shared" si="226"/>
        <v>#DIV/0!</v>
      </c>
      <c r="L150" s="134" t="e">
        <f t="shared" si="226"/>
        <v>#DIV/0!</v>
      </c>
      <c r="M150" s="134" t="e">
        <f t="shared" si="226"/>
        <v>#DIV/0!</v>
      </c>
      <c r="N150" s="134" t="e">
        <f t="shared" si="226"/>
        <v>#DIV/0!</v>
      </c>
      <c r="O150" s="134" t="e">
        <f t="shared" si="226"/>
        <v>#DIV/0!</v>
      </c>
      <c r="P150" s="134" t="e">
        <f t="shared" si="226"/>
        <v>#DIV/0!</v>
      </c>
      <c r="Q150" s="134" t="e">
        <f t="shared" si="226"/>
        <v>#DIV/0!</v>
      </c>
      <c r="R150" s="134" t="e">
        <f t="shared" si="226"/>
        <v>#DIV/0!</v>
      </c>
      <c r="S150" s="134" t="e">
        <f t="shared" si="226"/>
        <v>#DIV/0!</v>
      </c>
      <c r="T150" s="134" t="e">
        <f t="shared" si="226"/>
        <v>#DIV/0!</v>
      </c>
      <c r="U150" s="134" t="e">
        <f t="shared" si="226"/>
        <v>#DIV/0!</v>
      </c>
      <c r="V150" s="134" t="e">
        <f t="shared" si="226"/>
        <v>#DIV/0!</v>
      </c>
      <c r="W150" s="134" t="e">
        <f t="shared" si="226"/>
        <v>#DIV/0!</v>
      </c>
      <c r="X150" s="134" t="e">
        <f t="shared" si="226"/>
        <v>#DIV/0!</v>
      </c>
      <c r="Y150" s="134" t="e">
        <f t="shared" si="226"/>
        <v>#DIV/0!</v>
      </c>
      <c r="Z150" s="134" t="e">
        <f t="shared" si="226"/>
        <v>#DIV/0!</v>
      </c>
      <c r="AA150" s="134">
        <f t="shared" si="226"/>
        <v>1.0715839860748477</v>
      </c>
      <c r="AB150" s="134" t="e">
        <f t="shared" si="226"/>
        <v>#DIV/0!</v>
      </c>
      <c r="AC150" s="134" t="e">
        <f t="shared" si="226"/>
        <v>#DIV/0!</v>
      </c>
      <c r="AD150" s="134" t="e">
        <f t="shared" si="226"/>
        <v>#DIV/0!</v>
      </c>
      <c r="AE150" s="134" t="e">
        <f t="shared" si="226"/>
        <v>#DIV/0!</v>
      </c>
      <c r="AF150" s="134">
        <f t="shared" si="226"/>
        <v>1.1152764427355903</v>
      </c>
      <c r="AG150" s="134" t="e">
        <f t="shared" si="226"/>
        <v>#DIV/0!</v>
      </c>
      <c r="AH150" s="134" t="e">
        <f t="shared" si="226"/>
        <v>#DIV/0!</v>
      </c>
      <c r="AI150" s="134" t="e">
        <f t="shared" ref="AI150:BN150" si="227">AI54/AI64</f>
        <v>#DIV/0!</v>
      </c>
      <c r="AJ150" s="134" t="e">
        <f t="shared" si="227"/>
        <v>#DIV/0!</v>
      </c>
      <c r="AK150" s="134">
        <f t="shared" si="227"/>
        <v>1.0536488919054505</v>
      </c>
      <c r="AL150" s="134" t="e">
        <f t="shared" si="227"/>
        <v>#DIV/0!</v>
      </c>
      <c r="AM150" s="134" t="e">
        <f t="shared" si="227"/>
        <v>#DIV/0!</v>
      </c>
      <c r="AN150" s="134" t="e">
        <f t="shared" si="227"/>
        <v>#DIV/0!</v>
      </c>
      <c r="AO150" s="134" t="e">
        <f t="shared" si="227"/>
        <v>#DIV/0!</v>
      </c>
      <c r="AP150" s="134">
        <f t="shared" si="227"/>
        <v>1.0448466313675371</v>
      </c>
      <c r="AQ150" s="134" t="e">
        <f t="shared" si="227"/>
        <v>#DIV/0!</v>
      </c>
      <c r="AR150" s="134" t="e">
        <f t="shared" si="227"/>
        <v>#DIV/0!</v>
      </c>
      <c r="AS150" s="134" t="e">
        <f t="shared" si="227"/>
        <v>#DIV/0!</v>
      </c>
      <c r="AT150" s="134" t="e">
        <f t="shared" si="227"/>
        <v>#DIV/0!</v>
      </c>
      <c r="AU150" s="134">
        <f t="shared" si="227"/>
        <v>1.039977195376881</v>
      </c>
      <c r="AV150" s="134" t="e">
        <f t="shared" si="227"/>
        <v>#DIV/0!</v>
      </c>
      <c r="AW150" s="134" t="e">
        <f t="shared" si="227"/>
        <v>#DIV/0!</v>
      </c>
      <c r="AX150" s="134" t="e">
        <f t="shared" si="227"/>
        <v>#DIV/0!</v>
      </c>
      <c r="AY150" s="134" t="e">
        <f t="shared" si="227"/>
        <v>#DIV/0!</v>
      </c>
      <c r="AZ150" s="134">
        <f t="shared" si="227"/>
        <v>1.0981123247210891</v>
      </c>
      <c r="BA150" s="134" t="e">
        <f t="shared" si="227"/>
        <v>#DIV/0!</v>
      </c>
      <c r="BB150" s="134" t="e">
        <f t="shared" si="227"/>
        <v>#DIV/0!</v>
      </c>
      <c r="BC150" s="134" t="e">
        <f t="shared" si="227"/>
        <v>#DIV/0!</v>
      </c>
      <c r="BD150" s="134" t="e">
        <f t="shared" si="227"/>
        <v>#DIV/0!</v>
      </c>
      <c r="BE150" s="134">
        <f t="shared" si="227"/>
        <v>1.0970482394205803</v>
      </c>
      <c r="BF150" s="134" t="e">
        <f t="shared" si="227"/>
        <v>#DIV/0!</v>
      </c>
      <c r="BG150" s="134" t="e">
        <f t="shared" si="227"/>
        <v>#DIV/0!</v>
      </c>
      <c r="BH150" s="134" t="e">
        <f t="shared" si="227"/>
        <v>#DIV/0!</v>
      </c>
      <c r="BI150" s="134" t="e">
        <f t="shared" si="227"/>
        <v>#DIV/0!</v>
      </c>
      <c r="BJ150" s="134">
        <f t="shared" si="227"/>
        <v>1.0502274795268425</v>
      </c>
      <c r="BK150" s="134" t="e">
        <f t="shared" si="227"/>
        <v>#DIV/0!</v>
      </c>
      <c r="BL150" s="134" t="e">
        <f t="shared" si="227"/>
        <v>#DIV/0!</v>
      </c>
      <c r="BM150" s="134" t="e">
        <f t="shared" si="227"/>
        <v>#DIV/0!</v>
      </c>
      <c r="BN150" s="134" t="e">
        <f t="shared" si="227"/>
        <v>#DIV/0!</v>
      </c>
      <c r="BO150" s="134">
        <f t="shared" ref="BO150:CX150" si="228">BO54/BO64</f>
        <v>1.1357597739445826</v>
      </c>
      <c r="BP150" s="134" t="e">
        <f t="shared" si="228"/>
        <v>#DIV/0!</v>
      </c>
      <c r="BQ150" s="134" t="e">
        <f t="shared" si="228"/>
        <v>#DIV/0!</v>
      </c>
      <c r="BR150" s="134" t="e">
        <f t="shared" si="228"/>
        <v>#DIV/0!</v>
      </c>
      <c r="BS150" s="134" t="e">
        <f t="shared" si="228"/>
        <v>#DIV/0!</v>
      </c>
      <c r="BT150" s="134">
        <f t="shared" si="228"/>
        <v>0.9446435811136924</v>
      </c>
      <c r="BU150" s="134">
        <f t="shared" si="228"/>
        <v>0.92309412482211828</v>
      </c>
      <c r="BV150" s="134">
        <f t="shared" si="228"/>
        <v>0.94767873284852733</v>
      </c>
      <c r="BW150" s="134">
        <f t="shared" si="228"/>
        <v>0.98471910421860154</v>
      </c>
      <c r="BX150" s="134">
        <f t="shared" si="228"/>
        <v>1.0450772206625152</v>
      </c>
      <c r="BY150" s="134">
        <f t="shared" si="228"/>
        <v>1.0450772206625152</v>
      </c>
      <c r="BZ150" s="134" t="e">
        <f t="shared" si="228"/>
        <v>#DIV/0!</v>
      </c>
      <c r="CA150" s="134" t="e">
        <f t="shared" si="228"/>
        <v>#DIV/0!</v>
      </c>
      <c r="CB150" s="134" t="e">
        <f t="shared" si="228"/>
        <v>#DIV/0!</v>
      </c>
      <c r="CC150" s="134" t="e">
        <f t="shared" si="228"/>
        <v>#DIV/0!</v>
      </c>
      <c r="CD150" s="379">
        <f t="shared" si="228"/>
        <v>1.2909293454322206</v>
      </c>
      <c r="CE150" s="379"/>
      <c r="CF150" s="379"/>
      <c r="CG150" s="379"/>
      <c r="CH150" s="379"/>
      <c r="CI150" s="379">
        <f t="shared" si="228"/>
        <v>1.3188241106840031</v>
      </c>
      <c r="CJ150" s="379"/>
      <c r="CK150" s="379"/>
      <c r="CL150" s="379"/>
      <c r="CM150" s="379"/>
      <c r="CN150" s="379">
        <f t="shared" si="228"/>
        <v>1.3185661885756186</v>
      </c>
      <c r="CO150" s="379"/>
      <c r="CP150" s="379"/>
      <c r="CQ150" s="379"/>
      <c r="CR150" s="379"/>
      <c r="CS150" s="379">
        <f t="shared" si="228"/>
        <v>1.3642634508507805</v>
      </c>
      <c r="CT150" s="379"/>
      <c r="CU150" s="379"/>
      <c r="CV150" s="379"/>
      <c r="CW150" s="379"/>
      <c r="CX150" s="379">
        <f t="shared" si="228"/>
        <v>1.4207933195595865</v>
      </c>
    </row>
    <row r="151" spans="1:102" s="133" customFormat="1" x14ac:dyDescent="0.2">
      <c r="B151" s="133" t="s">
        <v>137</v>
      </c>
      <c r="C151" s="134" t="e">
        <f t="shared" ref="C151:V151" si="229">C50/C64</f>
        <v>#DIV/0!</v>
      </c>
      <c r="D151" s="134" t="e">
        <f t="shared" si="229"/>
        <v>#DIV/0!</v>
      </c>
      <c r="E151" s="134" t="e">
        <f t="shared" si="229"/>
        <v>#DIV/0!</v>
      </c>
      <c r="F151" s="134" t="e">
        <f t="shared" si="229"/>
        <v>#DIV/0!</v>
      </c>
      <c r="G151" s="134" t="e">
        <f t="shared" si="229"/>
        <v>#DIV/0!</v>
      </c>
      <c r="H151" s="134" t="e">
        <f t="shared" si="229"/>
        <v>#DIV/0!</v>
      </c>
      <c r="I151" s="134" t="e">
        <f t="shared" si="229"/>
        <v>#DIV/0!</v>
      </c>
      <c r="J151" s="134" t="e">
        <f t="shared" si="229"/>
        <v>#DIV/0!</v>
      </c>
      <c r="K151" s="134" t="e">
        <f t="shared" si="229"/>
        <v>#DIV/0!</v>
      </c>
      <c r="L151" s="134" t="e">
        <f t="shared" si="229"/>
        <v>#DIV/0!</v>
      </c>
      <c r="M151" s="134" t="e">
        <f t="shared" si="229"/>
        <v>#DIV/0!</v>
      </c>
      <c r="N151" s="134" t="e">
        <f t="shared" si="229"/>
        <v>#DIV/0!</v>
      </c>
      <c r="O151" s="134" t="e">
        <f t="shared" si="229"/>
        <v>#DIV/0!</v>
      </c>
      <c r="P151" s="134" t="e">
        <f t="shared" si="229"/>
        <v>#DIV/0!</v>
      </c>
      <c r="Q151" s="134" t="e">
        <f t="shared" si="229"/>
        <v>#DIV/0!</v>
      </c>
      <c r="R151" s="134" t="e">
        <f t="shared" si="229"/>
        <v>#DIV/0!</v>
      </c>
      <c r="S151" s="134" t="e">
        <f t="shared" si="229"/>
        <v>#DIV/0!</v>
      </c>
      <c r="T151" s="134" t="e">
        <f t="shared" si="229"/>
        <v>#DIV/0!</v>
      </c>
      <c r="U151" s="134" t="e">
        <f t="shared" si="229"/>
        <v>#DIV/0!</v>
      </c>
      <c r="V151" s="134" t="e">
        <f t="shared" si="229"/>
        <v>#DIV/0!</v>
      </c>
      <c r="W151" s="134" t="e">
        <f t="shared" ref="W151:BB151" si="230">(W54-W52)/W64</f>
        <v>#DIV/0!</v>
      </c>
      <c r="X151" s="134" t="e">
        <f t="shared" si="230"/>
        <v>#DIV/0!</v>
      </c>
      <c r="Y151" s="134" t="e">
        <f t="shared" si="230"/>
        <v>#DIV/0!</v>
      </c>
      <c r="Z151" s="134" t="e">
        <f t="shared" si="230"/>
        <v>#DIV/0!</v>
      </c>
      <c r="AA151" s="134">
        <f t="shared" si="230"/>
        <v>0.74908616187989552</v>
      </c>
      <c r="AB151" s="134" t="e">
        <f t="shared" si="230"/>
        <v>#DIV/0!</v>
      </c>
      <c r="AC151" s="134" t="e">
        <f t="shared" si="230"/>
        <v>#DIV/0!</v>
      </c>
      <c r="AD151" s="134" t="e">
        <f t="shared" si="230"/>
        <v>#DIV/0!</v>
      </c>
      <c r="AE151" s="134" t="e">
        <f t="shared" si="230"/>
        <v>#DIV/0!</v>
      </c>
      <c r="AF151" s="134">
        <f t="shared" si="230"/>
        <v>0.81982270639752219</v>
      </c>
      <c r="AG151" s="134" t="e">
        <f t="shared" si="230"/>
        <v>#DIV/0!</v>
      </c>
      <c r="AH151" s="134" t="e">
        <f t="shared" si="230"/>
        <v>#DIV/0!</v>
      </c>
      <c r="AI151" s="134" t="e">
        <f t="shared" si="230"/>
        <v>#DIV/0!</v>
      </c>
      <c r="AJ151" s="134" t="e">
        <f t="shared" si="230"/>
        <v>#DIV/0!</v>
      </c>
      <c r="AK151" s="134">
        <f t="shared" si="230"/>
        <v>0.75137958509162805</v>
      </c>
      <c r="AL151" s="134" t="e">
        <f t="shared" si="230"/>
        <v>#DIV/0!</v>
      </c>
      <c r="AM151" s="134" t="e">
        <f t="shared" si="230"/>
        <v>#DIV/0!</v>
      </c>
      <c r="AN151" s="134" t="e">
        <f t="shared" si="230"/>
        <v>#DIV/0!</v>
      </c>
      <c r="AO151" s="134" t="e">
        <f t="shared" si="230"/>
        <v>#DIV/0!</v>
      </c>
      <c r="AP151" s="134">
        <f t="shared" si="230"/>
        <v>0.78327551579331756</v>
      </c>
      <c r="AQ151" s="134" t="e">
        <f t="shared" si="230"/>
        <v>#DIV/0!</v>
      </c>
      <c r="AR151" s="134" t="e">
        <f t="shared" si="230"/>
        <v>#DIV/0!</v>
      </c>
      <c r="AS151" s="134" t="e">
        <f t="shared" si="230"/>
        <v>#DIV/0!</v>
      </c>
      <c r="AT151" s="134" t="e">
        <f t="shared" si="230"/>
        <v>#DIV/0!</v>
      </c>
      <c r="AU151" s="134">
        <f t="shared" si="230"/>
        <v>0.76274553841369663</v>
      </c>
      <c r="AV151" s="134" t="e">
        <f t="shared" si="230"/>
        <v>#DIV/0!</v>
      </c>
      <c r="AW151" s="134" t="e">
        <f t="shared" si="230"/>
        <v>#DIV/0!</v>
      </c>
      <c r="AX151" s="134" t="e">
        <f t="shared" si="230"/>
        <v>#DIV/0!</v>
      </c>
      <c r="AY151" s="134" t="e">
        <f t="shared" si="230"/>
        <v>#DIV/0!</v>
      </c>
      <c r="AZ151" s="134">
        <f t="shared" si="230"/>
        <v>0.84699741194016753</v>
      </c>
      <c r="BA151" s="134" t="e">
        <f t="shared" si="230"/>
        <v>#DIV/0!</v>
      </c>
      <c r="BB151" s="134" t="e">
        <f t="shared" si="230"/>
        <v>#DIV/0!</v>
      </c>
      <c r="BC151" s="134" t="e">
        <f t="shared" ref="BC151:CD151" si="231">(BC54-BC52)/BC64</f>
        <v>#DIV/0!</v>
      </c>
      <c r="BD151" s="134" t="e">
        <f t="shared" si="231"/>
        <v>#DIV/0!</v>
      </c>
      <c r="BE151" s="134">
        <f t="shared" si="231"/>
        <v>0.86362911674941922</v>
      </c>
      <c r="BF151" s="134" t="e">
        <f t="shared" si="231"/>
        <v>#DIV/0!</v>
      </c>
      <c r="BG151" s="134" t="e">
        <f t="shared" si="231"/>
        <v>#DIV/0!</v>
      </c>
      <c r="BH151" s="134" t="e">
        <f t="shared" si="231"/>
        <v>#DIV/0!</v>
      </c>
      <c r="BI151" s="134" t="e">
        <f t="shared" si="231"/>
        <v>#DIV/0!</v>
      </c>
      <c r="BJ151" s="134">
        <f t="shared" si="231"/>
        <v>0.86195355461486722</v>
      </c>
      <c r="BK151" s="134" t="e">
        <f t="shared" si="231"/>
        <v>#DIV/0!</v>
      </c>
      <c r="BL151" s="134" t="e">
        <f t="shared" si="231"/>
        <v>#DIV/0!</v>
      </c>
      <c r="BM151" s="134" t="e">
        <f t="shared" si="231"/>
        <v>#DIV/0!</v>
      </c>
      <c r="BN151" s="134" t="e">
        <f t="shared" si="231"/>
        <v>#DIV/0!</v>
      </c>
      <c r="BO151" s="134">
        <f t="shared" si="231"/>
        <v>0.90633039517523517</v>
      </c>
      <c r="BP151" s="134" t="e">
        <f t="shared" si="231"/>
        <v>#DIV/0!</v>
      </c>
      <c r="BQ151" s="134" t="e">
        <f t="shared" si="231"/>
        <v>#DIV/0!</v>
      </c>
      <c r="BR151" s="134" t="e">
        <f t="shared" si="231"/>
        <v>#DIV/0!</v>
      </c>
      <c r="BS151" s="134" t="e">
        <f t="shared" si="231"/>
        <v>#DIV/0!</v>
      </c>
      <c r="BT151" s="134">
        <f t="shared" si="231"/>
        <v>0.72323721145740161</v>
      </c>
      <c r="BU151" s="134">
        <f t="shared" si="231"/>
        <v>0.69154299654401297</v>
      </c>
      <c r="BV151" s="134">
        <f t="shared" si="231"/>
        <v>0.70086617466506562</v>
      </c>
      <c r="BW151" s="134">
        <f t="shared" si="231"/>
        <v>0.74089963777597201</v>
      </c>
      <c r="BX151" s="134">
        <f t="shared" si="231"/>
        <v>0.84304832127676343</v>
      </c>
      <c r="BY151" s="134">
        <f t="shared" si="231"/>
        <v>0.84304832127676343</v>
      </c>
      <c r="BZ151" s="134" t="e">
        <f t="shared" si="231"/>
        <v>#DIV/0!</v>
      </c>
      <c r="CA151" s="134" t="e">
        <f t="shared" si="231"/>
        <v>#DIV/0!</v>
      </c>
      <c r="CB151" s="134" t="e">
        <f t="shared" si="231"/>
        <v>#DIV/0!</v>
      </c>
      <c r="CC151" s="134" t="e">
        <f t="shared" si="231"/>
        <v>#DIV/0!</v>
      </c>
      <c r="CD151" s="379">
        <f t="shared" si="231"/>
        <v>1.0604462753714996</v>
      </c>
      <c r="CE151" s="379"/>
      <c r="CF151" s="379"/>
      <c r="CG151" s="379"/>
      <c r="CH151" s="379"/>
      <c r="CI151" s="379">
        <f t="shared" ref="CI151:CX151" si="232">(CI54-CI52)/CI64</f>
        <v>1.0823918869997575</v>
      </c>
      <c r="CJ151" s="379"/>
      <c r="CK151" s="379"/>
      <c r="CL151" s="379"/>
      <c r="CM151" s="379"/>
      <c r="CN151" s="379">
        <f t="shared" si="232"/>
        <v>1.0757556819475649</v>
      </c>
      <c r="CO151" s="379"/>
      <c r="CP151" s="379"/>
      <c r="CQ151" s="379"/>
      <c r="CR151" s="379"/>
      <c r="CS151" s="379">
        <f t="shared" si="232"/>
        <v>1.1034812015003461</v>
      </c>
      <c r="CT151" s="379"/>
      <c r="CU151" s="379"/>
      <c r="CV151" s="379"/>
      <c r="CW151" s="379"/>
      <c r="CX151" s="379">
        <f t="shared" si="232"/>
        <v>1.1476964552307696</v>
      </c>
    </row>
    <row r="152" spans="1:102" s="133" customFormat="1" x14ac:dyDescent="0.2">
      <c r="B152" s="133" t="s">
        <v>138</v>
      </c>
      <c r="C152" s="134" t="e">
        <f t="shared" ref="C152:G153" si="233">C9/C51</f>
        <v>#DIV/0!</v>
      </c>
      <c r="D152" s="134" t="e">
        <f t="shared" si="233"/>
        <v>#DIV/0!</v>
      </c>
      <c r="E152" s="134" t="e">
        <f t="shared" si="233"/>
        <v>#DIV/0!</v>
      </c>
      <c r="F152" s="134" t="e">
        <f t="shared" si="233"/>
        <v>#DIV/0!</v>
      </c>
      <c r="G152" s="134" t="e">
        <f t="shared" si="233"/>
        <v>#DIV/0!</v>
      </c>
      <c r="H152" s="134" t="e">
        <f t="shared" ref="H152:AY152" si="234">H9/AVERAGE(C51,H51)</f>
        <v>#DIV/0!</v>
      </c>
      <c r="I152" s="134" t="e">
        <f t="shared" si="234"/>
        <v>#DIV/0!</v>
      </c>
      <c r="J152" s="134" t="e">
        <f t="shared" si="234"/>
        <v>#DIV/0!</v>
      </c>
      <c r="K152" s="134" t="e">
        <f t="shared" si="234"/>
        <v>#DIV/0!</v>
      </c>
      <c r="L152" s="134" t="e">
        <f t="shared" si="234"/>
        <v>#DIV/0!</v>
      </c>
      <c r="M152" s="134" t="e">
        <f t="shared" si="234"/>
        <v>#DIV/0!</v>
      </c>
      <c r="N152" s="134" t="e">
        <f t="shared" si="234"/>
        <v>#DIV/0!</v>
      </c>
      <c r="O152" s="134" t="e">
        <f t="shared" si="234"/>
        <v>#DIV/0!</v>
      </c>
      <c r="P152" s="134" t="e">
        <f t="shared" si="234"/>
        <v>#DIV/0!</v>
      </c>
      <c r="Q152" s="134" t="e">
        <f t="shared" si="234"/>
        <v>#DIV/0!</v>
      </c>
      <c r="R152" s="134" t="e">
        <f t="shared" si="234"/>
        <v>#DIV/0!</v>
      </c>
      <c r="S152" s="134" t="e">
        <f t="shared" si="234"/>
        <v>#DIV/0!</v>
      </c>
      <c r="T152" s="134" t="e">
        <f t="shared" si="234"/>
        <v>#DIV/0!</v>
      </c>
      <c r="U152" s="134" t="e">
        <f t="shared" si="234"/>
        <v>#DIV/0!</v>
      </c>
      <c r="V152" s="134" t="e">
        <f t="shared" si="234"/>
        <v>#DIV/0!</v>
      </c>
      <c r="W152" s="134" t="e">
        <f t="shared" si="234"/>
        <v>#DIV/0!</v>
      </c>
      <c r="X152" s="134" t="e">
        <f t="shared" si="234"/>
        <v>#DIV/0!</v>
      </c>
      <c r="Y152" s="134" t="e">
        <f t="shared" si="234"/>
        <v>#DIV/0!</v>
      </c>
      <c r="Z152" s="134" t="e">
        <f t="shared" si="234"/>
        <v>#DIV/0!</v>
      </c>
      <c r="AA152" s="134">
        <f t="shared" si="234"/>
        <v>19.649511744523622</v>
      </c>
      <c r="AB152" s="134" t="e">
        <f t="shared" si="234"/>
        <v>#DIV/0!</v>
      </c>
      <c r="AC152" s="134" t="e">
        <f t="shared" si="234"/>
        <v>#DIV/0!</v>
      </c>
      <c r="AD152" s="134" t="e">
        <f t="shared" si="234"/>
        <v>#DIV/0!</v>
      </c>
      <c r="AE152" s="134" t="e">
        <f t="shared" si="234"/>
        <v>#DIV/0!</v>
      </c>
      <c r="AF152" s="134">
        <f t="shared" si="234"/>
        <v>26.77135980746089</v>
      </c>
      <c r="AG152" s="134" t="e">
        <f t="shared" si="234"/>
        <v>#DIV/0!</v>
      </c>
      <c r="AH152" s="134" t="e">
        <f t="shared" si="234"/>
        <v>#DIV/0!</v>
      </c>
      <c r="AI152" s="134" t="e">
        <f t="shared" si="234"/>
        <v>#DIV/0!</v>
      </c>
      <c r="AJ152" s="134" t="e">
        <f t="shared" si="234"/>
        <v>#DIV/0!</v>
      </c>
      <c r="AK152" s="134">
        <f t="shared" si="234"/>
        <v>31.579164822192709</v>
      </c>
      <c r="AL152" s="134" t="e">
        <f t="shared" si="234"/>
        <v>#DIV/0!</v>
      </c>
      <c r="AM152" s="134" t="e">
        <f t="shared" si="234"/>
        <v>#DIV/0!</v>
      </c>
      <c r="AN152" s="134" t="e">
        <f t="shared" si="234"/>
        <v>#DIV/0!</v>
      </c>
      <c r="AO152" s="134" t="e">
        <f t="shared" si="234"/>
        <v>#DIV/0!</v>
      </c>
      <c r="AP152" s="134">
        <f t="shared" si="234"/>
        <v>25.742924751538098</v>
      </c>
      <c r="AQ152" s="134" t="e">
        <f t="shared" si="234"/>
        <v>#DIV/0!</v>
      </c>
      <c r="AR152" s="134" t="e">
        <f t="shared" si="234"/>
        <v>#DIV/0!</v>
      </c>
      <c r="AS152" s="134" t="e">
        <f t="shared" si="234"/>
        <v>#DIV/0!</v>
      </c>
      <c r="AT152" s="134" t="e">
        <f t="shared" si="234"/>
        <v>#DIV/0!</v>
      </c>
      <c r="AU152" s="134">
        <f t="shared" si="234"/>
        <v>20.789667465373153</v>
      </c>
      <c r="AV152" s="134" t="e">
        <f t="shared" si="234"/>
        <v>#DIV/0!</v>
      </c>
      <c r="AW152" s="134" t="e">
        <f t="shared" si="234"/>
        <v>#DIV/0!</v>
      </c>
      <c r="AX152" s="134" t="e">
        <f t="shared" si="234"/>
        <v>#DIV/0!</v>
      </c>
      <c r="AY152" s="134" t="e">
        <f t="shared" si="234"/>
        <v>#DIV/0!</v>
      </c>
      <c r="AZ152" s="134">
        <f>AZ9/AVERAGE(AU53,AZ53)</f>
        <v>15.608525183472404</v>
      </c>
      <c r="BA152" s="134" t="e">
        <f t="shared" ref="BA152:CD152" si="235">BA9/AVERAGE(AV51,BA51)</f>
        <v>#DIV/0!</v>
      </c>
      <c r="BB152" s="134" t="e">
        <f t="shared" si="235"/>
        <v>#DIV/0!</v>
      </c>
      <c r="BC152" s="134" t="e">
        <f t="shared" si="235"/>
        <v>#DIV/0!</v>
      </c>
      <c r="BD152" s="134" t="e">
        <f t="shared" si="235"/>
        <v>#DIV/0!</v>
      </c>
      <c r="BE152" s="134">
        <f t="shared" si="235"/>
        <v>19.734918569066799</v>
      </c>
      <c r="BF152" s="134" t="e">
        <f t="shared" si="235"/>
        <v>#DIV/0!</v>
      </c>
      <c r="BG152" s="134" t="e">
        <f t="shared" si="235"/>
        <v>#DIV/0!</v>
      </c>
      <c r="BH152" s="134" t="e">
        <f t="shared" si="235"/>
        <v>#DIV/0!</v>
      </c>
      <c r="BI152" s="134" t="e">
        <f t="shared" si="235"/>
        <v>#DIV/0!</v>
      </c>
      <c r="BJ152" s="134">
        <f t="shared" si="235"/>
        <v>12.615852164109603</v>
      </c>
      <c r="BK152" s="134" t="e">
        <f t="shared" si="235"/>
        <v>#DIV/0!</v>
      </c>
      <c r="BL152" s="134" t="e">
        <f t="shared" si="235"/>
        <v>#DIV/0!</v>
      </c>
      <c r="BM152" s="134" t="e">
        <f t="shared" si="235"/>
        <v>#DIV/0!</v>
      </c>
      <c r="BN152" s="134" t="e">
        <f t="shared" si="235"/>
        <v>#DIV/0!</v>
      </c>
      <c r="BO152" s="134">
        <f t="shared" si="235"/>
        <v>9.2029029509416969</v>
      </c>
      <c r="BP152" s="134" t="e">
        <f t="shared" si="235"/>
        <v>#DIV/0!</v>
      </c>
      <c r="BQ152" s="134" t="e">
        <f t="shared" si="235"/>
        <v>#DIV/0!</v>
      </c>
      <c r="BR152" s="134" t="e">
        <f t="shared" si="235"/>
        <v>#DIV/0!</v>
      </c>
      <c r="BS152" s="134" t="e">
        <f t="shared" si="235"/>
        <v>#DIV/0!</v>
      </c>
      <c r="BT152" s="134">
        <f t="shared" si="235"/>
        <v>13.531744046757144</v>
      </c>
      <c r="BU152" s="134">
        <f t="shared" si="235"/>
        <v>8.4555835878369408</v>
      </c>
      <c r="BV152" s="134">
        <f t="shared" si="235"/>
        <v>9.30565750294301</v>
      </c>
      <c r="BW152" s="134">
        <f t="shared" si="235"/>
        <v>9.8244301016204343</v>
      </c>
      <c r="BX152" s="134">
        <f t="shared" si="235"/>
        <v>12.690285970282984</v>
      </c>
      <c r="BY152" s="134">
        <f t="shared" si="235"/>
        <v>38.927567640784261</v>
      </c>
      <c r="BZ152" s="134">
        <f t="shared" si="235"/>
        <v>0</v>
      </c>
      <c r="CA152" s="134">
        <f t="shared" si="235"/>
        <v>0</v>
      </c>
      <c r="CB152" s="134">
        <f t="shared" si="235"/>
        <v>0</v>
      </c>
      <c r="CC152" s="134">
        <f t="shared" si="235"/>
        <v>0</v>
      </c>
      <c r="CD152" s="379">
        <f t="shared" si="235"/>
        <v>26.847698479037359</v>
      </c>
      <c r="CE152" s="379"/>
      <c r="CF152" s="379"/>
      <c r="CG152" s="379"/>
      <c r="CH152" s="379"/>
      <c r="CI152" s="379">
        <f>CI9/AVERAGE(CD51,CI51)</f>
        <v>22.062124315085711</v>
      </c>
      <c r="CJ152" s="379"/>
      <c r="CK152" s="379"/>
      <c r="CL152" s="379"/>
      <c r="CM152" s="379"/>
      <c r="CN152" s="379">
        <f>CN9/AVERAGE(CI51,CN51)</f>
        <v>26.603978389316911</v>
      </c>
      <c r="CO152" s="379"/>
      <c r="CP152" s="379"/>
      <c r="CQ152" s="379"/>
      <c r="CR152" s="379"/>
      <c r="CS152" s="379">
        <f>CS9/AVERAGE(CN51,CS51)</f>
        <v>36.414778743026325</v>
      </c>
      <c r="CT152" s="379"/>
      <c r="CU152" s="379"/>
      <c r="CV152" s="379"/>
      <c r="CW152" s="379"/>
      <c r="CX152" s="379">
        <f>CX9/AVERAGE(CS51,CX51)</f>
        <v>47.06704749470692</v>
      </c>
    </row>
    <row r="153" spans="1:102" s="133" customFormat="1" x14ac:dyDescent="0.2">
      <c r="B153" s="133" t="s">
        <v>139</v>
      </c>
      <c r="C153" s="134" t="e">
        <f t="shared" si="233"/>
        <v>#DIV/0!</v>
      </c>
      <c r="D153" s="134" t="e">
        <f t="shared" si="233"/>
        <v>#DIV/0!</v>
      </c>
      <c r="E153" s="134" t="e">
        <f t="shared" si="233"/>
        <v>#DIV/0!</v>
      </c>
      <c r="F153" s="134" t="e">
        <f t="shared" si="233"/>
        <v>#DIV/0!</v>
      </c>
      <c r="G153" s="134" t="e">
        <f t="shared" si="233"/>
        <v>#DIV/0!</v>
      </c>
      <c r="H153" s="134" t="e">
        <f t="shared" ref="H153:Z153" si="236">H10/AVERAGE(H52,C52)</f>
        <v>#DIV/0!</v>
      </c>
      <c r="I153" s="134" t="e">
        <f t="shared" si="236"/>
        <v>#DIV/0!</v>
      </c>
      <c r="J153" s="134" t="e">
        <f t="shared" si="236"/>
        <v>#DIV/0!</v>
      </c>
      <c r="K153" s="134" t="e">
        <f t="shared" si="236"/>
        <v>#DIV/0!</v>
      </c>
      <c r="L153" s="134" t="e">
        <f t="shared" si="236"/>
        <v>#DIV/0!</v>
      </c>
      <c r="M153" s="134" t="e">
        <f t="shared" si="236"/>
        <v>#DIV/0!</v>
      </c>
      <c r="N153" s="134" t="e">
        <f t="shared" si="236"/>
        <v>#DIV/0!</v>
      </c>
      <c r="O153" s="134" t="e">
        <f t="shared" si="236"/>
        <v>#DIV/0!</v>
      </c>
      <c r="P153" s="134" t="e">
        <f t="shared" si="236"/>
        <v>#DIV/0!</v>
      </c>
      <c r="Q153" s="134" t="e">
        <f t="shared" si="236"/>
        <v>#DIV/0!</v>
      </c>
      <c r="R153" s="134" t="e">
        <f t="shared" si="236"/>
        <v>#DIV/0!</v>
      </c>
      <c r="S153" s="134" t="e">
        <f t="shared" si="236"/>
        <v>#DIV/0!</v>
      </c>
      <c r="T153" s="134" t="e">
        <f t="shared" si="236"/>
        <v>#DIV/0!</v>
      </c>
      <c r="U153" s="134" t="e">
        <f t="shared" si="236"/>
        <v>#DIV/0!</v>
      </c>
      <c r="V153" s="134" t="e">
        <f t="shared" si="236"/>
        <v>#DIV/0!</v>
      </c>
      <c r="W153" s="134" t="e">
        <f t="shared" si="236"/>
        <v>#DIV/0!</v>
      </c>
      <c r="X153" s="134" t="e">
        <f t="shared" si="236"/>
        <v>#DIV/0!</v>
      </c>
      <c r="Y153" s="134" t="e">
        <f t="shared" si="236"/>
        <v>#DIV/0!</v>
      </c>
      <c r="Z153" s="134" t="e">
        <f t="shared" si="236"/>
        <v>#DIV/0!</v>
      </c>
      <c r="AA153" s="134">
        <f t="shared" ref="AA153" si="237">AA10/AVERAGE(AA52,V52)</f>
        <v>7.3108892187289163</v>
      </c>
      <c r="AB153" s="134" t="e">
        <f t="shared" ref="AB153" si="238">AB10/AVERAGE(AB52,W52)</f>
        <v>#DIV/0!</v>
      </c>
      <c r="AC153" s="134" t="e">
        <f t="shared" ref="AC153" si="239">AC10/AVERAGE(AC52,X52)</f>
        <v>#DIV/0!</v>
      </c>
      <c r="AD153" s="134" t="e">
        <f t="shared" ref="AD153" si="240">AD10/AVERAGE(AD52,Y52)</f>
        <v>#DIV/0!</v>
      </c>
      <c r="AE153" s="134" t="e">
        <f t="shared" ref="AE153" si="241">AE10/AVERAGE(AE52,Z52)</f>
        <v>#DIV/0!</v>
      </c>
      <c r="AF153" s="134">
        <f t="shared" ref="AF153" si="242">AF10/AVERAGE(AF52,AA52)</f>
        <v>7.9887969446212601</v>
      </c>
      <c r="AG153" s="134" t="e">
        <f t="shared" ref="AG153" si="243">AG10/AVERAGE(AG52,AB52)</f>
        <v>#DIV/0!</v>
      </c>
      <c r="AH153" s="134" t="e">
        <f t="shared" ref="AH153" si="244">AH10/AVERAGE(AH52,AC52)</f>
        <v>#DIV/0!</v>
      </c>
      <c r="AI153" s="134" t="e">
        <f t="shared" ref="AI153" si="245">AI10/AVERAGE(AI52,AD52)</f>
        <v>#DIV/0!</v>
      </c>
      <c r="AJ153" s="134" t="e">
        <f t="shared" ref="AJ153" si="246">AJ10/AVERAGE(AJ52,AE52)</f>
        <v>#DIV/0!</v>
      </c>
      <c r="AK153" s="134">
        <f t="shared" ref="AK153" si="247">AK10/AVERAGE(AK52,AF52)</f>
        <v>7.7285082515370513</v>
      </c>
      <c r="AL153" s="134" t="e">
        <f t="shared" ref="AL153" si="248">AL10/AVERAGE(AL52,AG52)</f>
        <v>#DIV/0!</v>
      </c>
      <c r="AM153" s="134" t="e">
        <f t="shared" ref="AM153" si="249">AM10/AVERAGE(AM52,AH52)</f>
        <v>#DIV/0!</v>
      </c>
      <c r="AN153" s="134" t="e">
        <f t="shared" ref="AN153" si="250">AN10/AVERAGE(AN52,AI52)</f>
        <v>#DIV/0!</v>
      </c>
      <c r="AO153" s="134" t="e">
        <f t="shared" ref="AO153" si="251">AO10/AVERAGE(AO52,AJ52)</f>
        <v>#DIV/0!</v>
      </c>
      <c r="AP153" s="134">
        <f t="shared" ref="AP153" si="252">AP10/AVERAGE(AP52,AK52)</f>
        <v>8.1335237744194622</v>
      </c>
      <c r="AQ153" s="134" t="e">
        <f t="shared" ref="AQ153" si="253">AQ10/AVERAGE(AQ52,AL52)</f>
        <v>#DIV/0!</v>
      </c>
      <c r="AR153" s="134" t="e">
        <f t="shared" ref="AR153" si="254">AR10/AVERAGE(AR52,AM52)</f>
        <v>#DIV/0!</v>
      </c>
      <c r="AS153" s="134" t="e">
        <f t="shared" ref="AS153" si="255">AS10/AVERAGE(AS52,AN52)</f>
        <v>#DIV/0!</v>
      </c>
      <c r="AT153" s="134" t="e">
        <f t="shared" ref="AT153" si="256">AT10/AVERAGE(AT52,AO52)</f>
        <v>#DIV/0!</v>
      </c>
      <c r="AU153" s="134">
        <f t="shared" ref="AU153" si="257">AU10/AVERAGE(AU52,AP52)</f>
        <v>8.1382870437690862</v>
      </c>
      <c r="AV153" s="134" t="e">
        <f t="shared" ref="AV153" si="258">AV10/AVERAGE(AV52,AQ52)</f>
        <v>#DIV/0!</v>
      </c>
      <c r="AW153" s="134" t="e">
        <f t="shared" ref="AW153" si="259">AW10/AVERAGE(AW52,AR52)</f>
        <v>#DIV/0!</v>
      </c>
      <c r="AX153" s="134" t="e">
        <f t="shared" ref="AX153" si="260">AX10/AVERAGE(AX52,AS52)</f>
        <v>#DIV/0!</v>
      </c>
      <c r="AY153" s="134" t="e">
        <f t="shared" ref="AY153" si="261">AY10/AVERAGE(AY52,AT52)</f>
        <v>#DIV/0!</v>
      </c>
      <c r="AZ153" s="134">
        <f t="shared" ref="AZ153:BS153" si="262">AZ10/AVERAGE(AZ52,AU52)</f>
        <v>8.3775924866801113</v>
      </c>
      <c r="BA153" s="134" t="e">
        <f t="shared" si="262"/>
        <v>#DIV/0!</v>
      </c>
      <c r="BB153" s="134" t="e">
        <f t="shared" si="262"/>
        <v>#DIV/0!</v>
      </c>
      <c r="BC153" s="134" t="e">
        <f t="shared" si="262"/>
        <v>#DIV/0!</v>
      </c>
      <c r="BD153" s="134" t="e">
        <f t="shared" si="262"/>
        <v>#DIV/0!</v>
      </c>
      <c r="BE153" s="134">
        <f t="shared" si="262"/>
        <v>8.7885110562501652</v>
      </c>
      <c r="BF153" s="134" t="e">
        <f t="shared" si="262"/>
        <v>#DIV/0!</v>
      </c>
      <c r="BG153" s="134" t="e">
        <f t="shared" si="262"/>
        <v>#DIV/0!</v>
      </c>
      <c r="BH153" s="134" t="e">
        <f t="shared" si="262"/>
        <v>#DIV/0!</v>
      </c>
      <c r="BI153" s="134" t="e">
        <f t="shared" si="262"/>
        <v>#DIV/0!</v>
      </c>
      <c r="BJ153" s="134">
        <f t="shared" si="262"/>
        <v>10.53494987808182</v>
      </c>
      <c r="BK153" s="134" t="e">
        <f t="shared" si="262"/>
        <v>#DIV/0!</v>
      </c>
      <c r="BL153" s="134" t="e">
        <f t="shared" si="262"/>
        <v>#DIV/0!</v>
      </c>
      <c r="BM153" s="134" t="e">
        <f t="shared" si="262"/>
        <v>#DIV/0!</v>
      </c>
      <c r="BN153" s="134" t="e">
        <f t="shared" si="262"/>
        <v>#DIV/0!</v>
      </c>
      <c r="BO153" s="134">
        <f t="shared" si="262"/>
        <v>9.6515991849029863</v>
      </c>
      <c r="BP153" s="134" t="e">
        <f t="shared" si="262"/>
        <v>#DIV/0!</v>
      </c>
      <c r="BQ153" s="134" t="e">
        <f t="shared" si="262"/>
        <v>#DIV/0!</v>
      </c>
      <c r="BR153" s="134" t="e">
        <f t="shared" si="262"/>
        <v>#DIV/0!</v>
      </c>
      <c r="BS153" s="134" t="e">
        <f t="shared" si="262"/>
        <v>#DIV/0!</v>
      </c>
      <c r="BT153" s="134">
        <f t="shared" ref="BT153:BX153" si="263">BT10/AVERAGE(BT52,BO52)</f>
        <v>8.6160340070102173</v>
      </c>
      <c r="BU153" s="134">
        <f t="shared" si="263"/>
        <v>1.9839332748024583</v>
      </c>
      <c r="BV153" s="134">
        <f t="shared" si="263"/>
        <v>1.8961106403913959</v>
      </c>
      <c r="BW153" s="134">
        <f t="shared" si="263"/>
        <v>2.1189064000451903</v>
      </c>
      <c r="BX153" s="134">
        <f t="shared" si="263"/>
        <v>2.7778678191968305</v>
      </c>
      <c r="BY153" s="134">
        <f t="shared" ref="BY153:CD153" si="264">BY$10/BY$52</f>
        <v>9.1463773335734437</v>
      </c>
      <c r="BZ153" s="134" t="e">
        <f t="shared" si="264"/>
        <v>#DIV/0!</v>
      </c>
      <c r="CA153" s="134" t="e">
        <f t="shared" si="264"/>
        <v>#DIV/0!</v>
      </c>
      <c r="CB153" s="134" t="e">
        <f t="shared" si="264"/>
        <v>#DIV/0!</v>
      </c>
      <c r="CC153" s="134" t="e">
        <f t="shared" si="264"/>
        <v>#DIV/0!</v>
      </c>
      <c r="CD153" s="379">
        <f t="shared" si="264"/>
        <v>9.2986508267812358</v>
      </c>
      <c r="CE153" s="379"/>
      <c r="CF153" s="379"/>
      <c r="CG153" s="379"/>
      <c r="CH153" s="379"/>
      <c r="CI153" s="379">
        <f>CI$10/CI$52</f>
        <v>9.4078690579858062</v>
      </c>
      <c r="CJ153" s="379"/>
      <c r="CK153" s="379"/>
      <c r="CL153" s="379"/>
      <c r="CM153" s="379"/>
      <c r="CN153" s="379">
        <f>CN$10/CN$52</f>
        <v>9.2107860083619624</v>
      </c>
      <c r="CO153" s="379"/>
      <c r="CP153" s="379"/>
      <c r="CQ153" s="379"/>
      <c r="CR153" s="379"/>
      <c r="CS153" s="379">
        <f>CS$10/CS$52</f>
        <v>9.1274115703883325</v>
      </c>
      <c r="CT153" s="379"/>
      <c r="CU153" s="379"/>
      <c r="CV153" s="379"/>
      <c r="CW153" s="379"/>
      <c r="CX153" s="379">
        <f>CX$10/CX$52</f>
        <v>9.2370588781413154</v>
      </c>
    </row>
    <row r="154" spans="1:102" s="133" customFormat="1" x14ac:dyDescent="0.2">
      <c r="B154" s="133" t="s">
        <v>140</v>
      </c>
      <c r="C154" s="134" t="e">
        <f>C10/C61</f>
        <v>#DIV/0!</v>
      </c>
      <c r="D154" s="134" t="e">
        <f>D10/D61</f>
        <v>#DIV/0!</v>
      </c>
      <c r="E154" s="134" t="e">
        <f>E10/E61</f>
        <v>#DIV/0!</v>
      </c>
      <c r="F154" s="134" t="e">
        <f>F10/F61</f>
        <v>#DIV/0!</v>
      </c>
      <c r="G154" s="134" t="e">
        <f>G10/G61</f>
        <v>#DIV/0!</v>
      </c>
      <c r="H154" s="134" t="e">
        <f t="shared" ref="H154:Z154" si="265">H10/AVERAGE(H61,C61)</f>
        <v>#DIV/0!</v>
      </c>
      <c r="I154" s="134" t="e">
        <f t="shared" si="265"/>
        <v>#DIV/0!</v>
      </c>
      <c r="J154" s="134" t="e">
        <f t="shared" si="265"/>
        <v>#DIV/0!</v>
      </c>
      <c r="K154" s="134" t="e">
        <f t="shared" si="265"/>
        <v>#DIV/0!</v>
      </c>
      <c r="L154" s="134" t="e">
        <f t="shared" si="265"/>
        <v>#DIV/0!</v>
      </c>
      <c r="M154" s="134" t="e">
        <f t="shared" si="265"/>
        <v>#DIV/0!</v>
      </c>
      <c r="N154" s="134" t="e">
        <f t="shared" si="265"/>
        <v>#DIV/0!</v>
      </c>
      <c r="O154" s="134" t="e">
        <f t="shared" si="265"/>
        <v>#DIV/0!</v>
      </c>
      <c r="P154" s="134" t="e">
        <f t="shared" si="265"/>
        <v>#DIV/0!</v>
      </c>
      <c r="Q154" s="134" t="e">
        <f t="shared" si="265"/>
        <v>#DIV/0!</v>
      </c>
      <c r="R154" s="134" t="e">
        <f t="shared" si="265"/>
        <v>#DIV/0!</v>
      </c>
      <c r="S154" s="134" t="e">
        <f t="shared" si="265"/>
        <v>#DIV/0!</v>
      </c>
      <c r="T154" s="134" t="e">
        <f t="shared" si="265"/>
        <v>#DIV/0!</v>
      </c>
      <c r="U154" s="134" t="e">
        <f t="shared" si="265"/>
        <v>#DIV/0!</v>
      </c>
      <c r="V154" s="134" t="e">
        <f t="shared" si="265"/>
        <v>#DIV/0!</v>
      </c>
      <c r="W154" s="134" t="e">
        <f t="shared" si="265"/>
        <v>#DIV/0!</v>
      </c>
      <c r="X154" s="134" t="e">
        <f t="shared" si="265"/>
        <v>#DIV/0!</v>
      </c>
      <c r="Y154" s="134" t="e">
        <f t="shared" si="265"/>
        <v>#DIV/0!</v>
      </c>
      <c r="Z154" s="134" t="e">
        <f t="shared" si="265"/>
        <v>#DIV/0!</v>
      </c>
      <c r="AA154" s="134">
        <f t="shared" ref="AA154" si="266">AA10/AVERAGE(AA61,V61)</f>
        <v>3.5803211524482919</v>
      </c>
      <c r="AB154" s="134" t="e">
        <f t="shared" ref="AB154" si="267">AB10/AVERAGE(AB61,W61)</f>
        <v>#DIV/0!</v>
      </c>
      <c r="AC154" s="134" t="e">
        <f t="shared" ref="AC154" si="268">AC10/AVERAGE(AC61,X61)</f>
        <v>#DIV/0!</v>
      </c>
      <c r="AD154" s="134" t="e">
        <f t="shared" ref="AD154" si="269">AD10/AVERAGE(AD61,Y61)</f>
        <v>#DIV/0!</v>
      </c>
      <c r="AE154" s="134" t="e">
        <f t="shared" ref="AE154" si="270">AE10/AVERAGE(AE61,Z61)</f>
        <v>#DIV/0!</v>
      </c>
      <c r="AF154" s="134">
        <f t="shared" ref="AF154" si="271">AF10/AVERAGE(AF61,AA61)</f>
        <v>3.9726513041276275</v>
      </c>
      <c r="AG154" s="134" t="e">
        <f t="shared" ref="AG154" si="272">AG10/AVERAGE(AG61,AB61)</f>
        <v>#DIV/0!</v>
      </c>
      <c r="AH154" s="134" t="e">
        <f t="shared" ref="AH154" si="273">AH10/AVERAGE(AH61,AC61)</f>
        <v>#DIV/0!</v>
      </c>
      <c r="AI154" s="134" t="e">
        <f t="shared" ref="AI154" si="274">AI10/AVERAGE(AI61,AD61)</f>
        <v>#DIV/0!</v>
      </c>
      <c r="AJ154" s="134" t="e">
        <f t="shared" ref="AJ154" si="275">AJ10/AVERAGE(AJ61,AE61)</f>
        <v>#DIV/0!</v>
      </c>
      <c r="AK154" s="134">
        <f t="shared" ref="AK154" si="276">AK10/AVERAGE(AK61,AF61)</f>
        <v>3.8881593227696984</v>
      </c>
      <c r="AL154" s="134" t="e">
        <f t="shared" ref="AL154" si="277">AL10/AVERAGE(AL61,AG61)</f>
        <v>#DIV/0!</v>
      </c>
      <c r="AM154" s="134" t="e">
        <f t="shared" ref="AM154" si="278">AM10/AVERAGE(AM61,AH61)</f>
        <v>#DIV/0!</v>
      </c>
      <c r="AN154" s="134" t="e">
        <f t="shared" ref="AN154" si="279">AN10/AVERAGE(AN61,AI61)</f>
        <v>#DIV/0!</v>
      </c>
      <c r="AO154" s="134" t="e">
        <f t="shared" ref="AO154" si="280">AO10/AVERAGE(AO61,AJ61)</f>
        <v>#DIV/0!</v>
      </c>
      <c r="AP154" s="134">
        <f t="shared" ref="AP154" si="281">AP10/AVERAGE(AP61,AK61)</f>
        <v>3.8622937907495736</v>
      </c>
      <c r="AQ154" s="134" t="e">
        <f t="shared" ref="AQ154" si="282">AQ10/AVERAGE(AQ61,AL61)</f>
        <v>#DIV/0!</v>
      </c>
      <c r="AR154" s="134" t="e">
        <f t="shared" ref="AR154" si="283">AR10/AVERAGE(AR61,AM61)</f>
        <v>#DIV/0!</v>
      </c>
      <c r="AS154" s="134" t="e">
        <f t="shared" ref="AS154" si="284">AS10/AVERAGE(AS61,AN61)</f>
        <v>#DIV/0!</v>
      </c>
      <c r="AT154" s="134" t="e">
        <f t="shared" ref="AT154" si="285">AT10/AVERAGE(AT61,AO61)</f>
        <v>#DIV/0!</v>
      </c>
      <c r="AU154" s="134">
        <f t="shared" ref="AU154" si="286">AU10/AVERAGE(AU61,AP61)</f>
        <v>3.7358030871923238</v>
      </c>
      <c r="AV154" s="134" t="e">
        <f t="shared" ref="AV154" si="287">AV10/AVERAGE(AV61,AQ61)</f>
        <v>#DIV/0!</v>
      </c>
      <c r="AW154" s="134" t="e">
        <f t="shared" ref="AW154" si="288">AW10/AVERAGE(AW61,AR61)</f>
        <v>#DIV/0!</v>
      </c>
      <c r="AX154" s="134" t="e">
        <f t="shared" ref="AX154" si="289">AX10/AVERAGE(AX61,AS61)</f>
        <v>#DIV/0!</v>
      </c>
      <c r="AY154" s="134" t="e">
        <f t="shared" ref="AY154" si="290">AY10/AVERAGE(AY61,AT61)</f>
        <v>#DIV/0!</v>
      </c>
      <c r="AZ154" s="134">
        <f t="shared" ref="AZ154:BS154" si="291">AZ10/AVERAGE(AZ61,AU61)</f>
        <v>3.8225469728601253</v>
      </c>
      <c r="BA154" s="134" t="e">
        <f t="shared" si="291"/>
        <v>#DIV/0!</v>
      </c>
      <c r="BB154" s="134" t="e">
        <f t="shared" si="291"/>
        <v>#DIV/0!</v>
      </c>
      <c r="BC154" s="134" t="e">
        <f t="shared" si="291"/>
        <v>#DIV/0!</v>
      </c>
      <c r="BD154" s="134" t="e">
        <f t="shared" si="291"/>
        <v>#DIV/0!</v>
      </c>
      <c r="BE154" s="134">
        <f t="shared" si="291"/>
        <v>3.8778565153733529</v>
      </c>
      <c r="BF154" s="134" t="e">
        <f t="shared" si="291"/>
        <v>#DIV/0!</v>
      </c>
      <c r="BG154" s="134" t="e">
        <f t="shared" si="291"/>
        <v>#DIV/0!</v>
      </c>
      <c r="BH154" s="134" t="e">
        <f t="shared" si="291"/>
        <v>#DIV/0!</v>
      </c>
      <c r="BI154" s="134" t="e">
        <f t="shared" si="291"/>
        <v>#DIV/0!</v>
      </c>
      <c r="BJ154" s="134">
        <f t="shared" si="291"/>
        <v>3.8974791600541252</v>
      </c>
      <c r="BK154" s="134" t="e">
        <f t="shared" si="291"/>
        <v>#DIV/0!</v>
      </c>
      <c r="BL154" s="134" t="e">
        <f t="shared" si="291"/>
        <v>#DIV/0!</v>
      </c>
      <c r="BM154" s="134" t="e">
        <f t="shared" si="291"/>
        <v>#DIV/0!</v>
      </c>
      <c r="BN154" s="134" t="e">
        <f t="shared" si="291"/>
        <v>#DIV/0!</v>
      </c>
      <c r="BO154" s="134">
        <f t="shared" si="291"/>
        <v>3.6023623869896761</v>
      </c>
      <c r="BP154" s="134" t="e">
        <f t="shared" si="291"/>
        <v>#DIV/0!</v>
      </c>
      <c r="BQ154" s="134" t="e">
        <f t="shared" si="291"/>
        <v>#DIV/0!</v>
      </c>
      <c r="BR154" s="134" t="e">
        <f t="shared" si="291"/>
        <v>#DIV/0!</v>
      </c>
      <c r="BS154" s="134" t="e">
        <f t="shared" si="291"/>
        <v>#DIV/0!</v>
      </c>
      <c r="BT154" s="134">
        <f t="shared" ref="BT154:CD154" si="292">BT10/AVERAGE(BT61,BO61)</f>
        <v>3.649989890309862</v>
      </c>
      <c r="BU154" s="134">
        <f t="shared" si="292"/>
        <v>1.0132123694082831</v>
      </c>
      <c r="BV154" s="134">
        <f t="shared" si="292"/>
        <v>0.99844561822656552</v>
      </c>
      <c r="BW154" s="134">
        <f t="shared" si="292"/>
        <v>1.0419143380923281</v>
      </c>
      <c r="BX154" s="134">
        <f t="shared" si="292"/>
        <v>1.0891022699191584</v>
      </c>
      <c r="BY154" s="134">
        <f t="shared" si="292"/>
        <v>3.7032099695590621</v>
      </c>
      <c r="BZ154" s="134">
        <f t="shared" si="292"/>
        <v>0</v>
      </c>
      <c r="CA154" s="134">
        <f t="shared" si="292"/>
        <v>0</v>
      </c>
      <c r="CB154" s="134">
        <f t="shared" si="292"/>
        <v>0</v>
      </c>
      <c r="CC154" s="134">
        <f t="shared" si="292"/>
        <v>0</v>
      </c>
      <c r="CD154" s="379">
        <f t="shared" si="292"/>
        <v>4.1568263146183453</v>
      </c>
      <c r="CE154" s="379"/>
      <c r="CF154" s="379"/>
      <c r="CG154" s="379"/>
      <c r="CH154" s="379"/>
      <c r="CI154" s="379">
        <f>CI10/AVERAGE(CI61,CD61)</f>
        <v>4.1279656511674672</v>
      </c>
      <c r="CJ154" s="379"/>
      <c r="CK154" s="379"/>
      <c r="CL154" s="379"/>
      <c r="CM154" s="379"/>
      <c r="CN154" s="379">
        <f>CN10/AVERAGE(CN61,CI61)</f>
        <v>4.10259777778914</v>
      </c>
      <c r="CO154" s="379"/>
      <c r="CP154" s="379"/>
      <c r="CQ154" s="379"/>
      <c r="CR154" s="379"/>
      <c r="CS154" s="379">
        <f>CS10/AVERAGE(CS61,CN61)</f>
        <v>4.1041890958820009</v>
      </c>
      <c r="CT154" s="379"/>
      <c r="CU154" s="379"/>
      <c r="CV154" s="379"/>
      <c r="CW154" s="379"/>
      <c r="CX154" s="379">
        <f>CX10/AVERAGE(CX61,CS61)</f>
        <v>4.1264991803388478</v>
      </c>
    </row>
    <row r="155" spans="1:102" s="133" customFormat="1" x14ac:dyDescent="0.2">
      <c r="B155" s="133" t="s">
        <v>445</v>
      </c>
      <c r="C155" s="134" t="e">
        <f t="shared" ref="C155:V157" si="293">365/C152</f>
        <v>#DIV/0!</v>
      </c>
      <c r="D155" s="134" t="e">
        <f t="shared" si="293"/>
        <v>#DIV/0!</v>
      </c>
      <c r="E155" s="134" t="e">
        <f t="shared" si="293"/>
        <v>#DIV/0!</v>
      </c>
      <c r="F155" s="134" t="e">
        <f t="shared" si="293"/>
        <v>#DIV/0!</v>
      </c>
      <c r="G155" s="134" t="e">
        <f t="shared" si="293"/>
        <v>#DIV/0!</v>
      </c>
      <c r="H155" s="134" t="e">
        <f t="shared" si="293"/>
        <v>#DIV/0!</v>
      </c>
      <c r="I155" s="134" t="e">
        <f t="shared" si="293"/>
        <v>#DIV/0!</v>
      </c>
      <c r="J155" s="134" t="e">
        <f t="shared" si="293"/>
        <v>#DIV/0!</v>
      </c>
      <c r="K155" s="134" t="e">
        <f t="shared" si="293"/>
        <v>#DIV/0!</v>
      </c>
      <c r="L155" s="134" t="e">
        <f t="shared" si="293"/>
        <v>#DIV/0!</v>
      </c>
      <c r="M155" s="134" t="e">
        <f t="shared" si="293"/>
        <v>#DIV/0!</v>
      </c>
      <c r="N155" s="134" t="e">
        <f t="shared" si="293"/>
        <v>#DIV/0!</v>
      </c>
      <c r="O155" s="134" t="e">
        <f t="shared" si="293"/>
        <v>#DIV/0!</v>
      </c>
      <c r="P155" s="134" t="e">
        <f t="shared" si="293"/>
        <v>#DIV/0!</v>
      </c>
      <c r="Q155" s="134" t="e">
        <f t="shared" si="293"/>
        <v>#DIV/0!</v>
      </c>
      <c r="R155" s="134" t="e">
        <f t="shared" si="293"/>
        <v>#DIV/0!</v>
      </c>
      <c r="S155" s="134" t="e">
        <f t="shared" si="293"/>
        <v>#DIV/0!</v>
      </c>
      <c r="T155" s="134" t="e">
        <f t="shared" si="293"/>
        <v>#DIV/0!</v>
      </c>
      <c r="U155" s="134" t="e">
        <f t="shared" si="293"/>
        <v>#DIV/0!</v>
      </c>
      <c r="V155" s="134" t="e">
        <f t="shared" si="293"/>
        <v>#DIV/0!</v>
      </c>
      <c r="W155" s="134" t="e">
        <f t="shared" ref="W155:Z157" si="294">(365/W152)/4</f>
        <v>#DIV/0!</v>
      </c>
      <c r="X155" s="134" t="e">
        <f t="shared" si="294"/>
        <v>#DIV/0!</v>
      </c>
      <c r="Y155" s="134" t="e">
        <f t="shared" si="294"/>
        <v>#DIV/0!</v>
      </c>
      <c r="Z155" s="134" t="e">
        <f t="shared" si="294"/>
        <v>#DIV/0!</v>
      </c>
      <c r="AA155" s="134">
        <f t="shared" ref="AA155:AY155" si="295">365/AA152</f>
        <v>18.575525170579702</v>
      </c>
      <c r="AB155" s="134" t="e">
        <f t="shared" si="295"/>
        <v>#DIV/0!</v>
      </c>
      <c r="AC155" s="134" t="e">
        <f t="shared" si="295"/>
        <v>#DIV/0!</v>
      </c>
      <c r="AD155" s="134" t="e">
        <f t="shared" si="295"/>
        <v>#DIV/0!</v>
      </c>
      <c r="AE155" s="134" t="e">
        <f t="shared" si="295"/>
        <v>#DIV/0!</v>
      </c>
      <c r="AF155" s="134">
        <f t="shared" si="295"/>
        <v>13.633973119971232</v>
      </c>
      <c r="AG155" s="134" t="e">
        <f t="shared" si="295"/>
        <v>#DIV/0!</v>
      </c>
      <c r="AH155" s="134" t="e">
        <f t="shared" si="295"/>
        <v>#DIV/0!</v>
      </c>
      <c r="AI155" s="134" t="e">
        <f t="shared" si="295"/>
        <v>#DIV/0!</v>
      </c>
      <c r="AJ155" s="134" t="e">
        <f t="shared" si="295"/>
        <v>#DIV/0!</v>
      </c>
      <c r="AK155" s="134">
        <f t="shared" si="295"/>
        <v>11.55825374278078</v>
      </c>
      <c r="AL155" s="134" t="e">
        <f t="shared" si="295"/>
        <v>#DIV/0!</v>
      </c>
      <c r="AM155" s="134" t="e">
        <f t="shared" si="295"/>
        <v>#DIV/0!</v>
      </c>
      <c r="AN155" s="134" t="e">
        <f t="shared" si="295"/>
        <v>#DIV/0!</v>
      </c>
      <c r="AO155" s="134" t="e">
        <f t="shared" si="295"/>
        <v>#DIV/0!</v>
      </c>
      <c r="AP155" s="134">
        <f t="shared" si="295"/>
        <v>14.17865310654695</v>
      </c>
      <c r="AQ155" s="134" t="e">
        <f t="shared" si="295"/>
        <v>#DIV/0!</v>
      </c>
      <c r="AR155" s="134" t="e">
        <f t="shared" si="295"/>
        <v>#DIV/0!</v>
      </c>
      <c r="AS155" s="134" t="e">
        <f t="shared" si="295"/>
        <v>#DIV/0!</v>
      </c>
      <c r="AT155" s="134" t="e">
        <f t="shared" si="295"/>
        <v>#DIV/0!</v>
      </c>
      <c r="AU155" s="134">
        <f t="shared" si="295"/>
        <v>17.556798376305757</v>
      </c>
      <c r="AV155" s="134" t="e">
        <f t="shared" si="295"/>
        <v>#DIV/0!</v>
      </c>
      <c r="AW155" s="134" t="e">
        <f t="shared" si="295"/>
        <v>#DIV/0!</v>
      </c>
      <c r="AX155" s="134" t="e">
        <f t="shared" si="295"/>
        <v>#DIV/0!</v>
      </c>
      <c r="AY155" s="134" t="e">
        <f t="shared" si="295"/>
        <v>#DIV/0!</v>
      </c>
      <c r="AZ155" s="134">
        <f>365/AZ152</f>
        <v>23.384656507233121</v>
      </c>
      <c r="BA155" s="134" t="e">
        <f t="shared" ref="BA155:BD157" si="296">(365/BA152)/4</f>
        <v>#DIV/0!</v>
      </c>
      <c r="BB155" s="134" t="e">
        <f t="shared" si="296"/>
        <v>#DIV/0!</v>
      </c>
      <c r="BC155" s="134" t="e">
        <f t="shared" si="296"/>
        <v>#DIV/0!</v>
      </c>
      <c r="BD155" s="134" t="e">
        <f t="shared" si="296"/>
        <v>#DIV/0!</v>
      </c>
      <c r="BE155" s="134">
        <f>365/BE152</f>
        <v>18.495135853872423</v>
      </c>
      <c r="BF155" s="134" t="e">
        <f t="shared" ref="BF155:BI155" si="297">(365/BF152)/4</f>
        <v>#DIV/0!</v>
      </c>
      <c r="BG155" s="134" t="e">
        <f t="shared" si="297"/>
        <v>#DIV/0!</v>
      </c>
      <c r="BH155" s="134" t="e">
        <f t="shared" si="297"/>
        <v>#DIV/0!</v>
      </c>
      <c r="BI155" s="134" t="e">
        <f t="shared" si="297"/>
        <v>#DIV/0!</v>
      </c>
      <c r="BJ155" s="134">
        <f>365/BJ152</f>
        <v>28.931854562974014</v>
      </c>
      <c r="BK155" s="134" t="e">
        <f t="shared" ref="BK155:BN155" si="298">(365/BK152)/4</f>
        <v>#DIV/0!</v>
      </c>
      <c r="BL155" s="134" t="e">
        <f t="shared" si="298"/>
        <v>#DIV/0!</v>
      </c>
      <c r="BM155" s="134" t="e">
        <f t="shared" si="298"/>
        <v>#DIV/0!</v>
      </c>
      <c r="BN155" s="134" t="e">
        <f t="shared" si="298"/>
        <v>#DIV/0!</v>
      </c>
      <c r="BO155" s="134">
        <f>365/BO152</f>
        <v>39.661398359378659</v>
      </c>
      <c r="BP155" s="134" t="e">
        <f t="shared" ref="BP155:BS155" si="299">(365/BP152)/4</f>
        <v>#DIV/0!</v>
      </c>
      <c r="BQ155" s="134" t="e">
        <f t="shared" si="299"/>
        <v>#DIV/0!</v>
      </c>
      <c r="BR155" s="134" t="e">
        <f t="shared" si="299"/>
        <v>#DIV/0!</v>
      </c>
      <c r="BS155" s="134" t="e">
        <f t="shared" si="299"/>
        <v>#DIV/0!</v>
      </c>
      <c r="BT155" s="134">
        <f>365/BT152</f>
        <v>26.973610994916175</v>
      </c>
      <c r="BU155" s="134">
        <f t="shared" ref="BU155:BX155" si="300">(365/BU152)/4</f>
        <v>10.7916856420484</v>
      </c>
      <c r="BV155" s="134">
        <f t="shared" si="300"/>
        <v>9.805862720731044</v>
      </c>
      <c r="BW155" s="134">
        <f t="shared" si="300"/>
        <v>9.2880705604439378</v>
      </c>
      <c r="BX155" s="134">
        <f t="shared" si="300"/>
        <v>7.1905393001923965</v>
      </c>
      <c r="BY155" s="134">
        <f>365/BY152</f>
        <v>9.3763885626799581</v>
      </c>
      <c r="BZ155" s="134" t="e">
        <f t="shared" ref="BZ155:CC155" si="301">(365/BZ152)/4</f>
        <v>#DIV/0!</v>
      </c>
      <c r="CA155" s="134" t="e">
        <f t="shared" si="301"/>
        <v>#DIV/0!</v>
      </c>
      <c r="CB155" s="134" t="e">
        <f t="shared" si="301"/>
        <v>#DIV/0!</v>
      </c>
      <c r="CC155" s="134" t="e">
        <f t="shared" si="301"/>
        <v>#DIV/0!</v>
      </c>
      <c r="CD155" s="379">
        <f>AVERAGE(BY155,BE155,BT155,BJ155,BO155)</f>
        <v>24.687677666764245</v>
      </c>
      <c r="CE155" s="379" t="e">
        <f t="shared" ref="CE155:CX155" si="302">AVERAGE(BZ155,BF155,BU155,BK155,BP155)</f>
        <v>#DIV/0!</v>
      </c>
      <c r="CF155" s="379" t="e">
        <f t="shared" si="302"/>
        <v>#DIV/0!</v>
      </c>
      <c r="CG155" s="379" t="e">
        <f t="shared" si="302"/>
        <v>#DIV/0!</v>
      </c>
      <c r="CH155" s="379" t="e">
        <f t="shared" si="302"/>
        <v>#DIV/0!</v>
      </c>
      <c r="CI155" s="379">
        <f t="shared" si="302"/>
        <v>25.92618602934261</v>
      </c>
      <c r="CJ155" s="379" t="e">
        <f t="shared" si="302"/>
        <v>#DIV/0!</v>
      </c>
      <c r="CK155" s="379" t="e">
        <f t="shared" si="302"/>
        <v>#DIV/0!</v>
      </c>
      <c r="CL155" s="379" t="e">
        <f t="shared" si="302"/>
        <v>#DIV/0!</v>
      </c>
      <c r="CM155" s="379" t="e">
        <f t="shared" si="302"/>
        <v>#DIV/0!</v>
      </c>
      <c r="CN155" s="379">
        <f t="shared" si="302"/>
        <v>25.32505232261633</v>
      </c>
      <c r="CO155" s="379" t="e">
        <f t="shared" si="302"/>
        <v>#DIV/0!</v>
      </c>
      <c r="CP155" s="379" t="e">
        <f t="shared" si="302"/>
        <v>#DIV/0!</v>
      </c>
      <c r="CQ155" s="379" t="e">
        <f t="shared" si="302"/>
        <v>#DIV/0!</v>
      </c>
      <c r="CR155" s="379" t="e">
        <f t="shared" si="302"/>
        <v>#DIV/0!</v>
      </c>
      <c r="CS155" s="379">
        <f t="shared" si="302"/>
        <v>22.457783115263865</v>
      </c>
      <c r="CT155" s="379" t="e">
        <f t="shared" si="302"/>
        <v>#DIV/0!</v>
      </c>
      <c r="CU155" s="379" t="e">
        <f t="shared" si="302"/>
        <v>#DIV/0!</v>
      </c>
      <c r="CV155" s="379" t="e">
        <f t="shared" si="302"/>
        <v>#DIV/0!</v>
      </c>
      <c r="CW155" s="379" t="e">
        <f t="shared" si="302"/>
        <v>#DIV/0!</v>
      </c>
      <c r="CX155" s="379">
        <f t="shared" si="302"/>
        <v>21.5546175393334</v>
      </c>
    </row>
    <row r="156" spans="1:102" s="133" customFormat="1" x14ac:dyDescent="0.2">
      <c r="B156" s="133" t="s">
        <v>447</v>
      </c>
      <c r="C156" s="134" t="e">
        <f t="shared" si="293"/>
        <v>#DIV/0!</v>
      </c>
      <c r="D156" s="134" t="e">
        <f t="shared" si="293"/>
        <v>#DIV/0!</v>
      </c>
      <c r="E156" s="134" t="e">
        <f t="shared" si="293"/>
        <v>#DIV/0!</v>
      </c>
      <c r="F156" s="134" t="e">
        <f t="shared" si="293"/>
        <v>#DIV/0!</v>
      </c>
      <c r="G156" s="134" t="e">
        <f t="shared" si="293"/>
        <v>#DIV/0!</v>
      </c>
      <c r="H156" s="134" t="e">
        <f t="shared" si="293"/>
        <v>#DIV/0!</v>
      </c>
      <c r="I156" s="134" t="e">
        <f t="shared" si="293"/>
        <v>#DIV/0!</v>
      </c>
      <c r="J156" s="134" t="e">
        <f t="shared" si="293"/>
        <v>#DIV/0!</v>
      </c>
      <c r="K156" s="134" t="e">
        <f t="shared" si="293"/>
        <v>#DIV/0!</v>
      </c>
      <c r="L156" s="134" t="e">
        <f t="shared" si="293"/>
        <v>#DIV/0!</v>
      </c>
      <c r="M156" s="134" t="e">
        <f t="shared" si="293"/>
        <v>#DIV/0!</v>
      </c>
      <c r="N156" s="134" t="e">
        <f t="shared" si="293"/>
        <v>#DIV/0!</v>
      </c>
      <c r="O156" s="134" t="e">
        <f t="shared" si="293"/>
        <v>#DIV/0!</v>
      </c>
      <c r="P156" s="134" t="e">
        <f t="shared" si="293"/>
        <v>#DIV/0!</v>
      </c>
      <c r="Q156" s="134" t="e">
        <f t="shared" si="293"/>
        <v>#DIV/0!</v>
      </c>
      <c r="R156" s="134" t="e">
        <f t="shared" si="293"/>
        <v>#DIV/0!</v>
      </c>
      <c r="S156" s="134" t="e">
        <f t="shared" si="293"/>
        <v>#DIV/0!</v>
      </c>
      <c r="T156" s="134" t="e">
        <f t="shared" si="293"/>
        <v>#DIV/0!</v>
      </c>
      <c r="U156" s="134" t="e">
        <f t="shared" si="293"/>
        <v>#DIV/0!</v>
      </c>
      <c r="V156" s="134" t="e">
        <f t="shared" si="293"/>
        <v>#DIV/0!</v>
      </c>
      <c r="W156" s="134" t="e">
        <f t="shared" si="294"/>
        <v>#DIV/0!</v>
      </c>
      <c r="X156" s="134" t="e">
        <f t="shared" si="294"/>
        <v>#DIV/0!</v>
      </c>
      <c r="Y156" s="134" t="e">
        <f t="shared" si="294"/>
        <v>#DIV/0!</v>
      </c>
      <c r="Z156" s="134" t="e">
        <f t="shared" si="294"/>
        <v>#DIV/0!</v>
      </c>
      <c r="AA156" s="134">
        <f t="shared" ref="AA156:AY156" si="303">365/AA153</f>
        <v>49.925527398903675</v>
      </c>
      <c r="AB156" s="134" t="e">
        <f t="shared" si="303"/>
        <v>#DIV/0!</v>
      </c>
      <c r="AC156" s="134" t="e">
        <f t="shared" si="303"/>
        <v>#DIV/0!</v>
      </c>
      <c r="AD156" s="134" t="e">
        <f t="shared" si="303"/>
        <v>#DIV/0!</v>
      </c>
      <c r="AE156" s="134" t="e">
        <f t="shared" si="303"/>
        <v>#DIV/0!</v>
      </c>
      <c r="AF156" s="134">
        <f t="shared" si="303"/>
        <v>45.688982024477312</v>
      </c>
      <c r="AG156" s="134" t="e">
        <f t="shared" si="303"/>
        <v>#DIV/0!</v>
      </c>
      <c r="AH156" s="134" t="e">
        <f t="shared" si="303"/>
        <v>#DIV/0!</v>
      </c>
      <c r="AI156" s="134" t="e">
        <f t="shared" si="303"/>
        <v>#DIV/0!</v>
      </c>
      <c r="AJ156" s="134" t="e">
        <f t="shared" si="303"/>
        <v>#DIV/0!</v>
      </c>
      <c r="AK156" s="134">
        <f t="shared" si="303"/>
        <v>47.227742808893105</v>
      </c>
      <c r="AL156" s="134" t="e">
        <f t="shared" si="303"/>
        <v>#DIV/0!</v>
      </c>
      <c r="AM156" s="134" t="e">
        <f t="shared" si="303"/>
        <v>#DIV/0!</v>
      </c>
      <c r="AN156" s="134" t="e">
        <f t="shared" si="303"/>
        <v>#DIV/0!</v>
      </c>
      <c r="AO156" s="134" t="e">
        <f t="shared" si="303"/>
        <v>#DIV/0!</v>
      </c>
      <c r="AP156" s="134">
        <f t="shared" si="303"/>
        <v>44.875998413867329</v>
      </c>
      <c r="AQ156" s="134" t="e">
        <f t="shared" si="303"/>
        <v>#DIV/0!</v>
      </c>
      <c r="AR156" s="134" t="e">
        <f t="shared" si="303"/>
        <v>#DIV/0!</v>
      </c>
      <c r="AS156" s="134" t="e">
        <f t="shared" si="303"/>
        <v>#DIV/0!</v>
      </c>
      <c r="AT156" s="134" t="e">
        <f t="shared" si="303"/>
        <v>#DIV/0!</v>
      </c>
      <c r="AU156" s="134">
        <f t="shared" si="303"/>
        <v>44.849732878303278</v>
      </c>
      <c r="AV156" s="134" t="e">
        <f t="shared" si="303"/>
        <v>#DIV/0!</v>
      </c>
      <c r="AW156" s="134" t="e">
        <f t="shared" si="303"/>
        <v>#DIV/0!</v>
      </c>
      <c r="AX156" s="134" t="e">
        <f t="shared" si="303"/>
        <v>#DIV/0!</v>
      </c>
      <c r="AY156" s="134" t="e">
        <f t="shared" si="303"/>
        <v>#DIV/0!</v>
      </c>
      <c r="AZ156" s="134">
        <f>365/AZ153</f>
        <v>43.568602862973933</v>
      </c>
      <c r="BA156" s="134" t="e">
        <f t="shared" si="296"/>
        <v>#DIV/0!</v>
      </c>
      <c r="BB156" s="134" t="e">
        <f t="shared" si="296"/>
        <v>#DIV/0!</v>
      </c>
      <c r="BC156" s="134" t="e">
        <f t="shared" si="296"/>
        <v>#DIV/0!</v>
      </c>
      <c r="BD156" s="134" t="e">
        <f t="shared" si="296"/>
        <v>#DIV/0!</v>
      </c>
      <c r="BE156" s="134">
        <f>365/BE153</f>
        <v>41.531494659771894</v>
      </c>
      <c r="BF156" s="134" t="e">
        <f t="shared" ref="BF156:BI156" si="304">(365/BF153)/4</f>
        <v>#DIV/0!</v>
      </c>
      <c r="BG156" s="134" t="e">
        <f t="shared" si="304"/>
        <v>#DIV/0!</v>
      </c>
      <c r="BH156" s="134" t="e">
        <f t="shared" si="304"/>
        <v>#DIV/0!</v>
      </c>
      <c r="BI156" s="134" t="e">
        <f t="shared" si="304"/>
        <v>#DIV/0!</v>
      </c>
      <c r="BJ156" s="134">
        <f>365/BJ153</f>
        <v>34.646581542774115</v>
      </c>
      <c r="BK156" s="134" t="e">
        <f t="shared" ref="BK156:BN156" si="305">(365/BK153)/4</f>
        <v>#DIV/0!</v>
      </c>
      <c r="BL156" s="134" t="e">
        <f t="shared" si="305"/>
        <v>#DIV/0!</v>
      </c>
      <c r="BM156" s="134" t="e">
        <f t="shared" si="305"/>
        <v>#DIV/0!</v>
      </c>
      <c r="BN156" s="134" t="e">
        <f t="shared" si="305"/>
        <v>#DIV/0!</v>
      </c>
      <c r="BO156" s="134">
        <f>365/BO153</f>
        <v>37.817567120994035</v>
      </c>
      <c r="BP156" s="134" t="e">
        <f t="shared" ref="BP156:BS156" si="306">(365/BP153)/4</f>
        <v>#DIV/0!</v>
      </c>
      <c r="BQ156" s="134" t="e">
        <f t="shared" si="306"/>
        <v>#DIV/0!</v>
      </c>
      <c r="BR156" s="134" t="e">
        <f t="shared" si="306"/>
        <v>#DIV/0!</v>
      </c>
      <c r="BS156" s="134" t="e">
        <f t="shared" si="306"/>
        <v>#DIV/0!</v>
      </c>
      <c r="BT156" s="134">
        <f>365/BT153</f>
        <v>42.362878292150079</v>
      </c>
      <c r="BU156" s="134">
        <f t="shared" ref="BU156:BX156" si="307">(365/BU153)/4</f>
        <v>45.994490419082176</v>
      </c>
      <c r="BV156" s="134">
        <f t="shared" si="307"/>
        <v>48.124828823894021</v>
      </c>
      <c r="BW156" s="134">
        <f t="shared" si="307"/>
        <v>43.0646676974754</v>
      </c>
      <c r="BX156" s="134">
        <f t="shared" si="307"/>
        <v>32.848935204693525</v>
      </c>
      <c r="BY156" s="134">
        <f>365/BY153</f>
        <v>39.906510161154301</v>
      </c>
      <c r="BZ156" s="134" t="e">
        <f t="shared" ref="BZ156:CC156" si="308">(365/BZ153)/4</f>
        <v>#DIV/0!</v>
      </c>
      <c r="CA156" s="134" t="e">
        <f t="shared" si="308"/>
        <v>#DIV/0!</v>
      </c>
      <c r="CB156" s="134" t="e">
        <f t="shared" si="308"/>
        <v>#DIV/0!</v>
      </c>
      <c r="CC156" s="134" t="e">
        <f t="shared" si="308"/>
        <v>#DIV/0!</v>
      </c>
      <c r="CD156" s="379">
        <f>AVERAGE(BY156,BE156,BT156,BJ156,BO156)</f>
        <v>39.253006355368889</v>
      </c>
      <c r="CE156" s="379"/>
      <c r="CF156" s="379"/>
      <c r="CG156" s="379"/>
      <c r="CH156" s="379"/>
      <c r="CI156" s="379">
        <f>AVERAGE(CD156,BT156,BO156,BJ156,BY156)</f>
        <v>38.797308694488287</v>
      </c>
      <c r="CJ156" s="379"/>
      <c r="CK156" s="379"/>
      <c r="CL156" s="379"/>
      <c r="CM156" s="379"/>
      <c r="CN156" s="379">
        <f>AVERAGE(CI156,CD156,BY156,BT156,BO156)</f>
        <v>39.627454124831118</v>
      </c>
      <c r="CO156" s="379"/>
      <c r="CP156" s="379"/>
      <c r="CQ156" s="379"/>
      <c r="CR156" s="379"/>
      <c r="CS156" s="379">
        <f>AVERAGE(CN156,CI156,CD156,BY156,BT156)</f>
        <v>39.989431525598533</v>
      </c>
      <c r="CT156" s="379"/>
      <c r="CU156" s="379"/>
      <c r="CV156" s="379"/>
      <c r="CW156" s="379"/>
      <c r="CX156" s="379">
        <f>AVERAGE(BY156,CS156,CD156,CI156,CN156)</f>
        <v>39.51474217228823</v>
      </c>
    </row>
    <row r="157" spans="1:102" s="133" customFormat="1" x14ac:dyDescent="0.2">
      <c r="B157" s="133" t="s">
        <v>446</v>
      </c>
      <c r="C157" s="134" t="e">
        <f t="shared" si="293"/>
        <v>#DIV/0!</v>
      </c>
      <c r="D157" s="134" t="e">
        <f t="shared" si="293"/>
        <v>#DIV/0!</v>
      </c>
      <c r="E157" s="134" t="e">
        <f t="shared" si="293"/>
        <v>#DIV/0!</v>
      </c>
      <c r="F157" s="134" t="e">
        <f t="shared" si="293"/>
        <v>#DIV/0!</v>
      </c>
      <c r="G157" s="134" t="e">
        <f t="shared" si="293"/>
        <v>#DIV/0!</v>
      </c>
      <c r="H157" s="134" t="e">
        <f t="shared" si="293"/>
        <v>#DIV/0!</v>
      </c>
      <c r="I157" s="134" t="e">
        <f t="shared" si="293"/>
        <v>#DIV/0!</v>
      </c>
      <c r="J157" s="134" t="e">
        <f t="shared" si="293"/>
        <v>#DIV/0!</v>
      </c>
      <c r="K157" s="134" t="e">
        <f t="shared" si="293"/>
        <v>#DIV/0!</v>
      </c>
      <c r="L157" s="134" t="e">
        <f t="shared" si="293"/>
        <v>#DIV/0!</v>
      </c>
      <c r="M157" s="134" t="e">
        <f t="shared" si="293"/>
        <v>#DIV/0!</v>
      </c>
      <c r="N157" s="134" t="e">
        <f t="shared" si="293"/>
        <v>#DIV/0!</v>
      </c>
      <c r="O157" s="134" t="e">
        <f t="shared" si="293"/>
        <v>#DIV/0!</v>
      </c>
      <c r="P157" s="134" t="e">
        <f t="shared" si="293"/>
        <v>#DIV/0!</v>
      </c>
      <c r="Q157" s="134" t="e">
        <f t="shared" si="293"/>
        <v>#DIV/0!</v>
      </c>
      <c r="R157" s="134" t="e">
        <f t="shared" si="293"/>
        <v>#DIV/0!</v>
      </c>
      <c r="S157" s="134" t="e">
        <f t="shared" si="293"/>
        <v>#DIV/0!</v>
      </c>
      <c r="T157" s="134" t="e">
        <f t="shared" si="293"/>
        <v>#DIV/0!</v>
      </c>
      <c r="U157" s="134" t="e">
        <f t="shared" si="293"/>
        <v>#DIV/0!</v>
      </c>
      <c r="V157" s="134" t="e">
        <f t="shared" si="293"/>
        <v>#DIV/0!</v>
      </c>
      <c r="W157" s="134" t="e">
        <f t="shared" si="294"/>
        <v>#DIV/0!</v>
      </c>
      <c r="X157" s="134" t="e">
        <f t="shared" si="294"/>
        <v>#DIV/0!</v>
      </c>
      <c r="Y157" s="134" t="e">
        <f t="shared" si="294"/>
        <v>#DIV/0!</v>
      </c>
      <c r="Z157" s="134" t="e">
        <f t="shared" si="294"/>
        <v>#DIV/0!</v>
      </c>
      <c r="AA157" s="134">
        <f t="shared" ref="AA157:AY157" si="309">365/AA154</f>
        <v>101.946161938687</v>
      </c>
      <c r="AB157" s="134" t="e">
        <f t="shared" si="309"/>
        <v>#DIV/0!</v>
      </c>
      <c r="AC157" s="134" t="e">
        <f t="shared" si="309"/>
        <v>#DIV/0!</v>
      </c>
      <c r="AD157" s="134" t="e">
        <f t="shared" si="309"/>
        <v>#DIV/0!</v>
      </c>
      <c r="AE157" s="134" t="e">
        <f t="shared" si="309"/>
        <v>#DIV/0!</v>
      </c>
      <c r="AF157" s="134">
        <f t="shared" si="309"/>
        <v>91.878187149413563</v>
      </c>
      <c r="AG157" s="134" t="e">
        <f t="shared" si="309"/>
        <v>#DIV/0!</v>
      </c>
      <c r="AH157" s="134" t="e">
        <f t="shared" si="309"/>
        <v>#DIV/0!</v>
      </c>
      <c r="AI157" s="134" t="e">
        <f t="shared" si="309"/>
        <v>#DIV/0!</v>
      </c>
      <c r="AJ157" s="134" t="e">
        <f t="shared" si="309"/>
        <v>#DIV/0!</v>
      </c>
      <c r="AK157" s="134">
        <f t="shared" si="309"/>
        <v>93.874754015994185</v>
      </c>
      <c r="AL157" s="134" t="e">
        <f t="shared" si="309"/>
        <v>#DIV/0!</v>
      </c>
      <c r="AM157" s="134" t="e">
        <f t="shared" si="309"/>
        <v>#DIV/0!</v>
      </c>
      <c r="AN157" s="134" t="e">
        <f t="shared" si="309"/>
        <v>#DIV/0!</v>
      </c>
      <c r="AO157" s="134" t="e">
        <f t="shared" si="309"/>
        <v>#DIV/0!</v>
      </c>
      <c r="AP157" s="134">
        <f t="shared" si="309"/>
        <v>94.503427179516223</v>
      </c>
      <c r="AQ157" s="134" t="e">
        <f t="shared" si="309"/>
        <v>#DIV/0!</v>
      </c>
      <c r="AR157" s="134" t="e">
        <f t="shared" si="309"/>
        <v>#DIV/0!</v>
      </c>
      <c r="AS157" s="134" t="e">
        <f t="shared" si="309"/>
        <v>#DIV/0!</v>
      </c>
      <c r="AT157" s="134" t="e">
        <f t="shared" si="309"/>
        <v>#DIV/0!</v>
      </c>
      <c r="AU157" s="134">
        <f t="shared" si="309"/>
        <v>97.703222434648993</v>
      </c>
      <c r="AV157" s="134" t="e">
        <f t="shared" si="309"/>
        <v>#DIV/0!</v>
      </c>
      <c r="AW157" s="134" t="e">
        <f t="shared" si="309"/>
        <v>#DIV/0!</v>
      </c>
      <c r="AX157" s="134" t="e">
        <f t="shared" si="309"/>
        <v>#DIV/0!</v>
      </c>
      <c r="AY157" s="134" t="e">
        <f t="shared" si="309"/>
        <v>#DIV/0!</v>
      </c>
      <c r="AZ157" s="134">
        <f>365/AZ154</f>
        <v>95.486073184052429</v>
      </c>
      <c r="BA157" s="134" t="e">
        <f t="shared" si="296"/>
        <v>#DIV/0!</v>
      </c>
      <c r="BB157" s="134" t="e">
        <f t="shared" si="296"/>
        <v>#DIV/0!</v>
      </c>
      <c r="BC157" s="134" t="e">
        <f t="shared" si="296"/>
        <v>#DIV/0!</v>
      </c>
      <c r="BD157" s="134" t="e">
        <f t="shared" si="296"/>
        <v>#DIV/0!</v>
      </c>
      <c r="BE157" s="134">
        <f>365/BE154</f>
        <v>94.124163323989947</v>
      </c>
      <c r="BF157" s="134" t="e">
        <f t="shared" ref="BF157:BI157" si="310">(365/BF154)/4</f>
        <v>#DIV/0!</v>
      </c>
      <c r="BG157" s="134" t="e">
        <f t="shared" si="310"/>
        <v>#DIV/0!</v>
      </c>
      <c r="BH157" s="134" t="e">
        <f t="shared" si="310"/>
        <v>#DIV/0!</v>
      </c>
      <c r="BI157" s="134" t="e">
        <f t="shared" si="310"/>
        <v>#DIV/0!</v>
      </c>
      <c r="BJ157" s="134">
        <f>365/BJ154</f>
        <v>93.650276245461995</v>
      </c>
      <c r="BK157" s="134" t="e">
        <f t="shared" ref="BK157:BN157" si="311">(365/BK154)/4</f>
        <v>#DIV/0!</v>
      </c>
      <c r="BL157" s="134" t="e">
        <f t="shared" si="311"/>
        <v>#DIV/0!</v>
      </c>
      <c r="BM157" s="134" t="e">
        <f t="shared" si="311"/>
        <v>#DIV/0!</v>
      </c>
      <c r="BN157" s="134" t="e">
        <f t="shared" si="311"/>
        <v>#DIV/0!</v>
      </c>
      <c r="BO157" s="134">
        <f>365/BO154</f>
        <v>101.3223992450724</v>
      </c>
      <c r="BP157" s="134" t="e">
        <f t="shared" ref="BP157:BS157" si="312">(365/BP154)/4</f>
        <v>#DIV/0!</v>
      </c>
      <c r="BQ157" s="134" t="e">
        <f t="shared" si="312"/>
        <v>#DIV/0!</v>
      </c>
      <c r="BR157" s="134" t="e">
        <f t="shared" si="312"/>
        <v>#DIV/0!</v>
      </c>
      <c r="BS157" s="134" t="e">
        <f t="shared" si="312"/>
        <v>#DIV/0!</v>
      </c>
      <c r="BT157" s="134">
        <f>365/BT154</f>
        <v>100.00027697857917</v>
      </c>
      <c r="BU157" s="134">
        <f t="shared" ref="BU157:BX157" si="313">(365/BU154)/4</f>
        <v>90.060092785177986</v>
      </c>
      <c r="BV157" s="134">
        <f t="shared" si="313"/>
        <v>91.39205814942413</v>
      </c>
      <c r="BW157" s="134">
        <f t="shared" si="313"/>
        <v>87.579176774812723</v>
      </c>
      <c r="BX157" s="134">
        <f t="shared" si="313"/>
        <v>83.784601795727852</v>
      </c>
      <c r="BY157" s="134">
        <f>365/BY154</f>
        <v>98.563139276561259</v>
      </c>
      <c r="BZ157" s="134" t="e">
        <f t="shared" ref="BZ157:CC157" si="314">(365/BZ154)/4</f>
        <v>#DIV/0!</v>
      </c>
      <c r="CA157" s="134" t="e">
        <f t="shared" si="314"/>
        <v>#DIV/0!</v>
      </c>
      <c r="CB157" s="134" t="e">
        <f t="shared" si="314"/>
        <v>#DIV/0!</v>
      </c>
      <c r="CC157" s="134" t="e">
        <f t="shared" si="314"/>
        <v>#DIV/0!</v>
      </c>
      <c r="CD157" s="379">
        <f>AVERAGE(BY157,BE157,BT157,BJ157,BO157)</f>
        <v>97.532051013932957</v>
      </c>
      <c r="CE157" s="379"/>
      <c r="CF157" s="379"/>
      <c r="CG157" s="379"/>
      <c r="CH157" s="379"/>
      <c r="CI157" s="379">
        <f>AVERAGE(CD157,BT157,BO157,BJ157,BY157)</f>
        <v>98.213628551921559</v>
      </c>
      <c r="CJ157" s="379"/>
      <c r="CK157" s="379"/>
      <c r="CL157" s="379"/>
      <c r="CM157" s="379"/>
      <c r="CN157" s="379">
        <f>AVERAGE(CI157,CD157,BY157,BT157,BO157)</f>
        <v>99.126299013213469</v>
      </c>
      <c r="CO157" s="379"/>
      <c r="CP157" s="379"/>
      <c r="CQ157" s="379"/>
      <c r="CR157" s="379"/>
      <c r="CS157" s="379">
        <f>AVERAGE(CN157,CI157,CD157,BY157,BT157)</f>
        <v>98.687078966841696</v>
      </c>
      <c r="CT157" s="379"/>
      <c r="CU157" s="379"/>
      <c r="CV157" s="379"/>
      <c r="CW157" s="379"/>
      <c r="CX157" s="379">
        <f>AVERAGE(BY157,CS157,CD157,CI157,CN157)</f>
        <v>98.424439364494191</v>
      </c>
    </row>
    <row r="158" spans="1:102" s="133" customFormat="1" x14ac:dyDescent="0.2">
      <c r="A158" s="147"/>
      <c r="B158" s="147" t="s">
        <v>141</v>
      </c>
      <c r="C158" s="148" t="e">
        <f>C155+C156-C157</f>
        <v>#DIV/0!</v>
      </c>
      <c r="D158" s="148" t="e">
        <f t="shared" ref="D158:AY158" si="315">D155+D156-D157</f>
        <v>#DIV/0!</v>
      </c>
      <c r="E158" s="148" t="e">
        <f t="shared" si="315"/>
        <v>#DIV/0!</v>
      </c>
      <c r="F158" s="148" t="e">
        <f t="shared" si="315"/>
        <v>#DIV/0!</v>
      </c>
      <c r="G158" s="148" t="e">
        <f t="shared" si="315"/>
        <v>#DIV/0!</v>
      </c>
      <c r="H158" s="148" t="e">
        <f t="shared" si="315"/>
        <v>#DIV/0!</v>
      </c>
      <c r="I158" s="148" t="e">
        <f t="shared" si="315"/>
        <v>#DIV/0!</v>
      </c>
      <c r="J158" s="148" t="e">
        <f t="shared" si="315"/>
        <v>#DIV/0!</v>
      </c>
      <c r="K158" s="148" t="e">
        <f t="shared" si="315"/>
        <v>#DIV/0!</v>
      </c>
      <c r="L158" s="148" t="e">
        <f t="shared" si="315"/>
        <v>#DIV/0!</v>
      </c>
      <c r="M158" s="148" t="e">
        <f t="shared" si="315"/>
        <v>#DIV/0!</v>
      </c>
      <c r="N158" s="148" t="e">
        <f t="shared" si="315"/>
        <v>#DIV/0!</v>
      </c>
      <c r="O158" s="148" t="e">
        <f t="shared" si="315"/>
        <v>#DIV/0!</v>
      </c>
      <c r="P158" s="148" t="e">
        <f t="shared" si="315"/>
        <v>#DIV/0!</v>
      </c>
      <c r="Q158" s="148" t="e">
        <f t="shared" si="315"/>
        <v>#DIV/0!</v>
      </c>
      <c r="R158" s="148" t="e">
        <f t="shared" si="315"/>
        <v>#DIV/0!</v>
      </c>
      <c r="S158" s="148" t="e">
        <f t="shared" si="315"/>
        <v>#DIV/0!</v>
      </c>
      <c r="T158" s="148" t="e">
        <f t="shared" si="315"/>
        <v>#DIV/0!</v>
      </c>
      <c r="U158" s="148" t="e">
        <f t="shared" si="315"/>
        <v>#DIV/0!</v>
      </c>
      <c r="V158" s="148" t="e">
        <f t="shared" si="315"/>
        <v>#DIV/0!</v>
      </c>
      <c r="W158" s="148" t="e">
        <f t="shared" si="315"/>
        <v>#DIV/0!</v>
      </c>
      <c r="X158" s="148" t="e">
        <f t="shared" si="315"/>
        <v>#DIV/0!</v>
      </c>
      <c r="Y158" s="148" t="e">
        <f t="shared" si="315"/>
        <v>#DIV/0!</v>
      </c>
      <c r="Z158" s="148" t="e">
        <f t="shared" si="315"/>
        <v>#DIV/0!</v>
      </c>
      <c r="AA158" s="148">
        <f t="shared" si="315"/>
        <v>-33.445109369203621</v>
      </c>
      <c r="AB158" s="148" t="e">
        <f t="shared" si="315"/>
        <v>#DIV/0!</v>
      </c>
      <c r="AC158" s="148" t="e">
        <f t="shared" si="315"/>
        <v>#DIV/0!</v>
      </c>
      <c r="AD158" s="148" t="e">
        <f t="shared" si="315"/>
        <v>#DIV/0!</v>
      </c>
      <c r="AE158" s="148" t="e">
        <f t="shared" si="315"/>
        <v>#DIV/0!</v>
      </c>
      <c r="AF158" s="148">
        <f t="shared" si="315"/>
        <v>-32.555232004965021</v>
      </c>
      <c r="AG158" s="148" t="e">
        <f t="shared" si="315"/>
        <v>#DIV/0!</v>
      </c>
      <c r="AH158" s="148" t="e">
        <f t="shared" si="315"/>
        <v>#DIV/0!</v>
      </c>
      <c r="AI158" s="148" t="e">
        <f t="shared" si="315"/>
        <v>#DIV/0!</v>
      </c>
      <c r="AJ158" s="148" t="e">
        <f t="shared" si="315"/>
        <v>#DIV/0!</v>
      </c>
      <c r="AK158" s="148">
        <f t="shared" si="315"/>
        <v>-35.088757464320302</v>
      </c>
      <c r="AL158" s="148" t="e">
        <f t="shared" si="315"/>
        <v>#DIV/0!</v>
      </c>
      <c r="AM158" s="148" t="e">
        <f t="shared" si="315"/>
        <v>#DIV/0!</v>
      </c>
      <c r="AN158" s="148" t="e">
        <f t="shared" si="315"/>
        <v>#DIV/0!</v>
      </c>
      <c r="AO158" s="148" t="e">
        <f t="shared" si="315"/>
        <v>#DIV/0!</v>
      </c>
      <c r="AP158" s="148">
        <f t="shared" si="315"/>
        <v>-35.448775659101941</v>
      </c>
      <c r="AQ158" s="148" t="e">
        <f t="shared" si="315"/>
        <v>#DIV/0!</v>
      </c>
      <c r="AR158" s="148" t="e">
        <f t="shared" si="315"/>
        <v>#DIV/0!</v>
      </c>
      <c r="AS158" s="148" t="e">
        <f t="shared" si="315"/>
        <v>#DIV/0!</v>
      </c>
      <c r="AT158" s="148" t="e">
        <f t="shared" si="315"/>
        <v>#DIV/0!</v>
      </c>
      <c r="AU158" s="148">
        <f t="shared" si="315"/>
        <v>-35.296691180039957</v>
      </c>
      <c r="AV158" s="148" t="e">
        <f t="shared" si="315"/>
        <v>#DIV/0!</v>
      </c>
      <c r="AW158" s="148" t="e">
        <f t="shared" si="315"/>
        <v>#DIV/0!</v>
      </c>
      <c r="AX158" s="148" t="e">
        <f t="shared" si="315"/>
        <v>#DIV/0!</v>
      </c>
      <c r="AY158" s="148" t="e">
        <f t="shared" si="315"/>
        <v>#DIV/0!</v>
      </c>
      <c r="AZ158" s="148">
        <f t="shared" ref="AZ158" si="316">AZ155+AZ156-AZ157</f>
        <v>-28.53281381384538</v>
      </c>
      <c r="BA158" s="148" t="e">
        <f t="shared" ref="BA158:BH158" si="317">BA155+BA156-BA157</f>
        <v>#DIV/0!</v>
      </c>
      <c r="BB158" s="148" t="e">
        <f t="shared" si="317"/>
        <v>#DIV/0!</v>
      </c>
      <c r="BC158" s="148" t="e">
        <f t="shared" si="317"/>
        <v>#DIV/0!</v>
      </c>
      <c r="BD158" s="148" t="e">
        <f t="shared" si="317"/>
        <v>#DIV/0!</v>
      </c>
      <c r="BE158" s="148">
        <f t="shared" si="317"/>
        <v>-34.097532810345626</v>
      </c>
      <c r="BF158" s="148" t="e">
        <f t="shared" si="317"/>
        <v>#DIV/0!</v>
      </c>
      <c r="BG158" s="148" t="e">
        <f t="shared" si="317"/>
        <v>#DIV/0!</v>
      </c>
      <c r="BH158" s="148" t="e">
        <f t="shared" si="317"/>
        <v>#DIV/0!</v>
      </c>
      <c r="BI158" s="148" t="e">
        <f>BI155+BI156-BI157</f>
        <v>#DIV/0!</v>
      </c>
      <c r="BJ158" s="148">
        <f t="shared" ref="BJ158:BM158" si="318">BJ155+BJ156-BJ157</f>
        <v>-30.071840139713871</v>
      </c>
      <c r="BK158" s="148" t="e">
        <f t="shared" si="318"/>
        <v>#DIV/0!</v>
      </c>
      <c r="BL158" s="148" t="e">
        <f t="shared" si="318"/>
        <v>#DIV/0!</v>
      </c>
      <c r="BM158" s="148" t="e">
        <f t="shared" si="318"/>
        <v>#DIV/0!</v>
      </c>
      <c r="BN158" s="148" t="e">
        <f>BN155+BN156-BN157</f>
        <v>#DIV/0!</v>
      </c>
      <c r="BO158" s="148">
        <f t="shared" ref="BO158:BR158" si="319">BO155+BO156-BO157</f>
        <v>-23.843433764699711</v>
      </c>
      <c r="BP158" s="148" t="e">
        <f t="shared" si="319"/>
        <v>#DIV/0!</v>
      </c>
      <c r="BQ158" s="148" t="e">
        <f t="shared" si="319"/>
        <v>#DIV/0!</v>
      </c>
      <c r="BR158" s="148" t="e">
        <f t="shared" si="319"/>
        <v>#DIV/0!</v>
      </c>
      <c r="BS158" s="148" t="e">
        <f>BS155+BS156-BS157</f>
        <v>#DIV/0!</v>
      </c>
      <c r="BT158" s="148">
        <f t="shared" ref="BT158:BW158" si="320">BT155+BT156-BT157</f>
        <v>-30.663787691512908</v>
      </c>
      <c r="BU158" s="148">
        <f t="shared" si="320"/>
        <v>-33.27391672404741</v>
      </c>
      <c r="BV158" s="148">
        <f t="shared" si="320"/>
        <v>-33.461366604799068</v>
      </c>
      <c r="BW158" s="148">
        <f t="shared" si="320"/>
        <v>-35.226438516893381</v>
      </c>
      <c r="BX158" s="148">
        <f>BX155+BX156-BX157</f>
        <v>-43.745127290841928</v>
      </c>
      <c r="BY158" s="148">
        <f t="shared" ref="BY158:CB158" si="321">BY155+BY156-BY157</f>
        <v>-49.280240552727001</v>
      </c>
      <c r="BZ158" s="148" t="e">
        <f t="shared" si="321"/>
        <v>#DIV/0!</v>
      </c>
      <c r="CA158" s="148" t="e">
        <f t="shared" si="321"/>
        <v>#DIV/0!</v>
      </c>
      <c r="CB158" s="148" t="e">
        <f t="shared" si="321"/>
        <v>#DIV/0!</v>
      </c>
      <c r="CC158" s="148" t="e">
        <f>CC155+CC156-CC157</f>
        <v>#DIV/0!</v>
      </c>
      <c r="CD158" s="382">
        <f t="shared" ref="CD158" si="322">CD155+CD156-CD157</f>
        <v>-33.591366991799823</v>
      </c>
      <c r="CE158" s="382"/>
      <c r="CF158" s="382"/>
      <c r="CG158" s="382"/>
      <c r="CH158" s="382"/>
      <c r="CI158" s="382">
        <f t="shared" ref="CI158" si="323">CI155+CI156-CI157</f>
        <v>-33.490133828090663</v>
      </c>
      <c r="CJ158" s="382"/>
      <c r="CK158" s="382"/>
      <c r="CL158" s="382"/>
      <c r="CM158" s="382"/>
      <c r="CN158" s="382">
        <f t="shared" ref="CN158" si="324">CN155+CN156-CN157</f>
        <v>-34.173792565766021</v>
      </c>
      <c r="CO158" s="382"/>
      <c r="CP158" s="382"/>
      <c r="CQ158" s="382"/>
      <c r="CR158" s="382"/>
      <c r="CS158" s="382">
        <f t="shared" ref="CS158" si="325">CS155+CS156-CS157</f>
        <v>-36.239864325979298</v>
      </c>
      <c r="CT158" s="382"/>
      <c r="CU158" s="382"/>
      <c r="CV158" s="382"/>
      <c r="CW158" s="382"/>
      <c r="CX158" s="382">
        <f t="shared" ref="CX158" si="326">CX155+CX156-CX157</f>
        <v>-37.355079652872561</v>
      </c>
    </row>
    <row r="159" spans="1:102" s="133" customFormat="1" x14ac:dyDescent="0.2">
      <c r="A159" s="147"/>
      <c r="B159" s="147" t="s">
        <v>142</v>
      </c>
      <c r="C159" s="148" t="e">
        <f t="shared" ref="C159:AY159" si="327">C132/C75</f>
        <v>#DIV/0!</v>
      </c>
      <c r="D159" s="148" t="e">
        <f t="shared" si="327"/>
        <v>#DIV/0!</v>
      </c>
      <c r="E159" s="148" t="e">
        <f t="shared" si="327"/>
        <v>#DIV/0!</v>
      </c>
      <c r="F159" s="148" t="e">
        <f t="shared" si="327"/>
        <v>#DIV/0!</v>
      </c>
      <c r="G159" s="148" t="e">
        <f t="shared" si="327"/>
        <v>#DIV/0!</v>
      </c>
      <c r="H159" s="148" t="e">
        <f t="shared" si="327"/>
        <v>#DIV/0!</v>
      </c>
      <c r="I159" s="148" t="e">
        <f t="shared" si="327"/>
        <v>#DIV/0!</v>
      </c>
      <c r="J159" s="148" t="e">
        <f t="shared" si="327"/>
        <v>#DIV/0!</v>
      </c>
      <c r="K159" s="148" t="e">
        <f t="shared" si="327"/>
        <v>#DIV/0!</v>
      </c>
      <c r="L159" s="148" t="e">
        <f t="shared" si="327"/>
        <v>#DIV/0!</v>
      </c>
      <c r="M159" s="148" t="e">
        <f t="shared" si="327"/>
        <v>#DIV/0!</v>
      </c>
      <c r="N159" s="148" t="e">
        <f t="shared" si="327"/>
        <v>#DIV/0!</v>
      </c>
      <c r="O159" s="148" t="e">
        <f t="shared" si="327"/>
        <v>#DIV/0!</v>
      </c>
      <c r="P159" s="148" t="e">
        <f t="shared" si="327"/>
        <v>#DIV/0!</v>
      </c>
      <c r="Q159" s="148" t="e">
        <f t="shared" si="327"/>
        <v>#DIV/0!</v>
      </c>
      <c r="R159" s="148" t="e">
        <f t="shared" si="327"/>
        <v>#DIV/0!</v>
      </c>
      <c r="S159" s="148" t="e">
        <f t="shared" si="327"/>
        <v>#DIV/0!</v>
      </c>
      <c r="T159" s="148" t="e">
        <f t="shared" si="327"/>
        <v>#DIV/0!</v>
      </c>
      <c r="U159" s="148" t="e">
        <f t="shared" si="327"/>
        <v>#DIV/0!</v>
      </c>
      <c r="V159" s="148" t="e">
        <f t="shared" si="327"/>
        <v>#DIV/0!</v>
      </c>
      <c r="W159" s="148" t="e">
        <f t="shared" si="327"/>
        <v>#DIV/0!</v>
      </c>
      <c r="X159" s="148" t="e">
        <f t="shared" si="327"/>
        <v>#DIV/0!</v>
      </c>
      <c r="Y159" s="148" t="e">
        <f t="shared" si="327"/>
        <v>#DIV/0!</v>
      </c>
      <c r="Z159" s="148" t="e">
        <f t="shared" si="327"/>
        <v>#DIV/0!</v>
      </c>
      <c r="AA159" s="148">
        <f t="shared" si="327"/>
        <v>1.8434229427457418</v>
      </c>
      <c r="AB159" s="148" t="e">
        <f t="shared" si="327"/>
        <v>#DIV/0!</v>
      </c>
      <c r="AC159" s="148" t="e">
        <f t="shared" si="327"/>
        <v>#DIV/0!</v>
      </c>
      <c r="AD159" s="148" t="e">
        <f t="shared" si="327"/>
        <v>#DIV/0!</v>
      </c>
      <c r="AE159" s="148" t="e">
        <f t="shared" si="327"/>
        <v>#DIV/0!</v>
      </c>
      <c r="AF159" s="148">
        <f t="shared" si="327"/>
        <v>2.4530304440927289</v>
      </c>
      <c r="AG159" s="148" t="e">
        <f t="shared" si="327"/>
        <v>#DIV/0!</v>
      </c>
      <c r="AH159" s="148" t="e">
        <f t="shared" si="327"/>
        <v>#DIV/0!</v>
      </c>
      <c r="AI159" s="148" t="e">
        <f t="shared" si="327"/>
        <v>#DIV/0!</v>
      </c>
      <c r="AJ159" s="148" t="e">
        <f t="shared" si="327"/>
        <v>#DIV/0!</v>
      </c>
      <c r="AK159" s="148">
        <f t="shared" si="327"/>
        <v>2.3576658696951585</v>
      </c>
      <c r="AL159" s="148" t="e">
        <f t="shared" si="327"/>
        <v>#DIV/0!</v>
      </c>
      <c r="AM159" s="148" t="e">
        <f t="shared" si="327"/>
        <v>#DIV/0!</v>
      </c>
      <c r="AN159" s="148" t="e">
        <f t="shared" si="327"/>
        <v>#DIV/0!</v>
      </c>
      <c r="AO159" s="148" t="e">
        <f t="shared" si="327"/>
        <v>#DIV/0!</v>
      </c>
      <c r="AP159" s="148">
        <f t="shared" si="327"/>
        <v>1.9774954627949184</v>
      </c>
      <c r="AQ159" s="148">
        <f t="shared" si="327"/>
        <v>0</v>
      </c>
      <c r="AR159" s="148">
        <f t="shared" si="327"/>
        <v>0</v>
      </c>
      <c r="AS159" s="148">
        <f t="shared" si="327"/>
        <v>0</v>
      </c>
      <c r="AT159" s="148">
        <f t="shared" si="327"/>
        <v>0</v>
      </c>
      <c r="AU159" s="148">
        <f t="shared" si="327"/>
        <v>2.6206286766032698</v>
      </c>
      <c r="AV159" s="148" t="e">
        <f t="shared" si="327"/>
        <v>#DIV/0!</v>
      </c>
      <c r="AW159" s="148" t="e">
        <f t="shared" si="327"/>
        <v>#DIV/0!</v>
      </c>
      <c r="AX159" s="148" t="e">
        <f t="shared" si="327"/>
        <v>#DIV/0!</v>
      </c>
      <c r="AY159" s="148" t="e">
        <f t="shared" si="327"/>
        <v>#DIV/0!</v>
      </c>
      <c r="AZ159" s="148">
        <f t="shared" ref="AZ159:BN159" si="328">AZ132/AZ75</f>
        <v>1.7876185446278905</v>
      </c>
      <c r="BA159" s="148" t="e">
        <f t="shared" si="328"/>
        <v>#DIV/0!</v>
      </c>
      <c r="BB159" s="148" t="e">
        <f t="shared" si="328"/>
        <v>#DIV/0!</v>
      </c>
      <c r="BC159" s="148" t="e">
        <f t="shared" si="328"/>
        <v>#DIV/0!</v>
      </c>
      <c r="BD159" s="148" t="e">
        <f t="shared" si="328"/>
        <v>#DIV/0!</v>
      </c>
      <c r="BE159" s="148">
        <f t="shared" si="328"/>
        <v>1.7429423138897842</v>
      </c>
      <c r="BF159" s="148" t="e">
        <f t="shared" si="328"/>
        <v>#DIV/0!</v>
      </c>
      <c r="BG159" s="148" t="e">
        <f t="shared" si="328"/>
        <v>#DIV/0!</v>
      </c>
      <c r="BH159" s="148" t="e">
        <f t="shared" si="328"/>
        <v>#DIV/0!</v>
      </c>
      <c r="BI159" s="148" t="e">
        <f t="shared" si="328"/>
        <v>#DIV/0!</v>
      </c>
      <c r="BJ159" s="148">
        <f t="shared" si="328"/>
        <v>1.5352126247269924</v>
      </c>
      <c r="BK159" s="148" t="e">
        <f t="shared" si="328"/>
        <v>#DIV/0!</v>
      </c>
      <c r="BL159" s="148" t="e">
        <f t="shared" si="328"/>
        <v>#DIV/0!</v>
      </c>
      <c r="BM159" s="148" t="e">
        <f t="shared" si="328"/>
        <v>#DIV/0!</v>
      </c>
      <c r="BN159" s="148" t="e">
        <f t="shared" si="328"/>
        <v>#DIV/0!</v>
      </c>
      <c r="BO159" s="148">
        <f t="shared" ref="BO159:CX159" si="329">BO132/BO75</f>
        <v>1.347281999348982</v>
      </c>
      <c r="BP159" s="148" t="e">
        <f t="shared" si="329"/>
        <v>#DIV/0!</v>
      </c>
      <c r="BQ159" s="148" t="e">
        <f t="shared" si="329"/>
        <v>#DIV/0!</v>
      </c>
      <c r="BR159" s="148" t="e">
        <f t="shared" si="329"/>
        <v>#DIV/0!</v>
      </c>
      <c r="BS159" s="148" t="e">
        <f t="shared" si="329"/>
        <v>#DIV/0!</v>
      </c>
      <c r="BT159" s="148">
        <f t="shared" si="329"/>
        <v>1.6885848688399991</v>
      </c>
      <c r="BU159" s="148">
        <f t="shared" si="329"/>
        <v>1.5883864204082161</v>
      </c>
      <c r="BV159" s="148">
        <f t="shared" si="329"/>
        <v>1.4533338869052561</v>
      </c>
      <c r="BW159" s="148">
        <f t="shared" si="329"/>
        <v>1.3102534253687703</v>
      </c>
      <c r="BX159" s="148">
        <f t="shared" si="329"/>
        <v>1.1848866873065016</v>
      </c>
      <c r="BY159" s="148">
        <f t="shared" si="329"/>
        <v>1.1848866873065016</v>
      </c>
      <c r="BZ159" s="148">
        <f t="shared" si="329"/>
        <v>0</v>
      </c>
      <c r="CA159" s="148">
        <f t="shared" si="329"/>
        <v>0</v>
      </c>
      <c r="CB159" s="148">
        <f t="shared" si="329"/>
        <v>0</v>
      </c>
      <c r="CC159" s="148">
        <f t="shared" si="329"/>
        <v>0</v>
      </c>
      <c r="CD159" s="382">
        <f t="shared" si="329"/>
        <v>1.1004378060893802</v>
      </c>
      <c r="CE159" s="382"/>
      <c r="CF159" s="382"/>
      <c r="CG159" s="382"/>
      <c r="CH159" s="382"/>
      <c r="CI159" s="382">
        <f t="shared" si="329"/>
        <v>1.126979553237011</v>
      </c>
      <c r="CJ159" s="382"/>
      <c r="CK159" s="382"/>
      <c r="CL159" s="382"/>
      <c r="CM159" s="382"/>
      <c r="CN159" s="382">
        <f t="shared" si="329"/>
        <v>1.1098600638454914</v>
      </c>
      <c r="CO159" s="382"/>
      <c r="CP159" s="382"/>
      <c r="CQ159" s="382"/>
      <c r="CR159" s="382"/>
      <c r="CS159" s="382">
        <f t="shared" si="329"/>
        <v>1.0317476902485989</v>
      </c>
      <c r="CT159" s="382"/>
      <c r="CU159" s="382"/>
      <c r="CV159" s="382"/>
      <c r="CW159" s="382"/>
      <c r="CX159" s="382">
        <f t="shared" si="329"/>
        <v>0.95596327940477188</v>
      </c>
    </row>
    <row r="160" spans="1:102" s="133" customFormat="1" x14ac:dyDescent="0.2">
      <c r="A160" s="147"/>
      <c r="B160" s="147" t="s">
        <v>143</v>
      </c>
      <c r="C160" s="149" t="e">
        <f>(SUM(#REF!,#REF!,A29,C29)/AVERAGE(#REF!,#REF!,A75,C75))</f>
        <v>#REF!</v>
      </c>
      <c r="D160" s="149" t="e">
        <f>(SUM(#REF!,A29,C29,D29)/AVERAGE(#REF!,A75,C75,D75))</f>
        <v>#REF!</v>
      </c>
      <c r="E160" s="149" t="e">
        <f>(SUM(A29,C29,D29,E29)/AVERAGE(A75,C75,D75,E75))</f>
        <v>#DIV/0!</v>
      </c>
      <c r="F160" s="149" t="e">
        <f>(SUM(C29,D29,E29,F29)/AVERAGE(C75,D75,E75,F75))</f>
        <v>#DIV/0!</v>
      </c>
      <c r="G160" s="149" t="e">
        <f>G29/AVERAGE(B75,G75)</f>
        <v>#DIV/0!</v>
      </c>
      <c r="H160" s="149" t="e">
        <f>(SUM(D29,E29,F29,H29)/AVERAGE(D75,E75,F75,H75))</f>
        <v>#DIV/0!</v>
      </c>
      <c r="I160" s="149" t="e">
        <f>(SUM(E29,F29,H29,I29)/AVERAGE(E75,F75,H75,I75))</f>
        <v>#DIV/0!</v>
      </c>
      <c r="J160" s="149" t="e">
        <f>(SUM(F29,H29,I29,J29)/AVERAGE(F75,H75,I75,J75))</f>
        <v>#DIV/0!</v>
      </c>
      <c r="K160" s="149" t="e">
        <f>(SUM(H29,I29,J29,K29)/AVERAGE(H75,I75,J75,K75))</f>
        <v>#DIV/0!</v>
      </c>
      <c r="L160" s="149" t="e">
        <f>L29/AVERAGE(G75,L75)</f>
        <v>#DIV/0!</v>
      </c>
      <c r="M160" s="149" t="e">
        <f>(SUM(I29,J29,K29,M29)/AVERAGE(I75,J75,K75,M75))</f>
        <v>#DIV/0!</v>
      </c>
      <c r="N160" s="149" t="e">
        <f>(SUM(J29,K29,M29,N29)/AVERAGE(J75,K75,M75,N75))</f>
        <v>#DIV/0!</v>
      </c>
      <c r="O160" s="149" t="e">
        <f>(SUM(K29,M29,N29,O29)/AVERAGE(K75,M75,N75,O75))</f>
        <v>#DIV/0!</v>
      </c>
      <c r="P160" s="149" t="e">
        <f>(SUM(M29,N29,O29,P29)/AVERAGE(M75,N75,O75,P75))</f>
        <v>#DIV/0!</v>
      </c>
      <c r="Q160" s="149" t="e">
        <f>Q29/AVERAGE(L75,Q75)</f>
        <v>#DIV/0!</v>
      </c>
      <c r="R160" s="149" t="e">
        <f>(SUM(N29,O29,P29,R29)/AVERAGE(N75,O75,P75,R75))</f>
        <v>#DIV/0!</v>
      </c>
      <c r="S160" s="149" t="e">
        <f>(SUM(O29,P29,R29,S29)/AVERAGE(O75,P75,R75,S75))</f>
        <v>#DIV/0!</v>
      </c>
      <c r="T160" s="149" t="e">
        <f>(SUM(P29,R29,S29,T29)/AVERAGE(P75,R75,S75,T75))</f>
        <v>#DIV/0!</v>
      </c>
      <c r="U160" s="149" t="e">
        <f>(SUM(R29,S29,T29,U29)/AVERAGE(R75,S75,T75,U75))</f>
        <v>#DIV/0!</v>
      </c>
      <c r="V160" s="149" t="e">
        <f>V29/AVERAGE(Q75,V75)</f>
        <v>#DIV/0!</v>
      </c>
      <c r="W160" s="149" t="e">
        <f>(SUM(S29,T29,U29,W29)/AVERAGE(S75,T75,U75,W75))</f>
        <v>#DIV/0!</v>
      </c>
      <c r="X160" s="149" t="e">
        <f>(SUM(T29,U29,W29,X29)/AVERAGE(T75,U75,W75,X75))</f>
        <v>#DIV/0!</v>
      </c>
      <c r="Y160" s="149" t="e">
        <f>(SUM(U29,W29,X29,Y29)/AVERAGE(U75,W75,X75,Y75))</f>
        <v>#DIV/0!</v>
      </c>
      <c r="Z160" s="149" t="e">
        <f>(SUM(W29,X29,Y29,Z29)/AVERAGE(W75,X75,Y75,Z75))</f>
        <v>#DIV/0!</v>
      </c>
      <c r="AA160" s="149">
        <f t="shared" ref="AA160:AY160" si="330">AA29/AVERAGE(V75,AA75)</f>
        <v>5.6228196183049459E-2</v>
      </c>
      <c r="AB160" s="149" t="e">
        <f t="shared" si="330"/>
        <v>#DIV/0!</v>
      </c>
      <c r="AC160" s="149" t="e">
        <f t="shared" si="330"/>
        <v>#DIV/0!</v>
      </c>
      <c r="AD160" s="149" t="e">
        <f t="shared" si="330"/>
        <v>#DIV/0!</v>
      </c>
      <c r="AE160" s="149" t="e">
        <f t="shared" si="330"/>
        <v>#DIV/0!</v>
      </c>
      <c r="AF160" s="149">
        <f t="shared" si="330"/>
        <v>-2.3527114755698735E-2</v>
      </c>
      <c r="AG160" s="149" t="e">
        <f t="shared" si="330"/>
        <v>#DIV/0!</v>
      </c>
      <c r="AH160" s="149" t="e">
        <f t="shared" si="330"/>
        <v>#DIV/0!</v>
      </c>
      <c r="AI160" s="149" t="e">
        <f t="shared" si="330"/>
        <v>#DIV/0!</v>
      </c>
      <c r="AJ160" s="149" t="e">
        <f t="shared" si="330"/>
        <v>#DIV/0!</v>
      </c>
      <c r="AK160" s="149">
        <f t="shared" si="330"/>
        <v>4.9409326424870469E-2</v>
      </c>
      <c r="AL160" s="149" t="e">
        <f t="shared" si="330"/>
        <v>#DIV/0!</v>
      </c>
      <c r="AM160" s="149" t="e">
        <f t="shared" si="330"/>
        <v>#DIV/0!</v>
      </c>
      <c r="AN160" s="149" t="e">
        <f t="shared" si="330"/>
        <v>#DIV/0!</v>
      </c>
      <c r="AO160" s="149" t="e">
        <f t="shared" si="330"/>
        <v>#DIV/0!</v>
      </c>
      <c r="AP160" s="149">
        <f t="shared" si="330"/>
        <v>0.14515289724203373</v>
      </c>
      <c r="AQ160" s="149">
        <f t="shared" si="330"/>
        <v>0</v>
      </c>
      <c r="AR160" s="149">
        <f t="shared" si="330"/>
        <v>0</v>
      </c>
      <c r="AS160" s="149">
        <f t="shared" si="330"/>
        <v>0</v>
      </c>
      <c r="AT160" s="149">
        <f t="shared" si="330"/>
        <v>0</v>
      </c>
      <c r="AU160" s="149">
        <f t="shared" si="330"/>
        <v>0.12908030812444141</v>
      </c>
      <c r="AV160" s="149">
        <f t="shared" si="330"/>
        <v>0</v>
      </c>
      <c r="AW160" s="149">
        <f t="shared" si="330"/>
        <v>0</v>
      </c>
      <c r="AX160" s="149">
        <f t="shared" si="330"/>
        <v>0</v>
      </c>
      <c r="AY160" s="149">
        <f t="shared" si="330"/>
        <v>0</v>
      </c>
      <c r="AZ160" s="149">
        <f>AZ29/AVERAGE(AU75,AZ75)</f>
        <v>0.28271913329029724</v>
      </c>
      <c r="BA160" s="149" t="e">
        <f>(SUM(AW29,AX29,AY29,BA29)/AVERAGE(AW75,AX75,AY75,BA75))</f>
        <v>#DIV/0!</v>
      </c>
      <c r="BB160" s="149" t="e">
        <f>(SUM(AX29,AY29,BA29,BB29)/AVERAGE(AX75,AY75,BA75,BB75))</f>
        <v>#DIV/0!</v>
      </c>
      <c r="BC160" s="149" t="e">
        <f>(SUM(AY29,BA29,BB29,BC29)/AVERAGE(AY75,BA75,BB75,BC75))</f>
        <v>#DIV/0!</v>
      </c>
      <c r="BD160" s="149" t="e">
        <f>(SUM(BA29,BB29,BC29,BD29)/AVERAGE(BA75,BB75,BC75,BD75))</f>
        <v>#DIV/0!</v>
      </c>
      <c r="BE160" s="149">
        <f t="shared" ref="BE160:BI160" si="331">BE29/AVERAGE(AZ75,BE75)</f>
        <v>0.21945099376000152</v>
      </c>
      <c r="BF160" s="149" t="e">
        <f t="shared" si="331"/>
        <v>#DIV/0!</v>
      </c>
      <c r="BG160" s="149" t="e">
        <f t="shared" si="331"/>
        <v>#DIV/0!</v>
      </c>
      <c r="BH160" s="149" t="e">
        <f t="shared" si="331"/>
        <v>#DIV/0!</v>
      </c>
      <c r="BI160" s="149" t="e">
        <f t="shared" si="331"/>
        <v>#DIV/0!</v>
      </c>
      <c r="BJ160" s="149">
        <f>BJ29/AVERAGE(BE75,BJ75)</f>
        <v>0.27441722842587352</v>
      </c>
      <c r="BK160" s="149" t="e">
        <f>(SUM(BG29,BH29,BI29,BK29)/AVERAGE(BG75,BH75,BI75,BK75))</f>
        <v>#DIV/0!</v>
      </c>
      <c r="BL160" s="149" t="e">
        <f>(SUM(BH29,BI29,BK29,BL29)/AVERAGE(BH75,BI75,BK75,BL75))</f>
        <v>#DIV/0!</v>
      </c>
      <c r="BM160" s="149" t="e">
        <f>(SUM(BI29,BK29,BL29,BM29)/AVERAGE(BI75,BK75,BL75,BM75))</f>
        <v>#DIV/0!</v>
      </c>
      <c r="BN160" s="149" t="e">
        <f>(SUM(BK29,BL29,BM29,BN29)/AVERAGE(BK75,BL75,BM75,BN75))</f>
        <v>#DIV/0!</v>
      </c>
      <c r="BO160" s="149">
        <f>BO29/AVERAGE(BJ75,BO75)</f>
        <v>0.2880564992726064</v>
      </c>
      <c r="BP160" s="149" t="e">
        <f>(SUM(BL29,BM29,BN29,BP29)/AVERAGE(BL75,BM75,BN75,BP75))</f>
        <v>#DIV/0!</v>
      </c>
      <c r="BQ160" s="149" t="e">
        <f>(SUM(BM29,BN29,BP29,BQ29)/AVERAGE(BM75,BN75,BP75,BQ75))</f>
        <v>#DIV/0!</v>
      </c>
      <c r="BR160" s="149" t="e">
        <f>(SUM(BN29,BP29,BQ29,BR29)/AVERAGE(BN75,BP75,BQ75,BR75))</f>
        <v>#DIV/0!</v>
      </c>
      <c r="BS160" s="149" t="e">
        <f>(SUM(BP29,BQ29,BR29,BS29)/AVERAGE(BP75,BQ75,BR75,BS75))</f>
        <v>#DIV/0!</v>
      </c>
      <c r="BT160" s="149">
        <f>BT29/AVERAGE(BO75,BT75)</f>
        <v>-1.914959477712742E-2</v>
      </c>
      <c r="BU160" s="149">
        <f>(SUM(BQ29,BR29,BS29,BU29)/AVERAGE(BQ75,BR75,BS75,BU75))</f>
        <v>8.210915962362321E-2</v>
      </c>
      <c r="BV160" s="149">
        <f>(SUM(BR29,BS29,BU29,BV29)/AVERAGE(BR75,BS75,BU75,BV75))</f>
        <v>0.12282439157237998</v>
      </c>
      <c r="BW160" s="149">
        <f>(SUM(BS29,BU29,BV29,BW29)/AVERAGE(BS75,BU75,BV75,BW75))</f>
        <v>0.15649840644456345</v>
      </c>
      <c r="BX160" s="149">
        <f>(SUM(BU29,BV29,BW29,BX29)/AVERAGE(BU75,BV75,BW75,BX75))</f>
        <v>0.17189848243443281</v>
      </c>
      <c r="BY160" s="149">
        <f>BY29/AVERAGE(BT75,BY75)</f>
        <v>0.1748975333268184</v>
      </c>
      <c r="BZ160" s="149">
        <f>(SUM(BV29,BW29,BX29,BZ29)/AVERAGE(BV75,BW75,BX75,BZ75))</f>
        <v>0.19975738562858011</v>
      </c>
      <c r="CA160" s="149">
        <f>(SUM(BW29,BX29,BZ29,CA29)/AVERAGE(BW75,BX75,BZ75,CA75))</f>
        <v>0.22201888508684542</v>
      </c>
      <c r="CB160" s="149">
        <f>(SUM(BX29,BZ29,CA29,CB29)/AVERAGE(BX75,BZ75,CA75,CB75))</f>
        <v>0.2378183568282678</v>
      </c>
      <c r="CC160" s="149">
        <f>(SUM(BZ29,CA29,CB29,CC29)/AVERAGE(BZ75,CA75,CB75,CC75))</f>
        <v>0</v>
      </c>
      <c r="CD160" s="387">
        <f>CD29/AVERAGE(BY75,CD75)</f>
        <v>9.347744421610725E-2</v>
      </c>
      <c r="CE160" s="387"/>
      <c r="CF160" s="387"/>
      <c r="CG160" s="387"/>
      <c r="CH160" s="387"/>
      <c r="CI160" s="387">
        <f>CI29/AVERAGE(CD75,CI75)</f>
        <v>0.10756678663325657</v>
      </c>
      <c r="CJ160" s="387"/>
      <c r="CK160" s="387"/>
      <c r="CL160" s="387"/>
      <c r="CM160" s="387"/>
      <c r="CN160" s="387">
        <f>CN29/AVERAGE(CI75,CN75)</f>
        <v>0.11456643029907147</v>
      </c>
      <c r="CO160" s="387"/>
      <c r="CP160" s="387"/>
      <c r="CQ160" s="387"/>
      <c r="CR160" s="387"/>
      <c r="CS160" s="387">
        <f>CS29/AVERAGE(CN75,CS75)</f>
        <v>0.12247862918380563</v>
      </c>
      <c r="CT160" s="387"/>
      <c r="CU160" s="387"/>
      <c r="CV160" s="387"/>
      <c r="CW160" s="387"/>
      <c r="CX160" s="387">
        <f>CX29/AVERAGE(CS75,CX75)</f>
        <v>0.13147962378944963</v>
      </c>
    </row>
    <row r="161" spans="1:102" s="133" customFormat="1" x14ac:dyDescent="0.2">
      <c r="A161" s="147"/>
      <c r="B161" s="147" t="s">
        <v>144</v>
      </c>
      <c r="C161" s="150" t="e">
        <f>C23/(C60-C64)</f>
        <v>#DIV/0!</v>
      </c>
      <c r="D161" s="150" t="e">
        <f>D23/(D60-D64)</f>
        <v>#DIV/0!</v>
      </c>
      <c r="E161" s="150" t="e">
        <f>E23/(E60-E64)</f>
        <v>#DIV/0!</v>
      </c>
      <c r="F161" s="150" t="e">
        <f>F23/(F60-F64)</f>
        <v>#DIV/0!</v>
      </c>
      <c r="G161" s="150" t="e">
        <f>G23/(G60-G64)</f>
        <v>#DIV/0!</v>
      </c>
      <c r="H161" s="150" t="e">
        <f t="shared" ref="H161:V161" si="332">H23/AVERAGE((H60-H64),(C60-C64))</f>
        <v>#DIV/0!</v>
      </c>
      <c r="I161" s="150" t="e">
        <f t="shared" si="332"/>
        <v>#DIV/0!</v>
      </c>
      <c r="J161" s="150" t="e">
        <f t="shared" si="332"/>
        <v>#DIV/0!</v>
      </c>
      <c r="K161" s="150" t="e">
        <f t="shared" si="332"/>
        <v>#DIV/0!</v>
      </c>
      <c r="L161" s="150" t="e">
        <f t="shared" si="332"/>
        <v>#DIV/0!</v>
      </c>
      <c r="M161" s="150" t="e">
        <f t="shared" si="332"/>
        <v>#DIV/0!</v>
      </c>
      <c r="N161" s="150" t="e">
        <f t="shared" si="332"/>
        <v>#DIV/0!</v>
      </c>
      <c r="O161" s="150" t="e">
        <f t="shared" si="332"/>
        <v>#DIV/0!</v>
      </c>
      <c r="P161" s="150" t="e">
        <f t="shared" si="332"/>
        <v>#DIV/0!</v>
      </c>
      <c r="Q161" s="150" t="e">
        <f t="shared" si="332"/>
        <v>#DIV/0!</v>
      </c>
      <c r="R161" s="150" t="e">
        <f t="shared" si="332"/>
        <v>#DIV/0!</v>
      </c>
      <c r="S161" s="150" t="e">
        <f t="shared" si="332"/>
        <v>#DIV/0!</v>
      </c>
      <c r="T161" s="150" t="e">
        <f t="shared" si="332"/>
        <v>#DIV/0!</v>
      </c>
      <c r="U161" s="150" t="e">
        <f t="shared" si="332"/>
        <v>#DIV/0!</v>
      </c>
      <c r="V161" s="150" t="e">
        <f t="shared" si="332"/>
        <v>#DIV/0!</v>
      </c>
      <c r="W161" s="149" t="e">
        <f>SUM(S23,T23,U23,W23)/AVERAGE((S60-S64),(T60-T64),(U60-U64),(W60-W64))</f>
        <v>#DIV/0!</v>
      </c>
      <c r="X161" s="149" t="e">
        <f>SUM(T23,U23,W23,X23)/AVERAGE((T60-T64),(U60-U64),(W60-W64),(X60-X64))</f>
        <v>#DIV/0!</v>
      </c>
      <c r="Y161" s="149" t="e">
        <f>SUM(U23,W23,X23,Y23)/AVERAGE((U60-U64),(W60-W64),(X60-X64),(Y60-Y64))</f>
        <v>#DIV/0!</v>
      </c>
      <c r="Z161" s="149" t="e">
        <f>SUM(W23,X23,Y23,Z23)/AVERAGE((W60-W64),(X60-X64),(Y60-Y64),(Z60-Z64))</f>
        <v>#DIV/0!</v>
      </c>
      <c r="AA161" s="149">
        <f t="shared" ref="AA161:AY161" si="333">AA23/AVERAGE((V60-V64),(AA60-AA64))</f>
        <v>8.6733802898888171E-2</v>
      </c>
      <c r="AB161" s="149" t="e">
        <f t="shared" si="333"/>
        <v>#DIV/0!</v>
      </c>
      <c r="AC161" s="149" t="e">
        <f t="shared" si="333"/>
        <v>#DIV/0!</v>
      </c>
      <c r="AD161" s="149" t="e">
        <f t="shared" si="333"/>
        <v>#DIV/0!</v>
      </c>
      <c r="AE161" s="149" t="e">
        <f t="shared" si="333"/>
        <v>#DIV/0!</v>
      </c>
      <c r="AF161" s="149">
        <f t="shared" si="333"/>
        <v>8.1660740910654891E-3</v>
      </c>
      <c r="AG161" s="149" t="e">
        <f t="shared" si="333"/>
        <v>#DIV/0!</v>
      </c>
      <c r="AH161" s="149" t="e">
        <f t="shared" si="333"/>
        <v>#DIV/0!</v>
      </c>
      <c r="AI161" s="149" t="e">
        <f t="shared" si="333"/>
        <v>#DIV/0!</v>
      </c>
      <c r="AJ161" s="149" t="e">
        <f t="shared" si="333"/>
        <v>#DIV/0!</v>
      </c>
      <c r="AK161" s="149">
        <f t="shared" si="333"/>
        <v>7.7973322159368669E-2</v>
      </c>
      <c r="AL161" s="149" t="e">
        <f t="shared" si="333"/>
        <v>#DIV/0!</v>
      </c>
      <c r="AM161" s="149" t="e">
        <f t="shared" si="333"/>
        <v>#DIV/0!</v>
      </c>
      <c r="AN161" s="149" t="e">
        <f t="shared" si="333"/>
        <v>#DIV/0!</v>
      </c>
      <c r="AO161" s="149" t="e">
        <f t="shared" si="333"/>
        <v>#DIV/0!</v>
      </c>
      <c r="AP161" s="149">
        <f t="shared" si="333"/>
        <v>0.11884280157851404</v>
      </c>
      <c r="AQ161" s="149" t="e">
        <f t="shared" si="333"/>
        <v>#DIV/0!</v>
      </c>
      <c r="AR161" s="149" t="e">
        <f t="shared" si="333"/>
        <v>#DIV/0!</v>
      </c>
      <c r="AS161" s="149" t="e">
        <f t="shared" si="333"/>
        <v>#DIV/0!</v>
      </c>
      <c r="AT161" s="149" t="e">
        <f t="shared" si="333"/>
        <v>#DIV/0!</v>
      </c>
      <c r="AU161" s="149">
        <f t="shared" si="333"/>
        <v>7.2664206772672171E-2</v>
      </c>
      <c r="AV161" s="149" t="e">
        <f t="shared" si="333"/>
        <v>#DIV/0!</v>
      </c>
      <c r="AW161" s="149" t="e">
        <f t="shared" si="333"/>
        <v>#DIV/0!</v>
      </c>
      <c r="AX161" s="149" t="e">
        <f t="shared" si="333"/>
        <v>#DIV/0!</v>
      </c>
      <c r="AY161" s="149" t="e">
        <f t="shared" si="333"/>
        <v>#DIV/0!</v>
      </c>
      <c r="AZ161" s="149">
        <f>AZ23/AVERAGE((AU60-AU64),(AZ60-AZ64))</f>
        <v>0.14814770640013358</v>
      </c>
      <c r="BA161" s="149" t="e">
        <f>SUM(AW23,AX23,AY23,BA23)/AVERAGE((AW60-AW64),(AX60-AX64),(AY60-AY64),(BA60-BA64))</f>
        <v>#DIV/0!</v>
      </c>
      <c r="BB161" s="149" t="e">
        <f>SUM(AX23,AY23,BA23,BB23)/AVERAGE((AX60-AX64),(AY60-AY64),(BA60-BA64),(BB60-BB64))</f>
        <v>#DIV/0!</v>
      </c>
      <c r="BC161" s="149" t="e">
        <f>SUM(AY23,BA23,BB23,BC23)/AVERAGE((AY60-AY64),(BA60-BA64),(BB60-BB64),(BC60-BC64))</f>
        <v>#DIV/0!</v>
      </c>
      <c r="BD161" s="149" t="e">
        <f>SUM(BA23,BB23,BC23,BD23)/AVERAGE((BA60-BA64),(BB60-BB64),(BC60-BC64),(BD60-BD64))</f>
        <v>#DIV/0!</v>
      </c>
      <c r="BE161" s="149">
        <f t="shared" ref="BE161:BI161" si="334">BE23/AVERAGE((AZ60-AZ64),(BE60-BE64))</f>
        <v>0.12551954526032294</v>
      </c>
      <c r="BF161" s="149" t="e">
        <f t="shared" si="334"/>
        <v>#DIV/0!</v>
      </c>
      <c r="BG161" s="149" t="e">
        <f t="shared" si="334"/>
        <v>#DIV/0!</v>
      </c>
      <c r="BH161" s="149" t="e">
        <f t="shared" si="334"/>
        <v>#DIV/0!</v>
      </c>
      <c r="BI161" s="149" t="e">
        <f t="shared" si="334"/>
        <v>#DIV/0!</v>
      </c>
      <c r="BJ161" s="149">
        <f>BJ23/AVERAGE((BE60-BE64),(BJ60-BJ64))</f>
        <v>0.13784364597316445</v>
      </c>
      <c r="BK161" s="149" t="e">
        <f>SUM(BG23,BH23,BI23,BK23)/AVERAGE((BG60-BG64),(BH60-BH64),(BI60-BI64),(BK60-BK64))</f>
        <v>#DIV/0!</v>
      </c>
      <c r="BL161" s="149" t="e">
        <f>SUM(BH23,BI23,BK23,BL23)/AVERAGE((BH60-BH64),(BI60-BI64),(BK60-BK64),(BL60-BL64))</f>
        <v>#DIV/0!</v>
      </c>
      <c r="BM161" s="149" t="e">
        <f>SUM(BI23,BK23,BL23,BM23)/AVERAGE((BI60-BI64),(BK60-BK64),(BL60-BL64),(BM60-BM64))</f>
        <v>#DIV/0!</v>
      </c>
      <c r="BN161" s="149" t="e">
        <f>SUM(BK23,BL23,BM23,BN23)/AVERAGE((BK60-BK64),(BL60-BL64),(BM60-BM64),(BN60-BN64))</f>
        <v>#DIV/0!</v>
      </c>
      <c r="BO161" s="149">
        <f>BO23/AVERAGE((BJ60-BJ64),(BO60-BO64))</f>
        <v>0.1051759379234104</v>
      </c>
      <c r="BP161" s="149" t="e">
        <f>SUM(BL23,BM23,BN23,BP23)/AVERAGE((BL60-BL64),(BM60-BM64),(BN60-BN64),(BP60-BP64))</f>
        <v>#DIV/0!</v>
      </c>
      <c r="BQ161" s="149" t="e">
        <f>SUM(BM23,BN23,BP23,BQ23)/AVERAGE((BM60-BM64),(BN60-BN64),(BP60-BP64),(BQ60-BQ64))</f>
        <v>#DIV/0!</v>
      </c>
      <c r="BR161" s="149" t="e">
        <f>SUM(BN23,BP23,BQ23,BR23)/AVERAGE((BN60-BN64),(BP60-BP64),(BQ60-BQ64),(BR60-BR64))</f>
        <v>#DIV/0!</v>
      </c>
      <c r="BS161" s="149" t="e">
        <f>SUM(BP23,BQ23,BR23,BS23)/AVERAGE((BP60-BP64),(BQ60-BQ64),(BR60-BR64),(BS60-BS64))</f>
        <v>#DIV/0!</v>
      </c>
      <c r="BT161" s="149">
        <f>BT23/AVERAGE((BO60-BO64),(BT60-BT64))</f>
        <v>4.1833101363640247E-2</v>
      </c>
      <c r="BU161" s="149">
        <f>SUM(BQ23,BR23,BS23,BU23)/AVERAGE((BQ60-BQ64),(BR60-BR64),(BS60-BS64),(BU60-BU64))</f>
        <v>6.0276255650109849E-2</v>
      </c>
      <c r="BV161" s="149">
        <f>SUM(BR23,BS23,BU23,BV23)/AVERAGE((BR60-BR64),(BS60-BS64),(BU60-BU64),(BV60-BV64))</f>
        <v>7.7099618216061538E-2</v>
      </c>
      <c r="BW161" s="149">
        <f>SUM(BS23,BU23,BV23,BW23)/AVERAGE((BS60-BS64),(BU60-BU64),(BV60-BV64),(BW60-BW64))</f>
        <v>9.5735570119229105E-2</v>
      </c>
      <c r="BX161" s="149">
        <f>SUM(BU23,BV23,BW23,BX23)/AVERAGE((BU60-BU64),(BV60-BV64),(BW60-BW64),(BX60-BX64))</f>
        <v>0.1091278169772643</v>
      </c>
      <c r="BY161" s="149">
        <f>BY23/AVERAGE((BT60-BT64),(BY60-BY64))</f>
        <v>0.1099700247232621</v>
      </c>
      <c r="BZ161" s="149">
        <f>SUM(BV23,BW23,BX23,BZ23)/AVERAGE((BV60-BV64),(BW60-BW64),(BX60-BX64),(BZ60-BZ64))</f>
        <v>0.1240958437099543</v>
      </c>
      <c r="CA161" s="149">
        <f>SUM(BW23,BX23,BZ23,CA23)/AVERAGE((BW60-BW64),(BX60-BX64),(BZ60-BZ64),(CA60-CA64))</f>
        <v>0.13850009792706847</v>
      </c>
      <c r="CB161" s="149">
        <f>SUM(BX23,BZ23,CA23,CB23)/AVERAGE((BX60-BX64),(BZ60-BZ64),(CA60-CA64),(CB60-CB64))</f>
        <v>0.14557898478248291</v>
      </c>
      <c r="CC161" s="149" t="e">
        <f>SUM(BZ23,CA23,CB23,CC23)/AVERAGE((BZ60-BZ64),(CA60-CA64),(CB60-CB64),(CC60-CC64))</f>
        <v>#DIV/0!</v>
      </c>
      <c r="CD161" s="387">
        <f>CD23/AVERAGE((BY60-BY64),(CD60-CD64))</f>
        <v>6.0722656835814556E-2</v>
      </c>
      <c r="CE161" s="387"/>
      <c r="CF161" s="387"/>
      <c r="CG161" s="387"/>
      <c r="CH161" s="387"/>
      <c r="CI161" s="387">
        <f>CI23/AVERAGE((CD60-CD64),(CI60-CI64))</f>
        <v>6.6852288675759611E-2</v>
      </c>
      <c r="CJ161" s="387"/>
      <c r="CK161" s="387"/>
      <c r="CL161" s="387"/>
      <c r="CM161" s="387"/>
      <c r="CN161" s="387">
        <f>CN23/AVERAGE((CI60-CI64),(CN60-CN64))</f>
        <v>7.1366935953333169E-2</v>
      </c>
      <c r="CO161" s="387"/>
      <c r="CP161" s="387"/>
      <c r="CQ161" s="387"/>
      <c r="CR161" s="387"/>
      <c r="CS161" s="387">
        <f>CS23/AVERAGE((CN60-CN64),(CS60-CS64))</f>
        <v>7.7612704511332745E-2</v>
      </c>
      <c r="CT161" s="387"/>
      <c r="CU161" s="387"/>
      <c r="CV161" s="387"/>
      <c r="CW161" s="387"/>
      <c r="CX161" s="387">
        <f>CX23/AVERAGE((CS60-CS64),(CX60-CX64))</f>
        <v>8.4935487501356613E-2</v>
      </c>
    </row>
    <row r="162" spans="1:102" hidden="1" x14ac:dyDescent="0.2">
      <c r="A162" s="106"/>
      <c r="B162" s="107" t="s">
        <v>145</v>
      </c>
      <c r="C162" s="64">
        <f t="shared" ref="C162:Z162" si="335">C50</f>
        <v>0</v>
      </c>
      <c r="D162" s="64">
        <f t="shared" si="335"/>
        <v>0</v>
      </c>
      <c r="E162" s="64">
        <f t="shared" si="335"/>
        <v>0</v>
      </c>
      <c r="F162" s="64">
        <f t="shared" si="335"/>
        <v>0</v>
      </c>
      <c r="G162" s="108">
        <f t="shared" si="335"/>
        <v>0</v>
      </c>
      <c r="H162" s="64">
        <f t="shared" si="335"/>
        <v>0</v>
      </c>
      <c r="I162" s="64">
        <f t="shared" si="335"/>
        <v>0</v>
      </c>
      <c r="J162" s="64">
        <f t="shared" si="335"/>
        <v>0</v>
      </c>
      <c r="K162" s="64">
        <f t="shared" si="335"/>
        <v>0</v>
      </c>
      <c r="L162" s="108">
        <f t="shared" si="335"/>
        <v>0</v>
      </c>
      <c r="M162" s="64">
        <f t="shared" si="335"/>
        <v>0</v>
      </c>
      <c r="N162" s="64">
        <f t="shared" si="335"/>
        <v>0</v>
      </c>
      <c r="O162" s="64">
        <f t="shared" si="335"/>
        <v>0</v>
      </c>
      <c r="P162" s="64">
        <f t="shared" si="335"/>
        <v>0</v>
      </c>
      <c r="Q162" s="108">
        <f t="shared" si="335"/>
        <v>0</v>
      </c>
      <c r="R162" s="64">
        <f t="shared" si="335"/>
        <v>0</v>
      </c>
      <c r="S162" s="64">
        <f t="shared" si="335"/>
        <v>0</v>
      </c>
      <c r="T162" s="64">
        <f t="shared" si="335"/>
        <v>0</v>
      </c>
      <c r="U162" s="64">
        <f t="shared" si="335"/>
        <v>0</v>
      </c>
      <c r="V162" s="108">
        <f t="shared" si="335"/>
        <v>0</v>
      </c>
      <c r="W162" s="64">
        <f t="shared" si="335"/>
        <v>0</v>
      </c>
      <c r="X162" s="64">
        <f t="shared" si="335"/>
        <v>0</v>
      </c>
      <c r="Y162" s="64">
        <f t="shared" si="335"/>
        <v>0</v>
      </c>
      <c r="Z162" s="64">
        <f t="shared" si="335"/>
        <v>0</v>
      </c>
      <c r="AA162" s="108">
        <f t="shared" ref="AA162:BF162" si="336">AA8</f>
        <v>2013</v>
      </c>
      <c r="AB162" s="108" t="str">
        <f t="shared" si="336"/>
        <v>Q1-2014</v>
      </c>
      <c r="AC162" s="108" t="str">
        <f t="shared" si="336"/>
        <v>Q2-2014</v>
      </c>
      <c r="AD162" s="108" t="str">
        <f t="shared" si="336"/>
        <v>Q3-2014</v>
      </c>
      <c r="AE162" s="108" t="str">
        <f t="shared" si="336"/>
        <v>Q4-2014</v>
      </c>
      <c r="AF162" s="131">
        <f t="shared" si="336"/>
        <v>2014</v>
      </c>
      <c r="AG162" s="108" t="str">
        <f t="shared" si="336"/>
        <v>Q1-2015</v>
      </c>
      <c r="AH162" s="108" t="str">
        <f t="shared" si="336"/>
        <v>Q2-2015</v>
      </c>
      <c r="AI162" s="108" t="str">
        <f t="shared" si="336"/>
        <v>Q3-2015</v>
      </c>
      <c r="AJ162" s="108" t="str">
        <f t="shared" si="336"/>
        <v>Q4-2015</v>
      </c>
      <c r="AK162" s="108">
        <f t="shared" si="336"/>
        <v>2015</v>
      </c>
      <c r="AL162" s="108" t="str">
        <f t="shared" si="336"/>
        <v>Q1-2016</v>
      </c>
      <c r="AM162" s="108" t="str">
        <f t="shared" si="336"/>
        <v>Q2-2016</v>
      </c>
      <c r="AN162" s="108" t="str">
        <f t="shared" si="336"/>
        <v>Q3-2016</v>
      </c>
      <c r="AO162" s="108" t="str">
        <f t="shared" si="336"/>
        <v>Q4-2016</v>
      </c>
      <c r="AP162" s="108">
        <f t="shared" si="336"/>
        <v>2016</v>
      </c>
      <c r="AQ162" s="108" t="str">
        <f t="shared" si="336"/>
        <v>Q1-2017</v>
      </c>
      <c r="AR162" s="108" t="str">
        <f t="shared" si="336"/>
        <v>Q2-2017</v>
      </c>
      <c r="AS162" s="108" t="str">
        <f t="shared" si="336"/>
        <v>Q3-2017</v>
      </c>
      <c r="AT162" s="108" t="str">
        <f t="shared" si="336"/>
        <v>Q4-2017</v>
      </c>
      <c r="AU162" s="108">
        <f t="shared" si="336"/>
        <v>2017</v>
      </c>
      <c r="AV162" s="108" t="str">
        <f t="shared" si="336"/>
        <v>Q1-2018</v>
      </c>
      <c r="AW162" s="108" t="str">
        <f t="shared" si="336"/>
        <v>Q2-2018</v>
      </c>
      <c r="AX162" s="108" t="str">
        <f t="shared" si="336"/>
        <v>Q3-2018</v>
      </c>
      <c r="AY162" s="108" t="str">
        <f t="shared" si="336"/>
        <v>Q4-2018</v>
      </c>
      <c r="AZ162" s="108">
        <f t="shared" si="336"/>
        <v>2018</v>
      </c>
      <c r="BA162" s="108" t="str">
        <f t="shared" si="336"/>
        <v>Q1-2019</v>
      </c>
      <c r="BB162" s="108" t="str">
        <f t="shared" si="336"/>
        <v>Q2-2019</v>
      </c>
      <c r="BC162" s="108" t="str">
        <f t="shared" si="336"/>
        <v>Q3-2019</v>
      </c>
      <c r="BD162" s="108" t="str">
        <f t="shared" si="336"/>
        <v>Q4-2019</v>
      </c>
      <c r="BE162" s="131">
        <f t="shared" si="336"/>
        <v>2019</v>
      </c>
      <c r="BF162" s="108" t="str">
        <f t="shared" si="336"/>
        <v>Q1-2020</v>
      </c>
      <c r="BG162" s="108" t="str">
        <f t="shared" ref="BG162:CD162" si="337">BG8</f>
        <v>Q2-2020</v>
      </c>
      <c r="BH162" s="108" t="str">
        <f t="shared" si="337"/>
        <v>Q3-2020</v>
      </c>
      <c r="BI162" s="108" t="str">
        <f t="shared" si="337"/>
        <v>Q4-2020</v>
      </c>
      <c r="BJ162" s="108">
        <f t="shared" si="337"/>
        <v>2020</v>
      </c>
      <c r="BK162" s="108" t="str">
        <f t="shared" si="337"/>
        <v>Q1-2021</v>
      </c>
      <c r="BL162" s="108" t="str">
        <f t="shared" si="337"/>
        <v>Q2-2021</v>
      </c>
      <c r="BM162" s="108" t="str">
        <f t="shared" si="337"/>
        <v>Q3-2021</v>
      </c>
      <c r="BN162" s="108" t="str">
        <f t="shared" si="337"/>
        <v>Q4-2021</v>
      </c>
      <c r="BO162" s="108">
        <f t="shared" si="337"/>
        <v>2021</v>
      </c>
      <c r="BP162" s="108" t="str">
        <f t="shared" si="337"/>
        <v>Q1-2022</v>
      </c>
      <c r="BQ162" s="108" t="str">
        <f t="shared" si="337"/>
        <v>Q2-2022</v>
      </c>
      <c r="BR162" s="108" t="str">
        <f t="shared" si="337"/>
        <v>Q3-2022</v>
      </c>
      <c r="BS162" s="108" t="str">
        <f t="shared" si="337"/>
        <v>Q4-2022</v>
      </c>
      <c r="BT162" s="108">
        <f t="shared" si="337"/>
        <v>2022</v>
      </c>
      <c r="BU162" s="108" t="str">
        <f t="shared" si="337"/>
        <v>Q1-2023</v>
      </c>
      <c r="BV162" s="108" t="str">
        <f t="shared" si="337"/>
        <v>Q2-2023</v>
      </c>
      <c r="BW162" s="108" t="str">
        <f t="shared" si="337"/>
        <v>Q3-2023</v>
      </c>
      <c r="BX162" s="108" t="str">
        <f t="shared" si="337"/>
        <v>Q4-2023</v>
      </c>
      <c r="BY162" s="108">
        <f t="shared" si="337"/>
        <v>2023</v>
      </c>
      <c r="BZ162" s="108" t="str">
        <f t="shared" si="337"/>
        <v>Q1-2024</v>
      </c>
      <c r="CA162" s="108" t="str">
        <f t="shared" si="337"/>
        <v>Q2-2024</v>
      </c>
      <c r="CB162" s="108" t="str">
        <f t="shared" si="337"/>
        <v>Q3-2024</v>
      </c>
      <c r="CC162" s="108" t="str">
        <f t="shared" si="337"/>
        <v>Q4-2024</v>
      </c>
      <c r="CD162" s="108">
        <f t="shared" si="337"/>
        <v>2024</v>
      </c>
      <c r="CE162" s="108"/>
      <c r="CF162" s="108"/>
      <c r="CG162" s="108"/>
      <c r="CH162" s="108"/>
      <c r="CI162" s="108">
        <f>CI8</f>
        <v>2025</v>
      </c>
      <c r="CJ162" s="108"/>
      <c r="CK162" s="108"/>
      <c r="CL162" s="108"/>
      <c r="CM162" s="108"/>
      <c r="CN162" s="108">
        <f>CN8</f>
        <v>2026</v>
      </c>
      <c r="CO162" s="108"/>
      <c r="CP162" s="108"/>
      <c r="CQ162" s="108"/>
      <c r="CR162" s="108"/>
      <c r="CS162" s="108">
        <f>CS8</f>
        <v>2027</v>
      </c>
      <c r="CT162" s="108"/>
      <c r="CU162" s="108"/>
      <c r="CV162" s="108"/>
      <c r="CW162" s="108"/>
      <c r="CX162" s="108">
        <f>CX8</f>
        <v>2028</v>
      </c>
    </row>
    <row r="163" spans="1:102" s="133" customFormat="1" hidden="1" x14ac:dyDescent="0.2">
      <c r="B163" s="133" t="s">
        <v>146</v>
      </c>
      <c r="C163" s="151" t="s">
        <v>147</v>
      </c>
      <c r="D163" s="151" t="s">
        <v>147</v>
      </c>
      <c r="E163" s="151" t="s">
        <v>147</v>
      </c>
      <c r="F163" s="151" t="s">
        <v>147</v>
      </c>
      <c r="G163" s="151" t="s">
        <v>147</v>
      </c>
      <c r="H163" s="151" t="e">
        <f t="shared" ref="H163:U163" si="338">H9/C9-1</f>
        <v>#DIV/0!</v>
      </c>
      <c r="I163" s="151" t="e">
        <f t="shared" si="338"/>
        <v>#DIV/0!</v>
      </c>
      <c r="J163" s="151" t="e">
        <f t="shared" si="338"/>
        <v>#DIV/0!</v>
      </c>
      <c r="K163" s="151" t="e">
        <f t="shared" si="338"/>
        <v>#DIV/0!</v>
      </c>
      <c r="L163" s="151" t="e">
        <f t="shared" si="338"/>
        <v>#DIV/0!</v>
      </c>
      <c r="M163" s="151" t="e">
        <f t="shared" si="338"/>
        <v>#DIV/0!</v>
      </c>
      <c r="N163" s="151" t="e">
        <f t="shared" si="338"/>
        <v>#DIV/0!</v>
      </c>
      <c r="O163" s="151" t="e">
        <f t="shared" si="338"/>
        <v>#DIV/0!</v>
      </c>
      <c r="P163" s="151" t="e">
        <f t="shared" si="338"/>
        <v>#DIV/0!</v>
      </c>
      <c r="Q163" s="151" t="e">
        <f t="shared" si="338"/>
        <v>#DIV/0!</v>
      </c>
      <c r="R163" s="151" t="e">
        <f t="shared" si="338"/>
        <v>#DIV/0!</v>
      </c>
      <c r="S163" s="151" t="e">
        <f t="shared" si="338"/>
        <v>#DIV/0!</v>
      </c>
      <c r="T163" s="151" t="e">
        <f t="shared" si="338"/>
        <v>#DIV/0!</v>
      </c>
      <c r="U163" s="151" t="e">
        <f t="shared" si="338"/>
        <v>#DIV/0!</v>
      </c>
      <c r="V163" s="151"/>
      <c r="W163" s="151" t="e">
        <f>W9/R9-1</f>
        <v>#DIV/0!</v>
      </c>
      <c r="X163" s="151" t="e">
        <f>X9/S9-1</f>
        <v>#DIV/0!</v>
      </c>
      <c r="Y163" s="151" t="e">
        <f>Y9/T9-1</f>
        <v>#DIV/0!</v>
      </c>
      <c r="Z163" s="151" t="e">
        <f>Z9/U9-1</f>
        <v>#DIV/0!</v>
      </c>
      <c r="AA163" s="151"/>
      <c r="AB163" s="151"/>
      <c r="AC163" s="151"/>
      <c r="AD163" s="151"/>
      <c r="AE163" s="151"/>
      <c r="AF163" s="152">
        <f t="shared" ref="AF163:BK163" si="339">AF9/AA9-1</f>
        <v>0.1952398861011122</v>
      </c>
      <c r="AG163" s="151" t="e">
        <f t="shared" si="339"/>
        <v>#DIV/0!</v>
      </c>
      <c r="AH163" s="151" t="e">
        <f t="shared" si="339"/>
        <v>#DIV/0!</v>
      </c>
      <c r="AI163" s="151" t="e">
        <f t="shared" si="339"/>
        <v>#DIV/0!</v>
      </c>
      <c r="AJ163" s="151" t="e">
        <f t="shared" si="339"/>
        <v>#DIV/0!</v>
      </c>
      <c r="AK163" s="151">
        <f t="shared" si="339"/>
        <v>0.20247673843664304</v>
      </c>
      <c r="AL163" s="151" t="e">
        <f t="shared" si="339"/>
        <v>#DIV/0!</v>
      </c>
      <c r="AM163" s="151" t="e">
        <f t="shared" si="339"/>
        <v>#DIV/0!</v>
      </c>
      <c r="AN163" s="151" t="e">
        <f t="shared" si="339"/>
        <v>#DIV/0!</v>
      </c>
      <c r="AO163" s="151" t="e">
        <f t="shared" si="339"/>
        <v>#DIV/0!</v>
      </c>
      <c r="AP163" s="151">
        <f t="shared" si="339"/>
        <v>0.27083528026465808</v>
      </c>
      <c r="AQ163" s="151" t="e">
        <f t="shared" si="339"/>
        <v>#DIV/0!</v>
      </c>
      <c r="AR163" s="151" t="e">
        <f t="shared" si="339"/>
        <v>#DIV/0!</v>
      </c>
      <c r="AS163" s="151" t="e">
        <f t="shared" si="339"/>
        <v>#DIV/0!</v>
      </c>
      <c r="AT163" s="151" t="e">
        <f t="shared" si="339"/>
        <v>#DIV/0!</v>
      </c>
      <c r="AU163" s="151">
        <f t="shared" si="339"/>
        <v>0.30796326119408479</v>
      </c>
      <c r="AV163" s="151" t="e">
        <f t="shared" si="339"/>
        <v>#DIV/0!</v>
      </c>
      <c r="AW163" s="151" t="e">
        <f t="shared" si="339"/>
        <v>#DIV/0!</v>
      </c>
      <c r="AX163" s="151" t="e">
        <f t="shared" si="339"/>
        <v>#DIV/0!</v>
      </c>
      <c r="AY163" s="151" t="e">
        <f t="shared" si="339"/>
        <v>#DIV/0!</v>
      </c>
      <c r="AZ163" s="151">
        <f t="shared" si="339"/>
        <v>0.3093396152159491</v>
      </c>
      <c r="BA163" s="151" t="e">
        <f t="shared" si="339"/>
        <v>#DIV/0!</v>
      </c>
      <c r="BB163" s="151" t="e">
        <f t="shared" si="339"/>
        <v>#DIV/0!</v>
      </c>
      <c r="BC163" s="151" t="e">
        <f t="shared" si="339"/>
        <v>#DIV/0!</v>
      </c>
      <c r="BD163" s="151" t="e">
        <f t="shared" si="339"/>
        <v>#DIV/0!</v>
      </c>
      <c r="BE163" s="152">
        <f t="shared" si="339"/>
        <v>0.20454125820676983</v>
      </c>
      <c r="BF163" s="151" t="e">
        <f t="shared" si="339"/>
        <v>#DIV/0!</v>
      </c>
      <c r="BG163" s="151" t="e">
        <f t="shared" si="339"/>
        <v>#DIV/0!</v>
      </c>
      <c r="BH163" s="151" t="e">
        <f t="shared" si="339"/>
        <v>#DIV/0!</v>
      </c>
      <c r="BI163" s="151" t="e">
        <f t="shared" si="339"/>
        <v>#DIV/0!</v>
      </c>
      <c r="BJ163" s="151">
        <f t="shared" si="339"/>
        <v>0.37623430604373276</v>
      </c>
      <c r="BK163" s="151" t="e">
        <f t="shared" si="339"/>
        <v>#DIV/0!</v>
      </c>
      <c r="BL163" s="151" t="e">
        <f t="shared" ref="BL163:CD163" si="340">BL9/BG9-1</f>
        <v>#DIV/0!</v>
      </c>
      <c r="BM163" s="151" t="e">
        <f t="shared" si="340"/>
        <v>#DIV/0!</v>
      </c>
      <c r="BN163" s="151" t="e">
        <f t="shared" si="340"/>
        <v>#DIV/0!</v>
      </c>
      <c r="BO163" s="151">
        <f t="shared" si="340"/>
        <v>0.21695366571345676</v>
      </c>
      <c r="BP163" s="151" t="e">
        <f t="shared" si="340"/>
        <v>#DIV/0!</v>
      </c>
      <c r="BQ163" s="151" t="e">
        <f t="shared" si="340"/>
        <v>#DIV/0!</v>
      </c>
      <c r="BR163" s="151" t="e">
        <f t="shared" si="340"/>
        <v>#DIV/0!</v>
      </c>
      <c r="BS163" s="151" t="e">
        <f t="shared" si="340"/>
        <v>#DIV/0!</v>
      </c>
      <c r="BT163" s="151">
        <f t="shared" si="340"/>
        <v>9.399517263985091E-2</v>
      </c>
      <c r="BU163" s="151" t="e">
        <f t="shared" si="340"/>
        <v>#DIV/0!</v>
      </c>
      <c r="BV163" s="151" t="e">
        <f t="shared" si="340"/>
        <v>#DIV/0!</v>
      </c>
      <c r="BW163" s="151" t="e">
        <f t="shared" si="340"/>
        <v>#DIV/0!</v>
      </c>
      <c r="BX163" s="151" t="e">
        <f t="shared" si="340"/>
        <v>#DIV/0!</v>
      </c>
      <c r="BY163" s="151">
        <f t="shared" si="340"/>
        <v>0.1182957412988368</v>
      </c>
      <c r="BZ163" s="151">
        <f t="shared" si="340"/>
        <v>-1</v>
      </c>
      <c r="CA163" s="151">
        <f t="shared" si="340"/>
        <v>-1</v>
      </c>
      <c r="CB163" s="151">
        <f t="shared" si="340"/>
        <v>-1</v>
      </c>
      <c r="CC163" s="151">
        <f t="shared" si="340"/>
        <v>-1</v>
      </c>
      <c r="CD163" s="151">
        <f t="shared" si="340"/>
        <v>0.11070000000000002</v>
      </c>
      <c r="CE163" s="151"/>
      <c r="CF163" s="151"/>
      <c r="CG163" s="151"/>
      <c r="CH163" s="151"/>
      <c r="CI163" s="151">
        <f>CI9/CD9-1</f>
        <v>0.24040926447311839</v>
      </c>
      <c r="CJ163" s="151"/>
      <c r="CK163" s="151"/>
      <c r="CL163" s="151"/>
      <c r="CM163" s="151"/>
      <c r="CN163" s="151">
        <f>CN9/CI9-1</f>
        <v>0.24621180095988571</v>
      </c>
      <c r="CO163" s="151"/>
      <c r="CP163" s="151"/>
      <c r="CQ163" s="151"/>
      <c r="CR163" s="151"/>
      <c r="CS163" s="151">
        <f>CS9/CN9-1</f>
        <v>0.25191130905538395</v>
      </c>
      <c r="CT163" s="151"/>
      <c r="CU163" s="151"/>
      <c r="CV163" s="151"/>
      <c r="CW163" s="151"/>
      <c r="CX163" s="151">
        <f>CX9/CS9-1</f>
        <v>0.25746518060787871</v>
      </c>
    </row>
    <row r="164" spans="1:102" s="133" customFormat="1" hidden="1" x14ac:dyDescent="0.2">
      <c r="B164" s="133" t="s">
        <v>148</v>
      </c>
      <c r="C164" s="153" t="s">
        <v>147</v>
      </c>
      <c r="D164" s="153" t="s">
        <v>147</v>
      </c>
      <c r="E164" s="153" t="s">
        <v>147</v>
      </c>
      <c r="F164" s="153" t="s">
        <v>147</v>
      </c>
      <c r="G164" s="151" t="s">
        <v>147</v>
      </c>
      <c r="H164" s="151" t="e">
        <f t="shared" ref="H164:U164" si="341">H11/C11-1</f>
        <v>#DIV/0!</v>
      </c>
      <c r="I164" s="151" t="e">
        <f t="shared" si="341"/>
        <v>#DIV/0!</v>
      </c>
      <c r="J164" s="151" t="e">
        <f t="shared" si="341"/>
        <v>#DIV/0!</v>
      </c>
      <c r="K164" s="151" t="e">
        <f t="shared" si="341"/>
        <v>#DIV/0!</v>
      </c>
      <c r="L164" s="151" t="e">
        <f t="shared" si="341"/>
        <v>#DIV/0!</v>
      </c>
      <c r="M164" s="151" t="e">
        <f t="shared" si="341"/>
        <v>#DIV/0!</v>
      </c>
      <c r="N164" s="151" t="e">
        <f t="shared" si="341"/>
        <v>#DIV/0!</v>
      </c>
      <c r="O164" s="151" t="e">
        <f t="shared" si="341"/>
        <v>#DIV/0!</v>
      </c>
      <c r="P164" s="151" t="e">
        <f t="shared" si="341"/>
        <v>#DIV/0!</v>
      </c>
      <c r="Q164" s="151" t="e">
        <f t="shared" si="341"/>
        <v>#DIV/0!</v>
      </c>
      <c r="R164" s="151" t="e">
        <f t="shared" si="341"/>
        <v>#DIV/0!</v>
      </c>
      <c r="S164" s="151" t="e">
        <f t="shared" si="341"/>
        <v>#DIV/0!</v>
      </c>
      <c r="T164" s="151" t="e">
        <f t="shared" si="341"/>
        <v>#DIV/0!</v>
      </c>
      <c r="U164" s="151" t="e">
        <f t="shared" si="341"/>
        <v>#DIV/0!</v>
      </c>
      <c r="V164" s="151"/>
      <c r="W164" s="151" t="e">
        <f>W11/R11-1</f>
        <v>#DIV/0!</v>
      </c>
      <c r="X164" s="151" t="e">
        <f>X11/S11-1</f>
        <v>#DIV/0!</v>
      </c>
      <c r="Y164" s="151" t="e">
        <f>Y11/T11-1</f>
        <v>#DIV/0!</v>
      </c>
      <c r="Z164" s="151" t="e">
        <f>Z11/U11-1</f>
        <v>#DIV/0!</v>
      </c>
      <c r="AA164" s="151"/>
      <c r="AB164" s="151"/>
      <c r="AC164" s="151"/>
      <c r="AD164" s="151"/>
      <c r="AE164" s="151"/>
      <c r="AF164" s="152">
        <f t="shared" ref="AF164:BK164" si="342">AF11/AA11-1</f>
        <v>0.29426273987469775</v>
      </c>
      <c r="AG164" s="151" t="e">
        <f t="shared" si="342"/>
        <v>#DIV/0!</v>
      </c>
      <c r="AH164" s="151" t="e">
        <f t="shared" si="342"/>
        <v>#DIV/0!</v>
      </c>
      <c r="AI164" s="151" t="e">
        <f t="shared" si="342"/>
        <v>#DIV/0!</v>
      </c>
      <c r="AJ164" s="151" t="e">
        <f t="shared" si="342"/>
        <v>#DIV/0!</v>
      </c>
      <c r="AK164" s="151">
        <f t="shared" si="342"/>
        <v>0.34757584997713065</v>
      </c>
      <c r="AL164" s="151" t="e">
        <f t="shared" si="342"/>
        <v>#DIV/0!</v>
      </c>
      <c r="AM164" s="151" t="e">
        <f t="shared" si="342"/>
        <v>#DIV/0!</v>
      </c>
      <c r="AN164" s="151" t="e">
        <f t="shared" si="342"/>
        <v>#DIV/0!</v>
      </c>
      <c r="AO164" s="151" t="e">
        <f t="shared" si="342"/>
        <v>#DIV/0!</v>
      </c>
      <c r="AP164" s="151">
        <f t="shared" si="342"/>
        <v>0.34979493706689291</v>
      </c>
      <c r="AQ164" s="151" t="e">
        <f t="shared" si="342"/>
        <v>#DIV/0!</v>
      </c>
      <c r="AR164" s="151" t="e">
        <f t="shared" si="342"/>
        <v>#DIV/0!</v>
      </c>
      <c r="AS164" s="151" t="e">
        <f t="shared" si="342"/>
        <v>#DIV/0!</v>
      </c>
      <c r="AT164" s="151" t="e">
        <f t="shared" si="342"/>
        <v>#DIV/0!</v>
      </c>
      <c r="AU164" s="151">
        <f t="shared" si="342"/>
        <v>0.38158501320145843</v>
      </c>
      <c r="AV164" s="151" t="e">
        <f t="shared" si="342"/>
        <v>#DIV/0!</v>
      </c>
      <c r="AW164" s="151" t="e">
        <f t="shared" si="342"/>
        <v>#DIV/0!</v>
      </c>
      <c r="AX164" s="151" t="e">
        <f t="shared" si="342"/>
        <v>#DIV/0!</v>
      </c>
      <c r="AY164" s="151" t="e">
        <f t="shared" si="342"/>
        <v>#DIV/0!</v>
      </c>
      <c r="AZ164" s="151">
        <f t="shared" si="342"/>
        <v>0.42163137778317061</v>
      </c>
      <c r="BA164" s="151" t="e">
        <f t="shared" si="342"/>
        <v>#DIV/0!</v>
      </c>
      <c r="BB164" s="151" t="e">
        <f t="shared" si="342"/>
        <v>#DIV/0!</v>
      </c>
      <c r="BC164" s="151" t="e">
        <f t="shared" si="342"/>
        <v>#DIV/0!</v>
      </c>
      <c r="BD164" s="151" t="e">
        <f t="shared" si="342"/>
        <v>#DIV/0!</v>
      </c>
      <c r="BE164" s="152">
        <f t="shared" si="342"/>
        <v>0.22676595790080123</v>
      </c>
      <c r="BF164" s="151" t="e">
        <f t="shared" si="342"/>
        <v>#DIV/0!</v>
      </c>
      <c r="BG164" s="151" t="e">
        <f t="shared" si="342"/>
        <v>#DIV/0!</v>
      </c>
      <c r="BH164" s="151" t="e">
        <f t="shared" si="342"/>
        <v>#DIV/0!</v>
      </c>
      <c r="BI164" s="151" t="e">
        <f t="shared" si="342"/>
        <v>#DIV/0!</v>
      </c>
      <c r="BJ164" s="151">
        <f t="shared" si="342"/>
        <v>0.32848346755257163</v>
      </c>
      <c r="BK164" s="151" t="e">
        <f t="shared" si="342"/>
        <v>#DIV/0!</v>
      </c>
      <c r="BL164" s="151" t="e">
        <f t="shared" ref="BL164:CD164" si="343">BL11/BG11-1</f>
        <v>#DIV/0!</v>
      </c>
      <c r="BM164" s="151" t="e">
        <f t="shared" si="343"/>
        <v>#DIV/0!</v>
      </c>
      <c r="BN164" s="151" t="e">
        <f t="shared" si="343"/>
        <v>#DIV/0!</v>
      </c>
      <c r="BO164" s="151">
        <f t="shared" si="343"/>
        <v>0.2927590879632358</v>
      </c>
      <c r="BP164" s="151" t="e">
        <f t="shared" si="343"/>
        <v>#DIV/0!</v>
      </c>
      <c r="BQ164" s="151" t="e">
        <f t="shared" si="343"/>
        <v>#DIV/0!</v>
      </c>
      <c r="BR164" s="151" t="e">
        <f t="shared" si="343"/>
        <v>#DIV/0!</v>
      </c>
      <c r="BS164" s="151" t="e">
        <f t="shared" si="343"/>
        <v>#DIV/0!</v>
      </c>
      <c r="BT164" s="151">
        <f t="shared" si="343"/>
        <v>0.14013712919920196</v>
      </c>
      <c r="BU164" s="151" t="e">
        <f t="shared" si="343"/>
        <v>#DIV/0!</v>
      </c>
      <c r="BV164" s="151" t="e">
        <f t="shared" si="343"/>
        <v>#DIV/0!</v>
      </c>
      <c r="BW164" s="151" t="e">
        <f t="shared" si="343"/>
        <v>#DIV/0!</v>
      </c>
      <c r="BX164" s="151" t="e">
        <f t="shared" si="343"/>
        <v>#DIV/0!</v>
      </c>
      <c r="BY164" s="151">
        <f t="shared" si="343"/>
        <v>0.19939418703808975</v>
      </c>
      <c r="BZ164" s="151">
        <f t="shared" si="343"/>
        <v>-1</v>
      </c>
      <c r="CA164" s="151">
        <f t="shared" si="343"/>
        <v>-1</v>
      </c>
      <c r="CB164" s="151">
        <f t="shared" si="343"/>
        <v>-1</v>
      </c>
      <c r="CC164" s="151">
        <f t="shared" si="343"/>
        <v>-1</v>
      </c>
      <c r="CD164" s="151">
        <f t="shared" si="343"/>
        <v>-0.10693970613069992</v>
      </c>
      <c r="CE164" s="151"/>
      <c r="CF164" s="151"/>
      <c r="CG164" s="151"/>
      <c r="CH164" s="151"/>
      <c r="CI164" s="151">
        <f>CI11/CD11-1</f>
        <v>0.24040926447311839</v>
      </c>
      <c r="CJ164" s="151"/>
      <c r="CK164" s="151"/>
      <c r="CL164" s="151"/>
      <c r="CM164" s="151"/>
      <c r="CN164" s="151">
        <f>CN11/CI11-1</f>
        <v>0.24621180095988593</v>
      </c>
      <c r="CO164" s="151"/>
      <c r="CP164" s="151"/>
      <c r="CQ164" s="151"/>
      <c r="CR164" s="151"/>
      <c r="CS164" s="151">
        <f>CS11/CN11-1</f>
        <v>0.25191130905538373</v>
      </c>
      <c r="CT164" s="151"/>
      <c r="CU164" s="151"/>
      <c r="CV164" s="151"/>
      <c r="CW164" s="151"/>
      <c r="CX164" s="151">
        <f>CX11/CS11-1</f>
        <v>0.25746518060787871</v>
      </c>
    </row>
    <row r="165" spans="1:102" s="133" customFormat="1" hidden="1" x14ac:dyDescent="0.2">
      <c r="B165" s="133" t="s">
        <v>149</v>
      </c>
      <c r="C165" s="153" t="s">
        <v>147</v>
      </c>
      <c r="D165" s="153" t="s">
        <v>147</v>
      </c>
      <c r="E165" s="153" t="s">
        <v>147</v>
      </c>
      <c r="F165" s="153" t="s">
        <v>147</v>
      </c>
      <c r="G165" s="151" t="s">
        <v>147</v>
      </c>
      <c r="H165" s="151" t="e">
        <f t="shared" ref="H165:U165" si="344">H19/C19-1</f>
        <v>#DIV/0!</v>
      </c>
      <c r="I165" s="151" t="e">
        <f t="shared" si="344"/>
        <v>#DIV/0!</v>
      </c>
      <c r="J165" s="151" t="e">
        <f t="shared" si="344"/>
        <v>#DIV/0!</v>
      </c>
      <c r="K165" s="151" t="e">
        <f t="shared" si="344"/>
        <v>#DIV/0!</v>
      </c>
      <c r="L165" s="151" t="e">
        <f t="shared" si="344"/>
        <v>#DIV/0!</v>
      </c>
      <c r="M165" s="151" t="e">
        <f t="shared" si="344"/>
        <v>#DIV/0!</v>
      </c>
      <c r="N165" s="151" t="e">
        <f t="shared" si="344"/>
        <v>#DIV/0!</v>
      </c>
      <c r="O165" s="151" t="e">
        <f t="shared" si="344"/>
        <v>#DIV/0!</v>
      </c>
      <c r="P165" s="151" t="e">
        <f t="shared" si="344"/>
        <v>#DIV/0!</v>
      </c>
      <c r="Q165" s="151" t="e">
        <f t="shared" si="344"/>
        <v>#DIV/0!</v>
      </c>
      <c r="R165" s="151" t="e">
        <f t="shared" si="344"/>
        <v>#DIV/0!</v>
      </c>
      <c r="S165" s="151" t="e">
        <f t="shared" si="344"/>
        <v>#DIV/0!</v>
      </c>
      <c r="T165" s="151" t="e">
        <f t="shared" si="344"/>
        <v>#DIV/0!</v>
      </c>
      <c r="U165" s="151" t="e">
        <f t="shared" si="344"/>
        <v>#DIV/0!</v>
      </c>
      <c r="V165" s="151"/>
      <c r="W165" s="151" t="e">
        <f>W19/R19-1</f>
        <v>#DIV/0!</v>
      </c>
      <c r="X165" s="151" t="e">
        <f>X19/S19-1</f>
        <v>#DIV/0!</v>
      </c>
      <c r="Y165" s="151" t="e">
        <f>Y19/T19-1</f>
        <v>#DIV/0!</v>
      </c>
      <c r="Z165" s="151" t="e">
        <f>Z19/U19-1</f>
        <v>#DIV/0!</v>
      </c>
      <c r="AA165" s="151"/>
      <c r="AB165" s="151"/>
      <c r="AC165" s="151"/>
      <c r="AD165" s="151"/>
      <c r="AE165" s="151"/>
      <c r="AF165" s="152">
        <f t="shared" ref="AF165:BK165" si="345">AF19/AA19-1</f>
        <v>-0.76107382550335567</v>
      </c>
      <c r="AG165" s="151" t="e">
        <f t="shared" si="345"/>
        <v>#DIV/0!</v>
      </c>
      <c r="AH165" s="151" t="e">
        <f t="shared" si="345"/>
        <v>#DIV/0!</v>
      </c>
      <c r="AI165" s="151" t="e">
        <f t="shared" si="345"/>
        <v>#DIV/0!</v>
      </c>
      <c r="AJ165" s="151" t="e">
        <f t="shared" si="345"/>
        <v>#DIV/0!</v>
      </c>
      <c r="AK165" s="151">
        <f t="shared" si="345"/>
        <v>11.544943820224718</v>
      </c>
      <c r="AL165" s="151" t="e">
        <f t="shared" si="345"/>
        <v>#DIV/0!</v>
      </c>
      <c r="AM165" s="151" t="e">
        <f t="shared" si="345"/>
        <v>#DIV/0!</v>
      </c>
      <c r="AN165" s="151" t="e">
        <f t="shared" si="345"/>
        <v>#DIV/0!</v>
      </c>
      <c r="AO165" s="151" t="e">
        <f t="shared" si="345"/>
        <v>#DIV/0!</v>
      </c>
      <c r="AP165" s="151">
        <f t="shared" si="345"/>
        <v>0.87460815047021945</v>
      </c>
      <c r="AQ165" s="151" t="e">
        <f t="shared" si="345"/>
        <v>#DIV/0!</v>
      </c>
      <c r="AR165" s="151" t="e">
        <f t="shared" si="345"/>
        <v>#DIV/0!</v>
      </c>
      <c r="AS165" s="151" t="e">
        <f t="shared" si="345"/>
        <v>#DIV/0!</v>
      </c>
      <c r="AT165" s="151" t="e">
        <f t="shared" si="345"/>
        <v>#DIV/0!</v>
      </c>
      <c r="AU165" s="151">
        <f t="shared" si="345"/>
        <v>-1.9111323459149565E-2</v>
      </c>
      <c r="AV165" s="151" t="e">
        <f t="shared" si="345"/>
        <v>#DIV/0!</v>
      </c>
      <c r="AW165" s="151" t="e">
        <f t="shared" si="345"/>
        <v>#DIV/0!</v>
      </c>
      <c r="AX165" s="151" t="e">
        <f t="shared" si="345"/>
        <v>#DIV/0!</v>
      </c>
      <c r="AY165" s="151" t="e">
        <f t="shared" si="345"/>
        <v>#DIV/0!</v>
      </c>
      <c r="AZ165" s="151">
        <f t="shared" si="345"/>
        <v>2.02508524111057</v>
      </c>
      <c r="BA165" s="151" t="e">
        <f t="shared" si="345"/>
        <v>#DIV/0!</v>
      </c>
      <c r="BB165" s="151" t="e">
        <f t="shared" si="345"/>
        <v>#DIV/0!</v>
      </c>
      <c r="BC165" s="151" t="e">
        <f t="shared" si="345"/>
        <v>#DIV/0!</v>
      </c>
      <c r="BD165" s="151" t="e">
        <f t="shared" si="345"/>
        <v>#DIV/0!</v>
      </c>
      <c r="BE165" s="152">
        <f t="shared" si="345"/>
        <v>0.17067868931648023</v>
      </c>
      <c r="BF165" s="151" t="e">
        <f t="shared" si="345"/>
        <v>#DIV/0!</v>
      </c>
      <c r="BG165" s="151" t="e">
        <f t="shared" si="345"/>
        <v>#DIV/0!</v>
      </c>
      <c r="BH165" s="151" t="e">
        <f t="shared" si="345"/>
        <v>#DIV/0!</v>
      </c>
      <c r="BI165" s="151" t="e">
        <f t="shared" si="345"/>
        <v>#DIV/0!</v>
      </c>
      <c r="BJ165" s="151">
        <f t="shared" si="345"/>
        <v>0.57478852898700228</v>
      </c>
      <c r="BK165" s="151" t="e">
        <f t="shared" si="345"/>
        <v>#DIV/0!</v>
      </c>
      <c r="BL165" s="151" t="e">
        <f t="shared" ref="BL165:CD165" si="346">BL19/BG19-1</f>
        <v>#DIV/0!</v>
      </c>
      <c r="BM165" s="151" t="e">
        <f t="shared" si="346"/>
        <v>#DIV/0!</v>
      </c>
      <c r="BN165" s="151" t="e">
        <f t="shared" si="346"/>
        <v>#DIV/0!</v>
      </c>
      <c r="BO165" s="151">
        <f t="shared" si="346"/>
        <v>8.6466657932660729E-2</v>
      </c>
      <c r="BP165" s="151" t="e">
        <f t="shared" si="346"/>
        <v>#DIV/0!</v>
      </c>
      <c r="BQ165" s="151" t="e">
        <f t="shared" si="346"/>
        <v>#DIV/0!</v>
      </c>
      <c r="BR165" s="151" t="e">
        <f t="shared" si="346"/>
        <v>#DIV/0!</v>
      </c>
      <c r="BS165" s="151" t="e">
        <f t="shared" si="346"/>
        <v>#DIV/0!</v>
      </c>
      <c r="BT165" s="151">
        <f t="shared" si="346"/>
        <v>-0.50769725471281002</v>
      </c>
      <c r="BU165" s="151" t="e">
        <f t="shared" si="346"/>
        <v>#DIV/0!</v>
      </c>
      <c r="BV165" s="151" t="e">
        <f t="shared" si="346"/>
        <v>#DIV/0!</v>
      </c>
      <c r="BW165" s="151" t="e">
        <f t="shared" si="346"/>
        <v>#DIV/0!</v>
      </c>
      <c r="BX165" s="151" t="e">
        <f t="shared" si="346"/>
        <v>#DIV/0!</v>
      </c>
      <c r="BY165" s="151">
        <f t="shared" si="346"/>
        <v>2.0088177661659046</v>
      </c>
      <c r="BZ165" s="151">
        <f t="shared" si="346"/>
        <v>-1</v>
      </c>
      <c r="CA165" s="151">
        <f t="shared" si="346"/>
        <v>-1</v>
      </c>
      <c r="CB165" s="151">
        <f t="shared" si="346"/>
        <v>-1</v>
      </c>
      <c r="CC165" s="151">
        <f t="shared" si="346"/>
        <v>-1</v>
      </c>
      <c r="CD165" s="151">
        <f t="shared" si="346"/>
        <v>-0.38244984316580355</v>
      </c>
      <c r="CE165" s="151"/>
      <c r="CF165" s="151"/>
      <c r="CG165" s="151"/>
      <c r="CH165" s="151"/>
      <c r="CI165" s="151">
        <f>CI19/CD19-1</f>
        <v>0.24040926447312128</v>
      </c>
      <c r="CJ165" s="151"/>
      <c r="CK165" s="151"/>
      <c r="CL165" s="151"/>
      <c r="CM165" s="151"/>
      <c r="CN165" s="151">
        <f>CN19/CI19-1</f>
        <v>0.24621180095988704</v>
      </c>
      <c r="CO165" s="151"/>
      <c r="CP165" s="151"/>
      <c r="CQ165" s="151"/>
      <c r="CR165" s="151"/>
      <c r="CS165" s="151">
        <f>CS19/CN19-1</f>
        <v>0.25191130905538084</v>
      </c>
      <c r="CT165" s="151"/>
      <c r="CU165" s="151"/>
      <c r="CV165" s="151"/>
      <c r="CW165" s="151"/>
      <c r="CX165" s="151">
        <f>CX19/CS19-1</f>
        <v>0.25746518060788115</v>
      </c>
    </row>
    <row r="166" spans="1:102" s="133" customFormat="1" hidden="1" x14ac:dyDescent="0.2">
      <c r="B166" s="133" t="s">
        <v>150</v>
      </c>
      <c r="C166" s="153" t="s">
        <v>147</v>
      </c>
      <c r="D166" s="153" t="s">
        <v>147</v>
      </c>
      <c r="E166" s="153" t="s">
        <v>147</v>
      </c>
      <c r="F166" s="153" t="s">
        <v>147</v>
      </c>
      <c r="G166" s="151" t="s">
        <v>147</v>
      </c>
      <c r="H166" s="151" t="e">
        <f t="shared" ref="H166:U166" si="347">H23/C23-1</f>
        <v>#DIV/0!</v>
      </c>
      <c r="I166" s="151" t="e">
        <f t="shared" si="347"/>
        <v>#DIV/0!</v>
      </c>
      <c r="J166" s="151" t="e">
        <f t="shared" si="347"/>
        <v>#DIV/0!</v>
      </c>
      <c r="K166" s="151" t="e">
        <f t="shared" si="347"/>
        <v>#DIV/0!</v>
      </c>
      <c r="L166" s="151" t="e">
        <f t="shared" si="347"/>
        <v>#DIV/0!</v>
      </c>
      <c r="M166" s="151" t="e">
        <f t="shared" si="347"/>
        <v>#DIV/0!</v>
      </c>
      <c r="N166" s="151" t="e">
        <f t="shared" si="347"/>
        <v>#DIV/0!</v>
      </c>
      <c r="O166" s="151" t="e">
        <f t="shared" si="347"/>
        <v>#DIV/0!</v>
      </c>
      <c r="P166" s="151" t="e">
        <f t="shared" si="347"/>
        <v>#DIV/0!</v>
      </c>
      <c r="Q166" s="151" t="e">
        <f t="shared" si="347"/>
        <v>#DIV/0!</v>
      </c>
      <c r="R166" s="151" t="e">
        <f t="shared" si="347"/>
        <v>#DIV/0!</v>
      </c>
      <c r="S166" s="151" t="e">
        <f t="shared" si="347"/>
        <v>#DIV/0!</v>
      </c>
      <c r="T166" s="151" t="e">
        <f t="shared" si="347"/>
        <v>#DIV/0!</v>
      </c>
      <c r="U166" s="151" t="e">
        <f t="shared" si="347"/>
        <v>#DIV/0!</v>
      </c>
      <c r="V166" s="151"/>
      <c r="W166" s="151" t="e">
        <f>W23/R23-1</f>
        <v>#DIV/0!</v>
      </c>
      <c r="X166" s="151" t="e">
        <f>X23/S23-1</f>
        <v>#DIV/0!</v>
      </c>
      <c r="Y166" s="151" t="e">
        <f>Y23/T23-1</f>
        <v>#DIV/0!</v>
      </c>
      <c r="Z166" s="151" t="e">
        <f>Z23/U23-1</f>
        <v>#DIV/0!</v>
      </c>
      <c r="AA166" s="151"/>
      <c r="AB166" s="151"/>
      <c r="AC166" s="151"/>
      <c r="AD166" s="151"/>
      <c r="AE166" s="151"/>
      <c r="AF166" s="152">
        <f t="shared" ref="AF166:BK166" si="348">AF23/AA23-1</f>
        <v>-0.76107382550335567</v>
      </c>
      <c r="AG166" s="151" t="e">
        <f t="shared" si="348"/>
        <v>#DIV/0!</v>
      </c>
      <c r="AH166" s="151" t="e">
        <f t="shared" si="348"/>
        <v>#DIV/0!</v>
      </c>
      <c r="AI166" s="151" t="e">
        <f t="shared" si="348"/>
        <v>#DIV/0!</v>
      </c>
      <c r="AJ166" s="151" t="e">
        <f t="shared" si="348"/>
        <v>#DIV/0!</v>
      </c>
      <c r="AK166" s="151">
        <f t="shared" si="348"/>
        <v>11.544943820224718</v>
      </c>
      <c r="AL166" s="151" t="e">
        <f t="shared" si="348"/>
        <v>#DIV/0!</v>
      </c>
      <c r="AM166" s="151" t="e">
        <f t="shared" si="348"/>
        <v>#DIV/0!</v>
      </c>
      <c r="AN166" s="151" t="e">
        <f t="shared" si="348"/>
        <v>#DIV/0!</v>
      </c>
      <c r="AO166" s="151" t="e">
        <f t="shared" si="348"/>
        <v>#DIV/0!</v>
      </c>
      <c r="AP166" s="151">
        <f t="shared" si="348"/>
        <v>0.87460815047021945</v>
      </c>
      <c r="AQ166" s="151" t="e">
        <f t="shared" si="348"/>
        <v>#DIV/0!</v>
      </c>
      <c r="AR166" s="151" t="e">
        <f t="shared" si="348"/>
        <v>#DIV/0!</v>
      </c>
      <c r="AS166" s="151" t="e">
        <f t="shared" si="348"/>
        <v>#DIV/0!</v>
      </c>
      <c r="AT166" s="151" t="e">
        <f t="shared" si="348"/>
        <v>#DIV/0!</v>
      </c>
      <c r="AU166" s="151">
        <f t="shared" si="348"/>
        <v>-1.9111323459149565E-2</v>
      </c>
      <c r="AV166" s="151" t="e">
        <f t="shared" si="348"/>
        <v>#DIV/0!</v>
      </c>
      <c r="AW166" s="151" t="e">
        <f t="shared" si="348"/>
        <v>#DIV/0!</v>
      </c>
      <c r="AX166" s="151" t="e">
        <f t="shared" si="348"/>
        <v>#DIV/0!</v>
      </c>
      <c r="AY166" s="151" t="e">
        <f t="shared" si="348"/>
        <v>#DIV/0!</v>
      </c>
      <c r="AZ166" s="151">
        <f t="shared" si="348"/>
        <v>2.02508524111057</v>
      </c>
      <c r="BA166" s="151" t="e">
        <f t="shared" si="348"/>
        <v>#DIV/0!</v>
      </c>
      <c r="BB166" s="151" t="e">
        <f t="shared" si="348"/>
        <v>#DIV/0!</v>
      </c>
      <c r="BC166" s="151" t="e">
        <f t="shared" si="348"/>
        <v>#DIV/0!</v>
      </c>
      <c r="BD166" s="151" t="e">
        <f t="shared" si="348"/>
        <v>#DIV/0!</v>
      </c>
      <c r="BE166" s="152">
        <f t="shared" si="348"/>
        <v>0.17067868931648023</v>
      </c>
      <c r="BF166" s="151" t="e">
        <f t="shared" si="348"/>
        <v>#DIV/0!</v>
      </c>
      <c r="BG166" s="151" t="e">
        <f t="shared" si="348"/>
        <v>#DIV/0!</v>
      </c>
      <c r="BH166" s="151" t="e">
        <f t="shared" si="348"/>
        <v>#DIV/0!</v>
      </c>
      <c r="BI166" s="151" t="e">
        <f t="shared" si="348"/>
        <v>#DIV/0!</v>
      </c>
      <c r="BJ166" s="151">
        <f t="shared" si="348"/>
        <v>0.57478852898700228</v>
      </c>
      <c r="BK166" s="151" t="e">
        <f t="shared" si="348"/>
        <v>#DIV/0!</v>
      </c>
      <c r="BL166" s="151" t="e">
        <f t="shared" ref="BL166:CD166" si="349">BL23/BG23-1</f>
        <v>#DIV/0!</v>
      </c>
      <c r="BM166" s="151" t="e">
        <f t="shared" si="349"/>
        <v>#DIV/0!</v>
      </c>
      <c r="BN166" s="151" t="e">
        <f t="shared" si="349"/>
        <v>#DIV/0!</v>
      </c>
      <c r="BO166" s="151">
        <f t="shared" si="349"/>
        <v>8.6466657932660729E-2</v>
      </c>
      <c r="BP166" s="151" t="e">
        <f t="shared" si="349"/>
        <v>#DIV/0!</v>
      </c>
      <c r="BQ166" s="151" t="e">
        <f t="shared" si="349"/>
        <v>#DIV/0!</v>
      </c>
      <c r="BR166" s="151" t="e">
        <f t="shared" si="349"/>
        <v>#DIV/0!</v>
      </c>
      <c r="BS166" s="151" t="e">
        <f t="shared" si="349"/>
        <v>#DIV/0!</v>
      </c>
      <c r="BT166" s="151">
        <f t="shared" si="349"/>
        <v>-0.50769725471281002</v>
      </c>
      <c r="BU166" s="151" t="e">
        <f t="shared" si="349"/>
        <v>#DIV/0!</v>
      </c>
      <c r="BV166" s="151" t="e">
        <f t="shared" si="349"/>
        <v>#DIV/0!</v>
      </c>
      <c r="BW166" s="151" t="e">
        <f t="shared" si="349"/>
        <v>#DIV/0!</v>
      </c>
      <c r="BX166" s="151" t="e">
        <f t="shared" si="349"/>
        <v>#DIV/0!</v>
      </c>
      <c r="BY166" s="151">
        <f t="shared" si="349"/>
        <v>2.0088177661659046</v>
      </c>
      <c r="BZ166" s="151">
        <f t="shared" si="349"/>
        <v>-1</v>
      </c>
      <c r="CA166" s="151">
        <f t="shared" si="349"/>
        <v>-1</v>
      </c>
      <c r="CB166" s="151">
        <f t="shared" si="349"/>
        <v>-1</v>
      </c>
      <c r="CC166" s="151">
        <f t="shared" si="349"/>
        <v>-1</v>
      </c>
      <c r="CD166" s="151">
        <f t="shared" si="349"/>
        <v>-0.38244984316580355</v>
      </c>
      <c r="CE166" s="151"/>
      <c r="CF166" s="151"/>
      <c r="CG166" s="151"/>
      <c r="CH166" s="151"/>
      <c r="CI166" s="151">
        <f>CI23/CD23-1</f>
        <v>0.24040926447312128</v>
      </c>
      <c r="CJ166" s="151"/>
      <c r="CK166" s="151"/>
      <c r="CL166" s="151"/>
      <c r="CM166" s="151"/>
      <c r="CN166" s="151">
        <f>CN23/CI23-1</f>
        <v>0.24621180095988704</v>
      </c>
      <c r="CO166" s="151"/>
      <c r="CP166" s="151"/>
      <c r="CQ166" s="151"/>
      <c r="CR166" s="151"/>
      <c r="CS166" s="151">
        <f>CS23/CN23-1</f>
        <v>0.25191130905538084</v>
      </c>
      <c r="CT166" s="151"/>
      <c r="CU166" s="151"/>
      <c r="CV166" s="151"/>
      <c r="CW166" s="151"/>
      <c r="CX166" s="151">
        <f>CX23/CS23-1</f>
        <v>0.25746518060788115</v>
      </c>
    </row>
    <row r="167" spans="1:102" s="133" customFormat="1" hidden="1" x14ac:dyDescent="0.2">
      <c r="B167" s="133" t="s">
        <v>151</v>
      </c>
      <c r="C167" s="153" t="s">
        <v>147</v>
      </c>
      <c r="D167" s="153" t="s">
        <v>147</v>
      </c>
      <c r="E167" s="153" t="s">
        <v>147</v>
      </c>
      <c r="F167" s="153" t="s">
        <v>147</v>
      </c>
      <c r="G167" s="151" t="s">
        <v>147</v>
      </c>
      <c r="H167" s="151" t="e">
        <f t="shared" ref="H167:U167" si="350">H29/C29-1</f>
        <v>#DIV/0!</v>
      </c>
      <c r="I167" s="151" t="e">
        <f t="shared" si="350"/>
        <v>#DIV/0!</v>
      </c>
      <c r="J167" s="151" t="e">
        <f t="shared" si="350"/>
        <v>#DIV/0!</v>
      </c>
      <c r="K167" s="151" t="e">
        <f t="shared" si="350"/>
        <v>#DIV/0!</v>
      </c>
      <c r="L167" s="151" t="e">
        <f t="shared" si="350"/>
        <v>#DIV/0!</v>
      </c>
      <c r="M167" s="151" t="e">
        <f t="shared" si="350"/>
        <v>#DIV/0!</v>
      </c>
      <c r="N167" s="151" t="e">
        <f t="shared" si="350"/>
        <v>#DIV/0!</v>
      </c>
      <c r="O167" s="151" t="e">
        <f t="shared" si="350"/>
        <v>#DIV/0!</v>
      </c>
      <c r="P167" s="151" t="e">
        <f t="shared" si="350"/>
        <v>#DIV/0!</v>
      </c>
      <c r="Q167" s="151" t="e">
        <f t="shared" si="350"/>
        <v>#DIV/0!</v>
      </c>
      <c r="R167" s="151" t="e">
        <f t="shared" si="350"/>
        <v>#DIV/0!</v>
      </c>
      <c r="S167" s="151" t="e">
        <f t="shared" si="350"/>
        <v>#DIV/0!</v>
      </c>
      <c r="T167" s="151" t="e">
        <f t="shared" si="350"/>
        <v>#DIV/0!</v>
      </c>
      <c r="U167" s="151" t="e">
        <f t="shared" si="350"/>
        <v>#DIV/0!</v>
      </c>
      <c r="V167" s="151"/>
      <c r="W167" s="151" t="e">
        <f>W29/R29-1</f>
        <v>#DIV/0!</v>
      </c>
      <c r="X167" s="151" t="e">
        <f>X29/S29-1</f>
        <v>#DIV/0!</v>
      </c>
      <c r="Y167" s="151" t="e">
        <f>Y29/T29-1</f>
        <v>#DIV/0!</v>
      </c>
      <c r="Z167" s="151" t="e">
        <f>Z29/U29-1</f>
        <v>#DIV/0!</v>
      </c>
      <c r="AA167" s="151"/>
      <c r="AB167" s="151"/>
      <c r="AC167" s="151"/>
      <c r="AD167" s="151"/>
      <c r="AE167" s="151"/>
      <c r="AF167" s="152">
        <f t="shared" ref="AF167:BK167" si="351">AF29/AA29-1</f>
        <v>-1.8795620437956204</v>
      </c>
      <c r="AG167" s="151" t="e">
        <f t="shared" si="351"/>
        <v>#DIV/0!</v>
      </c>
      <c r="AH167" s="151" t="e">
        <f t="shared" si="351"/>
        <v>#DIV/0!</v>
      </c>
      <c r="AI167" s="151" t="e">
        <f t="shared" si="351"/>
        <v>#DIV/0!</v>
      </c>
      <c r="AJ167" s="151" t="e">
        <f t="shared" si="351"/>
        <v>#DIV/0!</v>
      </c>
      <c r="AK167" s="151">
        <f t="shared" si="351"/>
        <v>-3.4730290456431536</v>
      </c>
      <c r="AL167" s="151" t="e">
        <f t="shared" si="351"/>
        <v>#DIV/0!</v>
      </c>
      <c r="AM167" s="151" t="e">
        <f t="shared" si="351"/>
        <v>#DIV/0!</v>
      </c>
      <c r="AN167" s="151" t="e">
        <f t="shared" si="351"/>
        <v>#DIV/0!</v>
      </c>
      <c r="AO167" s="151" t="e">
        <f t="shared" si="351"/>
        <v>#DIV/0!</v>
      </c>
      <c r="AP167" s="151">
        <f t="shared" si="351"/>
        <v>2.9781879194630871</v>
      </c>
      <c r="AQ167" s="151" t="e">
        <f t="shared" si="351"/>
        <v>#DIV/0!</v>
      </c>
      <c r="AR167" s="151" t="e">
        <f t="shared" si="351"/>
        <v>#DIV/0!</v>
      </c>
      <c r="AS167" s="151" t="e">
        <f t="shared" si="351"/>
        <v>#DIV/0!</v>
      </c>
      <c r="AT167" s="151" t="e">
        <f t="shared" si="351"/>
        <v>#DIV/0!</v>
      </c>
      <c r="AU167" s="151">
        <f t="shared" si="351"/>
        <v>0.27920708561788277</v>
      </c>
      <c r="AV167" s="151" t="e">
        <f t="shared" si="351"/>
        <v>#DIV/0!</v>
      </c>
      <c r="AW167" s="151" t="e">
        <f t="shared" si="351"/>
        <v>#DIV/0!</v>
      </c>
      <c r="AX167" s="151" t="e">
        <f t="shared" si="351"/>
        <v>#DIV/0!</v>
      </c>
      <c r="AY167" s="151" t="e">
        <f t="shared" si="351"/>
        <v>#DIV/0!</v>
      </c>
      <c r="AZ167" s="151">
        <f t="shared" si="351"/>
        <v>2.3211341905703922</v>
      </c>
      <c r="BA167" s="151" t="e">
        <f t="shared" si="351"/>
        <v>#DIV/0!</v>
      </c>
      <c r="BB167" s="151" t="e">
        <f t="shared" si="351"/>
        <v>#DIV/0!</v>
      </c>
      <c r="BC167" s="151" t="e">
        <f t="shared" si="351"/>
        <v>#DIV/0!</v>
      </c>
      <c r="BD167" s="151" t="e">
        <f t="shared" si="351"/>
        <v>#DIV/0!</v>
      </c>
      <c r="BE167" s="152">
        <f t="shared" si="351"/>
        <v>0.1504020649260398</v>
      </c>
      <c r="BF167" s="151" t="e">
        <f t="shared" si="351"/>
        <v>#DIV/0!</v>
      </c>
      <c r="BG167" s="151" t="e">
        <f t="shared" si="351"/>
        <v>#DIV/0!</v>
      </c>
      <c r="BH167" s="151" t="e">
        <f t="shared" si="351"/>
        <v>#DIV/0!</v>
      </c>
      <c r="BI167" s="151" t="e">
        <f t="shared" si="351"/>
        <v>#DIV/0!</v>
      </c>
      <c r="BJ167" s="151">
        <f t="shared" si="351"/>
        <v>0.84078356920952713</v>
      </c>
      <c r="BK167" s="151" t="e">
        <f t="shared" si="351"/>
        <v>#DIV/0!</v>
      </c>
      <c r="BL167" s="151" t="e">
        <f t="shared" ref="BL167:CD167" si="352">BL29/BG29-1</f>
        <v>#DIV/0!</v>
      </c>
      <c r="BM167" s="151" t="e">
        <f t="shared" si="352"/>
        <v>#DIV/0!</v>
      </c>
      <c r="BN167" s="151" t="e">
        <f t="shared" si="352"/>
        <v>#DIV/0!</v>
      </c>
      <c r="BO167" s="151">
        <f t="shared" si="352"/>
        <v>0.56410857437532225</v>
      </c>
      <c r="BP167" s="151" t="e">
        <f t="shared" si="352"/>
        <v>#DIV/0!</v>
      </c>
      <c r="BQ167" s="151" t="e">
        <f t="shared" si="352"/>
        <v>#DIV/0!</v>
      </c>
      <c r="BR167" s="151" t="e">
        <f t="shared" si="352"/>
        <v>#DIV/0!</v>
      </c>
      <c r="BS167" s="151" t="e">
        <f t="shared" si="352"/>
        <v>#DIV/0!</v>
      </c>
      <c r="BT167" s="151">
        <f t="shared" si="352"/>
        <v>-1.0815849418534949</v>
      </c>
      <c r="BU167" s="151" t="e">
        <f t="shared" si="352"/>
        <v>#DIV/0!</v>
      </c>
      <c r="BV167" s="151" t="e">
        <f t="shared" si="352"/>
        <v>#DIV/0!</v>
      </c>
      <c r="BW167" s="151" t="e">
        <f t="shared" si="352"/>
        <v>#DIV/0!</v>
      </c>
      <c r="BX167" s="151" t="e">
        <f t="shared" si="352"/>
        <v>#DIV/0!</v>
      </c>
      <c r="BY167" s="151">
        <f t="shared" si="352"/>
        <v>-12.177443056576047</v>
      </c>
      <c r="BZ167" s="151">
        <f t="shared" si="352"/>
        <v>-1</v>
      </c>
      <c r="CA167" s="151">
        <f t="shared" si="352"/>
        <v>-1</v>
      </c>
      <c r="CB167" s="151">
        <f t="shared" si="352"/>
        <v>-1</v>
      </c>
      <c r="CC167" s="151">
        <f t="shared" si="352"/>
        <v>-1</v>
      </c>
      <c r="CD167" s="151">
        <f t="shared" si="352"/>
        <v>-0.38372217844113399</v>
      </c>
      <c r="CE167" s="151"/>
      <c r="CF167" s="151"/>
      <c r="CG167" s="151"/>
      <c r="CH167" s="151"/>
      <c r="CI167" s="151">
        <f>CI29/CD29-1</f>
        <v>0.24040926447312172</v>
      </c>
      <c r="CJ167" s="151"/>
      <c r="CK167" s="151"/>
      <c r="CL167" s="151"/>
      <c r="CM167" s="151"/>
      <c r="CN167" s="151">
        <f>CN29/CI29-1</f>
        <v>0.24621180095988748</v>
      </c>
      <c r="CO167" s="151"/>
      <c r="CP167" s="151"/>
      <c r="CQ167" s="151"/>
      <c r="CR167" s="151"/>
      <c r="CS167" s="151">
        <f>CS29/CN29-1</f>
        <v>0.25191130905538017</v>
      </c>
      <c r="CT167" s="151"/>
      <c r="CU167" s="151"/>
      <c r="CV167" s="151"/>
      <c r="CW167" s="151"/>
      <c r="CX167" s="151">
        <f>CX29/CS29-1</f>
        <v>0.25746518060788159</v>
      </c>
    </row>
    <row r="168" spans="1:102" s="133" customFormat="1" hidden="1" x14ac:dyDescent="0.2">
      <c r="B168" s="133" t="s">
        <v>152</v>
      </c>
      <c r="C168" s="153" t="s">
        <v>147</v>
      </c>
      <c r="D168" s="153" t="s">
        <v>147</v>
      </c>
      <c r="E168" s="153" t="s">
        <v>147</v>
      </c>
      <c r="F168" s="153" t="s">
        <v>147</v>
      </c>
      <c r="G168" s="151" t="s">
        <v>147</v>
      </c>
      <c r="H168" s="151" t="e">
        <f t="shared" ref="H168:U170" si="353">H124/C124-1</f>
        <v>#DIV/0!</v>
      </c>
      <c r="I168" s="151" t="e">
        <f t="shared" si="353"/>
        <v>#DIV/0!</v>
      </c>
      <c r="J168" s="151" t="e">
        <f t="shared" si="353"/>
        <v>#DIV/0!</v>
      </c>
      <c r="K168" s="151" t="e">
        <f t="shared" si="353"/>
        <v>#DIV/0!</v>
      </c>
      <c r="L168" s="151" t="e">
        <f t="shared" si="353"/>
        <v>#DIV/0!</v>
      </c>
      <c r="M168" s="151" t="e">
        <f t="shared" si="353"/>
        <v>#DIV/0!</v>
      </c>
      <c r="N168" s="151" t="e">
        <f t="shared" si="353"/>
        <v>#DIV/0!</v>
      </c>
      <c r="O168" s="151" t="e">
        <f t="shared" si="353"/>
        <v>#DIV/0!</v>
      </c>
      <c r="P168" s="151" t="e">
        <f t="shared" si="353"/>
        <v>#DIV/0!</v>
      </c>
      <c r="Q168" s="151" t="e">
        <f t="shared" si="353"/>
        <v>#DIV/0!</v>
      </c>
      <c r="R168" s="151" t="e">
        <f t="shared" si="353"/>
        <v>#DIV/0!</v>
      </c>
      <c r="S168" s="151" t="e">
        <f t="shared" si="353"/>
        <v>#DIV/0!</v>
      </c>
      <c r="T168" s="151" t="e">
        <f t="shared" si="353"/>
        <v>#DIV/0!</v>
      </c>
      <c r="U168" s="151" t="e">
        <f t="shared" si="353"/>
        <v>#DIV/0!</v>
      </c>
      <c r="V168" s="151"/>
      <c r="W168" s="151" t="e">
        <f t="shared" ref="W168:Z170" si="354">W124/R124-1</f>
        <v>#DIV/0!</v>
      </c>
      <c r="X168" s="151" t="e">
        <f t="shared" si="354"/>
        <v>#DIV/0!</v>
      </c>
      <c r="Y168" s="151" t="e">
        <f t="shared" si="354"/>
        <v>#DIV/0!</v>
      </c>
      <c r="Z168" s="151" t="e">
        <f t="shared" si="354"/>
        <v>#DIV/0!</v>
      </c>
      <c r="AA168" s="151"/>
      <c r="AB168" s="151"/>
      <c r="AC168" s="151"/>
      <c r="AD168" s="151"/>
      <c r="AE168" s="151"/>
      <c r="AF168" s="152" t="e">
        <f t="shared" ref="AF168:AO170" si="355">AF124/AA124-1</f>
        <v>#DIV/0!</v>
      </c>
      <c r="AG168" s="151" t="e">
        <f t="shared" si="355"/>
        <v>#DIV/0!</v>
      </c>
      <c r="AH168" s="151" t="e">
        <f t="shared" si="355"/>
        <v>#DIV/0!</v>
      </c>
      <c r="AI168" s="151" t="e">
        <f t="shared" si="355"/>
        <v>#DIV/0!</v>
      </c>
      <c r="AJ168" s="151" t="e">
        <f t="shared" si="355"/>
        <v>#DIV/0!</v>
      </c>
      <c r="AK168" s="151" t="e">
        <f t="shared" si="355"/>
        <v>#DIV/0!</v>
      </c>
      <c r="AL168" s="151" t="e">
        <f t="shared" si="355"/>
        <v>#DIV/0!</v>
      </c>
      <c r="AM168" s="151" t="e">
        <f t="shared" si="355"/>
        <v>#DIV/0!</v>
      </c>
      <c r="AN168" s="151" t="e">
        <f t="shared" si="355"/>
        <v>#DIV/0!</v>
      </c>
      <c r="AO168" s="151" t="e">
        <f t="shared" si="355"/>
        <v>#DIV/0!</v>
      </c>
      <c r="AP168" s="151" t="e">
        <f t="shared" ref="AP168:AY170" si="356">AP124/AK124-1</f>
        <v>#DIV/0!</v>
      </c>
      <c r="AQ168" s="151" t="e">
        <f t="shared" si="356"/>
        <v>#DIV/0!</v>
      </c>
      <c r="AR168" s="151" t="e">
        <f t="shared" si="356"/>
        <v>#DIV/0!</v>
      </c>
      <c r="AS168" s="151" t="e">
        <f t="shared" si="356"/>
        <v>#DIV/0!</v>
      </c>
      <c r="AT168" s="151" t="e">
        <f t="shared" si="356"/>
        <v>#DIV/0!</v>
      </c>
      <c r="AU168" s="151" t="e">
        <f t="shared" si="356"/>
        <v>#DIV/0!</v>
      </c>
      <c r="AV168" s="151" t="e">
        <f t="shared" si="356"/>
        <v>#DIV/0!</v>
      </c>
      <c r="AW168" s="151" t="e">
        <f t="shared" si="356"/>
        <v>#DIV/0!</v>
      </c>
      <c r="AX168" s="151" t="e">
        <f t="shared" si="356"/>
        <v>#DIV/0!</v>
      </c>
      <c r="AY168" s="151" t="e">
        <f t="shared" si="356"/>
        <v>#DIV/0!</v>
      </c>
      <c r="AZ168" s="151" t="e">
        <f t="shared" ref="AZ168:BI170" si="357">AZ124/AU124-1</f>
        <v>#DIV/0!</v>
      </c>
      <c r="BA168" s="151" t="e">
        <f t="shared" si="357"/>
        <v>#DIV/0!</v>
      </c>
      <c r="BB168" s="151" t="e">
        <f t="shared" si="357"/>
        <v>#DIV/0!</v>
      </c>
      <c r="BC168" s="151" t="e">
        <f t="shared" si="357"/>
        <v>#DIV/0!</v>
      </c>
      <c r="BD168" s="151" t="e">
        <f t="shared" si="357"/>
        <v>#DIV/0!</v>
      </c>
      <c r="BE168" s="152" t="e">
        <f t="shared" si="357"/>
        <v>#DIV/0!</v>
      </c>
      <c r="BF168" s="151" t="e">
        <f t="shared" si="357"/>
        <v>#DIV/0!</v>
      </c>
      <c r="BG168" s="151" t="e">
        <f t="shared" si="357"/>
        <v>#DIV/0!</v>
      </c>
      <c r="BH168" s="151" t="e">
        <f t="shared" si="357"/>
        <v>#DIV/0!</v>
      </c>
      <c r="BI168" s="151" t="e">
        <f t="shared" si="357"/>
        <v>#DIV/0!</v>
      </c>
      <c r="BJ168" s="151" t="e">
        <f t="shared" ref="BJ168:BS170" si="358">BJ124/BE124-1</f>
        <v>#DIV/0!</v>
      </c>
      <c r="BK168" s="151" t="e">
        <f t="shared" si="358"/>
        <v>#DIV/0!</v>
      </c>
      <c r="BL168" s="151" t="e">
        <f t="shared" si="358"/>
        <v>#DIV/0!</v>
      </c>
      <c r="BM168" s="151" t="e">
        <f t="shared" si="358"/>
        <v>#DIV/0!</v>
      </c>
      <c r="BN168" s="151" t="e">
        <f t="shared" si="358"/>
        <v>#DIV/0!</v>
      </c>
      <c r="BO168" s="151" t="e">
        <f t="shared" si="358"/>
        <v>#DIV/0!</v>
      </c>
      <c r="BP168" s="151" t="e">
        <f t="shared" si="358"/>
        <v>#DIV/0!</v>
      </c>
      <c r="BQ168" s="151" t="e">
        <f t="shared" si="358"/>
        <v>#DIV/0!</v>
      </c>
      <c r="BR168" s="151" t="e">
        <f t="shared" si="358"/>
        <v>#DIV/0!</v>
      </c>
      <c r="BS168" s="151" t="e">
        <f t="shared" si="358"/>
        <v>#DIV/0!</v>
      </c>
      <c r="BT168" s="151" t="e">
        <f t="shared" ref="BT168:CC170" si="359">BT124/BO124-1</f>
        <v>#DIV/0!</v>
      </c>
      <c r="BU168" s="151" t="e">
        <f t="shared" si="359"/>
        <v>#DIV/0!</v>
      </c>
      <c r="BV168" s="151" t="e">
        <f t="shared" si="359"/>
        <v>#DIV/0!</v>
      </c>
      <c r="BW168" s="151" t="e">
        <f t="shared" si="359"/>
        <v>#DIV/0!</v>
      </c>
      <c r="BX168" s="151" t="e">
        <f t="shared" si="359"/>
        <v>#DIV/0!</v>
      </c>
      <c r="BY168" s="151" t="e">
        <f t="shared" si="359"/>
        <v>#DIV/0!</v>
      </c>
      <c r="BZ168" s="151" t="e">
        <f t="shared" si="359"/>
        <v>#DIV/0!</v>
      </c>
      <c r="CA168" s="151" t="e">
        <f t="shared" si="359"/>
        <v>#DIV/0!</v>
      </c>
      <c r="CB168" s="151" t="e">
        <f t="shared" si="359"/>
        <v>#DIV/0!</v>
      </c>
      <c r="CC168" s="151" t="e">
        <f t="shared" si="359"/>
        <v>#DIV/0!</v>
      </c>
      <c r="CD168" s="151" t="e">
        <f t="shared" ref="CD168:CI170" si="360">CD124/BY124-1</f>
        <v>#DIV/0!</v>
      </c>
      <c r="CE168" s="151"/>
      <c r="CF168" s="151"/>
      <c r="CG168" s="151"/>
      <c r="CH168" s="151"/>
      <c r="CI168" s="151" t="e">
        <f t="shared" si="360"/>
        <v>#DIV/0!</v>
      </c>
      <c r="CJ168" s="151"/>
      <c r="CK168" s="151"/>
      <c r="CL168" s="151"/>
      <c r="CM168" s="151"/>
      <c r="CN168" s="151" t="e">
        <f t="shared" ref="CN168:CS170" si="361">CN124/CI124-1</f>
        <v>#DIV/0!</v>
      </c>
      <c r="CO168" s="151"/>
      <c r="CP168" s="151"/>
      <c r="CQ168" s="151"/>
      <c r="CR168" s="151"/>
      <c r="CS168" s="151" t="e">
        <f t="shared" si="361"/>
        <v>#DIV/0!</v>
      </c>
      <c r="CT168" s="151"/>
      <c r="CU168" s="151"/>
      <c r="CV168" s="151"/>
      <c r="CW168" s="151"/>
      <c r="CX168" s="151" t="e">
        <f t="shared" ref="CX168:CX170" si="362">CX124/CS124-1</f>
        <v>#DIV/0!</v>
      </c>
    </row>
    <row r="169" spans="1:102" s="133" customFormat="1" hidden="1" x14ac:dyDescent="0.2">
      <c r="B169" s="133" t="s">
        <v>153</v>
      </c>
      <c r="C169" s="153" t="s">
        <v>147</v>
      </c>
      <c r="D169" s="153" t="s">
        <v>147</v>
      </c>
      <c r="E169" s="153" t="s">
        <v>147</v>
      </c>
      <c r="F169" s="153" t="s">
        <v>147</v>
      </c>
      <c r="G169" s="151" t="s">
        <v>147</v>
      </c>
      <c r="H169" s="151" t="e">
        <f t="shared" si="353"/>
        <v>#DIV/0!</v>
      </c>
      <c r="I169" s="151" t="e">
        <f t="shared" si="353"/>
        <v>#DIV/0!</v>
      </c>
      <c r="J169" s="151" t="e">
        <f t="shared" si="353"/>
        <v>#DIV/0!</v>
      </c>
      <c r="K169" s="151" t="e">
        <f t="shared" si="353"/>
        <v>#DIV/0!</v>
      </c>
      <c r="L169" s="151" t="e">
        <f t="shared" si="353"/>
        <v>#DIV/0!</v>
      </c>
      <c r="M169" s="151" t="e">
        <f t="shared" si="353"/>
        <v>#DIV/0!</v>
      </c>
      <c r="N169" s="151" t="e">
        <f t="shared" si="353"/>
        <v>#DIV/0!</v>
      </c>
      <c r="O169" s="151" t="e">
        <f t="shared" si="353"/>
        <v>#DIV/0!</v>
      </c>
      <c r="P169" s="151" t="e">
        <f t="shared" si="353"/>
        <v>#DIV/0!</v>
      </c>
      <c r="Q169" s="151" t="e">
        <f t="shared" si="353"/>
        <v>#DIV/0!</v>
      </c>
      <c r="R169" s="151" t="e">
        <f t="shared" si="353"/>
        <v>#DIV/0!</v>
      </c>
      <c r="S169" s="151" t="e">
        <f t="shared" si="353"/>
        <v>#DIV/0!</v>
      </c>
      <c r="T169" s="151" t="e">
        <f t="shared" si="353"/>
        <v>#DIV/0!</v>
      </c>
      <c r="U169" s="151" t="e">
        <f t="shared" si="353"/>
        <v>#DIV/0!</v>
      </c>
      <c r="V169" s="151"/>
      <c r="W169" s="151" t="e">
        <f t="shared" si="354"/>
        <v>#DIV/0!</v>
      </c>
      <c r="X169" s="151" t="e">
        <f t="shared" si="354"/>
        <v>#DIV/0!</v>
      </c>
      <c r="Y169" s="151" t="e">
        <f t="shared" si="354"/>
        <v>#DIV/0!</v>
      </c>
      <c r="Z169" s="151" t="e">
        <f t="shared" si="354"/>
        <v>#DIV/0!</v>
      </c>
      <c r="AA169" s="151"/>
      <c r="AB169" s="151"/>
      <c r="AC169" s="151"/>
      <c r="AD169" s="151"/>
      <c r="AE169" s="151"/>
      <c r="AF169" s="152" t="e">
        <f t="shared" si="355"/>
        <v>#DIV/0!</v>
      </c>
      <c r="AG169" s="151" t="e">
        <f t="shared" si="355"/>
        <v>#DIV/0!</v>
      </c>
      <c r="AH169" s="151" t="e">
        <f t="shared" si="355"/>
        <v>#DIV/0!</v>
      </c>
      <c r="AI169" s="151" t="e">
        <f t="shared" si="355"/>
        <v>#DIV/0!</v>
      </c>
      <c r="AJ169" s="151" t="e">
        <f t="shared" si="355"/>
        <v>#DIV/0!</v>
      </c>
      <c r="AK169" s="151" t="e">
        <f t="shared" si="355"/>
        <v>#DIV/0!</v>
      </c>
      <c r="AL169" s="151" t="e">
        <f t="shared" si="355"/>
        <v>#DIV/0!</v>
      </c>
      <c r="AM169" s="151" t="e">
        <f t="shared" si="355"/>
        <v>#DIV/0!</v>
      </c>
      <c r="AN169" s="151" t="e">
        <f t="shared" si="355"/>
        <v>#DIV/0!</v>
      </c>
      <c r="AO169" s="151" t="e">
        <f t="shared" si="355"/>
        <v>#DIV/0!</v>
      </c>
      <c r="AP169" s="151" t="e">
        <f t="shared" si="356"/>
        <v>#DIV/0!</v>
      </c>
      <c r="AQ169" s="151" t="e">
        <f t="shared" si="356"/>
        <v>#DIV/0!</v>
      </c>
      <c r="AR169" s="151" t="e">
        <f t="shared" si="356"/>
        <v>#DIV/0!</v>
      </c>
      <c r="AS169" s="151" t="e">
        <f t="shared" si="356"/>
        <v>#DIV/0!</v>
      </c>
      <c r="AT169" s="151" t="e">
        <f t="shared" si="356"/>
        <v>#DIV/0!</v>
      </c>
      <c r="AU169" s="151" t="e">
        <f t="shared" si="356"/>
        <v>#DIV/0!</v>
      </c>
      <c r="AV169" s="151" t="e">
        <f t="shared" si="356"/>
        <v>#DIV/0!</v>
      </c>
      <c r="AW169" s="151" t="e">
        <f t="shared" si="356"/>
        <v>#DIV/0!</v>
      </c>
      <c r="AX169" s="151" t="e">
        <f t="shared" si="356"/>
        <v>#DIV/0!</v>
      </c>
      <c r="AY169" s="151" t="e">
        <f t="shared" si="356"/>
        <v>#DIV/0!</v>
      </c>
      <c r="AZ169" s="151" t="e">
        <f t="shared" si="357"/>
        <v>#DIV/0!</v>
      </c>
      <c r="BA169" s="151" t="e">
        <f t="shared" si="357"/>
        <v>#DIV/0!</v>
      </c>
      <c r="BB169" s="151" t="e">
        <f t="shared" si="357"/>
        <v>#DIV/0!</v>
      </c>
      <c r="BC169" s="151" t="e">
        <f t="shared" si="357"/>
        <v>#DIV/0!</v>
      </c>
      <c r="BD169" s="151" t="e">
        <f t="shared" si="357"/>
        <v>#DIV/0!</v>
      </c>
      <c r="BE169" s="152" t="e">
        <f t="shared" si="357"/>
        <v>#DIV/0!</v>
      </c>
      <c r="BF169" s="151" t="e">
        <f t="shared" si="357"/>
        <v>#DIV/0!</v>
      </c>
      <c r="BG169" s="151" t="e">
        <f t="shared" si="357"/>
        <v>#DIV/0!</v>
      </c>
      <c r="BH169" s="151" t="e">
        <f t="shared" si="357"/>
        <v>#DIV/0!</v>
      </c>
      <c r="BI169" s="151" t="e">
        <f t="shared" si="357"/>
        <v>#DIV/0!</v>
      </c>
      <c r="BJ169" s="151" t="e">
        <f t="shared" si="358"/>
        <v>#DIV/0!</v>
      </c>
      <c r="BK169" s="151" t="e">
        <f t="shared" si="358"/>
        <v>#DIV/0!</v>
      </c>
      <c r="BL169" s="151" t="e">
        <f t="shared" si="358"/>
        <v>#DIV/0!</v>
      </c>
      <c r="BM169" s="151" t="e">
        <f t="shared" si="358"/>
        <v>#DIV/0!</v>
      </c>
      <c r="BN169" s="151" t="e">
        <f t="shared" si="358"/>
        <v>#DIV/0!</v>
      </c>
      <c r="BO169" s="151" t="e">
        <f t="shared" si="358"/>
        <v>#DIV/0!</v>
      </c>
      <c r="BP169" s="151" t="e">
        <f t="shared" si="358"/>
        <v>#DIV/0!</v>
      </c>
      <c r="BQ169" s="151" t="e">
        <f t="shared" si="358"/>
        <v>#DIV/0!</v>
      </c>
      <c r="BR169" s="151" t="e">
        <f t="shared" si="358"/>
        <v>#DIV/0!</v>
      </c>
      <c r="BS169" s="151" t="e">
        <f t="shared" si="358"/>
        <v>#DIV/0!</v>
      </c>
      <c r="BT169" s="151" t="e">
        <f t="shared" si="359"/>
        <v>#DIV/0!</v>
      </c>
      <c r="BU169" s="151" t="e">
        <f t="shared" si="359"/>
        <v>#DIV/0!</v>
      </c>
      <c r="BV169" s="151" t="e">
        <f t="shared" si="359"/>
        <v>#DIV/0!</v>
      </c>
      <c r="BW169" s="151" t="e">
        <f t="shared" si="359"/>
        <v>#DIV/0!</v>
      </c>
      <c r="BX169" s="151" t="e">
        <f t="shared" si="359"/>
        <v>#DIV/0!</v>
      </c>
      <c r="BY169" s="151" t="e">
        <f t="shared" si="359"/>
        <v>#DIV/0!</v>
      </c>
      <c r="BZ169" s="151" t="e">
        <f t="shared" si="359"/>
        <v>#DIV/0!</v>
      </c>
      <c r="CA169" s="151" t="e">
        <f t="shared" si="359"/>
        <v>#DIV/0!</v>
      </c>
      <c r="CB169" s="151" t="e">
        <f t="shared" si="359"/>
        <v>#DIV/0!</v>
      </c>
      <c r="CC169" s="151" t="e">
        <f t="shared" si="359"/>
        <v>#DIV/0!</v>
      </c>
      <c r="CD169" s="151" t="e">
        <f t="shared" si="360"/>
        <v>#DIV/0!</v>
      </c>
      <c r="CE169" s="151"/>
      <c r="CF169" s="151"/>
      <c r="CG169" s="151"/>
      <c r="CH169" s="151"/>
      <c r="CI169" s="151" t="e">
        <f t="shared" si="360"/>
        <v>#DIV/0!</v>
      </c>
      <c r="CJ169" s="151"/>
      <c r="CK169" s="151"/>
      <c r="CL169" s="151"/>
      <c r="CM169" s="151"/>
      <c r="CN169" s="151" t="e">
        <f t="shared" si="361"/>
        <v>#DIV/0!</v>
      </c>
      <c r="CO169" s="151"/>
      <c r="CP169" s="151"/>
      <c r="CQ169" s="151"/>
      <c r="CR169" s="151"/>
      <c r="CS169" s="151" t="e">
        <f t="shared" si="361"/>
        <v>#DIV/0!</v>
      </c>
      <c r="CT169" s="151"/>
      <c r="CU169" s="151"/>
      <c r="CV169" s="151"/>
      <c r="CW169" s="151"/>
      <c r="CX169" s="151" t="e">
        <f t="shared" si="362"/>
        <v>#DIV/0!</v>
      </c>
    </row>
    <row r="170" spans="1:102" s="133" customFormat="1" hidden="1" x14ac:dyDescent="0.2">
      <c r="B170" s="133" t="s">
        <v>154</v>
      </c>
      <c r="C170" s="153" t="s">
        <v>147</v>
      </c>
      <c r="D170" s="153" t="s">
        <v>147</v>
      </c>
      <c r="E170" s="153" t="s">
        <v>147</v>
      </c>
      <c r="F170" s="153" t="s">
        <v>147</v>
      </c>
      <c r="G170" s="151" t="s">
        <v>147</v>
      </c>
      <c r="H170" s="151" t="e">
        <f t="shared" si="353"/>
        <v>#DIV/0!</v>
      </c>
      <c r="I170" s="151" t="e">
        <f t="shared" si="353"/>
        <v>#DIV/0!</v>
      </c>
      <c r="J170" s="151" t="e">
        <f t="shared" si="353"/>
        <v>#DIV/0!</v>
      </c>
      <c r="K170" s="151" t="e">
        <f t="shared" si="353"/>
        <v>#DIV/0!</v>
      </c>
      <c r="L170" s="151" t="e">
        <f t="shared" si="353"/>
        <v>#DIV/0!</v>
      </c>
      <c r="M170" s="151" t="e">
        <f t="shared" si="353"/>
        <v>#DIV/0!</v>
      </c>
      <c r="N170" s="151" t="e">
        <f t="shared" si="353"/>
        <v>#DIV/0!</v>
      </c>
      <c r="O170" s="151" t="e">
        <f t="shared" si="353"/>
        <v>#DIV/0!</v>
      </c>
      <c r="P170" s="151" t="e">
        <f t="shared" si="353"/>
        <v>#DIV/0!</v>
      </c>
      <c r="Q170" s="151" t="e">
        <f t="shared" si="353"/>
        <v>#DIV/0!</v>
      </c>
      <c r="R170" s="151" t="e">
        <f t="shared" si="353"/>
        <v>#DIV/0!</v>
      </c>
      <c r="S170" s="151" t="e">
        <f t="shared" si="353"/>
        <v>#DIV/0!</v>
      </c>
      <c r="T170" s="151" t="e">
        <f t="shared" si="353"/>
        <v>#DIV/0!</v>
      </c>
      <c r="U170" s="151" t="e">
        <f t="shared" si="353"/>
        <v>#DIV/0!</v>
      </c>
      <c r="V170" s="151"/>
      <c r="W170" s="151" t="e">
        <f t="shared" si="354"/>
        <v>#DIV/0!</v>
      </c>
      <c r="X170" s="151" t="e">
        <f t="shared" si="354"/>
        <v>#DIV/0!</v>
      </c>
      <c r="Y170" s="151" t="e">
        <f t="shared" si="354"/>
        <v>#DIV/0!</v>
      </c>
      <c r="Z170" s="151" t="e">
        <f t="shared" si="354"/>
        <v>#DIV/0!</v>
      </c>
      <c r="AA170" s="151"/>
      <c r="AB170" s="151"/>
      <c r="AC170" s="151"/>
      <c r="AD170" s="151"/>
      <c r="AE170" s="151"/>
      <c r="AF170" s="152">
        <f t="shared" si="355"/>
        <v>-2.2716459612622142</v>
      </c>
      <c r="AG170" s="151" t="e">
        <f t="shared" si="355"/>
        <v>#DIV/0!</v>
      </c>
      <c r="AH170" s="151" t="e">
        <f t="shared" si="355"/>
        <v>#DIV/0!</v>
      </c>
      <c r="AI170" s="151" t="e">
        <f t="shared" si="355"/>
        <v>#DIV/0!</v>
      </c>
      <c r="AJ170" s="151" t="e">
        <f t="shared" si="355"/>
        <v>#DIV/0!</v>
      </c>
      <c r="AK170" s="151">
        <f t="shared" si="355"/>
        <v>-1.5062145051671167</v>
      </c>
      <c r="AL170" s="151" t="e">
        <f t="shared" si="355"/>
        <v>#DIV/0!</v>
      </c>
      <c r="AM170" s="151" t="e">
        <f t="shared" si="355"/>
        <v>#DIV/0!</v>
      </c>
      <c r="AN170" s="151" t="e">
        <f t="shared" si="355"/>
        <v>#DIV/0!</v>
      </c>
      <c r="AO170" s="151" t="e">
        <f t="shared" si="355"/>
        <v>#DIV/0!</v>
      </c>
      <c r="AP170" s="151">
        <f t="shared" si="356"/>
        <v>-0.63186597516264542</v>
      </c>
      <c r="AQ170" s="151" t="e">
        <f t="shared" si="356"/>
        <v>#DIV/0!</v>
      </c>
      <c r="AR170" s="151" t="e">
        <f t="shared" si="356"/>
        <v>#DIV/0!</v>
      </c>
      <c r="AS170" s="151" t="e">
        <f t="shared" si="356"/>
        <v>#DIV/0!</v>
      </c>
      <c r="AT170" s="151" t="e">
        <f t="shared" si="356"/>
        <v>#DIV/0!</v>
      </c>
      <c r="AU170" s="151">
        <f t="shared" si="356"/>
        <v>0.13899510342858434</v>
      </c>
      <c r="AV170" s="151" t="e">
        <f t="shared" si="356"/>
        <v>#DIV/0!</v>
      </c>
      <c r="AW170" s="151" t="e">
        <f t="shared" si="356"/>
        <v>#DIV/0!</v>
      </c>
      <c r="AX170" s="151" t="e">
        <f t="shared" si="356"/>
        <v>#DIV/0!</v>
      </c>
      <c r="AY170" s="151" t="e">
        <f t="shared" si="356"/>
        <v>#DIV/0!</v>
      </c>
      <c r="AZ170" s="151">
        <f t="shared" si="357"/>
        <v>-0.51968751223774745</v>
      </c>
      <c r="BA170" s="151" t="e">
        <f t="shared" si="357"/>
        <v>#DIV/0!</v>
      </c>
      <c r="BB170" s="151" t="e">
        <f t="shared" si="357"/>
        <v>#DIV/0!</v>
      </c>
      <c r="BC170" s="151" t="e">
        <f t="shared" si="357"/>
        <v>#DIV/0!</v>
      </c>
      <c r="BD170" s="151" t="e">
        <f t="shared" si="357"/>
        <v>#DIV/0!</v>
      </c>
      <c r="BE170" s="152">
        <f t="shared" si="357"/>
        <v>0.25619225363470899</v>
      </c>
      <c r="BF170" s="151" t="e">
        <f t="shared" si="357"/>
        <v>#DIV/0!</v>
      </c>
      <c r="BG170" s="151" t="e">
        <f t="shared" si="357"/>
        <v>#DIV/0!</v>
      </c>
      <c r="BH170" s="151" t="e">
        <f t="shared" si="357"/>
        <v>#DIV/0!</v>
      </c>
      <c r="BI170" s="151" t="e">
        <f t="shared" si="357"/>
        <v>#DIV/0!</v>
      </c>
      <c r="BJ170" s="151">
        <f t="shared" si="358"/>
        <v>15.576853839764336</v>
      </c>
      <c r="BK170" s="151" t="e">
        <f t="shared" si="358"/>
        <v>#DIV/0!</v>
      </c>
      <c r="BL170" s="151" t="e">
        <f t="shared" si="358"/>
        <v>#DIV/0!</v>
      </c>
      <c r="BM170" s="151" t="e">
        <f t="shared" si="358"/>
        <v>#DIV/0!</v>
      </c>
      <c r="BN170" s="151" t="e">
        <f t="shared" si="358"/>
        <v>#DIV/0!</v>
      </c>
      <c r="BO170" s="151">
        <f t="shared" si="358"/>
        <v>-4.4678347433047327E-2</v>
      </c>
      <c r="BP170" s="151" t="e">
        <f t="shared" si="358"/>
        <v>#DIV/0!</v>
      </c>
      <c r="BQ170" s="151" t="e">
        <f t="shared" si="358"/>
        <v>#DIV/0!</v>
      </c>
      <c r="BR170" s="151" t="e">
        <f t="shared" si="358"/>
        <v>#DIV/0!</v>
      </c>
      <c r="BS170" s="151" t="e">
        <f t="shared" si="358"/>
        <v>#DIV/0!</v>
      </c>
      <c r="BT170" s="151">
        <f t="shared" si="359"/>
        <v>-13.911642374046078</v>
      </c>
      <c r="BU170" s="151" t="e">
        <f t="shared" si="359"/>
        <v>#DIV/0!</v>
      </c>
      <c r="BV170" s="151" t="e">
        <f t="shared" si="359"/>
        <v>#DIV/0!</v>
      </c>
      <c r="BW170" s="151" t="e">
        <f t="shared" si="359"/>
        <v>#DIV/0!</v>
      </c>
      <c r="BX170" s="151" t="e">
        <f t="shared" si="359"/>
        <v>#DIV/0!</v>
      </c>
      <c r="BY170" s="151">
        <f t="shared" si="359"/>
        <v>-1.126398180214266</v>
      </c>
      <c r="BZ170" s="151" t="e">
        <f t="shared" si="359"/>
        <v>#DIV/0!</v>
      </c>
      <c r="CA170" s="151" t="e">
        <f t="shared" si="359"/>
        <v>#DIV/0!</v>
      </c>
      <c r="CB170" s="151" t="e">
        <f t="shared" si="359"/>
        <v>#DIV/0!</v>
      </c>
      <c r="CC170" s="151" t="e">
        <f t="shared" si="359"/>
        <v>#DIV/0!</v>
      </c>
      <c r="CD170" s="151">
        <f t="shared" si="360"/>
        <v>0.60192077851910541</v>
      </c>
      <c r="CE170" s="151"/>
      <c r="CF170" s="151"/>
      <c r="CG170" s="151"/>
      <c r="CH170" s="151"/>
      <c r="CI170" s="151">
        <f t="shared" si="360"/>
        <v>-5.6907614452976651E-2</v>
      </c>
      <c r="CJ170" s="151"/>
      <c r="CK170" s="151"/>
      <c r="CL170" s="151"/>
      <c r="CM170" s="151"/>
      <c r="CN170" s="151">
        <f t="shared" si="361"/>
        <v>-6.0924159616922324E-2</v>
      </c>
      <c r="CO170" s="151"/>
      <c r="CP170" s="151"/>
      <c r="CQ170" s="151"/>
      <c r="CR170" s="151"/>
      <c r="CS170" s="151">
        <f t="shared" si="361"/>
        <v>-6.4088987786767193E-2</v>
      </c>
      <c r="CT170" s="151"/>
      <c r="CU170" s="151"/>
      <c r="CV170" s="151"/>
      <c r="CW170" s="151"/>
      <c r="CX170" s="151">
        <f t="shared" si="362"/>
        <v>-6.8661161482832744E-2</v>
      </c>
    </row>
    <row r="171" spans="1:102" s="133" customFormat="1" hidden="1" x14ac:dyDescent="0.2">
      <c r="B171" s="133" t="s">
        <v>155</v>
      </c>
      <c r="C171" s="153" t="s">
        <v>147</v>
      </c>
      <c r="D171" s="153" t="s">
        <v>147</v>
      </c>
      <c r="E171" s="153" t="s">
        <v>147</v>
      </c>
      <c r="F171" s="153" t="s">
        <v>147</v>
      </c>
      <c r="G171" s="151" t="s">
        <v>147</v>
      </c>
      <c r="H171" s="151" t="e">
        <f t="shared" ref="H171:U171" si="363">H47/C47-1</f>
        <v>#DIV/0!</v>
      </c>
      <c r="I171" s="151" t="e">
        <f t="shared" si="363"/>
        <v>#DIV/0!</v>
      </c>
      <c r="J171" s="151" t="e">
        <f t="shared" si="363"/>
        <v>#DIV/0!</v>
      </c>
      <c r="K171" s="151" t="e">
        <f t="shared" si="363"/>
        <v>#DIV/0!</v>
      </c>
      <c r="L171" s="151" t="e">
        <f t="shared" si="363"/>
        <v>#DIV/0!</v>
      </c>
      <c r="M171" s="151" t="e">
        <f t="shared" si="363"/>
        <v>#DIV/0!</v>
      </c>
      <c r="N171" s="151" t="e">
        <f t="shared" si="363"/>
        <v>#DIV/0!</v>
      </c>
      <c r="O171" s="151" t="e">
        <f t="shared" si="363"/>
        <v>#DIV/0!</v>
      </c>
      <c r="P171" s="151" t="e">
        <f t="shared" si="363"/>
        <v>#DIV/0!</v>
      </c>
      <c r="Q171" s="151" t="e">
        <f t="shared" si="363"/>
        <v>#DIV/0!</v>
      </c>
      <c r="R171" s="151" t="e">
        <f t="shared" si="363"/>
        <v>#DIV/0!</v>
      </c>
      <c r="S171" s="151" t="e">
        <f t="shared" si="363"/>
        <v>#DIV/0!</v>
      </c>
      <c r="T171" s="151" t="e">
        <f t="shared" si="363"/>
        <v>#DIV/0!</v>
      </c>
      <c r="U171" s="151" t="e">
        <f t="shared" si="363"/>
        <v>#DIV/0!</v>
      </c>
      <c r="V171" s="151"/>
      <c r="W171" s="151" t="e">
        <f>W47/R47-1</f>
        <v>#DIV/0!</v>
      </c>
      <c r="X171" s="151" t="e">
        <f>X47/S47-1</f>
        <v>#DIV/0!</v>
      </c>
      <c r="Y171" s="151" t="e">
        <f>Y47/T47-1</f>
        <v>#DIV/0!</v>
      </c>
      <c r="Z171" s="151" t="e">
        <f>Z47/U47-1</f>
        <v>#DIV/0!</v>
      </c>
      <c r="AA171" s="151"/>
      <c r="AB171" s="151"/>
      <c r="AC171" s="151"/>
      <c r="AD171" s="151"/>
      <c r="AE171" s="151"/>
      <c r="AF171" s="152" t="e">
        <f t="shared" ref="AF171:BK171" si="364">AF47/AA47-1</f>
        <v>#DIV/0!</v>
      </c>
      <c r="AG171" s="151" t="e">
        <f t="shared" si="364"/>
        <v>#DIV/0!</v>
      </c>
      <c r="AH171" s="151" t="e">
        <f t="shared" si="364"/>
        <v>#DIV/0!</v>
      </c>
      <c r="AI171" s="151" t="e">
        <f t="shared" si="364"/>
        <v>#DIV/0!</v>
      </c>
      <c r="AJ171" s="151" t="e">
        <f t="shared" si="364"/>
        <v>#DIV/0!</v>
      </c>
      <c r="AK171" s="151" t="e">
        <f t="shared" si="364"/>
        <v>#DIV/0!</v>
      </c>
      <c r="AL171" s="151" t="e">
        <f t="shared" si="364"/>
        <v>#DIV/0!</v>
      </c>
      <c r="AM171" s="151" t="e">
        <f t="shared" si="364"/>
        <v>#DIV/0!</v>
      </c>
      <c r="AN171" s="151" t="e">
        <f t="shared" si="364"/>
        <v>#DIV/0!</v>
      </c>
      <c r="AO171" s="151" t="e">
        <f t="shared" si="364"/>
        <v>#DIV/0!</v>
      </c>
      <c r="AP171" s="151" t="e">
        <f t="shared" si="364"/>
        <v>#DIV/0!</v>
      </c>
      <c r="AQ171" s="151" t="e">
        <f t="shared" si="364"/>
        <v>#DIV/0!</v>
      </c>
      <c r="AR171" s="151" t="e">
        <f t="shared" si="364"/>
        <v>#DIV/0!</v>
      </c>
      <c r="AS171" s="151" t="e">
        <f t="shared" si="364"/>
        <v>#DIV/0!</v>
      </c>
      <c r="AT171" s="151" t="e">
        <f t="shared" si="364"/>
        <v>#DIV/0!</v>
      </c>
      <c r="AU171" s="151" t="e">
        <f t="shared" si="364"/>
        <v>#DIV/0!</v>
      </c>
      <c r="AV171" s="151" t="e">
        <f t="shared" si="364"/>
        <v>#DIV/0!</v>
      </c>
      <c r="AW171" s="151" t="e">
        <f t="shared" si="364"/>
        <v>#DIV/0!</v>
      </c>
      <c r="AX171" s="151" t="e">
        <f t="shared" si="364"/>
        <v>#DIV/0!</v>
      </c>
      <c r="AY171" s="151" t="e">
        <f t="shared" si="364"/>
        <v>#DIV/0!</v>
      </c>
      <c r="AZ171" s="151" t="e">
        <f t="shared" si="364"/>
        <v>#DIV/0!</v>
      </c>
      <c r="BA171" s="151" t="e">
        <f t="shared" si="364"/>
        <v>#DIV/0!</v>
      </c>
      <c r="BB171" s="151" t="e">
        <f t="shared" si="364"/>
        <v>#DIV/0!</v>
      </c>
      <c r="BC171" s="151" t="e">
        <f t="shared" si="364"/>
        <v>#DIV/0!</v>
      </c>
      <c r="BD171" s="151" t="e">
        <f t="shared" si="364"/>
        <v>#DIV/0!</v>
      </c>
      <c r="BE171" s="152" t="e">
        <f t="shared" si="364"/>
        <v>#DIV/0!</v>
      </c>
      <c r="BF171" s="151" t="e">
        <f t="shared" si="364"/>
        <v>#DIV/0!</v>
      </c>
      <c r="BG171" s="151" t="e">
        <f t="shared" si="364"/>
        <v>#DIV/0!</v>
      </c>
      <c r="BH171" s="151" t="e">
        <f t="shared" si="364"/>
        <v>#DIV/0!</v>
      </c>
      <c r="BI171" s="151" t="e">
        <f t="shared" si="364"/>
        <v>#DIV/0!</v>
      </c>
      <c r="BJ171" s="151" t="e">
        <f t="shared" si="364"/>
        <v>#DIV/0!</v>
      </c>
      <c r="BK171" s="151" t="e">
        <f t="shared" si="364"/>
        <v>#DIV/0!</v>
      </c>
      <c r="BL171" s="151" t="e">
        <f t="shared" ref="BL171:CN171" si="365">BL47/BG47-1</f>
        <v>#DIV/0!</v>
      </c>
      <c r="BM171" s="151" t="e">
        <f t="shared" si="365"/>
        <v>#DIV/0!</v>
      </c>
      <c r="BN171" s="151" t="e">
        <f t="shared" si="365"/>
        <v>#DIV/0!</v>
      </c>
      <c r="BO171" s="151" t="e">
        <f t="shared" si="365"/>
        <v>#DIV/0!</v>
      </c>
      <c r="BP171" s="151" t="e">
        <f t="shared" si="365"/>
        <v>#DIV/0!</v>
      </c>
      <c r="BQ171" s="151" t="e">
        <f t="shared" si="365"/>
        <v>#DIV/0!</v>
      </c>
      <c r="BR171" s="151" t="e">
        <f t="shared" si="365"/>
        <v>#DIV/0!</v>
      </c>
      <c r="BS171" s="151" t="e">
        <f t="shared" si="365"/>
        <v>#DIV/0!</v>
      </c>
      <c r="BT171" s="151" t="e">
        <f t="shared" si="365"/>
        <v>#DIV/0!</v>
      </c>
      <c r="BU171" s="151" t="e">
        <f t="shared" si="365"/>
        <v>#DIV/0!</v>
      </c>
      <c r="BV171" s="151" t="e">
        <f t="shared" si="365"/>
        <v>#DIV/0!</v>
      </c>
      <c r="BW171" s="151" t="e">
        <f t="shared" si="365"/>
        <v>#DIV/0!</v>
      </c>
      <c r="BX171" s="151" t="e">
        <f t="shared" si="365"/>
        <v>#DIV/0!</v>
      </c>
      <c r="BY171" s="151" t="e">
        <f t="shared" si="365"/>
        <v>#DIV/0!</v>
      </c>
      <c r="BZ171" s="151" t="e">
        <f t="shared" si="365"/>
        <v>#DIV/0!</v>
      </c>
      <c r="CA171" s="151" t="e">
        <f t="shared" si="365"/>
        <v>#DIV/0!</v>
      </c>
      <c r="CB171" s="151" t="e">
        <f t="shared" si="365"/>
        <v>#DIV/0!</v>
      </c>
      <c r="CC171" s="151" t="e">
        <f t="shared" si="365"/>
        <v>#DIV/0!</v>
      </c>
      <c r="CD171" s="151" t="e">
        <f t="shared" si="365"/>
        <v>#DIV/0!</v>
      </c>
      <c r="CE171" s="151"/>
      <c r="CF171" s="151"/>
      <c r="CG171" s="151"/>
      <c r="CH171" s="151"/>
      <c r="CI171" s="151" t="e">
        <f t="shared" si="365"/>
        <v>#DIV/0!</v>
      </c>
      <c r="CJ171" s="151"/>
      <c r="CK171" s="151"/>
      <c r="CL171" s="151"/>
      <c r="CM171" s="151"/>
      <c r="CN171" s="151" t="e">
        <f t="shared" si="365"/>
        <v>#DIV/0!</v>
      </c>
      <c r="CO171" s="151"/>
      <c r="CP171" s="151"/>
      <c r="CQ171" s="151"/>
      <c r="CR171" s="151"/>
      <c r="CS171" s="151" t="e">
        <f t="shared" ref="CS171:CX171" si="366">CS47/CN47-1</f>
        <v>#DIV/0!</v>
      </c>
      <c r="CT171" s="151"/>
      <c r="CU171" s="151"/>
      <c r="CV171" s="151"/>
      <c r="CW171" s="151"/>
      <c r="CX171" s="151" t="e">
        <f t="shared" si="366"/>
        <v>#DIV/0!</v>
      </c>
    </row>
    <row r="172" spans="1:102" hidden="1" x14ac:dyDescent="0.2">
      <c r="B172" s="114" t="s">
        <v>156</v>
      </c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54"/>
      <c r="AB172" s="154"/>
      <c r="AC172" s="154"/>
      <c r="AD172" s="154"/>
      <c r="AE172" s="154"/>
      <c r="AF172" s="155"/>
      <c r="AG172" s="114"/>
      <c r="AH172" s="114"/>
      <c r="AI172" s="114"/>
      <c r="AJ172" s="114"/>
      <c r="AK172" s="154"/>
      <c r="AL172" s="114"/>
      <c r="AM172" s="114"/>
      <c r="AN172" s="114"/>
      <c r="AO172" s="114"/>
      <c r="AP172" s="154">
        <f>AP20/AVERAGE(AP55,AK55)</f>
        <v>0</v>
      </c>
      <c r="AQ172" s="114"/>
      <c r="AR172" s="114"/>
      <c r="AS172" s="114"/>
      <c r="AT172" s="114"/>
      <c r="AU172" s="154">
        <f>AU20/AVERAGE(AU55,AP55)</f>
        <v>0.29438317517312129</v>
      </c>
      <c r="AV172" s="114"/>
      <c r="AW172" s="114"/>
      <c r="AX172" s="114"/>
      <c r="AY172" s="114"/>
      <c r="AZ172" s="154">
        <f>AZ20/AVERAGE(AZ55,AU55)</f>
        <v>0.27725617415034837</v>
      </c>
      <c r="BA172" s="154" t="e">
        <f>AV20/AVERAGE(BA55,AV55)</f>
        <v>#DIV/0!</v>
      </c>
      <c r="BB172" s="154" t="e">
        <f>AW20/AVERAGE(BB55,AW55)</f>
        <v>#DIV/0!</v>
      </c>
      <c r="BC172" s="154" t="e">
        <f>AX20/AVERAGE(BC55,AX55)</f>
        <v>#DIV/0!</v>
      </c>
      <c r="BD172" s="154" t="e">
        <f>AY20/AVERAGE(BD55,AY55)</f>
        <v>#DIV/0!</v>
      </c>
      <c r="BE172" s="155">
        <f>BE20/AVERAGE(BE55,AZ55)</f>
        <v>0</v>
      </c>
      <c r="BF172" s="114"/>
      <c r="BG172" s="114"/>
      <c r="BH172" s="114"/>
      <c r="BI172" s="114"/>
      <c r="BJ172" s="154">
        <f>BJ20/AVERAGE(BJ55,BE55)</f>
        <v>0</v>
      </c>
      <c r="BK172" s="114"/>
      <c r="BL172" s="114"/>
      <c r="BM172" s="114"/>
      <c r="BN172" s="114"/>
      <c r="BO172" s="154">
        <f>BO20/AVERAGE(BO55,BJ55)</f>
        <v>0</v>
      </c>
      <c r="BP172" s="114"/>
      <c r="BQ172" s="114"/>
      <c r="BR172" s="114"/>
      <c r="BS172" s="114"/>
      <c r="BT172" s="154">
        <f>BT20/AVERAGE(BT55,BO55)</f>
        <v>0</v>
      </c>
      <c r="BU172" s="114"/>
      <c r="BV172" s="114"/>
      <c r="BW172" s="114"/>
      <c r="BX172" s="114"/>
      <c r="BY172" s="154">
        <f>BY20/AVERAGE(BY55,BT55)</f>
        <v>0</v>
      </c>
      <c r="BZ172" s="114"/>
      <c r="CA172" s="114"/>
      <c r="CB172" s="114"/>
      <c r="CC172" s="114"/>
      <c r="CD172" s="154">
        <f>CD20/AVERAGE(CD55,BY55)</f>
        <v>0</v>
      </c>
      <c r="CE172" s="114"/>
      <c r="CF172" s="114"/>
      <c r="CG172" s="114"/>
      <c r="CH172" s="114"/>
      <c r="CI172" s="154">
        <f>CI20/AVERAGE(CI55,CD55)</f>
        <v>0</v>
      </c>
      <c r="CJ172" s="114"/>
      <c r="CK172" s="114"/>
      <c r="CL172" s="114"/>
      <c r="CM172" s="114"/>
      <c r="CN172" s="154">
        <f>CN20/AVERAGE(CN55,CI55)</f>
        <v>0</v>
      </c>
      <c r="CO172" s="114"/>
      <c r="CP172" s="114"/>
      <c r="CQ172" s="114"/>
      <c r="CR172" s="114"/>
      <c r="CS172" s="154">
        <f>CS20/AVERAGE(CS55,CN55)</f>
        <v>0</v>
      </c>
      <c r="CT172" s="114"/>
      <c r="CU172" s="114"/>
      <c r="CV172" s="114"/>
      <c r="CW172" s="114"/>
      <c r="CX172" s="154">
        <f>CX20/AVERAGE(CX55,CS55)</f>
        <v>0</v>
      </c>
    </row>
    <row r="174" spans="1:102" hidden="1" x14ac:dyDescent="0.2">
      <c r="A174" s="106"/>
      <c r="B174" s="107" t="s">
        <v>157</v>
      </c>
      <c r="C174" s="64" t="str">
        <f>"Q1-"&amp;G174</f>
        <v>Q1-2001</v>
      </c>
      <c r="D174" s="64" t="str">
        <f>"Q2-"&amp;G174</f>
        <v>Q2-2001</v>
      </c>
      <c r="E174" s="64" t="str">
        <f>"Q3-"&amp;G174</f>
        <v>Q3-2001</v>
      </c>
      <c r="F174" s="64" t="str">
        <f>"Q4-"&amp;G174</f>
        <v>Q4-2001</v>
      </c>
      <c r="G174" s="108">
        <f t="shared" ref="G174:AL174" si="367">G49</f>
        <v>2001</v>
      </c>
      <c r="H174" s="108" t="str">
        <f t="shared" si="367"/>
        <v>Q1-2002</v>
      </c>
      <c r="I174" s="108" t="str">
        <f t="shared" si="367"/>
        <v>Q2-2002</v>
      </c>
      <c r="J174" s="108" t="str">
        <f t="shared" si="367"/>
        <v>Q3-2002</v>
      </c>
      <c r="K174" s="108" t="str">
        <f t="shared" si="367"/>
        <v>Q4-2002</v>
      </c>
      <c r="L174" s="108">
        <f t="shared" si="367"/>
        <v>2002</v>
      </c>
      <c r="M174" s="108" t="str">
        <f t="shared" si="367"/>
        <v>Q1-2003</v>
      </c>
      <c r="N174" s="108" t="str">
        <f t="shared" si="367"/>
        <v>Q2-2003</v>
      </c>
      <c r="O174" s="108" t="str">
        <f t="shared" si="367"/>
        <v>Q3-2003</v>
      </c>
      <c r="P174" s="108" t="str">
        <f t="shared" si="367"/>
        <v>Q4-2003</v>
      </c>
      <c r="Q174" s="108">
        <f t="shared" si="367"/>
        <v>2003</v>
      </c>
      <c r="R174" s="108" t="str">
        <f t="shared" si="367"/>
        <v>Q1-2004</v>
      </c>
      <c r="S174" s="108" t="str">
        <f t="shared" si="367"/>
        <v>Q2-2004</v>
      </c>
      <c r="T174" s="108" t="str">
        <f t="shared" si="367"/>
        <v>Q3-2004</v>
      </c>
      <c r="U174" s="108" t="str">
        <f t="shared" si="367"/>
        <v>Q4-2004</v>
      </c>
      <c r="V174" s="108">
        <f t="shared" si="367"/>
        <v>2004</v>
      </c>
      <c r="W174" s="108" t="str">
        <f t="shared" si="367"/>
        <v>Q1-2013</v>
      </c>
      <c r="X174" s="108" t="str">
        <f t="shared" si="367"/>
        <v>Q2-2013</v>
      </c>
      <c r="Y174" s="108" t="str">
        <f t="shared" si="367"/>
        <v>Q3-2013</v>
      </c>
      <c r="Z174" s="108" t="str">
        <f t="shared" si="367"/>
        <v>Q4-2013</v>
      </c>
      <c r="AA174" s="108">
        <f t="shared" si="367"/>
        <v>2013</v>
      </c>
      <c r="AB174" s="108" t="str">
        <f t="shared" si="367"/>
        <v>Q1-2014</v>
      </c>
      <c r="AC174" s="108" t="str">
        <f t="shared" si="367"/>
        <v>Q2-2014</v>
      </c>
      <c r="AD174" s="108" t="str">
        <f t="shared" si="367"/>
        <v>Q3-2014</v>
      </c>
      <c r="AE174" s="108" t="str">
        <f t="shared" si="367"/>
        <v>Q4-2014</v>
      </c>
      <c r="AF174" s="131">
        <f t="shared" si="367"/>
        <v>2014</v>
      </c>
      <c r="AG174" s="108" t="str">
        <f t="shared" si="367"/>
        <v>Q1-2015</v>
      </c>
      <c r="AH174" s="108" t="str">
        <f t="shared" si="367"/>
        <v>Q2-2015</v>
      </c>
      <c r="AI174" s="108" t="str">
        <f t="shared" si="367"/>
        <v>Q3-2015</v>
      </c>
      <c r="AJ174" s="108" t="str">
        <f t="shared" si="367"/>
        <v>Q4-2015</v>
      </c>
      <c r="AK174" s="108">
        <f t="shared" si="367"/>
        <v>2015</v>
      </c>
      <c r="AL174" s="108" t="str">
        <f t="shared" si="367"/>
        <v>Q1-2016</v>
      </c>
      <c r="AM174" s="108" t="str">
        <f t="shared" ref="AM174:BR174" si="368">AM49</f>
        <v>Q2-2016</v>
      </c>
      <c r="AN174" s="108" t="str">
        <f t="shared" si="368"/>
        <v>Q3-2016</v>
      </c>
      <c r="AO174" s="108" t="str">
        <f t="shared" si="368"/>
        <v>Q4-2016</v>
      </c>
      <c r="AP174" s="108">
        <f t="shared" si="368"/>
        <v>2016</v>
      </c>
      <c r="AQ174" s="108" t="str">
        <f t="shared" si="368"/>
        <v>Q1-2017</v>
      </c>
      <c r="AR174" s="108" t="str">
        <f t="shared" si="368"/>
        <v>Q2-2017</v>
      </c>
      <c r="AS174" s="108" t="str">
        <f t="shared" si="368"/>
        <v>Q3-2017</v>
      </c>
      <c r="AT174" s="108" t="str">
        <f t="shared" si="368"/>
        <v>Q4-2017</v>
      </c>
      <c r="AU174" s="108">
        <f t="shared" si="368"/>
        <v>2017</v>
      </c>
      <c r="AV174" s="108" t="str">
        <f t="shared" si="368"/>
        <v>Q1-2018</v>
      </c>
      <c r="AW174" s="108" t="str">
        <f t="shared" si="368"/>
        <v>Q2-2018</v>
      </c>
      <c r="AX174" s="108" t="str">
        <f t="shared" si="368"/>
        <v>Q3-2018</v>
      </c>
      <c r="AY174" s="108" t="str">
        <f t="shared" si="368"/>
        <v>Q4-2018</v>
      </c>
      <c r="AZ174" s="108">
        <f t="shared" si="368"/>
        <v>2018</v>
      </c>
      <c r="BA174" s="108" t="str">
        <f t="shared" si="368"/>
        <v>Q1-2019</v>
      </c>
      <c r="BB174" s="108" t="str">
        <f t="shared" si="368"/>
        <v>Q2-2019</v>
      </c>
      <c r="BC174" s="108" t="str">
        <f t="shared" si="368"/>
        <v>Q3-2019</v>
      </c>
      <c r="BD174" s="108" t="str">
        <f t="shared" si="368"/>
        <v>Q4-2019</v>
      </c>
      <c r="BE174" s="131">
        <f t="shared" si="368"/>
        <v>2019</v>
      </c>
      <c r="BF174" s="108" t="str">
        <f t="shared" si="368"/>
        <v>Q1-2020</v>
      </c>
      <c r="BG174" s="108" t="str">
        <f t="shared" si="368"/>
        <v>Q2-2020</v>
      </c>
      <c r="BH174" s="108" t="str">
        <f t="shared" si="368"/>
        <v>Q3-2020</v>
      </c>
      <c r="BI174" s="108" t="str">
        <f t="shared" si="368"/>
        <v>Q4-2020</v>
      </c>
      <c r="BJ174" s="108">
        <f t="shared" si="368"/>
        <v>2020</v>
      </c>
      <c r="BK174" s="108" t="str">
        <f t="shared" si="368"/>
        <v>Q1-2021</v>
      </c>
      <c r="BL174" s="108" t="str">
        <f t="shared" si="368"/>
        <v>Q2-2021</v>
      </c>
      <c r="BM174" s="108" t="str">
        <f t="shared" si="368"/>
        <v>Q3-2021</v>
      </c>
      <c r="BN174" s="108" t="str">
        <f t="shared" si="368"/>
        <v>Q4-2021</v>
      </c>
      <c r="BO174" s="108">
        <f t="shared" si="368"/>
        <v>2021</v>
      </c>
      <c r="BP174" s="108" t="str">
        <f t="shared" si="368"/>
        <v>Q1-2022</v>
      </c>
      <c r="BQ174" s="108" t="str">
        <f t="shared" si="368"/>
        <v>Q2-2022</v>
      </c>
      <c r="BR174" s="108" t="str">
        <f t="shared" si="368"/>
        <v>Q3-2022</v>
      </c>
      <c r="BS174" s="108" t="str">
        <f t="shared" ref="BS174:CX174" si="369">BS49</f>
        <v>Q4-2022</v>
      </c>
      <c r="BT174" s="108">
        <f t="shared" si="369"/>
        <v>2022</v>
      </c>
      <c r="BU174" s="108" t="str">
        <f t="shared" si="369"/>
        <v>Q1-2023</v>
      </c>
      <c r="BV174" s="108" t="str">
        <f t="shared" si="369"/>
        <v>Q2-2023</v>
      </c>
      <c r="BW174" s="108" t="str">
        <f t="shared" si="369"/>
        <v>Q3-2023</v>
      </c>
      <c r="BX174" s="108" t="str">
        <f t="shared" si="369"/>
        <v>Q4-2023</v>
      </c>
      <c r="BY174" s="108">
        <f t="shared" si="369"/>
        <v>2023</v>
      </c>
      <c r="BZ174" s="108" t="str">
        <f t="shared" si="369"/>
        <v>Q1-2024</v>
      </c>
      <c r="CA174" s="108" t="str">
        <f t="shared" si="369"/>
        <v>Q2-2024</v>
      </c>
      <c r="CB174" s="108" t="str">
        <f t="shared" si="369"/>
        <v>Q3-2024</v>
      </c>
      <c r="CC174" s="108" t="str">
        <f t="shared" si="369"/>
        <v>Q4-2024</v>
      </c>
      <c r="CD174" s="108">
        <f t="shared" si="369"/>
        <v>2024</v>
      </c>
      <c r="CE174" s="108"/>
      <c r="CF174" s="108"/>
      <c r="CG174" s="108"/>
      <c r="CH174" s="108"/>
      <c r="CI174" s="108">
        <f t="shared" si="369"/>
        <v>2025</v>
      </c>
      <c r="CJ174" s="108"/>
      <c r="CK174" s="108"/>
      <c r="CL174" s="108"/>
      <c r="CM174" s="108"/>
      <c r="CN174" s="108">
        <f t="shared" si="369"/>
        <v>2026</v>
      </c>
      <c r="CO174" s="108"/>
      <c r="CP174" s="108"/>
      <c r="CQ174" s="108"/>
      <c r="CR174" s="108"/>
      <c r="CS174" s="108">
        <f t="shared" si="369"/>
        <v>2027</v>
      </c>
      <c r="CT174" s="108"/>
      <c r="CU174" s="108"/>
      <c r="CV174" s="108"/>
      <c r="CW174" s="108"/>
      <c r="CX174" s="108">
        <f t="shared" si="369"/>
        <v>2028</v>
      </c>
    </row>
    <row r="175" spans="1:102" hidden="1" x14ac:dyDescent="0.2">
      <c r="B175" s="63" t="s">
        <v>158</v>
      </c>
      <c r="G175" s="156">
        <f t="shared" ref="G175:AL175" si="370">G9</f>
        <v>0</v>
      </c>
      <c r="H175" s="156">
        <f t="shared" si="370"/>
        <v>0</v>
      </c>
      <c r="I175" s="156">
        <f t="shared" si="370"/>
        <v>0</v>
      </c>
      <c r="J175" s="156">
        <f t="shared" si="370"/>
        <v>0</v>
      </c>
      <c r="K175" s="156">
        <f t="shared" si="370"/>
        <v>0</v>
      </c>
      <c r="L175" s="156">
        <f t="shared" si="370"/>
        <v>0</v>
      </c>
      <c r="M175" s="156">
        <f t="shared" si="370"/>
        <v>0</v>
      </c>
      <c r="N175" s="156">
        <f t="shared" si="370"/>
        <v>0</v>
      </c>
      <c r="O175" s="156">
        <f t="shared" si="370"/>
        <v>0</v>
      </c>
      <c r="P175" s="156">
        <f t="shared" si="370"/>
        <v>0</v>
      </c>
      <c r="Q175" s="156">
        <f t="shared" si="370"/>
        <v>0</v>
      </c>
      <c r="R175" s="156">
        <f t="shared" si="370"/>
        <v>0</v>
      </c>
      <c r="S175" s="156">
        <f t="shared" si="370"/>
        <v>0</v>
      </c>
      <c r="T175" s="156">
        <f t="shared" si="370"/>
        <v>0</v>
      </c>
      <c r="U175" s="156">
        <f t="shared" si="370"/>
        <v>0</v>
      </c>
      <c r="V175" s="156">
        <f t="shared" si="370"/>
        <v>0</v>
      </c>
      <c r="W175" s="156">
        <f t="shared" si="370"/>
        <v>0</v>
      </c>
      <c r="X175" s="156">
        <f t="shared" si="370"/>
        <v>0</v>
      </c>
      <c r="Y175" s="156">
        <f t="shared" si="370"/>
        <v>0</v>
      </c>
      <c r="Z175" s="156">
        <f t="shared" si="370"/>
        <v>0</v>
      </c>
      <c r="AA175" s="156">
        <f t="shared" si="370"/>
        <v>74452</v>
      </c>
      <c r="AB175" s="156">
        <f t="shared" si="370"/>
        <v>0</v>
      </c>
      <c r="AC175" s="156">
        <f t="shared" si="370"/>
        <v>0</v>
      </c>
      <c r="AD175" s="156">
        <f t="shared" si="370"/>
        <v>0</v>
      </c>
      <c r="AE175" s="156">
        <f t="shared" si="370"/>
        <v>0</v>
      </c>
      <c r="AF175" s="95">
        <f t="shared" si="370"/>
        <v>88988</v>
      </c>
      <c r="AG175" s="156">
        <f t="shared" si="370"/>
        <v>0</v>
      </c>
      <c r="AH175" s="156">
        <f t="shared" si="370"/>
        <v>0</v>
      </c>
      <c r="AI175" s="156">
        <f t="shared" si="370"/>
        <v>0</v>
      </c>
      <c r="AJ175" s="156">
        <f t="shared" si="370"/>
        <v>0</v>
      </c>
      <c r="AK175" s="156">
        <f t="shared" si="370"/>
        <v>107006</v>
      </c>
      <c r="AL175" s="156">
        <f t="shared" si="370"/>
        <v>0</v>
      </c>
      <c r="AM175" s="156">
        <f t="shared" ref="AM175:BR175" si="371">AM9</f>
        <v>0</v>
      </c>
      <c r="AN175" s="156">
        <f t="shared" si="371"/>
        <v>0</v>
      </c>
      <c r="AO175" s="156">
        <f t="shared" si="371"/>
        <v>0</v>
      </c>
      <c r="AP175" s="156">
        <f t="shared" si="371"/>
        <v>135987</v>
      </c>
      <c r="AQ175" s="156">
        <f t="shared" si="371"/>
        <v>0</v>
      </c>
      <c r="AR175" s="156">
        <f t="shared" si="371"/>
        <v>0</v>
      </c>
      <c r="AS175" s="156">
        <f t="shared" si="371"/>
        <v>0</v>
      </c>
      <c r="AT175" s="156">
        <f t="shared" si="371"/>
        <v>0</v>
      </c>
      <c r="AU175" s="156">
        <f t="shared" si="371"/>
        <v>177866</v>
      </c>
      <c r="AV175" s="156">
        <f t="shared" si="371"/>
        <v>0</v>
      </c>
      <c r="AW175" s="156">
        <f t="shared" si="371"/>
        <v>0</v>
      </c>
      <c r="AX175" s="156">
        <f t="shared" si="371"/>
        <v>0</v>
      </c>
      <c r="AY175" s="156">
        <f t="shared" si="371"/>
        <v>0</v>
      </c>
      <c r="AZ175" s="156">
        <f t="shared" si="371"/>
        <v>232887</v>
      </c>
      <c r="BA175" s="156">
        <f t="shared" si="371"/>
        <v>0</v>
      </c>
      <c r="BB175" s="156">
        <f t="shared" si="371"/>
        <v>0</v>
      </c>
      <c r="BC175" s="156">
        <f t="shared" si="371"/>
        <v>0</v>
      </c>
      <c r="BD175" s="156">
        <f t="shared" si="371"/>
        <v>0</v>
      </c>
      <c r="BE175" s="95">
        <f t="shared" si="371"/>
        <v>280522</v>
      </c>
      <c r="BF175" s="156">
        <f t="shared" si="371"/>
        <v>0</v>
      </c>
      <c r="BG175" s="156">
        <f t="shared" si="371"/>
        <v>0</v>
      </c>
      <c r="BH175" s="156">
        <f t="shared" si="371"/>
        <v>0</v>
      </c>
      <c r="BI175" s="156">
        <f t="shared" si="371"/>
        <v>0</v>
      </c>
      <c r="BJ175" s="156">
        <f t="shared" si="371"/>
        <v>386064</v>
      </c>
      <c r="BK175" s="156">
        <f t="shared" si="371"/>
        <v>0</v>
      </c>
      <c r="BL175" s="156">
        <f t="shared" si="371"/>
        <v>0</v>
      </c>
      <c r="BM175" s="156">
        <f t="shared" si="371"/>
        <v>0</v>
      </c>
      <c r="BN175" s="156">
        <f t="shared" si="371"/>
        <v>0</v>
      </c>
      <c r="BO175" s="156">
        <f t="shared" si="371"/>
        <v>469822</v>
      </c>
      <c r="BP175" s="156">
        <f t="shared" si="371"/>
        <v>0</v>
      </c>
      <c r="BQ175" s="156">
        <f t="shared" si="371"/>
        <v>0</v>
      </c>
      <c r="BR175" s="156">
        <f t="shared" si="371"/>
        <v>0</v>
      </c>
      <c r="BS175" s="156">
        <f t="shared" ref="BS175:CD175" si="372">BS9</f>
        <v>0</v>
      </c>
      <c r="BT175" s="156">
        <f t="shared" si="372"/>
        <v>513983</v>
      </c>
      <c r="BU175" s="156">
        <f t="shared" si="372"/>
        <v>127358</v>
      </c>
      <c r="BV175" s="156">
        <f t="shared" si="372"/>
        <v>134383</v>
      </c>
      <c r="BW175" s="156">
        <f t="shared" si="372"/>
        <v>143083</v>
      </c>
      <c r="BX175" s="156">
        <f t="shared" si="372"/>
        <v>169961</v>
      </c>
      <c r="BY175" s="156">
        <f t="shared" si="372"/>
        <v>574785</v>
      </c>
      <c r="BZ175" s="156">
        <f t="shared" si="372"/>
        <v>0</v>
      </c>
      <c r="CA175" s="156">
        <f t="shared" si="372"/>
        <v>0</v>
      </c>
      <c r="CB175" s="156">
        <f t="shared" si="372"/>
        <v>0</v>
      </c>
      <c r="CC175" s="156">
        <f t="shared" si="372"/>
        <v>0</v>
      </c>
      <c r="CD175" s="156">
        <f t="shared" si="372"/>
        <v>638413.69949999999</v>
      </c>
      <c r="CE175" s="156"/>
      <c r="CF175" s="156"/>
      <c r="CG175" s="156"/>
      <c r="CH175" s="156"/>
      <c r="CI175" s="156">
        <f>CI9</f>
        <v>791894.26742635737</v>
      </c>
      <c r="CJ175" s="156"/>
      <c r="CK175" s="156"/>
      <c r="CL175" s="156"/>
      <c r="CM175" s="156"/>
      <c r="CN175" s="156">
        <f>CN9</f>
        <v>986867.98117921012</v>
      </c>
      <c r="CO175" s="156"/>
      <c r="CP175" s="156"/>
      <c r="CQ175" s="156"/>
      <c r="CR175" s="156"/>
      <c r="CS175" s="156">
        <f>CS9</f>
        <v>1235471.1861829089</v>
      </c>
      <c r="CT175" s="156"/>
      <c r="CU175" s="156"/>
      <c r="CV175" s="156"/>
      <c r="CW175" s="156"/>
      <c r="CX175" s="156">
        <f>CX9</f>
        <v>1553561.9982693219</v>
      </c>
    </row>
    <row r="176" spans="1:102" hidden="1" x14ac:dyDescent="0.2">
      <c r="B176" s="63" t="s">
        <v>20</v>
      </c>
      <c r="G176" s="156">
        <f t="shared" ref="G176:AL176" si="373">G19</f>
        <v>0</v>
      </c>
      <c r="H176" s="156">
        <f t="shared" si="373"/>
        <v>0</v>
      </c>
      <c r="I176" s="156">
        <f t="shared" si="373"/>
        <v>0</v>
      </c>
      <c r="J176" s="156">
        <f t="shared" si="373"/>
        <v>0</v>
      </c>
      <c r="K176" s="156">
        <f t="shared" si="373"/>
        <v>0</v>
      </c>
      <c r="L176" s="156">
        <f t="shared" si="373"/>
        <v>0</v>
      </c>
      <c r="M176" s="156">
        <f t="shared" si="373"/>
        <v>0</v>
      </c>
      <c r="N176" s="156">
        <f t="shared" si="373"/>
        <v>0</v>
      </c>
      <c r="O176" s="156">
        <f t="shared" si="373"/>
        <v>0</v>
      </c>
      <c r="P176" s="156">
        <f t="shared" si="373"/>
        <v>0</v>
      </c>
      <c r="Q176" s="156">
        <f t="shared" si="373"/>
        <v>0</v>
      </c>
      <c r="R176" s="156">
        <f t="shared" si="373"/>
        <v>0</v>
      </c>
      <c r="S176" s="156">
        <f t="shared" si="373"/>
        <v>0</v>
      </c>
      <c r="T176" s="156">
        <f t="shared" si="373"/>
        <v>0</v>
      </c>
      <c r="U176" s="156">
        <f t="shared" si="373"/>
        <v>0</v>
      </c>
      <c r="V176" s="156">
        <f t="shared" si="373"/>
        <v>0</v>
      </c>
      <c r="W176" s="156">
        <f t="shared" si="373"/>
        <v>0</v>
      </c>
      <c r="X176" s="156">
        <f t="shared" si="373"/>
        <v>0</v>
      </c>
      <c r="Y176" s="156">
        <f t="shared" si="373"/>
        <v>0</v>
      </c>
      <c r="Z176" s="156">
        <f t="shared" si="373"/>
        <v>0</v>
      </c>
      <c r="AA176" s="156">
        <f t="shared" si="373"/>
        <v>745</v>
      </c>
      <c r="AB176" s="156">
        <f t="shared" si="373"/>
        <v>0</v>
      </c>
      <c r="AC176" s="156">
        <f t="shared" si="373"/>
        <v>0</v>
      </c>
      <c r="AD176" s="156">
        <f t="shared" si="373"/>
        <v>0</v>
      </c>
      <c r="AE176" s="156">
        <f t="shared" si="373"/>
        <v>0</v>
      </c>
      <c r="AF176" s="95">
        <f t="shared" si="373"/>
        <v>178</v>
      </c>
      <c r="AG176" s="156">
        <f t="shared" si="373"/>
        <v>0</v>
      </c>
      <c r="AH176" s="156">
        <f t="shared" si="373"/>
        <v>0</v>
      </c>
      <c r="AI176" s="156">
        <f t="shared" si="373"/>
        <v>0</v>
      </c>
      <c r="AJ176" s="156">
        <f t="shared" si="373"/>
        <v>0</v>
      </c>
      <c r="AK176" s="156">
        <f t="shared" si="373"/>
        <v>2233</v>
      </c>
      <c r="AL176" s="156">
        <f t="shared" si="373"/>
        <v>0</v>
      </c>
      <c r="AM176" s="156">
        <f t="shared" ref="AM176:BR176" si="374">AM19</f>
        <v>0</v>
      </c>
      <c r="AN176" s="156">
        <f t="shared" si="374"/>
        <v>0</v>
      </c>
      <c r="AO176" s="156">
        <f t="shared" si="374"/>
        <v>0</v>
      </c>
      <c r="AP176" s="156">
        <f t="shared" si="374"/>
        <v>4186</v>
      </c>
      <c r="AQ176" s="156">
        <f t="shared" si="374"/>
        <v>0</v>
      </c>
      <c r="AR176" s="156">
        <f t="shared" si="374"/>
        <v>0</v>
      </c>
      <c r="AS176" s="156">
        <f t="shared" si="374"/>
        <v>0</v>
      </c>
      <c r="AT176" s="156">
        <f t="shared" si="374"/>
        <v>0</v>
      </c>
      <c r="AU176" s="156">
        <f t="shared" si="374"/>
        <v>4106</v>
      </c>
      <c r="AV176" s="156">
        <f t="shared" si="374"/>
        <v>0</v>
      </c>
      <c r="AW176" s="156">
        <f t="shared" si="374"/>
        <v>0</v>
      </c>
      <c r="AX176" s="156">
        <f t="shared" si="374"/>
        <v>0</v>
      </c>
      <c r="AY176" s="156">
        <f t="shared" si="374"/>
        <v>0</v>
      </c>
      <c r="AZ176" s="156">
        <f t="shared" si="374"/>
        <v>12421</v>
      </c>
      <c r="BA176" s="156">
        <f t="shared" si="374"/>
        <v>0</v>
      </c>
      <c r="BB176" s="156">
        <f t="shared" si="374"/>
        <v>0</v>
      </c>
      <c r="BC176" s="156">
        <f t="shared" si="374"/>
        <v>0</v>
      </c>
      <c r="BD176" s="156">
        <f t="shared" si="374"/>
        <v>0</v>
      </c>
      <c r="BE176" s="95">
        <f t="shared" si="374"/>
        <v>14541</v>
      </c>
      <c r="BF176" s="156">
        <f t="shared" si="374"/>
        <v>0</v>
      </c>
      <c r="BG176" s="156">
        <f t="shared" si="374"/>
        <v>0</v>
      </c>
      <c r="BH176" s="156">
        <f t="shared" si="374"/>
        <v>0</v>
      </c>
      <c r="BI176" s="156">
        <f t="shared" si="374"/>
        <v>0</v>
      </c>
      <c r="BJ176" s="156">
        <f t="shared" si="374"/>
        <v>22899</v>
      </c>
      <c r="BK176" s="156">
        <f t="shared" si="374"/>
        <v>0</v>
      </c>
      <c r="BL176" s="156">
        <f t="shared" si="374"/>
        <v>0</v>
      </c>
      <c r="BM176" s="156">
        <f t="shared" si="374"/>
        <v>0</v>
      </c>
      <c r="BN176" s="156">
        <f t="shared" si="374"/>
        <v>0</v>
      </c>
      <c r="BO176" s="156">
        <f t="shared" si="374"/>
        <v>24879</v>
      </c>
      <c r="BP176" s="156">
        <f t="shared" si="374"/>
        <v>0</v>
      </c>
      <c r="BQ176" s="156">
        <f t="shared" si="374"/>
        <v>0</v>
      </c>
      <c r="BR176" s="156">
        <f t="shared" si="374"/>
        <v>0</v>
      </c>
      <c r="BS176" s="156">
        <f t="shared" ref="BS176:CD176" si="375">BS19</f>
        <v>0</v>
      </c>
      <c r="BT176" s="156">
        <f t="shared" si="375"/>
        <v>12248</v>
      </c>
      <c r="BU176" s="156">
        <f t="shared" si="375"/>
        <v>4774</v>
      </c>
      <c r="BV176" s="156">
        <f t="shared" si="375"/>
        <v>7681</v>
      </c>
      <c r="BW176" s="156">
        <f t="shared" si="375"/>
        <v>11188</v>
      </c>
      <c r="BX176" s="156">
        <f t="shared" si="375"/>
        <v>13209</v>
      </c>
      <c r="BY176" s="156">
        <f t="shared" si="375"/>
        <v>36852</v>
      </c>
      <c r="BZ176" s="156">
        <f t="shared" si="375"/>
        <v>0</v>
      </c>
      <c r="CA176" s="156">
        <f t="shared" si="375"/>
        <v>0</v>
      </c>
      <c r="CB176" s="156">
        <f t="shared" si="375"/>
        <v>0</v>
      </c>
      <c r="CC176" s="156">
        <f t="shared" si="375"/>
        <v>0</v>
      </c>
      <c r="CD176" s="156">
        <f t="shared" si="375"/>
        <v>22757.958379653806</v>
      </c>
      <c r="CE176" s="156"/>
      <c r="CF176" s="156"/>
      <c r="CG176" s="156"/>
      <c r="CH176" s="156"/>
      <c r="CI176" s="156">
        <f>CI19</f>
        <v>28229.182414616283</v>
      </c>
      <c r="CJ176" s="156"/>
      <c r="CK176" s="156"/>
      <c r="CL176" s="156"/>
      <c r="CM176" s="156"/>
      <c r="CN176" s="156">
        <f>CN19</f>
        <v>35179.540256544133</v>
      </c>
      <c r="CO176" s="156"/>
      <c r="CP176" s="156"/>
      <c r="CQ176" s="156"/>
      <c r="CR176" s="156"/>
      <c r="CS176" s="156">
        <f>CS19</f>
        <v>44041.664294536633</v>
      </c>
      <c r="CT176" s="156"/>
      <c r="CU176" s="156"/>
      <c r="CV176" s="156"/>
      <c r="CW176" s="156"/>
      <c r="CX176" s="156">
        <f>CX19</f>
        <v>55380.859346401179</v>
      </c>
    </row>
    <row r="177" spans="2:102" hidden="1" x14ac:dyDescent="0.2">
      <c r="B177" s="63" t="s">
        <v>159</v>
      </c>
      <c r="G177" s="95">
        <f t="shared" ref="G177:AL177" si="376">G98</f>
        <v>0</v>
      </c>
      <c r="H177" s="95">
        <f t="shared" si="376"/>
        <v>0</v>
      </c>
      <c r="I177" s="95">
        <f t="shared" si="376"/>
        <v>0</v>
      </c>
      <c r="J177" s="95">
        <f t="shared" si="376"/>
        <v>0</v>
      </c>
      <c r="K177" s="95">
        <f t="shared" si="376"/>
        <v>0</v>
      </c>
      <c r="L177" s="95">
        <f t="shared" si="376"/>
        <v>0</v>
      </c>
      <c r="M177" s="95">
        <f t="shared" si="376"/>
        <v>0</v>
      </c>
      <c r="N177" s="95">
        <f t="shared" si="376"/>
        <v>0</v>
      </c>
      <c r="O177" s="95">
        <f t="shared" si="376"/>
        <v>0</v>
      </c>
      <c r="P177" s="95">
        <f t="shared" si="376"/>
        <v>0</v>
      </c>
      <c r="Q177" s="95">
        <f t="shared" si="376"/>
        <v>0</v>
      </c>
      <c r="R177" s="95">
        <f t="shared" si="376"/>
        <v>0</v>
      </c>
      <c r="S177" s="95">
        <f t="shared" si="376"/>
        <v>0</v>
      </c>
      <c r="T177" s="95">
        <f t="shared" si="376"/>
        <v>0</v>
      </c>
      <c r="U177" s="95">
        <f t="shared" si="376"/>
        <v>0</v>
      </c>
      <c r="V177" s="95">
        <f t="shared" si="376"/>
        <v>0</v>
      </c>
      <c r="W177" s="95">
        <f t="shared" si="376"/>
        <v>0</v>
      </c>
      <c r="X177" s="95">
        <f t="shared" si="376"/>
        <v>0</v>
      </c>
      <c r="Y177" s="95">
        <f t="shared" si="376"/>
        <v>0</v>
      </c>
      <c r="Z177" s="95">
        <f t="shared" si="376"/>
        <v>0</v>
      </c>
      <c r="AA177" s="95">
        <f t="shared" si="376"/>
        <v>5475</v>
      </c>
      <c r="AB177" s="95">
        <f t="shared" si="376"/>
        <v>0</v>
      </c>
      <c r="AC177" s="95">
        <f t="shared" si="376"/>
        <v>0</v>
      </c>
      <c r="AD177" s="95">
        <f t="shared" si="376"/>
        <v>0</v>
      </c>
      <c r="AE177" s="95">
        <f t="shared" si="376"/>
        <v>0</v>
      </c>
      <c r="AF177" s="95">
        <f t="shared" si="376"/>
        <v>6842</v>
      </c>
      <c r="AG177" s="95">
        <f t="shared" si="376"/>
        <v>0</v>
      </c>
      <c r="AH177" s="95">
        <f t="shared" si="376"/>
        <v>0</v>
      </c>
      <c r="AI177" s="95">
        <f t="shared" si="376"/>
        <v>0</v>
      </c>
      <c r="AJ177" s="95">
        <f t="shared" si="376"/>
        <v>0</v>
      </c>
      <c r="AK177" s="95">
        <f t="shared" si="376"/>
        <v>11920</v>
      </c>
      <c r="AL177" s="95">
        <f t="shared" si="376"/>
        <v>0</v>
      </c>
      <c r="AM177" s="95">
        <f t="shared" ref="AM177:BR177" si="377">AM98</f>
        <v>0</v>
      </c>
      <c r="AN177" s="95">
        <f t="shared" si="377"/>
        <v>0</v>
      </c>
      <c r="AO177" s="95">
        <f t="shared" si="377"/>
        <v>0</v>
      </c>
      <c r="AP177" s="95">
        <f t="shared" si="377"/>
        <v>16443</v>
      </c>
      <c r="AQ177" s="95">
        <f t="shared" si="377"/>
        <v>0</v>
      </c>
      <c r="AR177" s="95">
        <f t="shared" si="377"/>
        <v>0</v>
      </c>
      <c r="AS177" s="95">
        <f t="shared" si="377"/>
        <v>0</v>
      </c>
      <c r="AT177" s="95">
        <f t="shared" si="377"/>
        <v>0</v>
      </c>
      <c r="AU177" s="95">
        <f t="shared" si="377"/>
        <v>18434</v>
      </c>
      <c r="AV177" s="95">
        <f t="shared" si="377"/>
        <v>0</v>
      </c>
      <c r="AW177" s="95">
        <f t="shared" si="377"/>
        <v>0</v>
      </c>
      <c r="AX177" s="95">
        <f t="shared" si="377"/>
        <v>0</v>
      </c>
      <c r="AY177" s="95">
        <f t="shared" si="377"/>
        <v>0</v>
      </c>
      <c r="AZ177" s="95">
        <f t="shared" si="377"/>
        <v>30723</v>
      </c>
      <c r="BA177" s="95">
        <f t="shared" si="377"/>
        <v>0</v>
      </c>
      <c r="BB177" s="95">
        <f t="shared" si="377"/>
        <v>0</v>
      </c>
      <c r="BC177" s="95">
        <f t="shared" si="377"/>
        <v>0</v>
      </c>
      <c r="BD177" s="95">
        <f t="shared" si="377"/>
        <v>0</v>
      </c>
      <c r="BE177" s="95">
        <f t="shared" si="377"/>
        <v>38514</v>
      </c>
      <c r="BF177" s="95">
        <f t="shared" si="377"/>
        <v>0</v>
      </c>
      <c r="BG177" s="95">
        <f t="shared" si="377"/>
        <v>0</v>
      </c>
      <c r="BH177" s="95">
        <f t="shared" si="377"/>
        <v>0</v>
      </c>
      <c r="BI177" s="95">
        <f t="shared" si="377"/>
        <v>0</v>
      </c>
      <c r="BJ177" s="95">
        <f t="shared" si="377"/>
        <v>66064</v>
      </c>
      <c r="BK177" s="95">
        <f t="shared" si="377"/>
        <v>0</v>
      </c>
      <c r="BL177" s="95">
        <f t="shared" si="377"/>
        <v>0</v>
      </c>
      <c r="BM177" s="95">
        <f t="shared" si="377"/>
        <v>0</v>
      </c>
      <c r="BN177" s="95">
        <f t="shared" si="377"/>
        <v>0</v>
      </c>
      <c r="BO177" s="95">
        <f t="shared" si="377"/>
        <v>46327</v>
      </c>
      <c r="BP177" s="95">
        <f t="shared" si="377"/>
        <v>0</v>
      </c>
      <c r="BQ177" s="95">
        <f t="shared" si="377"/>
        <v>0</v>
      </c>
      <c r="BR177" s="95">
        <f t="shared" si="377"/>
        <v>0</v>
      </c>
      <c r="BS177" s="95">
        <f t="shared" ref="BS177:CX177" si="378">BS98</f>
        <v>0</v>
      </c>
      <c r="BT177" s="95">
        <f t="shared" si="378"/>
        <v>46752</v>
      </c>
      <c r="BU177" s="95">
        <f t="shared" si="378"/>
        <v>4788</v>
      </c>
      <c r="BV177" s="95">
        <f t="shared" si="378"/>
        <v>16476</v>
      </c>
      <c r="BW177" s="95">
        <f t="shared" si="378"/>
        <v>21217</v>
      </c>
      <c r="BX177" s="95">
        <f t="shared" si="378"/>
        <v>42465</v>
      </c>
      <c r="BY177" s="95">
        <f t="shared" si="378"/>
        <v>89779.6</v>
      </c>
      <c r="BZ177" s="95">
        <f t="shared" si="378"/>
        <v>0</v>
      </c>
      <c r="CA177" s="95">
        <f t="shared" si="378"/>
        <v>0</v>
      </c>
      <c r="CB177" s="95">
        <f t="shared" si="378"/>
        <v>0</v>
      </c>
      <c r="CC177" s="95">
        <f t="shared" si="378"/>
        <v>0</v>
      </c>
      <c r="CD177" s="95">
        <f t="shared" si="378"/>
        <v>104895.49642277135</v>
      </c>
      <c r="CE177" s="95"/>
      <c r="CF177" s="95"/>
      <c r="CG177" s="95"/>
      <c r="CH177" s="95"/>
      <c r="CI177" s="95">
        <f t="shared" si="378"/>
        <v>105170.68908984323</v>
      </c>
      <c r="CJ177" s="95"/>
      <c r="CK177" s="95"/>
      <c r="CL177" s="95"/>
      <c r="CM177" s="95"/>
      <c r="CN177" s="95">
        <f t="shared" si="378"/>
        <v>128494.76444151253</v>
      </c>
      <c r="CO177" s="95"/>
      <c r="CP177" s="95"/>
      <c r="CQ177" s="95"/>
      <c r="CR177" s="95"/>
      <c r="CS177" s="95">
        <f t="shared" si="378"/>
        <v>162965.78500472775</v>
      </c>
      <c r="CT177" s="95"/>
      <c r="CU177" s="95"/>
      <c r="CV177" s="95"/>
      <c r="CW177" s="95"/>
      <c r="CX177" s="95">
        <f t="shared" si="378"/>
        <v>194828.34286193587</v>
      </c>
    </row>
    <row r="178" spans="2:102" hidden="1" x14ac:dyDescent="0.2">
      <c r="B178" s="63" t="s">
        <v>160</v>
      </c>
      <c r="G178" s="95">
        <f t="shared" ref="G178:AL178" si="379">G99+G100</f>
        <v>0</v>
      </c>
      <c r="H178" s="95">
        <f t="shared" si="379"/>
        <v>0</v>
      </c>
      <c r="I178" s="95">
        <f t="shared" si="379"/>
        <v>0</v>
      </c>
      <c r="J178" s="95">
        <f t="shared" si="379"/>
        <v>0</v>
      </c>
      <c r="K178" s="95">
        <f t="shared" si="379"/>
        <v>0</v>
      </c>
      <c r="L178" s="95">
        <f t="shared" si="379"/>
        <v>0</v>
      </c>
      <c r="M178" s="95">
        <f t="shared" si="379"/>
        <v>0</v>
      </c>
      <c r="N178" s="95">
        <f t="shared" si="379"/>
        <v>0</v>
      </c>
      <c r="O178" s="95">
        <f t="shared" si="379"/>
        <v>0</v>
      </c>
      <c r="P178" s="95">
        <f t="shared" si="379"/>
        <v>0</v>
      </c>
      <c r="Q178" s="95">
        <f t="shared" si="379"/>
        <v>0</v>
      </c>
      <c r="R178" s="95">
        <f t="shared" si="379"/>
        <v>0</v>
      </c>
      <c r="S178" s="95">
        <f t="shared" si="379"/>
        <v>0</v>
      </c>
      <c r="T178" s="95">
        <f t="shared" si="379"/>
        <v>0</v>
      </c>
      <c r="U178" s="95">
        <f t="shared" si="379"/>
        <v>0</v>
      </c>
      <c r="V178" s="95">
        <f t="shared" si="379"/>
        <v>0</v>
      </c>
      <c r="W178" s="95">
        <f t="shared" si="379"/>
        <v>0</v>
      </c>
      <c r="X178" s="95">
        <f t="shared" si="379"/>
        <v>0</v>
      </c>
      <c r="Y178" s="95">
        <f t="shared" si="379"/>
        <v>0</v>
      </c>
      <c r="Z178" s="95">
        <f t="shared" si="379"/>
        <v>0</v>
      </c>
      <c r="AA178" s="95">
        <f t="shared" si="379"/>
        <v>-3444</v>
      </c>
      <c r="AB178" s="95">
        <f t="shared" si="379"/>
        <v>0</v>
      </c>
      <c r="AC178" s="95">
        <f t="shared" si="379"/>
        <v>0</v>
      </c>
      <c r="AD178" s="95">
        <f t="shared" si="379"/>
        <v>0</v>
      </c>
      <c r="AE178" s="95">
        <f t="shared" si="379"/>
        <v>0</v>
      </c>
      <c r="AF178" s="95">
        <f t="shared" si="379"/>
        <v>-4893</v>
      </c>
      <c r="AG178" s="95">
        <f t="shared" si="379"/>
        <v>0</v>
      </c>
      <c r="AH178" s="95">
        <f t="shared" si="379"/>
        <v>0</v>
      </c>
      <c r="AI178" s="95">
        <f t="shared" si="379"/>
        <v>0</v>
      </c>
      <c r="AJ178" s="95">
        <f t="shared" si="379"/>
        <v>0</v>
      </c>
      <c r="AK178" s="95">
        <f t="shared" si="379"/>
        <v>-4589</v>
      </c>
      <c r="AL178" s="95">
        <f t="shared" si="379"/>
        <v>0</v>
      </c>
      <c r="AM178" s="95">
        <f t="shared" ref="AM178:BR178" si="380">AM99+AM100</f>
        <v>0</v>
      </c>
      <c r="AN178" s="95">
        <f t="shared" si="380"/>
        <v>0</v>
      </c>
      <c r="AO178" s="95">
        <f t="shared" si="380"/>
        <v>0</v>
      </c>
      <c r="AP178" s="95">
        <f t="shared" si="380"/>
        <v>-6737</v>
      </c>
      <c r="AQ178" s="95">
        <f t="shared" si="380"/>
        <v>0</v>
      </c>
      <c r="AR178" s="95">
        <f t="shared" si="380"/>
        <v>0</v>
      </c>
      <c r="AS178" s="95">
        <f t="shared" si="380"/>
        <v>0</v>
      </c>
      <c r="AT178" s="95">
        <f t="shared" si="380"/>
        <v>0</v>
      </c>
      <c r="AU178" s="95">
        <f t="shared" si="380"/>
        <v>-10058</v>
      </c>
      <c r="AV178" s="95">
        <f t="shared" si="380"/>
        <v>0</v>
      </c>
      <c r="AW178" s="95">
        <f t="shared" si="380"/>
        <v>0</v>
      </c>
      <c r="AX178" s="95">
        <f t="shared" si="380"/>
        <v>0</v>
      </c>
      <c r="AY178" s="95">
        <f t="shared" si="380"/>
        <v>0</v>
      </c>
      <c r="AZ178" s="95">
        <f t="shared" si="380"/>
        <v>-11323</v>
      </c>
      <c r="BA178" s="95">
        <f t="shared" si="380"/>
        <v>0</v>
      </c>
      <c r="BB178" s="95">
        <f t="shared" si="380"/>
        <v>0</v>
      </c>
      <c r="BC178" s="95">
        <f t="shared" si="380"/>
        <v>0</v>
      </c>
      <c r="BD178" s="95">
        <f t="shared" si="380"/>
        <v>0</v>
      </c>
      <c r="BE178" s="95">
        <f t="shared" si="380"/>
        <v>-12689</v>
      </c>
      <c r="BF178" s="95">
        <f t="shared" si="380"/>
        <v>0</v>
      </c>
      <c r="BG178" s="95">
        <f t="shared" si="380"/>
        <v>0</v>
      </c>
      <c r="BH178" s="95">
        <f t="shared" si="380"/>
        <v>0</v>
      </c>
      <c r="BI178" s="95">
        <f t="shared" si="380"/>
        <v>0</v>
      </c>
      <c r="BJ178" s="95">
        <f t="shared" si="380"/>
        <v>-35044</v>
      </c>
      <c r="BK178" s="95">
        <f t="shared" si="380"/>
        <v>0</v>
      </c>
      <c r="BL178" s="95">
        <f t="shared" si="380"/>
        <v>0</v>
      </c>
      <c r="BM178" s="95">
        <f t="shared" si="380"/>
        <v>0</v>
      </c>
      <c r="BN178" s="95">
        <f t="shared" si="380"/>
        <v>0</v>
      </c>
      <c r="BO178" s="95">
        <f t="shared" si="380"/>
        <v>-55396</v>
      </c>
      <c r="BP178" s="95">
        <f t="shared" si="380"/>
        <v>0</v>
      </c>
      <c r="BQ178" s="95">
        <f t="shared" si="380"/>
        <v>0</v>
      </c>
      <c r="BR178" s="95">
        <f t="shared" si="380"/>
        <v>0</v>
      </c>
      <c r="BS178" s="95">
        <f t="shared" ref="BS178:CX178" si="381">BS99+BS100</f>
        <v>0</v>
      </c>
      <c r="BT178" s="95">
        <f t="shared" si="381"/>
        <v>-58321</v>
      </c>
      <c r="BU178" s="95">
        <f t="shared" si="381"/>
        <v>-13070</v>
      </c>
      <c r="BV178" s="95">
        <f t="shared" si="381"/>
        <v>-10412</v>
      </c>
      <c r="BW178" s="95">
        <f t="shared" si="381"/>
        <v>-11298</v>
      </c>
      <c r="BX178" s="95">
        <f t="shared" si="381"/>
        <v>-13353</v>
      </c>
      <c r="BY178" s="95">
        <f t="shared" si="381"/>
        <v>-48765</v>
      </c>
      <c r="BZ178" s="95">
        <f t="shared" si="381"/>
        <v>0</v>
      </c>
      <c r="CA178" s="95">
        <f t="shared" si="381"/>
        <v>0</v>
      </c>
      <c r="CB178" s="95">
        <f t="shared" si="381"/>
        <v>0</v>
      </c>
      <c r="CC178" s="95">
        <f t="shared" si="381"/>
        <v>0</v>
      </c>
      <c r="CD178" s="95">
        <f t="shared" si="381"/>
        <v>-48126.462179388676</v>
      </c>
      <c r="CE178" s="95"/>
      <c r="CF178" s="95"/>
      <c r="CG178" s="95"/>
      <c r="CH178" s="95"/>
      <c r="CI178" s="95">
        <f t="shared" si="381"/>
        <v>-59696.50955362885</v>
      </c>
      <c r="CJ178" s="95"/>
      <c r="CK178" s="95"/>
      <c r="CL178" s="95"/>
      <c r="CM178" s="95"/>
      <c r="CN178" s="95">
        <f t="shared" si="381"/>
        <v>-74394.494681846831</v>
      </c>
      <c r="CO178" s="95"/>
      <c r="CP178" s="95"/>
      <c r="CQ178" s="95"/>
      <c r="CR178" s="95"/>
      <c r="CS178" s="95">
        <f t="shared" si="381"/>
        <v>-93135.309223664663</v>
      </c>
      <c r="CT178" s="95"/>
      <c r="CU178" s="95"/>
      <c r="CV178" s="95"/>
      <c r="CW178" s="95"/>
      <c r="CX178" s="95">
        <f t="shared" si="381"/>
        <v>-117114.40843390612</v>
      </c>
    </row>
    <row r="179" spans="2:102" hidden="1" x14ac:dyDescent="0.2">
      <c r="B179" s="63" t="s">
        <v>161</v>
      </c>
      <c r="G179" s="95">
        <f>G129</f>
        <v>0</v>
      </c>
      <c r="H179" s="95">
        <f t="shared" ref="H179:BE179" si="382">H129</f>
        <v>0</v>
      </c>
      <c r="I179" s="95">
        <f t="shared" si="382"/>
        <v>0</v>
      </c>
      <c r="J179" s="95">
        <f t="shared" si="382"/>
        <v>0</v>
      </c>
      <c r="K179" s="95">
        <f t="shared" si="382"/>
        <v>0</v>
      </c>
      <c r="L179" s="95">
        <f t="shared" si="382"/>
        <v>0</v>
      </c>
      <c r="M179" s="95">
        <f t="shared" si="382"/>
        <v>0</v>
      </c>
      <c r="N179" s="95">
        <f t="shared" si="382"/>
        <v>0</v>
      </c>
      <c r="O179" s="95">
        <f t="shared" si="382"/>
        <v>0</v>
      </c>
      <c r="P179" s="95">
        <f t="shared" si="382"/>
        <v>0</v>
      </c>
      <c r="Q179" s="95">
        <f t="shared" si="382"/>
        <v>0</v>
      </c>
      <c r="R179" s="95">
        <f t="shared" si="382"/>
        <v>0</v>
      </c>
      <c r="S179" s="95">
        <f t="shared" si="382"/>
        <v>0</v>
      </c>
      <c r="T179" s="95">
        <f t="shared" si="382"/>
        <v>0</v>
      </c>
      <c r="U179" s="95">
        <f t="shared" si="382"/>
        <v>0</v>
      </c>
      <c r="V179" s="95">
        <f t="shared" si="382"/>
        <v>0</v>
      </c>
      <c r="W179" s="95">
        <f t="shared" si="382"/>
        <v>0</v>
      </c>
      <c r="X179" s="95">
        <f t="shared" si="382"/>
        <v>0</v>
      </c>
      <c r="Y179" s="95">
        <f t="shared" si="382"/>
        <v>0</v>
      </c>
      <c r="Z179" s="95">
        <f t="shared" si="382"/>
        <v>0</v>
      </c>
      <c r="AA179" s="95">
        <f t="shared" si="382"/>
        <v>0</v>
      </c>
      <c r="AB179" s="95">
        <f t="shared" si="382"/>
        <v>0</v>
      </c>
      <c r="AC179" s="95">
        <f t="shared" si="382"/>
        <v>0</v>
      </c>
      <c r="AD179" s="95">
        <f t="shared" si="382"/>
        <v>0</v>
      </c>
      <c r="AE179" s="95">
        <f t="shared" si="382"/>
        <v>0</v>
      </c>
      <c r="AF179" s="95">
        <f t="shared" si="382"/>
        <v>0</v>
      </c>
      <c r="AG179" s="95">
        <f t="shared" si="382"/>
        <v>0</v>
      </c>
      <c r="AH179" s="95">
        <f t="shared" si="382"/>
        <v>0</v>
      </c>
      <c r="AI179" s="95">
        <f t="shared" si="382"/>
        <v>0</v>
      </c>
      <c r="AJ179" s="95">
        <f t="shared" si="382"/>
        <v>0</v>
      </c>
      <c r="AK179" s="95">
        <f t="shared" si="382"/>
        <v>0</v>
      </c>
      <c r="AL179" s="95">
        <f t="shared" si="382"/>
        <v>0</v>
      </c>
      <c r="AM179" s="95">
        <f t="shared" si="382"/>
        <v>0</v>
      </c>
      <c r="AN179" s="95">
        <f t="shared" si="382"/>
        <v>0</v>
      </c>
      <c r="AO179" s="95">
        <f t="shared" si="382"/>
        <v>0</v>
      </c>
      <c r="AP179" s="95">
        <f t="shared" si="382"/>
        <v>0</v>
      </c>
      <c r="AQ179" s="95">
        <f t="shared" ref="AQ179:AZ179" si="383">AQ129</f>
        <v>0</v>
      </c>
      <c r="AR179" s="95">
        <f t="shared" si="383"/>
        <v>0</v>
      </c>
      <c r="AS179" s="95">
        <f t="shared" si="383"/>
        <v>0</v>
      </c>
      <c r="AT179" s="95">
        <f t="shared" si="383"/>
        <v>0</v>
      </c>
      <c r="AU179" s="95">
        <f t="shared" si="383"/>
        <v>0</v>
      </c>
      <c r="AV179" s="95">
        <f t="shared" si="383"/>
        <v>0</v>
      </c>
      <c r="AW179" s="95">
        <f t="shared" si="383"/>
        <v>0</v>
      </c>
      <c r="AX179" s="95">
        <f t="shared" si="383"/>
        <v>0</v>
      </c>
      <c r="AY179" s="95">
        <f t="shared" si="383"/>
        <v>0</v>
      </c>
      <c r="AZ179" s="95">
        <f t="shared" si="383"/>
        <v>0</v>
      </c>
      <c r="BA179" s="95">
        <f t="shared" si="382"/>
        <v>0</v>
      </c>
      <c r="BB179" s="95">
        <f t="shared" si="382"/>
        <v>0</v>
      </c>
      <c r="BC179" s="95">
        <f t="shared" si="382"/>
        <v>0</v>
      </c>
      <c r="BD179" s="95">
        <f t="shared" si="382"/>
        <v>0</v>
      </c>
      <c r="BE179" s="95">
        <f t="shared" si="382"/>
        <v>0</v>
      </c>
      <c r="BF179" s="95">
        <f t="shared" ref="BF179:CD179" si="384">BF129</f>
        <v>0</v>
      </c>
      <c r="BG179" s="95">
        <f t="shared" si="384"/>
        <v>0</v>
      </c>
      <c r="BH179" s="95">
        <f t="shared" si="384"/>
        <v>0</v>
      </c>
      <c r="BI179" s="95">
        <f t="shared" si="384"/>
        <v>0</v>
      </c>
      <c r="BJ179" s="95">
        <f t="shared" si="384"/>
        <v>0</v>
      </c>
      <c r="BK179" s="95">
        <f t="shared" si="384"/>
        <v>0</v>
      </c>
      <c r="BL179" s="95">
        <f t="shared" si="384"/>
        <v>0</v>
      </c>
      <c r="BM179" s="95">
        <f t="shared" si="384"/>
        <v>0</v>
      </c>
      <c r="BN179" s="95">
        <f t="shared" si="384"/>
        <v>0</v>
      </c>
      <c r="BO179" s="95">
        <f t="shared" si="384"/>
        <v>0</v>
      </c>
      <c r="BP179" s="95">
        <f t="shared" si="384"/>
        <v>0</v>
      </c>
      <c r="BQ179" s="95">
        <f t="shared" si="384"/>
        <v>0</v>
      </c>
      <c r="BR179" s="95">
        <f t="shared" si="384"/>
        <v>0</v>
      </c>
      <c r="BS179" s="95">
        <f t="shared" si="384"/>
        <v>0</v>
      </c>
      <c r="BT179" s="95">
        <f t="shared" si="384"/>
        <v>0</v>
      </c>
      <c r="BU179" s="95">
        <f t="shared" si="384"/>
        <v>0</v>
      </c>
      <c r="BV179" s="95">
        <f t="shared" si="384"/>
        <v>0</v>
      </c>
      <c r="BW179" s="95">
        <f t="shared" si="384"/>
        <v>0</v>
      </c>
      <c r="BX179" s="95" t="e">
        <f t="shared" si="384"/>
        <v>#DIV/0!</v>
      </c>
      <c r="BY179" s="95" t="e">
        <f t="shared" si="384"/>
        <v>#DIV/0!</v>
      </c>
      <c r="BZ179" s="95" t="e">
        <f t="shared" si="384"/>
        <v>#DIV/0!</v>
      </c>
      <c r="CA179" s="95" t="e">
        <f t="shared" si="384"/>
        <v>#DIV/0!</v>
      </c>
      <c r="CB179" s="95" t="e">
        <f t="shared" si="384"/>
        <v>#DIV/0!</v>
      </c>
      <c r="CC179" s="95" t="e">
        <f t="shared" si="384"/>
        <v>#DIV/0!</v>
      </c>
      <c r="CD179" s="95" t="e">
        <f t="shared" si="384"/>
        <v>#DIV/0!</v>
      </c>
      <c r="CE179" s="95"/>
      <c r="CF179" s="95"/>
      <c r="CG179" s="95"/>
      <c r="CH179" s="95"/>
      <c r="CI179" s="95" t="e">
        <f t="shared" ref="CI179:CX179" si="385">CI129</f>
        <v>#DIV/0!</v>
      </c>
      <c r="CJ179" s="95"/>
      <c r="CK179" s="95"/>
      <c r="CL179" s="95"/>
      <c r="CM179" s="95"/>
      <c r="CN179" s="95" t="e">
        <f t="shared" si="385"/>
        <v>#DIV/0!</v>
      </c>
      <c r="CO179" s="95"/>
      <c r="CP179" s="95"/>
      <c r="CQ179" s="95"/>
      <c r="CR179" s="95"/>
      <c r="CS179" s="95" t="e">
        <f t="shared" si="385"/>
        <v>#DIV/0!</v>
      </c>
      <c r="CT179" s="95"/>
      <c r="CU179" s="95"/>
      <c r="CV179" s="95"/>
      <c r="CW179" s="95"/>
      <c r="CX179" s="95" t="e">
        <f t="shared" si="385"/>
        <v>#DIV/0!</v>
      </c>
    </row>
    <row r="180" spans="2:102" hidden="1" x14ac:dyDescent="0.2">
      <c r="B180" s="63" t="s">
        <v>162</v>
      </c>
      <c r="G180" s="95">
        <f t="shared" ref="G180:AL180" si="386">G52</f>
        <v>0</v>
      </c>
      <c r="H180" s="95">
        <f t="shared" si="386"/>
        <v>0</v>
      </c>
      <c r="I180" s="95">
        <f t="shared" si="386"/>
        <v>0</v>
      </c>
      <c r="J180" s="95">
        <f t="shared" si="386"/>
        <v>0</v>
      </c>
      <c r="K180" s="95">
        <f t="shared" si="386"/>
        <v>0</v>
      </c>
      <c r="L180" s="95">
        <f t="shared" si="386"/>
        <v>0</v>
      </c>
      <c r="M180" s="95">
        <f t="shared" si="386"/>
        <v>0</v>
      </c>
      <c r="N180" s="95">
        <f t="shared" si="386"/>
        <v>0</v>
      </c>
      <c r="O180" s="95">
        <f t="shared" si="386"/>
        <v>0</v>
      </c>
      <c r="P180" s="95">
        <f t="shared" si="386"/>
        <v>0</v>
      </c>
      <c r="Q180" s="95">
        <f t="shared" si="386"/>
        <v>0</v>
      </c>
      <c r="R180" s="95">
        <f t="shared" si="386"/>
        <v>0</v>
      </c>
      <c r="S180" s="95">
        <f t="shared" si="386"/>
        <v>0</v>
      </c>
      <c r="T180" s="95">
        <f t="shared" si="386"/>
        <v>0</v>
      </c>
      <c r="U180" s="95">
        <f t="shared" si="386"/>
        <v>0</v>
      </c>
      <c r="V180" s="95">
        <f t="shared" si="386"/>
        <v>0</v>
      </c>
      <c r="W180" s="95">
        <f t="shared" si="386"/>
        <v>0</v>
      </c>
      <c r="X180" s="95">
        <f t="shared" si="386"/>
        <v>0</v>
      </c>
      <c r="Y180" s="95">
        <f t="shared" si="386"/>
        <v>0</v>
      </c>
      <c r="Z180" s="95">
        <f t="shared" si="386"/>
        <v>0</v>
      </c>
      <c r="AA180" s="95">
        <f t="shared" si="386"/>
        <v>7411</v>
      </c>
      <c r="AB180" s="95">
        <f t="shared" si="386"/>
        <v>0</v>
      </c>
      <c r="AC180" s="95">
        <f t="shared" si="386"/>
        <v>0</v>
      </c>
      <c r="AD180" s="95">
        <f t="shared" si="386"/>
        <v>0</v>
      </c>
      <c r="AE180" s="95">
        <f t="shared" si="386"/>
        <v>0</v>
      </c>
      <c r="AF180" s="95">
        <f t="shared" si="386"/>
        <v>8299</v>
      </c>
      <c r="AG180" s="95">
        <f t="shared" si="386"/>
        <v>0</v>
      </c>
      <c r="AH180" s="95">
        <f t="shared" si="386"/>
        <v>0</v>
      </c>
      <c r="AI180" s="95">
        <f t="shared" si="386"/>
        <v>0</v>
      </c>
      <c r="AJ180" s="95">
        <f t="shared" si="386"/>
        <v>0</v>
      </c>
      <c r="AK180" s="95">
        <f t="shared" si="386"/>
        <v>10243</v>
      </c>
      <c r="AL180" s="95">
        <f t="shared" si="386"/>
        <v>0</v>
      </c>
      <c r="AM180" s="95">
        <f t="shared" ref="AM180:BR180" si="387">AM52</f>
        <v>0</v>
      </c>
      <c r="AN180" s="95">
        <f t="shared" si="387"/>
        <v>0</v>
      </c>
      <c r="AO180" s="95">
        <f t="shared" si="387"/>
        <v>0</v>
      </c>
      <c r="AP180" s="95">
        <f t="shared" si="387"/>
        <v>11461</v>
      </c>
      <c r="AQ180" s="95">
        <f t="shared" si="387"/>
        <v>0</v>
      </c>
      <c r="AR180" s="95">
        <f t="shared" si="387"/>
        <v>0</v>
      </c>
      <c r="AS180" s="95">
        <f t="shared" si="387"/>
        <v>0</v>
      </c>
      <c r="AT180" s="95">
        <f t="shared" si="387"/>
        <v>0</v>
      </c>
      <c r="AU180" s="95">
        <f t="shared" si="387"/>
        <v>16047</v>
      </c>
      <c r="AV180" s="95">
        <f t="shared" si="387"/>
        <v>0</v>
      </c>
      <c r="AW180" s="95">
        <f t="shared" si="387"/>
        <v>0</v>
      </c>
      <c r="AX180" s="95">
        <f t="shared" si="387"/>
        <v>0</v>
      </c>
      <c r="AY180" s="95">
        <f t="shared" si="387"/>
        <v>0</v>
      </c>
      <c r="AZ180" s="95">
        <f t="shared" si="387"/>
        <v>17174</v>
      </c>
      <c r="BA180" s="95">
        <f t="shared" si="387"/>
        <v>0</v>
      </c>
      <c r="BB180" s="95">
        <f t="shared" si="387"/>
        <v>0</v>
      </c>
      <c r="BC180" s="95">
        <f t="shared" si="387"/>
        <v>0</v>
      </c>
      <c r="BD180" s="95">
        <f t="shared" si="387"/>
        <v>0</v>
      </c>
      <c r="BE180" s="95">
        <f t="shared" si="387"/>
        <v>20497</v>
      </c>
      <c r="BF180" s="95">
        <f t="shared" si="387"/>
        <v>0</v>
      </c>
      <c r="BG180" s="95">
        <f t="shared" si="387"/>
        <v>0</v>
      </c>
      <c r="BH180" s="95">
        <f t="shared" si="387"/>
        <v>0</v>
      </c>
      <c r="BI180" s="95">
        <f t="shared" si="387"/>
        <v>0</v>
      </c>
      <c r="BJ180" s="95">
        <f t="shared" si="387"/>
        <v>23795</v>
      </c>
      <c r="BK180" s="95">
        <f t="shared" si="387"/>
        <v>0</v>
      </c>
      <c r="BL180" s="95">
        <f t="shared" si="387"/>
        <v>0</v>
      </c>
      <c r="BM180" s="95">
        <f t="shared" si="387"/>
        <v>0</v>
      </c>
      <c r="BN180" s="95">
        <f t="shared" si="387"/>
        <v>0</v>
      </c>
      <c r="BO180" s="95">
        <f t="shared" si="387"/>
        <v>32640</v>
      </c>
      <c r="BP180" s="95">
        <f t="shared" si="387"/>
        <v>0</v>
      </c>
      <c r="BQ180" s="95">
        <f t="shared" si="387"/>
        <v>0</v>
      </c>
      <c r="BR180" s="95">
        <f t="shared" si="387"/>
        <v>0</v>
      </c>
      <c r="BS180" s="95">
        <f t="shared" ref="BS180:CX180" si="388">BS52</f>
        <v>0</v>
      </c>
      <c r="BT180" s="95">
        <f t="shared" si="388"/>
        <v>34405</v>
      </c>
      <c r="BU180" s="95">
        <f t="shared" si="388"/>
        <v>34170</v>
      </c>
      <c r="BV180" s="95">
        <f t="shared" si="388"/>
        <v>36587</v>
      </c>
      <c r="BW180" s="95">
        <f t="shared" si="388"/>
        <v>35406</v>
      </c>
      <c r="BX180" s="95">
        <f t="shared" si="388"/>
        <v>33318</v>
      </c>
      <c r="BY180" s="95">
        <f t="shared" si="388"/>
        <v>33318</v>
      </c>
      <c r="BZ180" s="95">
        <f t="shared" si="388"/>
        <v>0</v>
      </c>
      <c r="CA180" s="95">
        <f t="shared" si="388"/>
        <v>0</v>
      </c>
      <c r="CB180" s="95">
        <f t="shared" si="388"/>
        <v>0</v>
      </c>
      <c r="CC180" s="95">
        <f t="shared" si="388"/>
        <v>0</v>
      </c>
      <c r="CD180" s="95">
        <f t="shared" si="388"/>
        <v>42720.857765478584</v>
      </c>
      <c r="CE180" s="95"/>
      <c r="CF180" s="95"/>
      <c r="CG180" s="95"/>
      <c r="CH180" s="95"/>
      <c r="CI180" s="95">
        <f t="shared" si="388"/>
        <v>52376.158363823684</v>
      </c>
      <c r="CJ180" s="95"/>
      <c r="CK180" s="95"/>
      <c r="CL180" s="95"/>
      <c r="CM180" s="95"/>
      <c r="CN180" s="95">
        <f t="shared" si="388"/>
        <v>66668.406078557047</v>
      </c>
      <c r="CO180" s="95"/>
      <c r="CP180" s="95"/>
      <c r="CQ180" s="95"/>
      <c r="CR180" s="95"/>
      <c r="CS180" s="95">
        <f t="shared" si="388"/>
        <v>84225.324561311485</v>
      </c>
      <c r="CT180" s="95"/>
      <c r="CU180" s="95"/>
      <c r="CV180" s="95"/>
      <c r="CW180" s="95"/>
      <c r="CX180" s="95">
        <f t="shared" si="388"/>
        <v>104653.21715927044</v>
      </c>
    </row>
    <row r="181" spans="2:102" hidden="1" x14ac:dyDescent="0.2">
      <c r="B181" s="63" t="s">
        <v>163</v>
      </c>
      <c r="G181" s="95">
        <f t="shared" ref="G181:AL181" si="389">G51</f>
        <v>0</v>
      </c>
      <c r="H181" s="95">
        <f t="shared" si="389"/>
        <v>0</v>
      </c>
      <c r="I181" s="95">
        <f t="shared" si="389"/>
        <v>0</v>
      </c>
      <c r="J181" s="95">
        <f t="shared" si="389"/>
        <v>0</v>
      </c>
      <c r="K181" s="95">
        <f t="shared" si="389"/>
        <v>0</v>
      </c>
      <c r="L181" s="95">
        <f t="shared" si="389"/>
        <v>0</v>
      </c>
      <c r="M181" s="95">
        <f t="shared" si="389"/>
        <v>0</v>
      </c>
      <c r="N181" s="95">
        <f t="shared" si="389"/>
        <v>0</v>
      </c>
      <c r="O181" s="95">
        <f t="shared" si="389"/>
        <v>0</v>
      </c>
      <c r="P181" s="95">
        <f t="shared" si="389"/>
        <v>0</v>
      </c>
      <c r="Q181" s="95">
        <f t="shared" si="389"/>
        <v>0</v>
      </c>
      <c r="R181" s="95">
        <f t="shared" si="389"/>
        <v>0</v>
      </c>
      <c r="S181" s="95">
        <f t="shared" si="389"/>
        <v>0</v>
      </c>
      <c r="T181" s="95">
        <f t="shared" si="389"/>
        <v>0</v>
      </c>
      <c r="U181" s="95">
        <f t="shared" si="389"/>
        <v>0</v>
      </c>
      <c r="V181" s="95">
        <f t="shared" si="389"/>
        <v>0</v>
      </c>
      <c r="W181" s="95">
        <f t="shared" si="389"/>
        <v>0</v>
      </c>
      <c r="X181" s="95">
        <f t="shared" si="389"/>
        <v>0</v>
      </c>
      <c r="Y181" s="95">
        <f t="shared" si="389"/>
        <v>0</v>
      </c>
      <c r="Z181" s="95">
        <f t="shared" si="389"/>
        <v>0</v>
      </c>
      <c r="AA181" s="95">
        <f t="shared" si="389"/>
        <v>3789</v>
      </c>
      <c r="AB181" s="95">
        <f t="shared" si="389"/>
        <v>0</v>
      </c>
      <c r="AC181" s="95">
        <f t="shared" si="389"/>
        <v>0</v>
      </c>
      <c r="AD181" s="95">
        <f t="shared" si="389"/>
        <v>0</v>
      </c>
      <c r="AE181" s="95">
        <f t="shared" si="389"/>
        <v>0</v>
      </c>
      <c r="AF181" s="95">
        <f t="shared" si="389"/>
        <v>2859</v>
      </c>
      <c r="AG181" s="95">
        <f t="shared" si="389"/>
        <v>0</v>
      </c>
      <c r="AH181" s="95">
        <f t="shared" si="389"/>
        <v>0</v>
      </c>
      <c r="AI181" s="95">
        <f t="shared" si="389"/>
        <v>0</v>
      </c>
      <c r="AJ181" s="95">
        <f t="shared" si="389"/>
        <v>0</v>
      </c>
      <c r="AK181" s="95">
        <f t="shared" si="389"/>
        <v>3918</v>
      </c>
      <c r="AL181" s="95">
        <f t="shared" si="389"/>
        <v>0</v>
      </c>
      <c r="AM181" s="95">
        <f t="shared" ref="AM181:BR181" si="390">AM51</f>
        <v>0</v>
      </c>
      <c r="AN181" s="95">
        <f t="shared" si="390"/>
        <v>0</v>
      </c>
      <c r="AO181" s="95">
        <f t="shared" si="390"/>
        <v>0</v>
      </c>
      <c r="AP181" s="95">
        <f t="shared" si="390"/>
        <v>6647</v>
      </c>
      <c r="AQ181" s="95">
        <f t="shared" si="390"/>
        <v>0</v>
      </c>
      <c r="AR181" s="95">
        <f t="shared" si="390"/>
        <v>0</v>
      </c>
      <c r="AS181" s="95">
        <f t="shared" si="390"/>
        <v>0</v>
      </c>
      <c r="AT181" s="95">
        <f t="shared" si="390"/>
        <v>0</v>
      </c>
      <c r="AU181" s="95">
        <f t="shared" si="390"/>
        <v>10464</v>
      </c>
      <c r="AV181" s="95">
        <f t="shared" si="390"/>
        <v>0</v>
      </c>
      <c r="AW181" s="95">
        <f t="shared" si="390"/>
        <v>0</v>
      </c>
      <c r="AX181" s="95">
        <f t="shared" si="390"/>
        <v>0</v>
      </c>
      <c r="AY181" s="95">
        <f t="shared" si="390"/>
        <v>0</v>
      </c>
      <c r="AZ181" s="95">
        <f t="shared" si="390"/>
        <v>9500</v>
      </c>
      <c r="BA181" s="95">
        <f t="shared" si="390"/>
        <v>0</v>
      </c>
      <c r="BB181" s="95">
        <f t="shared" si="390"/>
        <v>0</v>
      </c>
      <c r="BC181" s="95">
        <f t="shared" si="390"/>
        <v>0</v>
      </c>
      <c r="BD181" s="95">
        <f t="shared" si="390"/>
        <v>0</v>
      </c>
      <c r="BE181" s="95">
        <f t="shared" si="390"/>
        <v>18929</v>
      </c>
      <c r="BF181" s="95">
        <f t="shared" si="390"/>
        <v>0</v>
      </c>
      <c r="BG181" s="95">
        <f t="shared" si="390"/>
        <v>0</v>
      </c>
      <c r="BH181" s="95">
        <f t="shared" si="390"/>
        <v>0</v>
      </c>
      <c r="BI181" s="95">
        <f t="shared" si="390"/>
        <v>0</v>
      </c>
      <c r="BJ181" s="95">
        <f t="shared" si="390"/>
        <v>42274</v>
      </c>
      <c r="BK181" s="95">
        <f t="shared" si="390"/>
        <v>0</v>
      </c>
      <c r="BL181" s="95">
        <f t="shared" si="390"/>
        <v>0</v>
      </c>
      <c r="BM181" s="95">
        <f t="shared" si="390"/>
        <v>0</v>
      </c>
      <c r="BN181" s="95">
        <f t="shared" si="390"/>
        <v>0</v>
      </c>
      <c r="BO181" s="95">
        <f t="shared" si="390"/>
        <v>59829</v>
      </c>
      <c r="BP181" s="95">
        <f t="shared" si="390"/>
        <v>0</v>
      </c>
      <c r="BQ181" s="95">
        <f t="shared" si="390"/>
        <v>0</v>
      </c>
      <c r="BR181" s="95">
        <f t="shared" si="390"/>
        <v>0</v>
      </c>
      <c r="BS181" s="95">
        <f t="shared" ref="BS181:CX181" si="391">BS51</f>
        <v>0</v>
      </c>
      <c r="BT181" s="95">
        <f t="shared" si="391"/>
        <v>16138</v>
      </c>
      <c r="BU181" s="95">
        <f t="shared" si="391"/>
        <v>15062</v>
      </c>
      <c r="BV181" s="95">
        <f t="shared" si="391"/>
        <v>14441</v>
      </c>
      <c r="BW181" s="95">
        <f t="shared" si="391"/>
        <v>14564</v>
      </c>
      <c r="BX181" s="95">
        <f t="shared" si="391"/>
        <v>13393</v>
      </c>
      <c r="BY181" s="95">
        <f t="shared" si="391"/>
        <v>13393</v>
      </c>
      <c r="BZ181" s="95">
        <f t="shared" si="391"/>
        <v>0</v>
      </c>
      <c r="CA181" s="95">
        <f t="shared" si="391"/>
        <v>0</v>
      </c>
      <c r="CB181" s="95">
        <f t="shared" si="391"/>
        <v>0</v>
      </c>
      <c r="CC181" s="95">
        <f t="shared" si="391"/>
        <v>0</v>
      </c>
      <c r="CD181" s="95">
        <f t="shared" si="391"/>
        <v>34165.1696508155</v>
      </c>
      <c r="CE181" s="95"/>
      <c r="CF181" s="95"/>
      <c r="CG181" s="95"/>
      <c r="CH181" s="95"/>
      <c r="CI181" s="95">
        <f t="shared" si="391"/>
        <v>37622.501936627545</v>
      </c>
      <c r="CJ181" s="95"/>
      <c r="CK181" s="95"/>
      <c r="CL181" s="95"/>
      <c r="CM181" s="95"/>
      <c r="CN181" s="95">
        <f t="shared" si="391"/>
        <v>36567.00210954147</v>
      </c>
      <c r="CO181" s="95"/>
      <c r="CP181" s="95"/>
      <c r="CQ181" s="95"/>
      <c r="CR181" s="95"/>
      <c r="CS181" s="95">
        <f t="shared" si="391"/>
        <v>31288.480133063673</v>
      </c>
      <c r="CT181" s="95"/>
      <c r="CU181" s="95"/>
      <c r="CV181" s="95"/>
      <c r="CW181" s="95"/>
      <c r="CX181" s="95">
        <f t="shared" si="391"/>
        <v>34726.368087192037</v>
      </c>
    </row>
    <row r="182" spans="2:102" hidden="1" x14ac:dyDescent="0.2">
      <c r="B182" s="63" t="s">
        <v>164</v>
      </c>
      <c r="G182" s="95">
        <f>G61</f>
        <v>0</v>
      </c>
      <c r="H182" s="95">
        <f t="shared" ref="H182:BE182" si="392">H61</f>
        <v>0</v>
      </c>
      <c r="I182" s="95">
        <f t="shared" si="392"/>
        <v>0</v>
      </c>
      <c r="J182" s="95">
        <f t="shared" si="392"/>
        <v>0</v>
      </c>
      <c r="K182" s="95">
        <f t="shared" si="392"/>
        <v>0</v>
      </c>
      <c r="L182" s="95">
        <f t="shared" si="392"/>
        <v>0</v>
      </c>
      <c r="M182" s="95">
        <f t="shared" si="392"/>
        <v>0</v>
      </c>
      <c r="N182" s="95">
        <f t="shared" si="392"/>
        <v>0</v>
      </c>
      <c r="O182" s="95">
        <f t="shared" si="392"/>
        <v>0</v>
      </c>
      <c r="P182" s="95">
        <f t="shared" si="392"/>
        <v>0</v>
      </c>
      <c r="Q182" s="95">
        <f t="shared" si="392"/>
        <v>0</v>
      </c>
      <c r="R182" s="95">
        <f t="shared" si="392"/>
        <v>0</v>
      </c>
      <c r="S182" s="95">
        <f t="shared" si="392"/>
        <v>0</v>
      </c>
      <c r="T182" s="95">
        <f t="shared" si="392"/>
        <v>0</v>
      </c>
      <c r="U182" s="95">
        <f t="shared" si="392"/>
        <v>0</v>
      </c>
      <c r="V182" s="95">
        <f t="shared" si="392"/>
        <v>0</v>
      </c>
      <c r="W182" s="95">
        <f t="shared" si="392"/>
        <v>0</v>
      </c>
      <c r="X182" s="95">
        <f t="shared" si="392"/>
        <v>0</v>
      </c>
      <c r="Y182" s="95">
        <f t="shared" si="392"/>
        <v>0</v>
      </c>
      <c r="Z182" s="95">
        <f t="shared" si="392"/>
        <v>0</v>
      </c>
      <c r="AA182" s="95">
        <f t="shared" si="392"/>
        <v>15133</v>
      </c>
      <c r="AB182" s="95">
        <f t="shared" si="392"/>
        <v>0</v>
      </c>
      <c r="AC182" s="95">
        <f t="shared" si="392"/>
        <v>0</v>
      </c>
      <c r="AD182" s="95">
        <f t="shared" si="392"/>
        <v>0</v>
      </c>
      <c r="AE182" s="95">
        <f t="shared" si="392"/>
        <v>0</v>
      </c>
      <c r="AF182" s="95">
        <f t="shared" si="392"/>
        <v>16459</v>
      </c>
      <c r="AG182" s="95">
        <f t="shared" si="392"/>
        <v>0</v>
      </c>
      <c r="AH182" s="95">
        <f t="shared" si="392"/>
        <v>0</v>
      </c>
      <c r="AI182" s="95">
        <f t="shared" si="392"/>
        <v>0</v>
      </c>
      <c r="AJ182" s="95">
        <f t="shared" si="392"/>
        <v>0</v>
      </c>
      <c r="AK182" s="95">
        <f t="shared" si="392"/>
        <v>20397</v>
      </c>
      <c r="AL182" s="95">
        <f t="shared" si="392"/>
        <v>0</v>
      </c>
      <c r="AM182" s="95">
        <f t="shared" si="392"/>
        <v>0</v>
      </c>
      <c r="AN182" s="95">
        <f t="shared" si="392"/>
        <v>0</v>
      </c>
      <c r="AO182" s="95">
        <f t="shared" si="392"/>
        <v>0</v>
      </c>
      <c r="AP182" s="95">
        <f t="shared" si="392"/>
        <v>25309</v>
      </c>
      <c r="AQ182" s="95">
        <f t="shared" ref="AQ182:AZ182" si="393">AQ61</f>
        <v>0</v>
      </c>
      <c r="AR182" s="95">
        <f t="shared" si="393"/>
        <v>0</v>
      </c>
      <c r="AS182" s="95">
        <f t="shared" si="393"/>
        <v>0</v>
      </c>
      <c r="AT182" s="95">
        <f t="shared" si="393"/>
        <v>0</v>
      </c>
      <c r="AU182" s="95">
        <f t="shared" si="393"/>
        <v>34616</v>
      </c>
      <c r="AV182" s="95">
        <f t="shared" si="393"/>
        <v>0</v>
      </c>
      <c r="AW182" s="95">
        <f t="shared" si="393"/>
        <v>0</v>
      </c>
      <c r="AX182" s="95">
        <f t="shared" si="393"/>
        <v>0</v>
      </c>
      <c r="AY182" s="95">
        <f t="shared" si="393"/>
        <v>0</v>
      </c>
      <c r="AZ182" s="95">
        <f t="shared" si="393"/>
        <v>38192</v>
      </c>
      <c r="BA182" s="95">
        <f t="shared" si="392"/>
        <v>0</v>
      </c>
      <c r="BB182" s="95">
        <f t="shared" si="392"/>
        <v>0</v>
      </c>
      <c r="BC182" s="95">
        <f t="shared" si="392"/>
        <v>0</v>
      </c>
      <c r="BD182" s="95">
        <f t="shared" si="392"/>
        <v>0</v>
      </c>
      <c r="BE182" s="95">
        <f t="shared" si="392"/>
        <v>47183</v>
      </c>
      <c r="BF182" s="95">
        <f t="shared" ref="BF182:CD182" si="394">BF61</f>
        <v>0</v>
      </c>
      <c r="BG182" s="95">
        <f t="shared" si="394"/>
        <v>0</v>
      </c>
      <c r="BH182" s="95">
        <f t="shared" si="394"/>
        <v>0</v>
      </c>
      <c r="BI182" s="95">
        <f t="shared" si="394"/>
        <v>0</v>
      </c>
      <c r="BJ182" s="95">
        <f t="shared" si="394"/>
        <v>72539</v>
      </c>
      <c r="BK182" s="95">
        <f t="shared" si="394"/>
        <v>0</v>
      </c>
      <c r="BL182" s="95">
        <f t="shared" si="394"/>
        <v>0</v>
      </c>
      <c r="BM182" s="95">
        <f t="shared" si="394"/>
        <v>0</v>
      </c>
      <c r="BN182" s="95">
        <f t="shared" si="394"/>
        <v>0</v>
      </c>
      <c r="BO182" s="95">
        <f t="shared" si="394"/>
        <v>78664</v>
      </c>
      <c r="BP182" s="95">
        <f t="shared" si="394"/>
        <v>0</v>
      </c>
      <c r="BQ182" s="95">
        <f t="shared" si="394"/>
        <v>0</v>
      </c>
      <c r="BR182" s="95">
        <f t="shared" si="394"/>
        <v>0</v>
      </c>
      <c r="BS182" s="95">
        <f t="shared" si="394"/>
        <v>0</v>
      </c>
      <c r="BT182" s="95">
        <f t="shared" si="394"/>
        <v>79600</v>
      </c>
      <c r="BU182" s="95">
        <f t="shared" si="394"/>
        <v>66907</v>
      </c>
      <c r="BV182" s="95">
        <f t="shared" si="394"/>
        <v>69481</v>
      </c>
      <c r="BW182" s="95">
        <f t="shared" si="394"/>
        <v>72004</v>
      </c>
      <c r="BX182" s="95">
        <f t="shared" si="394"/>
        <v>84981</v>
      </c>
      <c r="BY182" s="95">
        <f t="shared" si="394"/>
        <v>84981</v>
      </c>
      <c r="BZ182" s="95">
        <f t="shared" si="394"/>
        <v>0</v>
      </c>
      <c r="CA182" s="95">
        <f t="shared" si="394"/>
        <v>0</v>
      </c>
      <c r="CB182" s="95">
        <f t="shared" si="394"/>
        <v>0</v>
      </c>
      <c r="CC182" s="95">
        <f t="shared" si="394"/>
        <v>0</v>
      </c>
      <c r="CD182" s="95">
        <f t="shared" si="394"/>
        <v>106148.63078816717</v>
      </c>
      <c r="CE182" s="95"/>
      <c r="CF182" s="95"/>
      <c r="CG182" s="95"/>
      <c r="CH182" s="95"/>
      <c r="CI182" s="95">
        <f t="shared" ref="CI182:CX182" si="395">CI61</f>
        <v>132587.87105642678</v>
      </c>
      <c r="CJ182" s="95"/>
      <c r="CK182" s="95"/>
      <c r="CL182" s="95"/>
      <c r="CM182" s="95"/>
      <c r="CN182" s="95">
        <f t="shared" si="395"/>
        <v>166768.02740997553</v>
      </c>
      <c r="CO182" s="95"/>
      <c r="CP182" s="95"/>
      <c r="CQ182" s="95"/>
      <c r="CR182" s="95"/>
      <c r="CS182" s="95">
        <f t="shared" si="395"/>
        <v>207853.69881212909</v>
      </c>
      <c r="CT182" s="95"/>
      <c r="CU182" s="95"/>
      <c r="CV182" s="95"/>
      <c r="CW182" s="95"/>
      <c r="CX182" s="95">
        <f t="shared" si="395"/>
        <v>260673.19841493419</v>
      </c>
    </row>
    <row r="183" spans="2:102" hidden="1" x14ac:dyDescent="0.2"/>
  </sheetData>
  <mergeCells count="5">
    <mergeCell ref="CD99:CD100"/>
    <mergeCell ref="CI99:CI100"/>
    <mergeCell ref="CN99:CN100"/>
    <mergeCell ref="CS99:CS100"/>
    <mergeCell ref="CX99:CX100"/>
  </mergeCells>
  <pageMargins left="0.7" right="0.7" top="0.75" bottom="0.75" header="0.3" footer="0.3"/>
  <pageSetup paperSize="9" orientation="portrait" r:id="rId1"/>
  <ignoredErrors>
    <ignoredError sqref="BY11" formula="1"/>
    <ignoredError sqref="CI47 AU41:BS45 CI36 C36:BS36 CI35 C35:BS35 CI179 BA172:BD172 AU172 AP172 AF171:CD171 W171:Z171 H171:U171 BZ170:CC170 BU170:BX170 BP170:BS170 BK170:BN170 BF170:BI170 AF170:BD170 W170:Z170 H170:U170 AF169:CD169 W169:Z169 H169:U169 CI171 CI169 CN47 CN36 CN35 CN179 CN171 CN169 CS168 CS36 CS35 CS179 CS171 CS169 CX168 CX36 CX35 CX179 CX171 CX169" evalErro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3"/>
  <sheetViews>
    <sheetView workbookViewId="0">
      <selection activeCell="I59" sqref="I59"/>
    </sheetView>
  </sheetViews>
  <sheetFormatPr baseColWidth="10" defaultColWidth="8.83203125" defaultRowHeight="15" x14ac:dyDescent="0.2"/>
  <cols>
    <col min="1" max="1" width="36.6640625" bestFit="1" customWidth="1"/>
    <col min="2" max="2" width="18.5" customWidth="1"/>
    <col min="3" max="5" width="13.33203125" bestFit="1" customWidth="1"/>
    <col min="6" max="6" width="12.1640625" bestFit="1" customWidth="1"/>
    <col min="7" max="10" width="11.5" bestFit="1" customWidth="1"/>
    <col min="11" max="13" width="11.5" hidden="1" customWidth="1"/>
    <col min="14" max="14" width="0" hidden="1" customWidth="1"/>
  </cols>
  <sheetData>
    <row r="1" spans="1:12" ht="16" thickBot="1" x14ac:dyDescent="0.25"/>
    <row r="2" spans="1:12" ht="16" thickBot="1" x14ac:dyDescent="0.25">
      <c r="A2" s="33" t="s">
        <v>176</v>
      </c>
      <c r="B2" s="219">
        <v>2021</v>
      </c>
      <c r="C2" s="32">
        <v>2022</v>
      </c>
      <c r="D2" s="32">
        <v>2023</v>
      </c>
      <c r="E2" s="32">
        <v>2024</v>
      </c>
      <c r="F2" s="32">
        <v>2025</v>
      </c>
      <c r="G2" s="32">
        <v>2026</v>
      </c>
      <c r="H2" s="32">
        <f t="shared" ref="H2:L2" si="0">G2+1</f>
        <v>2027</v>
      </c>
      <c r="I2" s="32">
        <f t="shared" si="0"/>
        <v>2028</v>
      </c>
      <c r="J2" s="32">
        <f t="shared" si="0"/>
        <v>2029</v>
      </c>
      <c r="K2" s="219">
        <f t="shared" si="0"/>
        <v>2030</v>
      </c>
      <c r="L2" s="32">
        <f t="shared" si="0"/>
        <v>2031</v>
      </c>
    </row>
    <row r="3" spans="1:12" hidden="1" x14ac:dyDescent="0.2">
      <c r="A3" s="221" t="s">
        <v>177</v>
      </c>
      <c r="B3" s="5"/>
      <c r="C3" s="5"/>
      <c r="D3" s="5"/>
      <c r="E3" s="5"/>
      <c r="F3" s="5"/>
      <c r="G3" s="5"/>
      <c r="H3" s="5"/>
      <c r="I3" s="5"/>
      <c r="J3" s="217"/>
      <c r="K3" s="5"/>
      <c r="L3" s="5"/>
    </row>
    <row r="4" spans="1:12" hidden="1" x14ac:dyDescent="0.2">
      <c r="A4" s="282" t="s">
        <v>178</v>
      </c>
      <c r="B4" s="246"/>
      <c r="C4" s="246"/>
      <c r="D4" s="246"/>
      <c r="E4" s="246"/>
      <c r="F4" s="164"/>
      <c r="G4" s="164" t="e">
        <f>G3/F3-1</f>
        <v>#DIV/0!</v>
      </c>
      <c r="H4" s="164" t="e">
        <f t="shared" ref="H4:L4" si="1">H3/G3-1</f>
        <v>#DIV/0!</v>
      </c>
      <c r="I4" s="164" t="e">
        <f t="shared" si="1"/>
        <v>#DIV/0!</v>
      </c>
      <c r="J4" s="247" t="e">
        <f t="shared" si="1"/>
        <v>#DIV/0!</v>
      </c>
      <c r="K4" s="22" t="e">
        <f t="shared" si="1"/>
        <v>#DIV/0!</v>
      </c>
      <c r="L4" s="22" t="e">
        <f t="shared" si="1"/>
        <v>#DIV/0!</v>
      </c>
    </row>
    <row r="5" spans="1:12" hidden="1" x14ac:dyDescent="0.2">
      <c r="A5" s="283" t="s">
        <v>179</v>
      </c>
      <c r="B5" s="248"/>
      <c r="C5" s="248"/>
      <c r="D5" s="248"/>
      <c r="E5" s="248"/>
      <c r="F5" s="248">
        <f>F3-F7</f>
        <v>0</v>
      </c>
      <c r="G5" s="248">
        <f t="shared" ref="G5:L5" si="2">G3-G7</f>
        <v>0</v>
      </c>
      <c r="H5" s="248">
        <f t="shared" si="2"/>
        <v>0</v>
      </c>
      <c r="I5" s="248">
        <f t="shared" si="2"/>
        <v>0</v>
      </c>
      <c r="J5" s="249">
        <f t="shared" si="2"/>
        <v>0</v>
      </c>
      <c r="K5" s="20">
        <f t="shared" si="2"/>
        <v>0</v>
      </c>
      <c r="L5" s="20">
        <f t="shared" si="2"/>
        <v>0</v>
      </c>
    </row>
    <row r="6" spans="1:12" hidden="1" x14ac:dyDescent="0.2">
      <c r="A6" s="221" t="s">
        <v>180</v>
      </c>
      <c r="B6" s="2"/>
      <c r="C6" s="2"/>
      <c r="D6" s="2"/>
      <c r="E6" s="2"/>
      <c r="F6" s="250"/>
      <c r="G6" s="21">
        <f>F6</f>
        <v>0</v>
      </c>
      <c r="H6" s="21">
        <f t="shared" ref="H6:L6" si="3">G6</f>
        <v>0</v>
      </c>
      <c r="I6" s="21">
        <f t="shared" si="3"/>
        <v>0</v>
      </c>
      <c r="J6" s="251">
        <f t="shared" si="3"/>
        <v>0</v>
      </c>
      <c r="K6" s="21">
        <f t="shared" si="3"/>
        <v>0</v>
      </c>
      <c r="L6" s="21">
        <f t="shared" si="3"/>
        <v>0</v>
      </c>
    </row>
    <row r="7" spans="1:12" hidden="1" x14ac:dyDescent="0.2">
      <c r="A7" s="221" t="s">
        <v>181</v>
      </c>
      <c r="B7" s="252"/>
      <c r="C7" s="252"/>
      <c r="D7" s="252"/>
      <c r="E7" s="252"/>
      <c r="F7" s="253">
        <f>F3*F6</f>
        <v>0</v>
      </c>
      <c r="G7" s="253">
        <f>G3*G6</f>
        <v>0</v>
      </c>
      <c r="H7" s="253">
        <f t="shared" ref="H7:L7" si="4">H3*H6</f>
        <v>0</v>
      </c>
      <c r="I7" s="253">
        <f t="shared" si="4"/>
        <v>0</v>
      </c>
      <c r="J7" s="254">
        <f t="shared" si="4"/>
        <v>0</v>
      </c>
      <c r="K7" s="10">
        <f t="shared" si="4"/>
        <v>0</v>
      </c>
      <c r="L7" s="10">
        <f t="shared" si="4"/>
        <v>0</v>
      </c>
    </row>
    <row r="8" spans="1:12" hidden="1" x14ac:dyDescent="0.2">
      <c r="A8" s="221" t="s">
        <v>182</v>
      </c>
      <c r="B8" s="255"/>
      <c r="C8" s="255"/>
      <c r="D8" s="255"/>
      <c r="E8" s="255"/>
      <c r="F8" s="253">
        <f>F3*F9</f>
        <v>0</v>
      </c>
      <c r="G8" s="253">
        <f t="shared" ref="G8:L8" si="5">G3*G9</f>
        <v>0</v>
      </c>
      <c r="H8" s="253">
        <f t="shared" si="5"/>
        <v>0</v>
      </c>
      <c r="I8" s="253">
        <f t="shared" si="5"/>
        <v>0</v>
      </c>
      <c r="J8" s="254">
        <f t="shared" si="5"/>
        <v>0</v>
      </c>
      <c r="K8" s="10">
        <f t="shared" si="5"/>
        <v>0</v>
      </c>
      <c r="L8" s="10">
        <f t="shared" si="5"/>
        <v>0</v>
      </c>
    </row>
    <row r="9" spans="1:12" hidden="1" x14ac:dyDescent="0.2">
      <c r="A9" s="221" t="s">
        <v>183</v>
      </c>
      <c r="B9" s="256"/>
      <c r="C9" s="256"/>
      <c r="D9" s="256"/>
      <c r="E9" s="256"/>
      <c r="F9" s="257"/>
      <c r="G9" s="258">
        <f>F9</f>
        <v>0</v>
      </c>
      <c r="H9" s="258">
        <f t="shared" ref="H9:L9" si="6">G9</f>
        <v>0</v>
      </c>
      <c r="I9" s="258">
        <f t="shared" si="6"/>
        <v>0</v>
      </c>
      <c r="J9" s="259">
        <f t="shared" si="6"/>
        <v>0</v>
      </c>
      <c r="K9" s="26">
        <f t="shared" si="6"/>
        <v>0</v>
      </c>
      <c r="L9" s="26">
        <f t="shared" si="6"/>
        <v>0</v>
      </c>
    </row>
    <row r="10" spans="1:12" hidden="1" x14ac:dyDescent="0.2">
      <c r="A10" s="221" t="s">
        <v>20</v>
      </c>
      <c r="B10" s="256"/>
      <c r="C10" s="256"/>
      <c r="D10" s="256"/>
      <c r="E10" s="256"/>
      <c r="F10" s="260">
        <f>F7-F8</f>
        <v>0</v>
      </c>
      <c r="G10" s="260">
        <f t="shared" ref="G10:L10" si="7">G7-G8</f>
        <v>0</v>
      </c>
      <c r="H10" s="260">
        <f t="shared" si="7"/>
        <v>0</v>
      </c>
      <c r="I10" s="260">
        <f t="shared" si="7"/>
        <v>0</v>
      </c>
      <c r="J10" s="261">
        <f t="shared" si="7"/>
        <v>0</v>
      </c>
      <c r="K10" s="23">
        <f t="shared" si="7"/>
        <v>0</v>
      </c>
      <c r="L10" s="23">
        <f t="shared" si="7"/>
        <v>0</v>
      </c>
    </row>
    <row r="11" spans="1:12" hidden="1" x14ac:dyDescent="0.2">
      <c r="A11" s="221" t="s">
        <v>184</v>
      </c>
      <c r="B11" s="256"/>
      <c r="C11" s="256"/>
      <c r="D11" s="256"/>
      <c r="E11" s="256"/>
      <c r="F11" s="164" t="e">
        <f>F10/F3</f>
        <v>#DIV/0!</v>
      </c>
      <c r="G11" s="164" t="e">
        <f t="shared" ref="G11:L11" si="8">G10/G3</f>
        <v>#DIV/0!</v>
      </c>
      <c r="H11" s="164" t="e">
        <f t="shared" si="8"/>
        <v>#DIV/0!</v>
      </c>
      <c r="I11" s="164" t="e">
        <f t="shared" si="8"/>
        <v>#DIV/0!</v>
      </c>
      <c r="J11" s="247" t="e">
        <f t="shared" si="8"/>
        <v>#DIV/0!</v>
      </c>
      <c r="K11" s="22" t="e">
        <f t="shared" si="8"/>
        <v>#DIV/0!</v>
      </c>
      <c r="L11" s="22" t="e">
        <f t="shared" si="8"/>
        <v>#DIV/0!</v>
      </c>
    </row>
    <row r="12" spans="1:12" hidden="1" x14ac:dyDescent="0.2">
      <c r="A12" s="221" t="s">
        <v>185</v>
      </c>
      <c r="B12" s="262"/>
      <c r="C12" s="262"/>
      <c r="D12" s="262"/>
      <c r="E12" s="262"/>
      <c r="F12" s="263"/>
      <c r="G12" s="263">
        <f>F12</f>
        <v>0</v>
      </c>
      <c r="H12" s="263">
        <f t="shared" ref="H12:L12" si="9">G12</f>
        <v>0</v>
      </c>
      <c r="I12" s="263">
        <f t="shared" si="9"/>
        <v>0</v>
      </c>
      <c r="J12" s="264">
        <f t="shared" si="9"/>
        <v>0</v>
      </c>
      <c r="K12" s="47">
        <f t="shared" si="9"/>
        <v>0</v>
      </c>
      <c r="L12" s="47">
        <f t="shared" si="9"/>
        <v>0</v>
      </c>
    </row>
    <row r="13" spans="1:12" hidden="1" x14ac:dyDescent="0.2">
      <c r="A13" s="221" t="s">
        <v>186</v>
      </c>
      <c r="B13" s="265"/>
      <c r="C13" s="265"/>
      <c r="D13" s="265"/>
      <c r="E13" s="265"/>
      <c r="F13" s="266">
        <f>F10-F12</f>
        <v>0</v>
      </c>
      <c r="G13" s="266">
        <f t="shared" ref="G13:L13" si="10">G10-G12</f>
        <v>0</v>
      </c>
      <c r="H13" s="266">
        <f t="shared" si="10"/>
        <v>0</v>
      </c>
      <c r="I13" s="266">
        <f t="shared" si="10"/>
        <v>0</v>
      </c>
      <c r="J13" s="267">
        <f t="shared" si="10"/>
        <v>0</v>
      </c>
      <c r="K13" s="24">
        <f t="shared" si="10"/>
        <v>0</v>
      </c>
      <c r="L13" s="24">
        <f t="shared" si="10"/>
        <v>0</v>
      </c>
    </row>
    <row r="14" spans="1:12" hidden="1" x14ac:dyDescent="0.2">
      <c r="A14" s="221" t="s">
        <v>131</v>
      </c>
      <c r="B14" s="5"/>
      <c r="C14" s="5"/>
      <c r="D14" s="5"/>
      <c r="E14" s="5"/>
      <c r="F14" s="37" t="e">
        <f>F13/F3</f>
        <v>#DIV/0!</v>
      </c>
      <c r="G14" s="37" t="e">
        <f t="shared" ref="G14:L14" si="11">G13/G3</f>
        <v>#DIV/0!</v>
      </c>
      <c r="H14" s="37" t="e">
        <f t="shared" si="11"/>
        <v>#DIV/0!</v>
      </c>
      <c r="I14" s="37" t="e">
        <f t="shared" si="11"/>
        <v>#DIV/0!</v>
      </c>
      <c r="J14" s="268" t="e">
        <f t="shared" si="11"/>
        <v>#DIV/0!</v>
      </c>
      <c r="K14" s="25" t="e">
        <f t="shared" si="11"/>
        <v>#DIV/0!</v>
      </c>
      <c r="L14" s="25" t="e">
        <f t="shared" si="11"/>
        <v>#DIV/0!</v>
      </c>
    </row>
    <row r="15" spans="1:12" hidden="1" x14ac:dyDescent="0.2">
      <c r="A15" s="221" t="s">
        <v>187</v>
      </c>
      <c r="B15" s="269"/>
      <c r="C15" s="269"/>
      <c r="D15" s="269"/>
      <c r="E15" s="269"/>
      <c r="F15" s="263"/>
      <c r="G15" s="263">
        <f>F15</f>
        <v>0</v>
      </c>
      <c r="H15" s="263">
        <f t="shared" ref="H15:L15" si="12">G15</f>
        <v>0</v>
      </c>
      <c r="I15" s="263">
        <f t="shared" si="12"/>
        <v>0</v>
      </c>
      <c r="J15" s="264">
        <f t="shared" si="12"/>
        <v>0</v>
      </c>
      <c r="K15" s="47">
        <f t="shared" si="12"/>
        <v>0</v>
      </c>
      <c r="L15" s="47">
        <f t="shared" si="12"/>
        <v>0</v>
      </c>
    </row>
    <row r="16" spans="1:12" hidden="1" x14ac:dyDescent="0.2">
      <c r="A16" s="221" t="s">
        <v>188</v>
      </c>
      <c r="C16" s="270"/>
      <c r="D16" s="270"/>
      <c r="E16" s="270"/>
      <c r="F16" s="270">
        <f>F13-F15</f>
        <v>0</v>
      </c>
      <c r="G16" s="270">
        <f t="shared" ref="G16:L16" si="13">G13-G15</f>
        <v>0</v>
      </c>
      <c r="H16" s="270">
        <f t="shared" si="13"/>
        <v>0</v>
      </c>
      <c r="I16" s="270">
        <f t="shared" si="13"/>
        <v>0</v>
      </c>
      <c r="J16" s="271">
        <f t="shared" si="13"/>
        <v>0</v>
      </c>
      <c r="K16" s="8">
        <f t="shared" si="13"/>
        <v>0</v>
      </c>
      <c r="L16" s="8">
        <f t="shared" si="13"/>
        <v>0</v>
      </c>
    </row>
    <row r="17" spans="1:12" hidden="1" x14ac:dyDescent="0.2">
      <c r="A17" s="221" t="s">
        <v>189</v>
      </c>
      <c r="B17" s="5"/>
      <c r="C17" s="5"/>
      <c r="D17" s="5"/>
      <c r="E17" s="5"/>
      <c r="F17" s="257"/>
      <c r="G17" s="258">
        <f>F17</f>
        <v>0</v>
      </c>
      <c r="H17" s="258">
        <f t="shared" ref="H17:L17" si="14">G17</f>
        <v>0</v>
      </c>
      <c r="I17" s="258">
        <f t="shared" si="14"/>
        <v>0</v>
      </c>
      <c r="J17" s="259">
        <f t="shared" si="14"/>
        <v>0</v>
      </c>
      <c r="K17" s="26">
        <f t="shared" si="14"/>
        <v>0</v>
      </c>
      <c r="L17" s="26">
        <f t="shared" si="14"/>
        <v>0</v>
      </c>
    </row>
    <row r="18" spans="1:12" hidden="1" x14ac:dyDescent="0.2">
      <c r="A18" s="221" t="s">
        <v>190</v>
      </c>
      <c r="B18" s="272"/>
      <c r="C18" s="272"/>
      <c r="D18" s="272"/>
      <c r="E18" s="272"/>
      <c r="F18" s="253">
        <f>F16*F17</f>
        <v>0</v>
      </c>
      <c r="G18" s="253">
        <f t="shared" ref="G18:L18" si="15">G16*G17</f>
        <v>0</v>
      </c>
      <c r="H18" s="253">
        <f t="shared" si="15"/>
        <v>0</v>
      </c>
      <c r="I18" s="253">
        <f t="shared" si="15"/>
        <v>0</v>
      </c>
      <c r="J18" s="254">
        <f t="shared" si="15"/>
        <v>0</v>
      </c>
      <c r="K18" s="10">
        <f t="shared" si="15"/>
        <v>0</v>
      </c>
      <c r="L18" s="10">
        <f t="shared" si="15"/>
        <v>0</v>
      </c>
    </row>
    <row r="19" spans="1:12" hidden="1" x14ac:dyDescent="0.2">
      <c r="A19" s="221" t="s">
        <v>191</v>
      </c>
      <c r="B19" s="27"/>
      <c r="C19" s="27"/>
      <c r="D19" s="27"/>
      <c r="E19" s="27"/>
      <c r="F19" s="270">
        <f>F16-F18</f>
        <v>0</v>
      </c>
      <c r="G19" s="270">
        <f t="shared" ref="G19:L19" si="16">G16-G18</f>
        <v>0</v>
      </c>
      <c r="H19" s="270">
        <f t="shared" si="16"/>
        <v>0</v>
      </c>
      <c r="I19" s="270">
        <f t="shared" si="16"/>
        <v>0</v>
      </c>
      <c r="J19" s="271">
        <f t="shared" si="16"/>
        <v>0</v>
      </c>
      <c r="K19" s="8">
        <f t="shared" si="16"/>
        <v>0</v>
      </c>
      <c r="L19" s="8">
        <f t="shared" si="16"/>
        <v>0</v>
      </c>
    </row>
    <row r="20" spans="1:12" hidden="1" x14ac:dyDescent="0.2">
      <c r="A20" s="221" t="s">
        <v>192</v>
      </c>
      <c r="B20" s="5"/>
      <c r="C20" s="5"/>
      <c r="D20" s="5"/>
      <c r="E20" s="5"/>
      <c r="F20" s="5">
        <v>0</v>
      </c>
      <c r="G20" s="5">
        <v>0</v>
      </c>
      <c r="H20" s="5">
        <v>0</v>
      </c>
      <c r="I20" s="5">
        <v>0</v>
      </c>
      <c r="J20" s="217">
        <v>0</v>
      </c>
      <c r="K20" s="5">
        <v>0</v>
      </c>
      <c r="L20" s="5">
        <v>0</v>
      </c>
    </row>
    <row r="21" spans="1:12" hidden="1" x14ac:dyDescent="0.2">
      <c r="A21" s="221" t="s">
        <v>193</v>
      </c>
      <c r="B21" s="5"/>
      <c r="C21" s="5"/>
      <c r="D21" s="5"/>
      <c r="E21" s="5"/>
      <c r="F21" s="5">
        <f>F19-F20</f>
        <v>0</v>
      </c>
      <c r="G21" s="5">
        <f t="shared" ref="G21:L21" si="17">G19-G20</f>
        <v>0</v>
      </c>
      <c r="H21" s="5">
        <f t="shared" si="17"/>
        <v>0</v>
      </c>
      <c r="I21" s="5">
        <f t="shared" si="17"/>
        <v>0</v>
      </c>
      <c r="J21" s="217">
        <f t="shared" si="17"/>
        <v>0</v>
      </c>
      <c r="K21" s="5">
        <f t="shared" si="17"/>
        <v>0</v>
      </c>
      <c r="L21" s="5">
        <f t="shared" si="17"/>
        <v>0</v>
      </c>
    </row>
    <row r="22" spans="1:12" hidden="1" x14ac:dyDescent="0.2">
      <c r="A22" s="221" t="s">
        <v>194</v>
      </c>
      <c r="B22" s="5"/>
      <c r="C22" s="5"/>
      <c r="D22" s="5"/>
      <c r="E22" s="5"/>
      <c r="F22" s="164" t="e">
        <f>F21/F3</f>
        <v>#DIV/0!</v>
      </c>
      <c r="G22" s="164" t="e">
        <f t="shared" ref="G22:L22" si="18">G21/G3</f>
        <v>#DIV/0!</v>
      </c>
      <c r="H22" s="164" t="e">
        <f t="shared" si="18"/>
        <v>#DIV/0!</v>
      </c>
      <c r="I22" s="164" t="e">
        <f t="shared" si="18"/>
        <v>#DIV/0!</v>
      </c>
      <c r="J22" s="247" t="e">
        <f t="shared" si="18"/>
        <v>#DIV/0!</v>
      </c>
      <c r="K22" s="22" t="e">
        <f t="shared" si="18"/>
        <v>#DIV/0!</v>
      </c>
      <c r="L22" s="22" t="e">
        <f t="shared" si="18"/>
        <v>#DIV/0!</v>
      </c>
    </row>
    <row r="23" spans="1:12" hidden="1" x14ac:dyDescent="0.2">
      <c r="A23" s="221" t="s">
        <v>195</v>
      </c>
      <c r="B23" s="273"/>
      <c r="C23" s="273"/>
      <c r="D23" s="273"/>
      <c r="E23" s="274"/>
      <c r="F23" s="275">
        <f>Financials!BT38</f>
        <v>10189</v>
      </c>
      <c r="G23" s="275">
        <f>F23</f>
        <v>10189</v>
      </c>
      <c r="H23" s="275">
        <f t="shared" ref="H23:L23" si="19">G23</f>
        <v>10189</v>
      </c>
      <c r="I23" s="275">
        <f t="shared" si="19"/>
        <v>10189</v>
      </c>
      <c r="J23" s="276">
        <f t="shared" si="19"/>
        <v>10189</v>
      </c>
      <c r="K23" s="28">
        <f t="shared" si="19"/>
        <v>10189</v>
      </c>
      <c r="L23" s="28">
        <f t="shared" si="19"/>
        <v>10189</v>
      </c>
    </row>
    <row r="24" spans="1:12" hidden="1" x14ac:dyDescent="0.2">
      <c r="A24" s="221" t="s">
        <v>196</v>
      </c>
      <c r="B24" s="273"/>
      <c r="C24" s="273"/>
      <c r="D24" s="273"/>
      <c r="E24" s="277"/>
      <c r="F24" s="266">
        <f>F21/F23</f>
        <v>0</v>
      </c>
      <c r="G24" s="266">
        <f t="shared" ref="G24:L24" si="20">G21/G23</f>
        <v>0</v>
      </c>
      <c r="H24" s="266">
        <f t="shared" si="20"/>
        <v>0</v>
      </c>
      <c r="I24" s="266">
        <f t="shared" si="20"/>
        <v>0</v>
      </c>
      <c r="J24" s="267">
        <f t="shared" si="20"/>
        <v>0</v>
      </c>
      <c r="K24" s="24">
        <f t="shared" si="20"/>
        <v>0</v>
      </c>
      <c r="L24" s="24">
        <f t="shared" si="20"/>
        <v>0</v>
      </c>
    </row>
    <row r="25" spans="1:12" hidden="1" x14ac:dyDescent="0.2">
      <c r="A25" s="221" t="s">
        <v>197</v>
      </c>
      <c r="B25" s="273"/>
      <c r="C25" s="273"/>
      <c r="D25" s="278"/>
      <c r="E25" s="279"/>
      <c r="F25" s="270">
        <f>F21+F12</f>
        <v>0</v>
      </c>
      <c r="G25" s="270">
        <f t="shared" ref="G25:L25" si="21">G21+G12</f>
        <v>0</v>
      </c>
      <c r="H25" s="270">
        <f t="shared" si="21"/>
        <v>0</v>
      </c>
      <c r="I25" s="270">
        <f t="shared" si="21"/>
        <v>0</v>
      </c>
      <c r="J25" s="271">
        <f t="shared" si="21"/>
        <v>0</v>
      </c>
      <c r="K25" s="8">
        <f t="shared" si="21"/>
        <v>0</v>
      </c>
      <c r="L25" s="8">
        <f t="shared" si="21"/>
        <v>0</v>
      </c>
    </row>
    <row r="26" spans="1:12" hidden="1" x14ac:dyDescent="0.2">
      <c r="A26" s="221" t="s">
        <v>160</v>
      </c>
      <c r="B26" s="5"/>
      <c r="C26" s="5"/>
      <c r="D26" s="5"/>
      <c r="E26" s="5"/>
      <c r="F26" s="5">
        <f>capex!G120</f>
        <v>0</v>
      </c>
      <c r="G26" s="5">
        <f>capex!H120</f>
        <v>0</v>
      </c>
      <c r="H26" s="5">
        <f>capex!I120</f>
        <v>0</v>
      </c>
      <c r="I26" s="5">
        <f>capex!J120</f>
        <v>0</v>
      </c>
      <c r="J26" s="217">
        <f>capex!K120</f>
        <v>0</v>
      </c>
      <c r="K26" s="5">
        <f>capex!L120</f>
        <v>0</v>
      </c>
      <c r="L26" s="5">
        <f>capex!M120</f>
        <v>0</v>
      </c>
    </row>
    <row r="27" spans="1:12" hidden="1" x14ac:dyDescent="0.2">
      <c r="A27" s="221" t="s">
        <v>198</v>
      </c>
      <c r="D27" s="4"/>
      <c r="F27" s="257"/>
      <c r="G27" s="280">
        <v>5</v>
      </c>
      <c r="H27" s="280">
        <v>5</v>
      </c>
      <c r="I27" s="280">
        <v>5</v>
      </c>
      <c r="J27" s="281">
        <v>5</v>
      </c>
      <c r="K27" s="29">
        <v>5</v>
      </c>
      <c r="L27" s="29">
        <v>5</v>
      </c>
    </row>
    <row r="28" spans="1:12" hidden="1" x14ac:dyDescent="0.2">
      <c r="A28" s="221" t="s">
        <v>199</v>
      </c>
      <c r="F28" s="4"/>
      <c r="G28" s="4"/>
      <c r="H28" s="4"/>
      <c r="I28" s="4"/>
      <c r="J28" s="216"/>
      <c r="K28" s="4"/>
      <c r="L28" s="4"/>
    </row>
    <row r="29" spans="1:12" hidden="1" x14ac:dyDescent="0.2">
      <c r="A29" s="221" t="s">
        <v>200</v>
      </c>
      <c r="F29" s="4"/>
      <c r="G29" s="4"/>
      <c r="H29" s="4"/>
      <c r="I29" s="4"/>
      <c r="J29" s="216"/>
      <c r="K29" s="4"/>
      <c r="L29" s="4"/>
    </row>
    <row r="30" spans="1:12" ht="16" thickBot="1" x14ac:dyDescent="0.25">
      <c r="A30" s="220" t="s">
        <v>201</v>
      </c>
      <c r="B30" s="430">
        <f>Financials!BO134</f>
        <v>-14726</v>
      </c>
      <c r="C30" s="226">
        <f>Financials!BT134</f>
        <v>-16893</v>
      </c>
      <c r="D30" s="226">
        <f>Financials!BY134</f>
        <v>36418.600000000006</v>
      </c>
      <c r="E30" s="226">
        <f>Financials!CD$134</f>
        <v>56769.034243382674</v>
      </c>
      <c r="F30" s="226">
        <f>Financials!CI134</f>
        <v>45474.179536214382</v>
      </c>
      <c r="G30" s="226">
        <f>Financials!CN134</f>
        <v>54100.269759665694</v>
      </c>
      <c r="H30" s="226">
        <f>Financials!CS134</f>
        <v>69830.475781063084</v>
      </c>
      <c r="I30" s="226">
        <f>Financials!CX134</f>
        <v>77713.934428029752</v>
      </c>
      <c r="J30" s="396">
        <f>I30*(1+$B$73)</f>
        <v>83153.909837991843</v>
      </c>
      <c r="K30" s="9"/>
      <c r="L30" s="9"/>
    </row>
    <row r="31" spans="1:12" ht="16" thickBot="1" x14ac:dyDescent="0.25">
      <c r="A31" s="222" t="s">
        <v>202</v>
      </c>
      <c r="B31" s="212"/>
      <c r="C31" s="212"/>
      <c r="D31" s="212">
        <v>0</v>
      </c>
      <c r="E31" s="212">
        <v>1</v>
      </c>
      <c r="F31" s="285">
        <v>2</v>
      </c>
      <c r="G31" s="285">
        <v>3</v>
      </c>
      <c r="H31" s="285">
        <v>4</v>
      </c>
      <c r="I31" s="285">
        <v>5</v>
      </c>
      <c r="J31" s="286">
        <f t="shared" ref="J31:L31" si="22">I31+1</f>
        <v>6</v>
      </c>
      <c r="K31" s="5">
        <f t="shared" si="22"/>
        <v>7</v>
      </c>
      <c r="L31" s="5">
        <f t="shared" si="22"/>
        <v>8</v>
      </c>
    </row>
    <row r="32" spans="1:12" x14ac:dyDescent="0.2">
      <c r="A32" s="221" t="s">
        <v>425</v>
      </c>
      <c r="F32" s="5"/>
      <c r="G32" s="5"/>
      <c r="H32" s="5"/>
      <c r="I32" s="394">
        <f>(I30*(1+$B$73))/($C$64-$B$73)</f>
        <v>2695028.6212603389</v>
      </c>
      <c r="J32" s="217"/>
      <c r="K32" s="5"/>
      <c r="L32" s="5"/>
    </row>
    <row r="33" spans="1:14" ht="16" thickBot="1" x14ac:dyDescent="0.25">
      <c r="A33" s="391" t="s">
        <v>203</v>
      </c>
      <c r="B33" s="392"/>
      <c r="C33" s="392"/>
      <c r="D33" s="392"/>
      <c r="E33" s="419">
        <f>(E30/(1+$B$64)^(E31))</f>
        <v>51568.151274922784</v>
      </c>
      <c r="F33" s="395">
        <f>F30/(1+$B$64)^(F31)</f>
        <v>37523.642039538121</v>
      </c>
      <c r="G33" s="395">
        <f>G30/(1+$B$64)^(G31)</f>
        <v>40551.749828043998</v>
      </c>
      <c r="H33" s="395">
        <f>H30/(1+$B$64)^(H31)</f>
        <v>47547.230500984137</v>
      </c>
      <c r="I33" s="420">
        <f>I30/(1+$B$64)^(I31)</f>
        <v>48067.239036661973</v>
      </c>
      <c r="J33" s="393">
        <v>0</v>
      </c>
      <c r="K33" s="4">
        <f>K30/(1+$B$64)^(K31)</f>
        <v>0</v>
      </c>
      <c r="L33" s="4">
        <f>L30/(1+$B$64)^(L31)</f>
        <v>0</v>
      </c>
    </row>
    <row r="34" spans="1:14" hidden="1" x14ac:dyDescent="0.2">
      <c r="A34" t="s">
        <v>204</v>
      </c>
      <c r="G34" s="93">
        <v>3</v>
      </c>
      <c r="H34" s="93">
        <f>G34</f>
        <v>3</v>
      </c>
      <c r="I34" s="93">
        <v>3.5</v>
      </c>
      <c r="J34" s="93">
        <f>J35*I24</f>
        <v>0</v>
      </c>
      <c r="K34" s="93">
        <f>K35*J24</f>
        <v>0</v>
      </c>
      <c r="L34" s="93">
        <f>L35*K24</f>
        <v>0</v>
      </c>
      <c r="M34" s="93">
        <f>M35*L24</f>
        <v>0</v>
      </c>
      <c r="N34" s="27">
        <f>(L30*(1+B73))/(C64-B73)</f>
        <v>0</v>
      </c>
    </row>
    <row r="35" spans="1:14" hidden="1" x14ac:dyDescent="0.2">
      <c r="A35" t="s">
        <v>205</v>
      </c>
      <c r="G35" s="22" t="e">
        <f>G34/F24</f>
        <v>#DIV/0!</v>
      </c>
      <c r="H35" s="22" t="e">
        <f>H34/G24</f>
        <v>#DIV/0!</v>
      </c>
      <c r="I35" s="22" t="e">
        <f>I34/H24</f>
        <v>#DIV/0!</v>
      </c>
      <c r="J35" s="22">
        <v>0.85</v>
      </c>
      <c r="K35" s="22">
        <f>J35</f>
        <v>0.85</v>
      </c>
      <c r="L35" s="22">
        <f t="shared" ref="L35:M35" si="23">K35</f>
        <v>0.85</v>
      </c>
      <c r="M35" s="22">
        <f t="shared" si="23"/>
        <v>0.85</v>
      </c>
      <c r="N35" s="27"/>
    </row>
    <row r="36" spans="1:14" hidden="1" x14ac:dyDescent="0.2">
      <c r="A36" t="s">
        <v>71</v>
      </c>
      <c r="G36" s="27">
        <f t="shared" ref="G36:M36" si="24">(F24-G34)*F23</f>
        <v>-30567</v>
      </c>
      <c r="H36" s="27">
        <f t="shared" si="24"/>
        <v>-30567</v>
      </c>
      <c r="I36" s="27">
        <f t="shared" si="24"/>
        <v>-35661.5</v>
      </c>
      <c r="J36" s="27">
        <f t="shared" si="24"/>
        <v>0</v>
      </c>
      <c r="K36" s="27">
        <f t="shared" si="24"/>
        <v>0</v>
      </c>
      <c r="L36" s="27">
        <f t="shared" si="24"/>
        <v>0</v>
      </c>
      <c r="M36" s="27">
        <f t="shared" si="24"/>
        <v>0</v>
      </c>
      <c r="N36" s="27"/>
    </row>
    <row r="37" spans="1:14" hidden="1" x14ac:dyDescent="0.2">
      <c r="A37" t="s">
        <v>206</v>
      </c>
      <c r="F37" s="5">
        <f>Financials!BT75</f>
        <v>146043</v>
      </c>
      <c r="G37" s="27">
        <f>F37+G36</f>
        <v>115476</v>
      </c>
      <c r="H37" s="27">
        <f>G37+H36</f>
        <v>84909</v>
      </c>
      <c r="I37" s="27">
        <f t="shared" ref="I37:M37" si="25">H37+I36</f>
        <v>49247.5</v>
      </c>
      <c r="J37" s="27">
        <f t="shared" si="25"/>
        <v>49247.5</v>
      </c>
      <c r="K37" s="27">
        <f t="shared" si="25"/>
        <v>49247.5</v>
      </c>
      <c r="L37" s="27">
        <f t="shared" si="25"/>
        <v>49247.5</v>
      </c>
      <c r="M37" s="27">
        <f t="shared" si="25"/>
        <v>49247.5</v>
      </c>
      <c r="N37" s="27"/>
    </row>
    <row r="38" spans="1:14" hidden="1" x14ac:dyDescent="0.2">
      <c r="A38" t="s">
        <v>207</v>
      </c>
      <c r="F38" s="27" t="e">
        <f t="shared" ref="F38:M38" si="26">F37/E23</f>
        <v>#DIV/0!</v>
      </c>
      <c r="G38" s="27">
        <f t="shared" si="26"/>
        <v>11.333398763372264</v>
      </c>
      <c r="H38" s="27">
        <f t="shared" si="26"/>
        <v>8.3333987633722639</v>
      </c>
      <c r="I38" s="27">
        <f t="shared" si="26"/>
        <v>4.8333987633722639</v>
      </c>
      <c r="J38" s="27">
        <f t="shared" si="26"/>
        <v>4.8333987633722639</v>
      </c>
      <c r="K38" s="27">
        <f t="shared" si="26"/>
        <v>4.8333987633722639</v>
      </c>
      <c r="L38" s="27">
        <f t="shared" si="26"/>
        <v>4.8333987633722639</v>
      </c>
      <c r="M38" s="27">
        <f t="shared" si="26"/>
        <v>4.8333987633722639</v>
      </c>
      <c r="N38" s="27"/>
    </row>
    <row r="39" spans="1:14" ht="16" thickTop="1" x14ac:dyDescent="0.2">
      <c r="F39" s="27"/>
      <c r="G39" s="27"/>
      <c r="H39" s="27"/>
      <c r="I39" s="27"/>
      <c r="J39" s="27"/>
      <c r="K39" s="27"/>
      <c r="L39" s="27"/>
      <c r="M39" s="27"/>
      <c r="N39" s="27"/>
    </row>
    <row r="40" spans="1:14" hidden="1" x14ac:dyDescent="0.2">
      <c r="F40" s="27"/>
      <c r="G40" s="27"/>
      <c r="H40" s="27"/>
      <c r="I40" s="27"/>
      <c r="J40" s="27"/>
      <c r="K40" s="27"/>
      <c r="L40" s="27"/>
      <c r="M40" s="27"/>
      <c r="N40" s="27"/>
    </row>
    <row r="41" spans="1:14" hidden="1" x14ac:dyDescent="0.2">
      <c r="F41" s="27"/>
      <c r="G41" s="27"/>
      <c r="H41" s="27"/>
      <c r="I41" s="27"/>
      <c r="J41" s="27"/>
      <c r="K41" s="27"/>
      <c r="L41" s="27"/>
      <c r="M41" s="27"/>
      <c r="N41" s="27"/>
    </row>
    <row r="42" spans="1:14" hidden="1" x14ac:dyDescent="0.2"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">
      <c r="G43" s="4"/>
      <c r="H43" s="4"/>
      <c r="I43" s="4"/>
      <c r="J43" s="4"/>
      <c r="K43" s="4"/>
      <c r="L43" s="4"/>
      <c r="M43" s="4"/>
    </row>
    <row r="44" spans="1:14" ht="16" thickBot="1" x14ac:dyDescent="0.25">
      <c r="A44" s="305" t="s">
        <v>433</v>
      </c>
      <c r="B44" s="429">
        <v>176.76</v>
      </c>
    </row>
    <row r="45" spans="1:14" x14ac:dyDescent="0.2">
      <c r="A45" s="295" t="s">
        <v>428</v>
      </c>
      <c r="B45" s="293">
        <f>SUM(E33:I33)</f>
        <v>225258.01268015103</v>
      </c>
    </row>
    <row r="46" spans="1:14" x14ac:dyDescent="0.2">
      <c r="A46" s="296" t="s">
        <v>429</v>
      </c>
      <c r="B46" s="294">
        <f>((I32)/((1+$B$64)^(I31)))</f>
        <v>1666915.7970471126</v>
      </c>
      <c r="D46" s="5"/>
    </row>
    <row r="47" spans="1:14" x14ac:dyDescent="0.2">
      <c r="A47" s="296" t="s">
        <v>430</v>
      </c>
      <c r="B47" s="294">
        <f>B45+B46</f>
        <v>1892173.8097272636</v>
      </c>
      <c r="D47" s="30"/>
    </row>
    <row r="48" spans="1:14" x14ac:dyDescent="0.2">
      <c r="A48" s="296" t="s">
        <v>438</v>
      </c>
      <c r="B48" s="294">
        <f>Financials!BY132</f>
        <v>239199</v>
      </c>
      <c r="D48" s="30"/>
    </row>
    <row r="49" spans="1:12" x14ac:dyDescent="0.2">
      <c r="A49" s="296" t="s">
        <v>439</v>
      </c>
      <c r="B49" s="294">
        <f>B47-B48</f>
        <v>1652974.8097272636</v>
      </c>
      <c r="D49" s="30"/>
    </row>
    <row r="50" spans="1:12" ht="16" thickBot="1" x14ac:dyDescent="0.25">
      <c r="A50" s="297" t="s">
        <v>208</v>
      </c>
      <c r="B50" s="298">
        <f>Financials!BY40</f>
        <v>10304</v>
      </c>
      <c r="D50" s="5"/>
    </row>
    <row r="51" spans="1:12" ht="16" thickBot="1" x14ac:dyDescent="0.25">
      <c r="A51" s="408" t="s">
        <v>209</v>
      </c>
      <c r="B51" s="428">
        <f>$B$49/$B$50</f>
        <v>160.42069193781674</v>
      </c>
      <c r="C51" s="31"/>
      <c r="D51" s="31"/>
    </row>
    <row r="52" spans="1:12" ht="17" thickTop="1" thickBot="1" x14ac:dyDescent="0.25">
      <c r="A52" s="31"/>
      <c r="B52" s="31"/>
    </row>
    <row r="53" spans="1:12" hidden="1" x14ac:dyDescent="0.2"/>
    <row r="54" spans="1:12" hidden="1" x14ac:dyDescent="0.2"/>
    <row r="55" spans="1:12" hidden="1" x14ac:dyDescent="0.2"/>
    <row r="56" spans="1:12" ht="16" thickBot="1" x14ac:dyDescent="0.25">
      <c r="A56" s="289" t="s">
        <v>457</v>
      </c>
      <c r="B56" s="409" t="s">
        <v>451</v>
      </c>
      <c r="C56" s="290" t="s">
        <v>450</v>
      </c>
    </row>
    <row r="57" spans="1:12" x14ac:dyDescent="0.2">
      <c r="A57" s="214" t="s">
        <v>210</v>
      </c>
      <c r="B57" s="410">
        <v>4.2500000000000003E-2</v>
      </c>
      <c r="C57" s="415">
        <v>4.2500000000000003E-2</v>
      </c>
      <c r="L57" s="30"/>
    </row>
    <row r="58" spans="1:12" x14ac:dyDescent="0.2">
      <c r="A58" s="215" t="s">
        <v>211</v>
      </c>
      <c r="B58" s="411">
        <v>1.1399999999999999</v>
      </c>
      <c r="C58" s="416">
        <v>1.1399999999999999</v>
      </c>
      <c r="L58" s="6"/>
    </row>
    <row r="59" spans="1:12" x14ac:dyDescent="0.2">
      <c r="A59" s="215" t="s">
        <v>212</v>
      </c>
      <c r="B59" s="412">
        <v>5.8200000000000002E-2</v>
      </c>
      <c r="C59" s="417">
        <v>5.8200000000000002E-2</v>
      </c>
    </row>
    <row r="60" spans="1:12" x14ac:dyDescent="0.2">
      <c r="A60" s="291" t="s">
        <v>213</v>
      </c>
      <c r="B60" s="413">
        <f>B57+(B58*B59)</f>
        <v>0.108848</v>
      </c>
      <c r="C60" s="310">
        <f>C57+(C58*C59)</f>
        <v>0.108848</v>
      </c>
    </row>
    <row r="61" spans="1:12" x14ac:dyDescent="0.2">
      <c r="A61" s="215" t="s">
        <v>135</v>
      </c>
      <c r="B61" s="412">
        <v>4.65E-2</v>
      </c>
      <c r="C61" s="417">
        <f>B61</f>
        <v>4.65E-2</v>
      </c>
    </row>
    <row r="62" spans="1:12" x14ac:dyDescent="0.2">
      <c r="A62" s="215" t="s">
        <v>449</v>
      </c>
      <c r="B62" s="412">
        <v>0.14000000000000001</v>
      </c>
      <c r="C62" s="417">
        <v>0.14000000000000001</v>
      </c>
    </row>
    <row r="63" spans="1:12" x14ac:dyDescent="0.2">
      <c r="A63" s="292" t="s">
        <v>458</v>
      </c>
      <c r="B63" s="414">
        <f>B61*(1-B62)</f>
        <v>3.9989999999999998E-2</v>
      </c>
      <c r="C63" s="418">
        <f>C61*(1-C62)</f>
        <v>3.9989999999999998E-2</v>
      </c>
      <c r="G63" s="30"/>
    </row>
    <row r="64" spans="1:12" ht="16" thickBot="1" x14ac:dyDescent="0.25">
      <c r="A64" s="388" t="s">
        <v>214</v>
      </c>
      <c r="B64" s="424">
        <f>B70*B63+B71*B60</f>
        <v>0.10085455537726522</v>
      </c>
      <c r="C64" s="425">
        <f>B70*C63+B71*C60</f>
        <v>0.10085455537726522</v>
      </c>
      <c r="G64" s="2"/>
    </row>
    <row r="65" spans="1:7" ht="17" thickTop="1" thickBot="1" x14ac:dyDescent="0.25">
      <c r="B65" s="7"/>
      <c r="G65" s="30"/>
    </row>
    <row r="66" spans="1:7" x14ac:dyDescent="0.2">
      <c r="A66" s="397" t="s">
        <v>215</v>
      </c>
      <c r="B66" s="398">
        <f>Financials!BY69</f>
        <v>325979</v>
      </c>
      <c r="G66" s="5"/>
    </row>
    <row r="67" spans="1:7" x14ac:dyDescent="0.2">
      <c r="A67" s="399" t="s">
        <v>432</v>
      </c>
      <c r="B67" s="400">
        <f>Financials!BY50+Financials!BY51</f>
        <v>86780</v>
      </c>
      <c r="G67" s="4"/>
    </row>
    <row r="68" spans="1:7" x14ac:dyDescent="0.2">
      <c r="A68" s="399" t="s">
        <v>121</v>
      </c>
      <c r="B68" s="400">
        <f>B66-B67</f>
        <v>239199</v>
      </c>
    </row>
    <row r="69" spans="1:7" x14ac:dyDescent="0.2">
      <c r="A69" s="399" t="s">
        <v>216</v>
      </c>
      <c r="B69" s="401">
        <f>B44*B50</f>
        <v>1821335.0399999998</v>
      </c>
    </row>
    <row r="70" spans="1:7" x14ac:dyDescent="0.2">
      <c r="A70" s="399" t="s">
        <v>452</v>
      </c>
      <c r="B70" s="402">
        <f>IF(B68/(B68+B69)&lt;0,0,B68/(B68+B69))</f>
        <v>0.11608592498670879</v>
      </c>
    </row>
    <row r="71" spans="1:7" ht="16" thickBot="1" x14ac:dyDescent="0.25">
      <c r="A71" s="403" t="s">
        <v>453</v>
      </c>
      <c r="B71" s="404">
        <f>100%-B70</f>
        <v>0.88391407501329122</v>
      </c>
    </row>
    <row r="72" spans="1:7" ht="17" thickTop="1" thickBot="1" x14ac:dyDescent="0.25">
      <c r="A72" s="405"/>
      <c r="B72" s="406"/>
    </row>
    <row r="73" spans="1:7" ht="16" thickBot="1" x14ac:dyDescent="0.25">
      <c r="A73" s="407" t="s">
        <v>437</v>
      </c>
      <c r="B73" s="344">
        <v>7.0000000000000007E-2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22ED-5A57-0143-867A-148B1F27D4ED}">
  <dimension ref="A4:X51"/>
  <sheetViews>
    <sheetView topLeftCell="C1" workbookViewId="0">
      <selection activeCell="L44" sqref="L44"/>
    </sheetView>
  </sheetViews>
  <sheetFormatPr baseColWidth="10" defaultRowHeight="15" x14ac:dyDescent="0.2"/>
  <cols>
    <col min="1" max="1" width="8" customWidth="1"/>
    <col min="2" max="2" width="12.33203125" customWidth="1"/>
    <col min="3" max="24" width="9.83203125" customWidth="1"/>
  </cols>
  <sheetData>
    <row r="4" spans="1:24" ht="16" thickBot="1" x14ac:dyDescent="0.25"/>
    <row r="5" spans="1:24" ht="16" thickBot="1" x14ac:dyDescent="0.25">
      <c r="D5" s="460" t="s">
        <v>214</v>
      </c>
      <c r="E5" s="461"/>
      <c r="F5" s="461"/>
      <c r="G5" s="461"/>
      <c r="H5" s="461"/>
      <c r="I5" s="461"/>
      <c r="J5" s="461"/>
      <c r="K5" s="461"/>
      <c r="L5" s="461"/>
      <c r="M5" s="461"/>
      <c r="N5" s="461"/>
      <c r="O5" s="461"/>
      <c r="P5" s="461"/>
      <c r="Q5" s="461"/>
      <c r="R5" s="461"/>
      <c r="S5" s="461"/>
      <c r="T5" s="461"/>
      <c r="U5" s="461"/>
      <c r="V5" s="461"/>
      <c r="W5" s="461"/>
      <c r="X5" s="462"/>
    </row>
    <row r="6" spans="1:24" ht="16" thickBot="1" x14ac:dyDescent="0.25">
      <c r="A6" s="376"/>
      <c r="B6" s="463" t="s">
        <v>426</v>
      </c>
      <c r="C6" s="334">
        <f>$D$42/$D$43</f>
        <v>160.42069193781674</v>
      </c>
      <c r="D6" s="315">
        <v>0.09</v>
      </c>
      <c r="E6" s="313">
        <v>9.0999999999999998E-2</v>
      </c>
      <c r="F6" s="313">
        <v>9.1999999999999998E-2</v>
      </c>
      <c r="G6" s="313">
        <v>9.2999999999999999E-2</v>
      </c>
      <c r="H6" s="313">
        <v>9.4E-2</v>
      </c>
      <c r="I6" s="313">
        <v>9.5000000000000001E-2</v>
      </c>
      <c r="J6" s="313">
        <v>9.6000000000000002E-2</v>
      </c>
      <c r="K6" s="313">
        <v>9.7000000000000003E-2</v>
      </c>
      <c r="L6" s="313">
        <v>9.8000000000000004E-2</v>
      </c>
      <c r="M6" s="314">
        <v>9.9000000000000005E-2</v>
      </c>
      <c r="N6" s="354">
        <v>0.1</v>
      </c>
      <c r="O6" s="426">
        <v>0.10085</v>
      </c>
      <c r="P6" s="315">
        <v>0.10199999999999999</v>
      </c>
      <c r="Q6" s="313">
        <v>0.10299999999999999</v>
      </c>
      <c r="R6" s="313">
        <v>0.104</v>
      </c>
      <c r="S6" s="313">
        <v>0.105</v>
      </c>
      <c r="T6" s="313">
        <v>0.106</v>
      </c>
      <c r="U6" s="313">
        <v>0.107</v>
      </c>
      <c r="V6" s="313">
        <v>0.108</v>
      </c>
      <c r="W6" s="313">
        <v>0.109</v>
      </c>
      <c r="X6" s="316">
        <v>0.11</v>
      </c>
    </row>
    <row r="7" spans="1:24" x14ac:dyDescent="0.2">
      <c r="A7" s="377"/>
      <c r="B7" s="464"/>
      <c r="C7" s="311">
        <v>6.5000000000000002E-2</v>
      </c>
      <c r="D7" s="342">
        <f t="dataTable" ref="D7:X27" dt2D="1" dtr="1" r1="D35" r2="D36"/>
        <v>144.91351766176643</v>
      </c>
      <c r="E7" s="342">
        <v>144.18487596876403</v>
      </c>
      <c r="F7" s="342">
        <v>143.46015855632194</v>
      </c>
      <c r="G7" s="342">
        <v>142.7393405673171</v>
      </c>
      <c r="H7" s="342">
        <v>142.02239732505282</v>
      </c>
      <c r="I7" s="342">
        <v>141.30930433178546</v>
      </c>
      <c r="J7" s="342">
        <v>140.60003726726197</v>
      </c>
      <c r="K7" s="342">
        <v>139.894571987273</v>
      </c>
      <c r="L7" s="342">
        <v>139.1928845222167</v>
      </c>
      <c r="M7" s="342">
        <v>138.49495107567813</v>
      </c>
      <c r="N7" s="342">
        <v>137.80074802301914</v>
      </c>
      <c r="O7" s="421">
        <v>137.2135909268406</v>
      </c>
      <c r="P7" s="342">
        <v>136.42343945131</v>
      </c>
      <c r="Q7" s="342">
        <v>135.74028752936655</v>
      </c>
      <c r="R7" s="342">
        <v>135.06077319278631</v>
      </c>
      <c r="S7" s="342">
        <v>134.38487365512373</v>
      </c>
      <c r="T7" s="342">
        <v>133.71256629351927</v>
      </c>
      <c r="U7" s="342">
        <v>133.04382864737747</v>
      </c>
      <c r="V7" s="342">
        <v>132.3786384170555</v>
      </c>
      <c r="W7" s="342">
        <v>131.71697346256551</v>
      </c>
      <c r="X7" s="335">
        <v>131.05881180228604</v>
      </c>
    </row>
    <row r="8" spans="1:24" x14ac:dyDescent="0.2">
      <c r="A8" s="377"/>
      <c r="B8" s="464"/>
      <c r="C8" s="310">
        <v>6.6000000000000003E-2</v>
      </c>
      <c r="D8" s="342">
        <v>149.23155717780554</v>
      </c>
      <c r="E8" s="342">
        <v>148.48316236371201</v>
      </c>
      <c r="F8" s="342">
        <v>147.73880016518328</v>
      </c>
      <c r="G8" s="342">
        <v>146.99844503254522</v>
      </c>
      <c r="H8" s="342">
        <v>146.26207160160524</v>
      </c>
      <c r="I8" s="342">
        <v>145.52965469213751</v>
      </c>
      <c r="J8" s="342">
        <v>144.80116930637919</v>
      </c>
      <c r="K8" s="342">
        <v>144.07659062754306</v>
      </c>
      <c r="L8" s="342">
        <v>143.35589401834079</v>
      </c>
      <c r="M8" s="342">
        <v>142.63905501952252</v>
      </c>
      <c r="N8" s="342">
        <v>141.92604934842697</v>
      </c>
      <c r="O8" s="421">
        <v>141.32299047024134</v>
      </c>
      <c r="P8" s="342">
        <v>140.51144173310567</v>
      </c>
      <c r="Q8" s="342">
        <v>139.80979209364821</v>
      </c>
      <c r="R8" s="342">
        <v>139.11188038864319</v>
      </c>
      <c r="S8" s="342">
        <v>138.41768319709954</v>
      </c>
      <c r="T8" s="342">
        <v>137.72717726619345</v>
      </c>
      <c r="U8" s="342">
        <v>137.04033950990973</v>
      </c>
      <c r="V8" s="342">
        <v>136.35714700769319</v>
      </c>
      <c r="W8" s="342">
        <v>135.67757700311483</v>
      </c>
      <c r="X8" s="335">
        <v>135.00160690254671</v>
      </c>
    </row>
    <row r="9" spans="1:24" x14ac:dyDescent="0.2">
      <c r="A9" s="377"/>
      <c r="B9" s="464"/>
      <c r="C9" s="310">
        <v>6.7000000000000004E-2</v>
      </c>
      <c r="D9" s="342">
        <v>153.80469025321466</v>
      </c>
      <c r="E9" s="342">
        <v>153.03537537781355</v>
      </c>
      <c r="F9" s="342">
        <v>152.27020785300684</v>
      </c>
      <c r="G9" s="342">
        <v>151.50916139565621</v>
      </c>
      <c r="H9" s="342">
        <v>150.75220991345844</v>
      </c>
      <c r="I9" s="342">
        <v>149.99932750338701</v>
      </c>
      <c r="J9" s="342">
        <v>149.25048845014453</v>
      </c>
      <c r="K9" s="342">
        <v>148.50566722463259</v>
      </c>
      <c r="L9" s="342">
        <v>147.76483848243197</v>
      </c>
      <c r="M9" s="342">
        <v>147.02797706230001</v>
      </c>
      <c r="N9" s="342">
        <v>146.29505798467883</v>
      </c>
      <c r="O9" s="421">
        <v>145.67515790692002</v>
      </c>
      <c r="P9" s="342">
        <v>144.84094783831537</v>
      </c>
      <c r="Q9" s="342">
        <v>144.11970770565631</v>
      </c>
      <c r="R9" s="342">
        <v>143.40231178478643</v>
      </c>
      <c r="S9" s="342">
        <v>142.68873598268229</v>
      </c>
      <c r="T9" s="342">
        <v>141.97895637934008</v>
      </c>
      <c r="U9" s="342">
        <v>141.27294922637728</v>
      </c>
      <c r="V9" s="342">
        <v>140.57069094564545</v>
      </c>
      <c r="W9" s="342">
        <v>139.87215812785712</v>
      </c>
      <c r="X9" s="335">
        <v>139.17732753122283</v>
      </c>
    </row>
    <row r="10" spans="1:24" x14ac:dyDescent="0.2">
      <c r="A10" s="377"/>
      <c r="B10" s="464"/>
      <c r="C10" s="310">
        <v>6.8000000000000005E-2</v>
      </c>
      <c r="D10" s="342">
        <v>158.65620987337516</v>
      </c>
      <c r="E10" s="342">
        <v>157.86470144134333</v>
      </c>
      <c r="F10" s="342">
        <v>157.07746207935699</v>
      </c>
      <c r="G10" s="342">
        <v>156.29446472616431</v>
      </c>
      <c r="H10" s="342">
        <v>155.51568251702824</v>
      </c>
      <c r="I10" s="342">
        <v>154.74108878212144</v>
      </c>
      <c r="J10" s="342">
        <v>153.97065704493275</v>
      </c>
      <c r="K10" s="342">
        <v>153.20436102069081</v>
      </c>
      <c r="L10" s="342">
        <v>152.44217461479954</v>
      </c>
      <c r="M10" s="342">
        <v>151.68407192129007</v>
      </c>
      <c r="N10" s="342">
        <v>150.9300272212848</v>
      </c>
      <c r="O10" s="421">
        <v>150.2922607467234</v>
      </c>
      <c r="P10" s="342">
        <v>149.4340098526217</v>
      </c>
      <c r="Q10" s="342">
        <v>148.69198666804419</v>
      </c>
      <c r="R10" s="342">
        <v>147.95392044215734</v>
      </c>
      <c r="S10" s="342">
        <v>147.21978636899587</v>
      </c>
      <c r="T10" s="342">
        <v>146.48955982076171</v>
      </c>
      <c r="U10" s="342">
        <v>145.76321634638396</v>
      </c>
      <c r="V10" s="342">
        <v>145.04073167009011</v>
      </c>
      <c r="W10" s="342">
        <v>144.3220816899921</v>
      </c>
      <c r="X10" s="335">
        <v>143.60724247668256</v>
      </c>
    </row>
    <row r="11" spans="1:24" ht="16" thickBot="1" x14ac:dyDescent="0.25">
      <c r="A11" s="377"/>
      <c r="B11" s="464"/>
      <c r="C11" s="422">
        <v>6.9000000000000006E-2</v>
      </c>
      <c r="D11" s="342">
        <v>163.8123339410127</v>
      </c>
      <c r="E11" s="342">
        <v>162.99723852171724</v>
      </c>
      <c r="F11" s="342">
        <v>162.1865415341189</v>
      </c>
      <c r="G11" s="342">
        <v>161.38021508999827</v>
      </c>
      <c r="H11" s="342">
        <v>160.57823150368694</v>
      </c>
      <c r="I11" s="342">
        <v>159.78056329041286</v>
      </c>
      <c r="J11" s="342">
        <v>158.98718316465792</v>
      </c>
      <c r="K11" s="342">
        <v>158.19806403853281</v>
      </c>
      <c r="L11" s="342">
        <v>157.41317902016422</v>
      </c>
      <c r="M11" s="342">
        <v>156.6325014120994</v>
      </c>
      <c r="N11" s="342">
        <v>155.85600470972236</v>
      </c>
      <c r="O11" s="421">
        <v>155.1992500900501</v>
      </c>
      <c r="P11" s="342">
        <v>154.31544895836171</v>
      </c>
      <c r="Q11" s="342">
        <v>153.55133785029111</v>
      </c>
      <c r="R11" s="342">
        <v>152.79130352666832</v>
      </c>
      <c r="S11" s="342">
        <v>152.03532042382398</v>
      </c>
      <c r="T11" s="342">
        <v>151.2833631617267</v>
      </c>
      <c r="U11" s="342">
        <v>150.53540654249863</v>
      </c>
      <c r="V11" s="342">
        <v>149.79142554894256</v>
      </c>
      <c r="W11" s="342">
        <v>149.05139534308466</v>
      </c>
      <c r="X11" s="335">
        <v>148.31529126472736</v>
      </c>
    </row>
    <row r="12" spans="1:24" ht="16" thickBot="1" x14ac:dyDescent="0.25">
      <c r="A12" s="377"/>
      <c r="B12" s="464"/>
      <c r="C12" s="427">
        <v>7.0000000000000007E-2</v>
      </c>
      <c r="D12" s="359">
        <v>169.30267926088311</v>
      </c>
      <c r="E12" s="359">
        <v>168.46246793990758</v>
      </c>
      <c r="F12" s="359">
        <v>167.6267927975355</v>
      </c>
      <c r="G12" s="359">
        <v>166.79562506497558</v>
      </c>
      <c r="H12" s="359">
        <v>165.96893618241495</v>
      </c>
      <c r="I12" s="359">
        <v>165.14669779731219</v>
      </c>
      <c r="J12" s="359">
        <v>164.32888176270197</v>
      </c>
      <c r="K12" s="359">
        <v>163.51546013551877</v>
      </c>
      <c r="L12" s="359">
        <v>162.70640517493248</v>
      </c>
      <c r="M12" s="359">
        <v>161.90168934070206</v>
      </c>
      <c r="N12" s="359">
        <v>161.10128529154159</v>
      </c>
      <c r="O12" s="423">
        <v>160.42431171044117</v>
      </c>
      <c r="P12" s="342">
        <v>159.5133041683726</v>
      </c>
      <c r="Q12" s="342">
        <v>158.72567339208115</v>
      </c>
      <c r="R12" s="342">
        <v>157.94224699313031</v>
      </c>
      <c r="S12" s="342">
        <v>157.16299860103203</v>
      </c>
      <c r="T12" s="342">
        <v>156.38790203476157</v>
      </c>
      <c r="U12" s="342">
        <v>155.61693130122583</v>
      </c>
      <c r="V12" s="342">
        <v>154.85006059374379</v>
      </c>
      <c r="W12" s="342">
        <v>154.08726429054252</v>
      </c>
      <c r="X12" s="335">
        <v>153.32851695326414</v>
      </c>
    </row>
    <row r="13" spans="1:24" x14ac:dyDescent="0.2">
      <c r="A13" s="377"/>
      <c r="B13" s="464"/>
      <c r="C13" s="311">
        <v>7.0999999999999994E-2</v>
      </c>
      <c r="D13" s="342">
        <v>175.16083078322333</v>
      </c>
      <c r="E13" s="342">
        <v>174.29382100985737</v>
      </c>
      <c r="F13" s="342">
        <v>173.43149438986629</v>
      </c>
      <c r="G13" s="342">
        <v>172.57382121489618</v>
      </c>
      <c r="H13" s="342">
        <v>171.72077199242969</v>
      </c>
      <c r="I13" s="342">
        <v>170.87231744402263</v>
      </c>
      <c r="J13" s="342">
        <v>170.02842850355307</v>
      </c>
      <c r="K13" s="342">
        <v>169.18907631548973</v>
      </c>
      <c r="L13" s="342">
        <v>168.35423223317275</v>
      </c>
      <c r="M13" s="342">
        <v>167.52386781711334</v>
      </c>
      <c r="N13" s="342">
        <v>166.69795483330574</v>
      </c>
      <c r="O13" s="342">
        <v>165.99940779320235</v>
      </c>
      <c r="P13" s="342">
        <v>165.05937124383078</v>
      </c>
      <c r="Q13" s="342">
        <v>164.24664518260451</v>
      </c>
      <c r="R13" s="342">
        <v>163.43825963924473</v>
      </c>
      <c r="S13" s="342">
        <v>162.63418738239471</v>
      </c>
      <c r="T13" s="342">
        <v>161.83440137637672</v>
      </c>
      <c r="U13" s="342">
        <v>161.03887477960984</v>
      </c>
      <c r="V13" s="342">
        <v>160.24758094304045</v>
      </c>
      <c r="W13" s="342">
        <v>159.46049340858872</v>
      </c>
      <c r="X13" s="335">
        <v>158.67758590760636</v>
      </c>
    </row>
    <row r="14" spans="1:24" x14ac:dyDescent="0.2">
      <c r="A14" s="377"/>
      <c r="B14" s="464"/>
      <c r="C14" s="310">
        <v>7.1999999999999995E-2</v>
      </c>
      <c r="D14" s="342">
        <v>181.42502921536675</v>
      </c>
      <c r="E14" s="342">
        <v>180.52936350457617</v>
      </c>
      <c r="F14" s="342">
        <v>179.63853810921563</v>
      </c>
      <c r="G14" s="342">
        <v>178.75252231624467</v>
      </c>
      <c r="H14" s="342">
        <v>177.87128563579262</v>
      </c>
      <c r="I14" s="342">
        <v>176.99479779933532</v>
      </c>
      <c r="J14" s="342">
        <v>176.12302875788464</v>
      </c>
      <c r="K14" s="342">
        <v>175.25594868019763</v>
      </c>
      <c r="L14" s="342">
        <v>174.39352795099887</v>
      </c>
      <c r="M14" s="342">
        <v>173.53573716922196</v>
      </c>
      <c r="N14" s="342">
        <v>172.68254714626431</v>
      </c>
      <c r="O14" s="342">
        <v>171.96093132285145</v>
      </c>
      <c r="P14" s="342">
        <v>170.98985367436524</v>
      </c>
      <c r="Q14" s="342">
        <v>170.15029289506393</v>
      </c>
      <c r="R14" s="342">
        <v>169.31521821048307</v>
      </c>
      <c r="S14" s="342">
        <v>168.48460146872776</v>
      </c>
      <c r="T14" s="342">
        <v>167.65841472022859</v>
      </c>
      <c r="U14" s="342">
        <v>166.83663021610548</v>
      </c>
      <c r="V14" s="342">
        <v>166.01922040654469</v>
      </c>
      <c r="W14" s="342">
        <v>165.20615793919237</v>
      </c>
      <c r="X14" s="335">
        <v>164.39741565755992</v>
      </c>
    </row>
    <row r="15" spans="1:24" x14ac:dyDescent="0.2">
      <c r="A15" s="377"/>
      <c r="B15" s="464"/>
      <c r="C15" s="310">
        <v>7.2999999999999995E-2</v>
      </c>
      <c r="D15" s="342">
        <v>188.13900674807735</v>
      </c>
      <c r="E15" s="342">
        <v>187.21262755939617</v>
      </c>
      <c r="F15" s="342">
        <v>186.29125713267811</v>
      </c>
      <c r="G15" s="342">
        <v>185.37486367805778</v>
      </c>
      <c r="H15" s="342">
        <v>184.46341563669981</v>
      </c>
      <c r="I15" s="342">
        <v>183.55688167891097</v>
      </c>
      <c r="J15" s="342">
        <v>182.65523070226544</v>
      </c>
      <c r="K15" s="342">
        <v>181.75843182975109</v>
      </c>
      <c r="L15" s="342">
        <v>180.86645440792873</v>
      </c>
      <c r="M15" s="342">
        <v>179.97926800511178</v>
      </c>
      <c r="N15" s="342">
        <v>179.09684240955912</v>
      </c>
      <c r="O15" s="342">
        <v>178.35050142864623</v>
      </c>
      <c r="P15" s="342">
        <v>177.34615388229449</v>
      </c>
      <c r="Q15" s="342">
        <v>176.47783161080804</v>
      </c>
      <c r="R15" s="342">
        <v>175.61415146353841</v>
      </c>
      <c r="S15" s="342">
        <v>174.75508430195654</v>
      </c>
      <c r="T15" s="342">
        <v>173.90060119698245</v>
      </c>
      <c r="U15" s="342">
        <v>173.05067342729146</v>
      </c>
      <c r="V15" s="342">
        <v>172.20527247763371</v>
      </c>
      <c r="W15" s="342">
        <v>171.36437003717114</v>
      </c>
      <c r="X15" s="335">
        <v>170.52793799782651</v>
      </c>
    </row>
    <row r="16" spans="1:24" x14ac:dyDescent="0.2">
      <c r="A16" s="377"/>
      <c r="B16" s="464"/>
      <c r="C16" s="310">
        <v>7.3999999999999996E-2</v>
      </c>
      <c r="D16" s="342">
        <v>195.35300950469431</v>
      </c>
      <c r="E16" s="342">
        <v>194.3936294438642</v>
      </c>
      <c r="F16" s="342">
        <v>193.43943913662957</v>
      </c>
      <c r="G16" s="342">
        <v>192.49040563610342</v>
      </c>
      <c r="H16" s="342">
        <v>191.54649623487438</v>
      </c>
      <c r="I16" s="342">
        <v>190.60767846304898</v>
      </c>
      <c r="J16" s="342">
        <v>189.6739200863089</v>
      </c>
      <c r="K16" s="342">
        <v>188.74518910398879</v>
      </c>
      <c r="L16" s="342">
        <v>187.82145374716828</v>
      </c>
      <c r="M16" s="342">
        <v>186.90268247678478</v>
      </c>
      <c r="N16" s="342">
        <v>185.98884398176017</v>
      </c>
      <c r="O16" s="342">
        <v>185.21593643080828</v>
      </c>
      <c r="P16" s="342">
        <v>184.1758412022898</v>
      </c>
      <c r="Q16" s="342">
        <v>183.27661541900315</v>
      </c>
      <c r="R16" s="342">
        <v>182.38219940976711</v>
      </c>
      <c r="S16" s="342">
        <v>181.49256297593851</v>
      </c>
      <c r="T16" s="342">
        <v>180.60767613597761</v>
      </c>
      <c r="U16" s="342">
        <v>179.7275091236919</v>
      </c>
      <c r="V16" s="342">
        <v>178.85203238649441</v>
      </c>
      <c r="W16" s="342">
        <v>177.98121658367955</v>
      </c>
      <c r="X16" s="335">
        <v>177.11503258471146</v>
      </c>
    </row>
    <row r="17" spans="1:24" x14ac:dyDescent="0.2">
      <c r="A17" s="377"/>
      <c r="B17" s="464"/>
      <c r="C17" s="310">
        <v>7.4999999999999997E-2</v>
      </c>
      <c r="D17" s="342">
        <v>203.12505726741182</v>
      </c>
      <c r="E17" s="342">
        <v>202.13012352533062</v>
      </c>
      <c r="F17" s="342">
        <v>201.14057452923109</v>
      </c>
      <c r="G17" s="342">
        <v>200.15637608570236</v>
      </c>
      <c r="H17" s="342">
        <v>199.17749424990782</v>
      </c>
      <c r="I17" s="342">
        <v>198.20389532355284</v>
      </c>
      <c r="J17" s="342">
        <v>197.23554585286806</v>
      </c>
      <c r="K17" s="342">
        <v>196.2724126266138</v>
      </c>
      <c r="L17" s="342">
        <v>195.31446267409956</v>
      </c>
      <c r="M17" s="342">
        <v>194.36166326322487</v>
      </c>
      <c r="N17" s="342">
        <v>193.41398189853444</v>
      </c>
      <c r="O17" s="342">
        <v>192.61245269907462</v>
      </c>
      <c r="P17" s="342">
        <v>191.53384449758127</v>
      </c>
      <c r="Q17" s="342">
        <v>190.60132463639502</v>
      </c>
      <c r="R17" s="342">
        <v>189.67379516778135</v>
      </c>
      <c r="S17" s="342">
        <v>188.75122475097709</v>
      </c>
      <c r="T17" s="342">
        <v>187.83358227056866</v>
      </c>
      <c r="U17" s="342">
        <v>186.92083683466939</v>
      </c>
      <c r="V17" s="342">
        <v>186.01295777311108</v>
      </c>
      <c r="W17" s="342">
        <v>185.10991463565421</v>
      </c>
      <c r="X17" s="335">
        <v>184.21167719021139</v>
      </c>
    </row>
    <row r="18" spans="1:24" x14ac:dyDescent="0.2">
      <c r="A18" s="377"/>
      <c r="B18" s="464"/>
      <c r="C18" s="311">
        <v>7.5999999999999998E-2</v>
      </c>
      <c r="D18" s="342">
        <v>211.52250730707593</v>
      </c>
      <c r="E18" s="342">
        <v>210.48915894491685</v>
      </c>
      <c r="F18" s="342">
        <v>209.46140601180147</v>
      </c>
      <c r="G18" s="342">
        <v>208.43921296748968</v>
      </c>
      <c r="H18" s="342">
        <v>207.4225445301461</v>
      </c>
      <c r="I18" s="342">
        <v>206.41136567422802</v>
      </c>
      <c r="J18" s="342">
        <v>205.40564162838794</v>
      </c>
      <c r="K18" s="342">
        <v>204.40533787339933</v>
      </c>
      <c r="L18" s="342">
        <v>203.41042014009713</v>
      </c>
      <c r="M18" s="342">
        <v>202.42085440734158</v>
      </c>
      <c r="N18" s="342">
        <v>201.43660689999555</v>
      </c>
      <c r="O18" s="342">
        <v>200.60415292102644</v>
      </c>
      <c r="P18" s="342">
        <v>199.48393267901173</v>
      </c>
      <c r="Q18" s="342">
        <v>198.51543962719228</v>
      </c>
      <c r="R18" s="342">
        <v>197.55213212050509</v>
      </c>
      <c r="S18" s="342">
        <v>196.59397758416256</v>
      </c>
      <c r="T18" s="342">
        <v>195.64094367763678</v>
      </c>
      <c r="U18" s="342">
        <v>194.69299829276423</v>
      </c>
      <c r="V18" s="342">
        <v>193.75010955186573</v>
      </c>
      <c r="W18" s="342">
        <v>192.81224580588588</v>
      </c>
      <c r="X18" s="335">
        <v>191.87937563254579</v>
      </c>
    </row>
    <row r="19" spans="1:24" x14ac:dyDescent="0.2">
      <c r="A19" s="377"/>
      <c r="B19" s="464"/>
      <c r="C19" s="310">
        <v>7.6999999999999999E-2</v>
      </c>
      <c r="D19" s="342">
        <v>220.62401155415284</v>
      </c>
      <c r="E19" s="342">
        <v>219.54902783529184</v>
      </c>
      <c r="F19" s="342">
        <v>218.47986789250535</v>
      </c>
      <c r="G19" s="342">
        <v>217.41649472580397</v>
      </c>
      <c r="H19" s="342">
        <v>216.35887160425796</v>
      </c>
      <c r="I19" s="342">
        <v>215.30696206379784</v>
      </c>
      <c r="J19" s="342">
        <v>214.26072990503039</v>
      </c>
      <c r="K19" s="342">
        <v>213.22013919107872</v>
      </c>
      <c r="L19" s="342">
        <v>212.18515424543745</v>
      </c>
      <c r="M19" s="342">
        <v>211.15573964985234</v>
      </c>
      <c r="N19" s="342">
        <v>210.13186024221429</v>
      </c>
      <c r="O19" s="342">
        <v>209.26588870604451</v>
      </c>
      <c r="P19" s="342">
        <v>208.10056761058681</v>
      </c>
      <c r="Q19" s="342">
        <v>207.09308532444234</v>
      </c>
      <c r="R19" s="342">
        <v>206.09100009785917</v>
      </c>
      <c r="S19" s="342">
        <v>205.09427801856302</v>
      </c>
      <c r="T19" s="342">
        <v>204.10288541819617</v>
      </c>
      <c r="U19" s="342">
        <v>203.11678887034381</v>
      </c>
      <c r="V19" s="342">
        <v>202.13595518857656</v>
      </c>
      <c r="W19" s="342">
        <v>201.16035142451253</v>
      </c>
      <c r="X19" s="335">
        <v>200.18994486589409</v>
      </c>
    </row>
    <row r="20" spans="1:24" x14ac:dyDescent="0.2">
      <c r="A20" s="377"/>
      <c r="B20" s="464"/>
      <c r="C20" s="310">
        <v>7.8E-2</v>
      </c>
      <c r="D20" s="342">
        <v>230.52198758524287</v>
      </c>
      <c r="E20" s="342">
        <v>229.40172500351528</v>
      </c>
      <c r="F20" s="342">
        <v>228.28753452752056</v>
      </c>
      <c r="G20" s="342">
        <v>227.17937756977716</v>
      </c>
      <c r="H20" s="342">
        <v>226.07721582345081</v>
      </c>
      <c r="I20" s="342">
        <v>224.98101126006009</v>
      </c>
      <c r="J20" s="342">
        <v>223.89072612719792</v>
      </c>
      <c r="K20" s="342">
        <v>222.8063229462785</v>
      </c>
      <c r="L20" s="342">
        <v>221.72776451029992</v>
      </c>
      <c r="M20" s="342">
        <v>220.65501388163219</v>
      </c>
      <c r="N20" s="342">
        <v>219.58803438982034</v>
      </c>
      <c r="O20" s="342">
        <v>218.68561217815937</v>
      </c>
      <c r="P20" s="342">
        <v>217.47124345779892</v>
      </c>
      <c r="Q20" s="342">
        <v>216.42135999308627</v>
      </c>
      <c r="R20" s="342">
        <v>215.37710361197182</v>
      </c>
      <c r="S20" s="342">
        <v>214.33843894765121</v>
      </c>
      <c r="T20" s="342">
        <v>213.30533088773876</v>
      </c>
      <c r="U20" s="342">
        <v>212.27774457220841</v>
      </c>
      <c r="V20" s="342">
        <v>211.25564539135175</v>
      </c>
      <c r="W20" s="342">
        <v>210.23899898375652</v>
      </c>
      <c r="X20" s="335">
        <v>209.22777123430055</v>
      </c>
    </row>
    <row r="21" spans="1:24" x14ac:dyDescent="0.2">
      <c r="A21" s="377"/>
      <c r="B21" s="464"/>
      <c r="C21" s="310">
        <v>7.9000000000000001E-2</v>
      </c>
      <c r="D21" s="342">
        <v>241.32576799992475</v>
      </c>
      <c r="E21" s="342">
        <v>240.15608290087656</v>
      </c>
      <c r="F21" s="342">
        <v>238.99274096288488</v>
      </c>
      <c r="G21" s="342">
        <v>237.83570186569844</v>
      </c>
      <c r="H21" s="342">
        <v>236.68492558236105</v>
      </c>
      <c r="I21" s="342">
        <v>235.54037237681331</v>
      </c>
      <c r="J21" s="342">
        <v>234.40200280151177</v>
      </c>
      <c r="K21" s="342">
        <v>233.26977769507363</v>
      </c>
      <c r="L21" s="342">
        <v>232.14365817993837</v>
      </c>
      <c r="M21" s="342">
        <v>231.02360566005601</v>
      </c>
      <c r="N21" s="342">
        <v>229.90958181859077</v>
      </c>
      <c r="O21" s="342">
        <v>228.96737318062023</v>
      </c>
      <c r="P21" s="342">
        <v>227.69946828603125</v>
      </c>
      <c r="Q21" s="342">
        <v>226.60330333698934</v>
      </c>
      <c r="R21" s="342">
        <v>225.51301654602554</v>
      </c>
      <c r="S21" s="342">
        <v>224.42857095869559</v>
      </c>
      <c r="T21" s="342">
        <v>223.34992988643668</v>
      </c>
      <c r="U21" s="342">
        <v>222.27705690441601</v>
      </c>
      <c r="V21" s="342">
        <v>221.20991584939597</v>
      </c>
      <c r="W21" s="342">
        <v>220.14847081762187</v>
      </c>
      <c r="X21" s="335">
        <v>219.09268616272479</v>
      </c>
    </row>
    <row r="22" spans="1:24" x14ac:dyDescent="0.2">
      <c r="A22" s="377"/>
      <c r="B22" s="464"/>
      <c r="C22" s="310">
        <v>0.08</v>
      </c>
      <c r="D22" s="342">
        <v>253.16565589512962</v>
      </c>
      <c r="E22" s="342">
        <v>251.94180854526587</v>
      </c>
      <c r="F22" s="342">
        <v>250.72460140661377</v>
      </c>
      <c r="G22" s="342">
        <v>249.51399225997534</v>
      </c>
      <c r="H22" s="342">
        <v>248.30993919330876</v>
      </c>
      <c r="I22" s="342">
        <v>247.1124005992163</v>
      </c>
      <c r="J22" s="342">
        <v>245.92133517245045</v>
      </c>
      <c r="K22" s="342">
        <v>244.73670190744721</v>
      </c>
      <c r="L22" s="342">
        <v>243.55846009587725</v>
      </c>
      <c r="M22" s="342">
        <v>242.38656932422407</v>
      </c>
      <c r="N22" s="342">
        <v>241.22098947137948</v>
      </c>
      <c r="O22" s="342">
        <v>240.23517879697587</v>
      </c>
      <c r="P22" s="342">
        <v>238.90860348547034</v>
      </c>
      <c r="Q22" s="342">
        <v>237.76171855091877</v>
      </c>
      <c r="R22" s="342">
        <v>236.62098692754748</v>
      </c>
      <c r="S22" s="342">
        <v>235.48636992101382</v>
      </c>
      <c r="T22" s="342">
        <v>234.35782911541907</v>
      </c>
      <c r="U22" s="342">
        <v>233.23532637105467</v>
      </c>
      <c r="V22" s="342">
        <v>232.1188238221672</v>
      </c>
      <c r="W22" s="342">
        <v>231.00828387474513</v>
      </c>
      <c r="X22" s="335">
        <v>229.90366920432294</v>
      </c>
    </row>
    <row r="23" spans="1:24" x14ac:dyDescent="0.2">
      <c r="A23" s="377"/>
      <c r="B23" s="464"/>
      <c r="C23" s="310">
        <v>8.1000000000000003E-2</v>
      </c>
      <c r="D23" s="342">
        <v>266.19820589434329</v>
      </c>
      <c r="E23" s="342">
        <v>264.9147403920046</v>
      </c>
      <c r="F23" s="342">
        <v>263.63824207365218</v>
      </c>
      <c r="G23" s="342">
        <v>262.36866662985597</v>
      </c>
      <c r="H23" s="342">
        <v>261.105970073599</v>
      </c>
      <c r="I23" s="342">
        <v>259.85010873764026</v>
      </c>
      <c r="J23" s="342">
        <v>258.60103927189709</v>
      </c>
      <c r="K23" s="342">
        <v>257.35871864085539</v>
      </c>
      <c r="L23" s="342">
        <v>256.12310412099862</v>
      </c>
      <c r="M23" s="342">
        <v>254.89415329826605</v>
      </c>
      <c r="N23" s="342">
        <v>253.67182406552794</v>
      </c>
      <c r="O23" s="342">
        <v>252.63801921035926</v>
      </c>
      <c r="P23" s="342">
        <v>251.24686346120879</v>
      </c>
      <c r="Q23" s="342">
        <v>250.04414938765143</v>
      </c>
      <c r="R23" s="342">
        <v>248.84789149525028</v>
      </c>
      <c r="S23" s="342">
        <v>247.65804917449981</v>
      </c>
      <c r="T23" s="342">
        <v>246.47458210816635</v>
      </c>
      <c r="U23" s="342">
        <v>245.29745026892235</v>
      </c>
      <c r="V23" s="342">
        <v>244.12661391699916</v>
      </c>
      <c r="W23" s="342">
        <v>242.9620335978648</v>
      </c>
      <c r="X23" s="335">
        <v>241.80367013991798</v>
      </c>
    </row>
    <row r="24" spans="1:24" x14ac:dyDescent="0.2">
      <c r="A24" s="377"/>
      <c r="B24" s="464"/>
      <c r="C24" s="310">
        <v>8.2000000000000003E-2</v>
      </c>
      <c r="D24" s="342">
        <v>280.61318573488103</v>
      </c>
      <c r="E24" s="342">
        <v>279.26377807493634</v>
      </c>
      <c r="F24" s="342">
        <v>277.92169925544232</v>
      </c>
      <c r="G24" s="342">
        <v>276.58690265501514</v>
      </c>
      <c r="H24" s="342">
        <v>275.2593419915591</v>
      </c>
      <c r="I24" s="342">
        <v>273.93897131949217</v>
      </c>
      <c r="J24" s="342">
        <v>272.6257450269901</v>
      </c>
      <c r="K24" s="342">
        <v>271.31961783326113</v>
      </c>
      <c r="L24" s="342">
        <v>270.02054478584063</v>
      </c>
      <c r="M24" s="342">
        <v>268.72848125791535</v>
      </c>
      <c r="N24" s="342">
        <v>267.44338294566654</v>
      </c>
      <c r="O24" s="342">
        <v>266.35649291927393</v>
      </c>
      <c r="P24" s="342">
        <v>264.89390635214835</v>
      </c>
      <c r="Q24" s="342">
        <v>263.62944105466852</v>
      </c>
      <c r="R24" s="342">
        <v>262.37176693530222</v>
      </c>
      <c r="S24" s="342">
        <v>261.12084126623006</v>
      </c>
      <c r="T24" s="342">
        <v>259.87662162719892</v>
      </c>
      <c r="U24" s="342">
        <v>258.63906590303247</v>
      </c>
      <c r="V24" s="342">
        <v>257.40813228116087</v>
      </c>
      <c r="W24" s="342">
        <v>256.18377924917633</v>
      </c>
      <c r="X24" s="335">
        <v>254.96596559240683</v>
      </c>
    </row>
    <row r="25" spans="1:24" x14ac:dyDescent="0.2">
      <c r="A25" s="377"/>
      <c r="B25" s="464"/>
      <c r="C25" s="310">
        <v>8.3000000000000004E-2</v>
      </c>
      <c r="D25" s="342">
        <v>296.64287728746643</v>
      </c>
      <c r="E25" s="342">
        <v>295.22014087795492</v>
      </c>
      <c r="F25" s="342">
        <v>293.80513547675275</v>
      </c>
      <c r="G25" s="342">
        <v>292.39781189154559</v>
      </c>
      <c r="H25" s="342">
        <v>290.99812128807332</v>
      </c>
      <c r="I25" s="342">
        <v>289.60601518720136</v>
      </c>
      <c r="J25" s="342">
        <v>288.22144546201213</v>
      </c>
      <c r="K25" s="342">
        <v>286.84436433492903</v>
      </c>
      <c r="L25" s="342">
        <v>285.47472437486067</v>
      </c>
      <c r="M25" s="342">
        <v>284.11247849437717</v>
      </c>
      <c r="N25" s="342">
        <v>282.75757994690593</v>
      </c>
      <c r="O25" s="342">
        <v>281.61165834848561</v>
      </c>
      <c r="P25" s="342">
        <v>280.06963955237626</v>
      </c>
      <c r="Q25" s="342">
        <v>278.73650589160889</v>
      </c>
      <c r="R25" s="342">
        <v>277.41053593100901</v>
      </c>
      <c r="S25" s="342">
        <v>276.09168458715772</v>
      </c>
      <c r="T25" s="342">
        <v>274.7799071012102</v>
      </c>
      <c r="U25" s="342">
        <v>273.47515903626845</v>
      </c>
      <c r="V25" s="342">
        <v>272.1773962747738</v>
      </c>
      <c r="W25" s="342">
        <v>270.88657501592752</v>
      </c>
      <c r="X25" s="335">
        <v>269.60265177312942</v>
      </c>
    </row>
    <row r="26" spans="1:24" x14ac:dyDescent="0.2">
      <c r="A26" s="377"/>
      <c r="B26" s="464"/>
      <c r="C26" s="310">
        <v>8.4000000000000005E-2</v>
      </c>
      <c r="D26" s="342">
        <v>314.57468861643093</v>
      </c>
      <c r="E26" s="342">
        <v>313.06992210060662</v>
      </c>
      <c r="F26" s="342">
        <v>311.57333648310595</v>
      </c>
      <c r="G26" s="342">
        <v>310.08487969561185</v>
      </c>
      <c r="H26" s="342">
        <v>308.60450004885405</v>
      </c>
      <c r="I26" s="342">
        <v>307.13214622950824</v>
      </c>
      <c r="J26" s="342">
        <v>305.66776729711694</v>
      </c>
      <c r="K26" s="342">
        <v>304.21131268104432</v>
      </c>
      <c r="L26" s="342">
        <v>302.76273217745285</v>
      </c>
      <c r="M26" s="342">
        <v>301.32197594631361</v>
      </c>
      <c r="N26" s="342">
        <v>299.88899450843741</v>
      </c>
      <c r="O26" s="342">
        <v>298.67703651695348</v>
      </c>
      <c r="P26" s="342">
        <v>297.04615988231973</v>
      </c>
      <c r="Q26" s="342">
        <v>295.63620951358888</v>
      </c>
      <c r="R26" s="342">
        <v>294.23383957139635</v>
      </c>
      <c r="S26" s="342">
        <v>292.83900233720294</v>
      </c>
      <c r="T26" s="342">
        <v>291.45165043606966</v>
      </c>
      <c r="U26" s="342">
        <v>290.07173683387583</v>
      </c>
      <c r="V26" s="342">
        <v>288.69921483455892</v>
      </c>
      <c r="W26" s="342">
        <v>287.33403807738335</v>
      </c>
      <c r="X26" s="335">
        <v>285.97616053422894</v>
      </c>
    </row>
    <row r="27" spans="1:24" ht="16" thickBot="1" x14ac:dyDescent="0.25">
      <c r="A27" s="378"/>
      <c r="B27" s="465"/>
      <c r="C27" s="312">
        <v>8.5000000000000006E-2</v>
      </c>
      <c r="D27" s="336">
        <v>334.76853894961471</v>
      </c>
      <c r="E27" s="336">
        <v>333.17139449944193</v>
      </c>
      <c r="F27" s="336">
        <v>331.58293758975231</v>
      </c>
      <c r="G27" s="336">
        <v>330.00311291342763</v>
      </c>
      <c r="H27" s="336">
        <v>328.43186556603752</v>
      </c>
      <c r="I27" s="336">
        <v>326.86914104254413</v>
      </c>
      <c r="J27" s="336">
        <v>325.31488523403124</v>
      </c>
      <c r="K27" s="336">
        <v>323.76904442446863</v>
      </c>
      <c r="L27" s="336">
        <v>322.23156528749979</v>
      </c>
      <c r="M27" s="336">
        <v>320.70239488326541</v>
      </c>
      <c r="N27" s="336">
        <v>319.18148065524923</v>
      </c>
      <c r="O27" s="336">
        <v>317.89515599697387</v>
      </c>
      <c r="P27" s="336">
        <v>316.16421239982452</v>
      </c>
      <c r="Q27" s="336">
        <v>314.66775514814435</v>
      </c>
      <c r="R27" s="336">
        <v>313.17934761803406</v>
      </c>
      <c r="S27" s="336">
        <v>311.69893912342235</v>
      </c>
      <c r="T27" s="336">
        <v>310.22647934326443</v>
      </c>
      <c r="U27" s="336">
        <v>308.76191831858569</v>
      </c>
      <c r="V27" s="336">
        <v>307.30520644955016</v>
      </c>
      <c r="W27" s="336">
        <v>305.85629449255765</v>
      </c>
      <c r="X27" s="337">
        <v>304.41513355736356</v>
      </c>
    </row>
    <row r="28" spans="1:24" ht="16" thickBot="1" x14ac:dyDescent="0.25"/>
    <row r="29" spans="1:24" ht="16" thickBot="1" x14ac:dyDescent="0.25">
      <c r="C29" s="33" t="s">
        <v>176</v>
      </c>
      <c r="D29" s="219">
        <v>2021</v>
      </c>
      <c r="E29" s="32">
        <v>2022</v>
      </c>
      <c r="F29" s="32">
        <v>2023</v>
      </c>
      <c r="G29" s="32">
        <v>2024</v>
      </c>
      <c r="H29" s="32">
        <v>2025</v>
      </c>
      <c r="I29" s="32">
        <v>2026</v>
      </c>
      <c r="J29" s="32">
        <f t="shared" ref="J29:L29" si="0">I29+1</f>
        <v>2027</v>
      </c>
      <c r="K29" s="32">
        <f t="shared" si="0"/>
        <v>2028</v>
      </c>
      <c r="L29" s="32">
        <f t="shared" si="0"/>
        <v>2029</v>
      </c>
    </row>
    <row r="30" spans="1:24" ht="16" thickBot="1" x14ac:dyDescent="0.25">
      <c r="C30" s="353" t="s">
        <v>201</v>
      </c>
      <c r="D30" s="5">
        <f>Financials!BO134</f>
        <v>-14726</v>
      </c>
      <c r="E30" s="5">
        <f>Financials!BT134</f>
        <v>-16893</v>
      </c>
      <c r="F30" s="338">
        <f>Financials!BY134</f>
        <v>36418.600000000006</v>
      </c>
      <c r="G30" s="308">
        <f>Financials!CD$134</f>
        <v>56769.034243382674</v>
      </c>
      <c r="H30" s="284">
        <f>Financials!CI134</f>
        <v>45474.179536214382</v>
      </c>
      <c r="I30" s="284">
        <f>Financials!CN134</f>
        <v>54100.269759665694</v>
      </c>
      <c r="J30" s="284">
        <f>Financials!CS134</f>
        <v>69830.475781063084</v>
      </c>
      <c r="K30" s="284">
        <f>Financials!CX134</f>
        <v>77713.934428029752</v>
      </c>
      <c r="L30" s="309">
        <f>K30*(1+$D$36)</f>
        <v>83153.909837991843</v>
      </c>
    </row>
    <row r="31" spans="1:24" ht="16" thickBot="1" x14ac:dyDescent="0.25">
      <c r="C31" s="289" t="s">
        <v>202</v>
      </c>
      <c r="D31" s="225"/>
      <c r="E31" s="225"/>
      <c r="F31" s="225"/>
      <c r="G31" s="223">
        <v>1</v>
      </c>
      <c r="H31" s="306">
        <v>2</v>
      </c>
      <c r="I31" s="306">
        <v>3</v>
      </c>
      <c r="J31" s="306">
        <v>4</v>
      </c>
      <c r="K31" s="306">
        <v>5</v>
      </c>
      <c r="L31" s="307">
        <f t="shared" ref="L31" si="1">K31+1</f>
        <v>6</v>
      </c>
    </row>
    <row r="32" spans="1:24" x14ac:dyDescent="0.2">
      <c r="C32" s="353" t="s">
        <v>425</v>
      </c>
      <c r="H32" s="5"/>
      <c r="I32" s="5"/>
      <c r="J32" s="5"/>
      <c r="K32" s="431">
        <f>(K30*(1+$D$36))/('DCF Model'!$C$64-$D$36)</f>
        <v>2695028.6212603389</v>
      </c>
      <c r="L32" s="217"/>
    </row>
    <row r="33" spans="3:14" ht="16" thickBot="1" x14ac:dyDescent="0.25">
      <c r="C33" s="432" t="s">
        <v>203</v>
      </c>
      <c r="D33" s="392"/>
      <c r="E33" s="392"/>
      <c r="F33" s="392"/>
      <c r="G33" s="433">
        <f>G30/((1+$D$35)^(G$31))</f>
        <v>51568.151274922784</v>
      </c>
      <c r="H33" s="433">
        <f>H30/((1+$D$35)^(H$31))</f>
        <v>37523.642039538121</v>
      </c>
      <c r="I33" s="433">
        <f>I30/((1+$D$35)^(I$31))</f>
        <v>40551.749828043998</v>
      </c>
      <c r="J33" s="433">
        <f>J30/((1+$D$35)^(J$31))</f>
        <v>47547.230500984137</v>
      </c>
      <c r="K33" s="433">
        <f>K30/((1+$D$35)^(K$31))</f>
        <v>48067.239036661973</v>
      </c>
      <c r="L33" s="434">
        <v>0</v>
      </c>
    </row>
    <row r="34" spans="3:14" ht="17" thickTop="1" thickBot="1" x14ac:dyDescent="0.25">
      <c r="H34" s="27"/>
      <c r="I34" s="27"/>
      <c r="J34" s="27"/>
      <c r="K34" s="27"/>
      <c r="L34" s="27"/>
    </row>
    <row r="35" spans="3:14" ht="16" thickBot="1" x14ac:dyDescent="0.25">
      <c r="C35" s="343" t="s">
        <v>214</v>
      </c>
      <c r="D35" s="344">
        <f>'DCF Model'!B64</f>
        <v>0.10085455537726522</v>
      </c>
      <c r="H35" s="27"/>
      <c r="I35" s="27"/>
      <c r="J35" s="27"/>
      <c r="K35" s="27"/>
      <c r="L35" s="27"/>
    </row>
    <row r="36" spans="3:14" ht="33" customHeight="1" thickBot="1" x14ac:dyDescent="0.25">
      <c r="C36" s="345" t="s">
        <v>434</v>
      </c>
      <c r="D36" s="346">
        <f>'DCF Model'!B73</f>
        <v>7.0000000000000007E-2</v>
      </c>
      <c r="H36" s="27"/>
      <c r="I36" s="27"/>
      <c r="J36" s="27"/>
      <c r="K36" s="27"/>
      <c r="L36" s="27"/>
    </row>
    <row r="37" spans="3:14" x14ac:dyDescent="0.2">
      <c r="C37" s="347"/>
      <c r="D37" s="347"/>
      <c r="I37" s="4"/>
      <c r="J37" s="4"/>
      <c r="K37" s="4"/>
      <c r="L37" s="4"/>
    </row>
    <row r="38" spans="3:14" x14ac:dyDescent="0.2">
      <c r="C38" s="348" t="s">
        <v>435</v>
      </c>
      <c r="D38" s="349">
        <f>SUM(G33:K33)</f>
        <v>225258.01268015103</v>
      </c>
    </row>
    <row r="39" spans="3:14" ht="18" customHeight="1" x14ac:dyDescent="0.2">
      <c r="C39" s="348" t="s">
        <v>429</v>
      </c>
      <c r="D39" s="349">
        <f>((K32)/((1+$D$35)^(K$31)))</f>
        <v>1666915.7970471126</v>
      </c>
      <c r="F39" s="5"/>
    </row>
    <row r="40" spans="3:14" ht="43" customHeight="1" x14ac:dyDescent="0.2">
      <c r="C40" s="350" t="s">
        <v>430</v>
      </c>
      <c r="D40" s="349">
        <f>D38+D39</f>
        <v>1892173.8097272636</v>
      </c>
      <c r="F40" s="30"/>
    </row>
    <row r="41" spans="3:14" ht="43" customHeight="1" x14ac:dyDescent="0.2">
      <c r="C41" s="340" t="s">
        <v>438</v>
      </c>
      <c r="D41" s="351">
        <f>Financials!BY132</f>
        <v>239199</v>
      </c>
      <c r="F41" s="30"/>
    </row>
    <row r="42" spans="3:14" ht="31" customHeight="1" x14ac:dyDescent="0.2">
      <c r="C42" s="352" t="s">
        <v>431</v>
      </c>
      <c r="D42" s="351">
        <f>D40-D41</f>
        <v>1652974.8097272636</v>
      </c>
      <c r="F42" s="30"/>
    </row>
    <row r="43" spans="3:14" ht="33" customHeight="1" thickBot="1" x14ac:dyDescent="0.25">
      <c r="C43" s="352" t="s">
        <v>208</v>
      </c>
      <c r="D43" s="351">
        <f>Financials!BY40</f>
        <v>10304</v>
      </c>
      <c r="F43" s="5"/>
    </row>
    <row r="44" spans="3:14" ht="29" customHeight="1" thickBot="1" x14ac:dyDescent="0.25">
      <c r="C44" s="435" t="s">
        <v>209</v>
      </c>
      <c r="D44" s="436">
        <f>$D$42/$D$43</f>
        <v>160.42069193781674</v>
      </c>
      <c r="E44" s="31"/>
      <c r="F44" s="31"/>
    </row>
    <row r="45" spans="3:14" ht="16" thickTop="1" x14ac:dyDescent="0.2"/>
    <row r="48" spans="3:14" x14ac:dyDescent="0.2">
      <c r="N48" s="27"/>
    </row>
    <row r="49" spans="14:14" x14ac:dyDescent="0.2">
      <c r="N49" s="27"/>
    </row>
    <row r="50" spans="14:14" x14ac:dyDescent="0.2">
      <c r="N50" s="27"/>
    </row>
    <row r="51" spans="14:14" x14ac:dyDescent="0.2">
      <c r="N51" s="4"/>
    </row>
  </sheetData>
  <mergeCells count="2">
    <mergeCell ref="D5:X5"/>
    <mergeCell ref="B6:B27"/>
  </mergeCells>
  <conditionalFormatting sqref="D7:X2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F0000"/>
        <color rgb="FFFFEB84"/>
        <color rgb="FF92D050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8C91-DFFD-0144-9637-6BFC58BEE4A5}">
  <sheetPr>
    <tabColor theme="3" tint="0.39997558519241921"/>
  </sheetPr>
  <dimension ref="A1:AX37"/>
  <sheetViews>
    <sheetView workbookViewId="0">
      <selection activeCell="O31" sqref="O31"/>
    </sheetView>
  </sheetViews>
  <sheetFormatPr baseColWidth="10" defaultRowHeight="15" x14ac:dyDescent="0.2"/>
  <sheetData>
    <row r="1" spans="1:50" x14ac:dyDescent="0.2">
      <c r="A1" s="299"/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  <c r="AD1" s="299"/>
      <c r="AE1" s="299"/>
      <c r="AF1" s="299"/>
      <c r="AG1" s="299"/>
      <c r="AH1" s="299"/>
      <c r="AI1" s="299"/>
      <c r="AJ1" s="299"/>
      <c r="AK1" s="299"/>
      <c r="AL1" s="299"/>
      <c r="AM1" s="299"/>
      <c r="AN1" s="299"/>
      <c r="AO1" s="299"/>
      <c r="AP1" s="299"/>
      <c r="AQ1" s="299"/>
      <c r="AR1" s="299"/>
      <c r="AS1" s="299"/>
      <c r="AT1" s="299"/>
      <c r="AU1" s="299"/>
      <c r="AV1" s="299"/>
      <c r="AW1" s="299"/>
      <c r="AX1" s="299"/>
    </row>
    <row r="2" spans="1:50" x14ac:dyDescent="0.2">
      <c r="A2" s="299"/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299"/>
      <c r="R2" s="299"/>
      <c r="S2" s="299"/>
      <c r="T2" s="299"/>
      <c r="U2" s="299"/>
      <c r="V2" s="299"/>
      <c r="W2" s="299"/>
      <c r="X2" s="299"/>
      <c r="Y2" s="299"/>
      <c r="Z2" s="299"/>
      <c r="AA2" s="299"/>
      <c r="AB2" s="299"/>
      <c r="AC2" s="299"/>
      <c r="AD2" s="299"/>
      <c r="AE2" s="299"/>
      <c r="AF2" s="299"/>
      <c r="AG2" s="299"/>
      <c r="AH2" s="299"/>
      <c r="AI2" s="299"/>
      <c r="AJ2" s="299"/>
      <c r="AK2" s="299"/>
      <c r="AL2" s="299"/>
      <c r="AM2" s="299"/>
      <c r="AN2" s="299"/>
      <c r="AO2" s="299"/>
      <c r="AP2" s="299"/>
      <c r="AQ2" s="299"/>
      <c r="AR2" s="299"/>
      <c r="AS2" s="299"/>
      <c r="AT2" s="299"/>
      <c r="AU2" s="299"/>
      <c r="AV2" s="299"/>
      <c r="AW2" s="299"/>
      <c r="AX2" s="299"/>
    </row>
    <row r="3" spans="1:50" x14ac:dyDescent="0.2">
      <c r="A3" s="299"/>
      <c r="B3" s="299"/>
      <c r="C3" s="299"/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299"/>
      <c r="O3" s="299"/>
      <c r="P3" s="299"/>
      <c r="Q3" s="299"/>
      <c r="R3" s="299"/>
      <c r="S3" s="299"/>
      <c r="T3" s="299"/>
      <c r="U3" s="299"/>
      <c r="V3" s="299"/>
      <c r="W3" s="299"/>
      <c r="X3" s="299"/>
      <c r="Y3" s="299"/>
      <c r="Z3" s="299"/>
      <c r="AA3" s="299"/>
      <c r="AB3" s="299"/>
      <c r="AC3" s="299"/>
      <c r="AD3" s="299"/>
      <c r="AE3" s="299"/>
      <c r="AF3" s="299"/>
      <c r="AG3" s="299"/>
      <c r="AH3" s="299"/>
      <c r="AI3" s="299"/>
      <c r="AJ3" s="299"/>
      <c r="AK3" s="299"/>
      <c r="AL3" s="299"/>
      <c r="AM3" s="299"/>
      <c r="AN3" s="299"/>
      <c r="AO3" s="299"/>
      <c r="AP3" s="299"/>
      <c r="AQ3" s="299"/>
      <c r="AR3" s="299"/>
      <c r="AS3" s="299"/>
      <c r="AT3" s="299"/>
      <c r="AU3" s="299"/>
      <c r="AV3" s="299"/>
      <c r="AW3" s="299"/>
      <c r="AX3" s="299"/>
    </row>
    <row r="4" spans="1:50" x14ac:dyDescent="0.2">
      <c r="A4" s="299"/>
      <c r="B4" s="299"/>
      <c r="C4" s="299"/>
      <c r="D4" s="299"/>
      <c r="E4" s="299"/>
      <c r="F4" s="299"/>
      <c r="G4" s="299"/>
      <c r="H4" s="299"/>
      <c r="I4" s="299"/>
      <c r="J4" s="299"/>
      <c r="K4" s="299"/>
      <c r="L4" s="299"/>
      <c r="M4" s="299"/>
      <c r="N4" s="299"/>
      <c r="O4" s="299"/>
      <c r="P4" s="299"/>
      <c r="Q4" s="299"/>
      <c r="R4" s="299"/>
      <c r="S4" s="299"/>
      <c r="T4" s="299"/>
      <c r="U4" s="299"/>
      <c r="V4" s="299"/>
      <c r="W4" s="299"/>
      <c r="X4" s="299"/>
      <c r="Y4" s="299"/>
      <c r="Z4" s="299"/>
      <c r="AA4" s="299"/>
      <c r="AB4" s="299"/>
      <c r="AC4" s="299"/>
      <c r="AD4" s="299"/>
      <c r="AE4" s="299"/>
      <c r="AF4" s="299"/>
      <c r="AG4" s="299"/>
      <c r="AH4" s="299"/>
      <c r="AI4" s="299"/>
      <c r="AJ4" s="299"/>
      <c r="AK4" s="299"/>
      <c r="AL4" s="299"/>
      <c r="AM4" s="299"/>
      <c r="AN4" s="299"/>
      <c r="AO4" s="299"/>
      <c r="AP4" s="299"/>
      <c r="AQ4" s="299"/>
      <c r="AR4" s="299"/>
      <c r="AS4" s="299"/>
      <c r="AT4" s="299"/>
      <c r="AU4" s="299"/>
      <c r="AV4" s="299"/>
      <c r="AW4" s="299"/>
      <c r="AX4" s="299"/>
    </row>
    <row r="5" spans="1:50" x14ac:dyDescent="0.2">
      <c r="A5" s="299"/>
      <c r="B5" s="299"/>
      <c r="C5" s="299"/>
      <c r="D5" s="299"/>
      <c r="E5" s="299"/>
      <c r="F5" s="299"/>
      <c r="G5" s="299"/>
      <c r="H5" s="299"/>
      <c r="I5" s="299"/>
      <c r="J5" s="299"/>
      <c r="K5" s="299"/>
      <c r="L5" s="299"/>
      <c r="M5" s="299"/>
      <c r="N5" s="299"/>
      <c r="O5" s="299"/>
      <c r="P5" s="299"/>
      <c r="Q5" s="299"/>
      <c r="R5" s="299"/>
      <c r="S5" s="299"/>
      <c r="T5" s="299"/>
      <c r="U5" s="299"/>
      <c r="V5" s="299"/>
      <c r="W5" s="299"/>
      <c r="X5" s="299"/>
      <c r="Y5" s="299"/>
      <c r="Z5" s="299"/>
      <c r="AA5" s="299"/>
      <c r="AB5" s="299"/>
      <c r="AC5" s="299"/>
      <c r="AD5" s="299"/>
      <c r="AE5" s="299"/>
      <c r="AF5" s="299"/>
      <c r="AG5" s="299"/>
      <c r="AH5" s="299"/>
      <c r="AI5" s="299"/>
      <c r="AJ5" s="299"/>
      <c r="AK5" s="299"/>
      <c r="AL5" s="299"/>
      <c r="AM5" s="299"/>
      <c r="AN5" s="299"/>
      <c r="AO5" s="299"/>
      <c r="AP5" s="299"/>
      <c r="AQ5" s="299"/>
      <c r="AR5" s="299"/>
      <c r="AS5" s="299"/>
      <c r="AT5" s="299"/>
      <c r="AU5" s="299"/>
      <c r="AV5" s="299"/>
      <c r="AW5" s="299"/>
      <c r="AX5" s="299"/>
    </row>
    <row r="6" spans="1:50" x14ac:dyDescent="0.2">
      <c r="A6" s="299"/>
      <c r="B6" s="299"/>
      <c r="C6" s="299"/>
      <c r="D6" s="299"/>
      <c r="E6" s="299"/>
      <c r="F6" s="299"/>
      <c r="G6" s="299"/>
      <c r="H6" s="299"/>
      <c r="I6" s="299"/>
      <c r="J6" s="299"/>
      <c r="K6" s="299"/>
      <c r="L6" s="299"/>
      <c r="M6" s="299"/>
      <c r="N6" s="299"/>
      <c r="O6" s="299"/>
      <c r="P6" s="299"/>
      <c r="Q6" s="299"/>
      <c r="R6" s="299"/>
      <c r="S6" s="299"/>
      <c r="T6" s="299"/>
      <c r="U6" s="299"/>
      <c r="V6" s="299"/>
      <c r="W6" s="299"/>
      <c r="X6" s="299"/>
      <c r="Y6" s="299"/>
      <c r="Z6" s="299"/>
      <c r="AA6" s="299"/>
      <c r="AB6" s="299"/>
      <c r="AC6" s="299"/>
      <c r="AD6" s="299"/>
      <c r="AE6" s="299"/>
      <c r="AF6" s="299"/>
      <c r="AG6" s="299"/>
      <c r="AH6" s="299"/>
      <c r="AI6" s="299"/>
      <c r="AJ6" s="299"/>
      <c r="AK6" s="299"/>
      <c r="AL6" s="299"/>
      <c r="AM6" s="299"/>
      <c r="AN6" s="299"/>
      <c r="AO6" s="299"/>
      <c r="AP6" s="299"/>
      <c r="AQ6" s="299"/>
      <c r="AR6" s="299"/>
      <c r="AS6" s="299"/>
      <c r="AT6" s="299"/>
      <c r="AU6" s="299"/>
      <c r="AV6" s="299"/>
      <c r="AW6" s="299"/>
      <c r="AX6" s="299"/>
    </row>
    <row r="7" spans="1:50" x14ac:dyDescent="0.2">
      <c r="A7" s="299"/>
      <c r="B7" s="299"/>
      <c r="C7" s="299"/>
      <c r="D7" s="299"/>
      <c r="E7" s="299"/>
      <c r="F7" s="299"/>
      <c r="G7" s="299"/>
      <c r="H7" s="299"/>
      <c r="I7" s="299"/>
      <c r="J7" s="299"/>
      <c r="K7" s="299"/>
      <c r="L7" s="299"/>
      <c r="M7" s="299"/>
      <c r="N7" s="299"/>
      <c r="O7" s="299"/>
      <c r="P7" s="299"/>
      <c r="Q7" s="299"/>
      <c r="R7" s="299"/>
      <c r="S7" s="299"/>
      <c r="T7" s="299"/>
      <c r="U7" s="299"/>
      <c r="V7" s="299"/>
      <c r="W7" s="299"/>
      <c r="X7" s="299"/>
      <c r="Y7" s="299"/>
      <c r="Z7" s="299"/>
      <c r="AA7" s="299"/>
      <c r="AB7" s="299"/>
      <c r="AC7" s="299"/>
      <c r="AD7" s="299"/>
      <c r="AE7" s="299"/>
      <c r="AF7" s="299"/>
      <c r="AG7" s="299"/>
      <c r="AH7" s="299"/>
      <c r="AI7" s="299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</row>
    <row r="8" spans="1:50" x14ac:dyDescent="0.2">
      <c r="A8" s="299"/>
      <c r="B8" s="299"/>
      <c r="C8" s="299"/>
      <c r="D8" s="299"/>
      <c r="E8" s="299"/>
      <c r="F8" s="299"/>
      <c r="G8" s="299"/>
      <c r="H8" s="299"/>
      <c r="I8" s="299"/>
      <c r="J8" s="299"/>
      <c r="K8" s="299"/>
      <c r="L8" s="299"/>
      <c r="M8" s="299"/>
      <c r="N8" s="299"/>
      <c r="O8" s="299"/>
      <c r="P8" s="299"/>
      <c r="Q8" s="299"/>
      <c r="R8" s="299"/>
      <c r="S8" s="299"/>
      <c r="T8" s="299"/>
      <c r="U8" s="299"/>
      <c r="V8" s="299"/>
      <c r="W8" s="299"/>
      <c r="X8" s="299"/>
      <c r="Y8" s="299"/>
      <c r="Z8" s="299"/>
      <c r="AA8" s="299"/>
      <c r="AB8" s="299"/>
      <c r="AC8" s="299"/>
      <c r="AD8" s="299"/>
      <c r="AE8" s="299"/>
      <c r="AF8" s="299"/>
      <c r="AG8" s="299"/>
      <c r="AH8" s="299"/>
      <c r="AI8" s="299"/>
      <c r="AJ8" s="299"/>
      <c r="AK8" s="299"/>
      <c r="AL8" s="299"/>
      <c r="AM8" s="299"/>
      <c r="AN8" s="299"/>
      <c r="AO8" s="299"/>
      <c r="AP8" s="299"/>
      <c r="AQ8" s="299"/>
      <c r="AR8" s="299"/>
      <c r="AS8" s="299"/>
      <c r="AT8" s="299"/>
      <c r="AU8" s="299"/>
      <c r="AV8" s="299"/>
      <c r="AW8" s="299"/>
      <c r="AX8" s="299"/>
    </row>
    <row r="9" spans="1:50" x14ac:dyDescent="0.2">
      <c r="A9" s="299"/>
      <c r="B9" s="299"/>
      <c r="C9" s="299"/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  <c r="O9" s="299"/>
      <c r="P9" s="299"/>
      <c r="Q9" s="299"/>
      <c r="R9" s="299"/>
      <c r="S9" s="299"/>
      <c r="T9" s="299"/>
      <c r="U9" s="299"/>
      <c r="V9" s="299"/>
      <c r="W9" s="299"/>
      <c r="X9" s="299"/>
      <c r="Y9" s="299"/>
      <c r="Z9" s="299"/>
      <c r="AA9" s="299"/>
      <c r="AB9" s="299"/>
      <c r="AC9" s="299"/>
      <c r="AD9" s="299"/>
      <c r="AE9" s="299"/>
      <c r="AF9" s="299"/>
      <c r="AG9" s="299"/>
      <c r="AH9" s="299"/>
      <c r="AI9" s="299"/>
      <c r="AJ9" s="299"/>
      <c r="AK9" s="299"/>
      <c r="AL9" s="299"/>
      <c r="AM9" s="299"/>
      <c r="AN9" s="299"/>
      <c r="AO9" s="299"/>
      <c r="AP9" s="299"/>
      <c r="AQ9" s="299"/>
      <c r="AR9" s="299"/>
      <c r="AS9" s="299"/>
      <c r="AT9" s="299"/>
      <c r="AU9" s="299"/>
      <c r="AV9" s="299"/>
      <c r="AW9" s="299"/>
      <c r="AX9" s="299"/>
    </row>
    <row r="10" spans="1:50" x14ac:dyDescent="0.2">
      <c r="A10" s="299"/>
      <c r="B10" s="299"/>
      <c r="C10" s="299"/>
      <c r="D10" s="299"/>
      <c r="E10" s="299"/>
      <c r="F10" s="299"/>
      <c r="G10" s="299"/>
      <c r="H10" s="299"/>
      <c r="I10" s="299"/>
      <c r="J10" s="299"/>
      <c r="K10" s="299"/>
      <c r="L10" s="299"/>
      <c r="M10" s="299"/>
      <c r="N10" s="299"/>
      <c r="O10" s="299"/>
      <c r="P10" s="299"/>
      <c r="Q10" s="299"/>
      <c r="R10" s="299"/>
      <c r="S10" s="299"/>
      <c r="T10" s="299"/>
      <c r="U10" s="299"/>
      <c r="V10" s="299"/>
      <c r="W10" s="299"/>
      <c r="X10" s="299"/>
      <c r="Y10" s="299"/>
      <c r="Z10" s="299"/>
      <c r="AA10" s="299"/>
      <c r="AB10" s="299"/>
      <c r="AC10" s="299"/>
      <c r="AD10" s="299"/>
      <c r="AE10" s="299"/>
      <c r="AF10" s="299"/>
      <c r="AG10" s="299"/>
      <c r="AH10" s="299"/>
      <c r="AI10" s="299"/>
      <c r="AJ10" s="299"/>
      <c r="AK10" s="299"/>
      <c r="AL10" s="299"/>
      <c r="AM10" s="299"/>
      <c r="AN10" s="299"/>
      <c r="AO10" s="299"/>
      <c r="AP10" s="299"/>
      <c r="AQ10" s="299"/>
      <c r="AR10" s="299"/>
      <c r="AS10" s="299"/>
      <c r="AT10" s="299"/>
      <c r="AU10" s="299"/>
      <c r="AV10" s="299"/>
      <c r="AW10" s="299"/>
      <c r="AX10" s="299"/>
    </row>
    <row r="11" spans="1:50" x14ac:dyDescent="0.2">
      <c r="A11" s="299"/>
      <c r="B11" s="299"/>
      <c r="C11" s="299"/>
      <c r="D11" s="299"/>
      <c r="E11" s="299"/>
      <c r="F11" s="299"/>
      <c r="G11" s="299"/>
      <c r="H11" s="299"/>
      <c r="I11" s="299"/>
      <c r="J11" s="299"/>
      <c r="K11" s="299"/>
      <c r="L11" s="299"/>
      <c r="M11" s="299"/>
      <c r="N11" s="299"/>
      <c r="O11" s="299"/>
      <c r="P11" s="299"/>
      <c r="Q11" s="299"/>
      <c r="R11" s="299"/>
      <c r="S11" s="299"/>
      <c r="T11" s="299"/>
      <c r="U11" s="299"/>
      <c r="V11" s="299"/>
      <c r="W11" s="299"/>
      <c r="X11" s="299"/>
      <c r="Y11" s="299"/>
      <c r="Z11" s="299"/>
      <c r="AA11" s="299"/>
      <c r="AB11" s="299"/>
      <c r="AC11" s="299"/>
      <c r="AD11" s="299"/>
      <c r="AE11" s="299"/>
      <c r="AF11" s="299"/>
      <c r="AG11" s="299"/>
      <c r="AH11" s="299"/>
      <c r="AI11" s="299"/>
      <c r="AJ11" s="299"/>
      <c r="AK11" s="299"/>
      <c r="AL11" s="299"/>
      <c r="AM11" s="299"/>
      <c r="AN11" s="299"/>
      <c r="AO11" s="299"/>
      <c r="AP11" s="299"/>
      <c r="AQ11" s="299"/>
      <c r="AR11" s="299"/>
      <c r="AS11" s="299"/>
      <c r="AT11" s="299"/>
      <c r="AU11" s="299"/>
      <c r="AV11" s="299"/>
      <c r="AW11" s="299"/>
      <c r="AX11" s="299"/>
    </row>
    <row r="12" spans="1:50" x14ac:dyDescent="0.2">
      <c r="A12" s="299"/>
      <c r="B12" s="299"/>
      <c r="C12" s="299"/>
      <c r="D12" s="299"/>
      <c r="E12" s="299"/>
      <c r="F12" s="299"/>
      <c r="G12" s="299"/>
      <c r="H12" s="299"/>
      <c r="I12" s="299"/>
      <c r="J12" s="299"/>
      <c r="K12" s="299"/>
      <c r="L12" s="299"/>
      <c r="M12" s="299"/>
      <c r="N12" s="299"/>
      <c r="O12" s="299"/>
      <c r="P12" s="299"/>
      <c r="Q12" s="299"/>
      <c r="R12" s="299"/>
      <c r="S12" s="299"/>
      <c r="T12" s="299"/>
      <c r="U12" s="299"/>
      <c r="V12" s="299"/>
      <c r="W12" s="299"/>
      <c r="X12" s="299"/>
      <c r="Y12" s="299"/>
      <c r="Z12" s="299"/>
      <c r="AA12" s="299"/>
      <c r="AB12" s="299"/>
      <c r="AC12" s="299"/>
      <c r="AD12" s="299"/>
      <c r="AE12" s="299"/>
      <c r="AF12" s="299"/>
      <c r="AG12" s="299"/>
      <c r="AH12" s="299"/>
      <c r="AI12" s="299"/>
      <c r="AJ12" s="299"/>
      <c r="AK12" s="299"/>
      <c r="AL12" s="299"/>
      <c r="AM12" s="299"/>
      <c r="AN12" s="299"/>
      <c r="AO12" s="299"/>
      <c r="AP12" s="299"/>
      <c r="AQ12" s="299"/>
      <c r="AR12" s="299"/>
      <c r="AS12" s="299"/>
      <c r="AT12" s="299"/>
      <c r="AU12" s="299"/>
      <c r="AV12" s="299"/>
      <c r="AW12" s="299"/>
      <c r="AX12" s="299"/>
    </row>
    <row r="13" spans="1:50" x14ac:dyDescent="0.2">
      <c r="A13" s="299"/>
      <c r="B13" s="299"/>
      <c r="C13" s="299"/>
      <c r="D13" s="299"/>
      <c r="E13" s="299"/>
      <c r="F13" s="299"/>
      <c r="G13" s="299"/>
      <c r="H13" s="299"/>
      <c r="I13" s="299"/>
      <c r="J13" s="299"/>
      <c r="K13" s="299"/>
      <c r="L13" s="299"/>
      <c r="M13" s="299"/>
      <c r="N13" s="299"/>
      <c r="O13" s="299"/>
      <c r="P13" s="299"/>
      <c r="Q13" s="299"/>
      <c r="R13" s="299"/>
      <c r="S13" s="299"/>
      <c r="T13" s="299"/>
      <c r="U13" s="299"/>
      <c r="V13" s="299"/>
      <c r="W13" s="299"/>
      <c r="X13" s="299"/>
      <c r="Y13" s="299"/>
      <c r="Z13" s="299"/>
      <c r="AA13" s="299"/>
      <c r="AB13" s="299"/>
      <c r="AC13" s="299"/>
      <c r="AD13" s="299"/>
      <c r="AE13" s="299"/>
      <c r="AF13" s="299"/>
      <c r="AG13" s="299"/>
      <c r="AH13" s="299"/>
      <c r="AI13" s="299"/>
      <c r="AJ13" s="299"/>
      <c r="AK13" s="299"/>
      <c r="AL13" s="299"/>
      <c r="AM13" s="299"/>
      <c r="AN13" s="299"/>
      <c r="AO13" s="299"/>
      <c r="AP13" s="299"/>
      <c r="AQ13" s="299"/>
      <c r="AR13" s="299"/>
      <c r="AS13" s="299"/>
      <c r="AT13" s="299"/>
      <c r="AU13" s="299"/>
      <c r="AV13" s="299"/>
      <c r="AW13" s="299"/>
      <c r="AX13" s="299"/>
    </row>
    <row r="14" spans="1:50" x14ac:dyDescent="0.2">
      <c r="A14" s="299"/>
      <c r="B14" s="299"/>
      <c r="C14" s="299"/>
      <c r="D14" s="299"/>
      <c r="E14" s="299"/>
      <c r="F14" s="299"/>
      <c r="G14" s="299"/>
      <c r="H14" s="299"/>
      <c r="I14" s="299"/>
      <c r="J14" s="299"/>
      <c r="K14" s="299"/>
      <c r="L14" s="299"/>
      <c r="M14" s="299"/>
      <c r="N14" s="299"/>
      <c r="O14" s="299"/>
      <c r="P14" s="299"/>
      <c r="Q14" s="299"/>
      <c r="R14" s="299"/>
      <c r="S14" s="299"/>
      <c r="T14" s="299"/>
      <c r="U14" s="299"/>
      <c r="V14" s="299"/>
      <c r="W14" s="299"/>
      <c r="X14" s="299"/>
      <c r="Y14" s="299"/>
      <c r="Z14" s="299"/>
      <c r="AA14" s="299"/>
      <c r="AB14" s="299"/>
      <c r="AC14" s="299"/>
      <c r="AD14" s="299"/>
      <c r="AE14" s="299"/>
      <c r="AF14" s="299"/>
      <c r="AG14" s="299"/>
      <c r="AH14" s="299"/>
      <c r="AI14" s="299"/>
      <c r="AJ14" s="299"/>
      <c r="AK14" s="299"/>
      <c r="AL14" s="299"/>
      <c r="AM14" s="299"/>
      <c r="AN14" s="299"/>
      <c r="AO14" s="299"/>
      <c r="AP14" s="299"/>
      <c r="AQ14" s="299"/>
      <c r="AR14" s="299"/>
      <c r="AS14" s="299"/>
      <c r="AT14" s="299"/>
      <c r="AU14" s="299"/>
      <c r="AV14" s="299"/>
      <c r="AW14" s="299"/>
      <c r="AX14" s="299"/>
    </row>
    <row r="15" spans="1:50" x14ac:dyDescent="0.2">
      <c r="A15" s="299"/>
      <c r="B15" s="299"/>
      <c r="C15" s="299"/>
      <c r="D15" s="299"/>
      <c r="E15" s="299"/>
      <c r="F15" s="299"/>
      <c r="G15" s="299"/>
      <c r="H15" s="299"/>
      <c r="I15" s="299"/>
      <c r="J15" s="299"/>
      <c r="K15" s="299"/>
      <c r="L15" s="299"/>
      <c r="M15" s="299"/>
      <c r="N15" s="299"/>
      <c r="O15" s="299"/>
      <c r="P15" s="299"/>
      <c r="Q15" s="299"/>
      <c r="R15" s="299"/>
      <c r="S15" s="299"/>
      <c r="T15" s="299"/>
      <c r="U15" s="299"/>
      <c r="V15" s="299"/>
      <c r="W15" s="299"/>
      <c r="X15" s="299"/>
      <c r="Y15" s="299"/>
      <c r="Z15" s="299"/>
      <c r="AA15" s="299"/>
      <c r="AB15" s="299"/>
      <c r="AC15" s="299"/>
      <c r="AD15" s="299"/>
      <c r="AE15" s="299"/>
      <c r="AF15" s="299"/>
      <c r="AG15" s="299"/>
      <c r="AH15" s="299"/>
      <c r="AI15" s="299"/>
      <c r="AJ15" s="299"/>
      <c r="AK15" s="299"/>
      <c r="AL15" s="299"/>
      <c r="AM15" s="299"/>
      <c r="AN15" s="299"/>
      <c r="AO15" s="299"/>
      <c r="AP15" s="299"/>
      <c r="AQ15" s="299"/>
      <c r="AR15" s="299"/>
      <c r="AS15" s="299"/>
      <c r="AT15" s="299"/>
      <c r="AU15" s="299"/>
      <c r="AV15" s="299"/>
      <c r="AW15" s="299"/>
      <c r="AX15" s="299"/>
    </row>
    <row r="16" spans="1:50" x14ac:dyDescent="0.2">
      <c r="A16" s="299"/>
      <c r="B16" s="299"/>
      <c r="C16" s="299"/>
      <c r="D16" s="299"/>
      <c r="E16" s="299"/>
      <c r="F16" s="299"/>
      <c r="G16" s="299"/>
      <c r="H16" s="299"/>
      <c r="I16" s="299"/>
      <c r="J16" s="299"/>
      <c r="K16" s="299"/>
      <c r="L16" s="299"/>
      <c r="M16" s="299"/>
      <c r="N16" s="299"/>
      <c r="O16" s="299"/>
      <c r="P16" s="299"/>
      <c r="Q16" s="299"/>
      <c r="R16" s="299"/>
      <c r="S16" s="299"/>
      <c r="T16" s="299"/>
      <c r="U16" s="299"/>
      <c r="V16" s="299"/>
      <c r="W16" s="299"/>
      <c r="X16" s="299"/>
      <c r="Y16" s="299"/>
      <c r="Z16" s="299"/>
      <c r="AA16" s="299"/>
      <c r="AB16" s="299"/>
      <c r="AC16" s="299"/>
      <c r="AD16" s="299"/>
      <c r="AE16" s="299"/>
      <c r="AF16" s="299"/>
      <c r="AG16" s="299"/>
      <c r="AH16" s="299"/>
      <c r="AI16" s="299"/>
      <c r="AJ16" s="299"/>
      <c r="AK16" s="299"/>
      <c r="AL16" s="299"/>
      <c r="AM16" s="299"/>
      <c r="AN16" s="299"/>
      <c r="AO16" s="299"/>
      <c r="AP16" s="299"/>
      <c r="AQ16" s="299"/>
      <c r="AR16" s="299"/>
      <c r="AS16" s="299"/>
      <c r="AT16" s="299"/>
      <c r="AU16" s="299"/>
      <c r="AV16" s="299"/>
      <c r="AW16" s="299"/>
      <c r="AX16" s="299"/>
    </row>
    <row r="17" spans="1:50" x14ac:dyDescent="0.2">
      <c r="A17" s="299"/>
      <c r="B17" s="299"/>
      <c r="C17" s="299"/>
      <c r="D17" s="299"/>
      <c r="E17" s="299"/>
      <c r="F17" s="299"/>
      <c r="G17" s="299"/>
      <c r="H17" s="299"/>
      <c r="I17" s="299"/>
      <c r="J17" s="299"/>
      <c r="K17" s="299"/>
      <c r="L17" s="299"/>
      <c r="M17" s="299"/>
      <c r="N17" s="299"/>
      <c r="O17" s="299"/>
      <c r="P17" s="299"/>
      <c r="Q17" s="299"/>
      <c r="R17" s="299"/>
      <c r="S17" s="299"/>
      <c r="T17" s="299"/>
      <c r="U17" s="299"/>
      <c r="V17" s="299"/>
      <c r="W17" s="299"/>
      <c r="X17" s="299"/>
      <c r="Y17" s="299"/>
      <c r="Z17" s="299"/>
      <c r="AA17" s="299"/>
      <c r="AB17" s="299"/>
      <c r="AC17" s="299"/>
      <c r="AD17" s="299"/>
      <c r="AE17" s="299"/>
      <c r="AF17" s="299"/>
      <c r="AG17" s="299"/>
      <c r="AH17" s="299"/>
      <c r="AI17" s="299"/>
      <c r="AJ17" s="299"/>
      <c r="AK17" s="299"/>
      <c r="AL17" s="299"/>
      <c r="AM17" s="299"/>
      <c r="AN17" s="299"/>
      <c r="AO17" s="299"/>
      <c r="AP17" s="299"/>
      <c r="AQ17" s="299"/>
      <c r="AR17" s="299"/>
      <c r="AS17" s="299"/>
      <c r="AT17" s="299"/>
      <c r="AU17" s="299"/>
      <c r="AV17" s="299"/>
      <c r="AW17" s="299"/>
      <c r="AX17" s="299"/>
    </row>
    <row r="18" spans="1:50" x14ac:dyDescent="0.2">
      <c r="A18" s="299"/>
      <c r="B18" s="299"/>
      <c r="C18" s="299"/>
      <c r="D18" s="299"/>
      <c r="E18" s="299"/>
      <c r="F18" s="299"/>
      <c r="G18" s="299"/>
      <c r="H18" s="299"/>
      <c r="I18" s="299"/>
      <c r="J18" s="299"/>
      <c r="K18" s="299"/>
      <c r="L18" s="299"/>
      <c r="M18" s="299"/>
      <c r="N18" s="299"/>
      <c r="O18" s="299"/>
      <c r="P18" s="299"/>
      <c r="Q18" s="299"/>
      <c r="R18" s="299"/>
      <c r="S18" s="299"/>
      <c r="T18" s="299"/>
      <c r="U18" s="299"/>
      <c r="V18" s="299"/>
      <c r="W18" s="299"/>
      <c r="X18" s="299"/>
      <c r="Y18" s="299"/>
      <c r="Z18" s="299"/>
      <c r="AA18" s="299"/>
      <c r="AB18" s="299"/>
      <c r="AC18" s="299"/>
      <c r="AD18" s="299"/>
      <c r="AE18" s="299"/>
      <c r="AF18" s="299"/>
      <c r="AG18" s="299"/>
      <c r="AH18" s="299"/>
      <c r="AI18" s="299"/>
      <c r="AJ18" s="299"/>
      <c r="AK18" s="299"/>
      <c r="AL18" s="299"/>
      <c r="AM18" s="299"/>
      <c r="AN18" s="299"/>
      <c r="AO18" s="299"/>
      <c r="AP18" s="299"/>
      <c r="AQ18" s="299"/>
      <c r="AR18" s="299"/>
      <c r="AS18" s="299"/>
      <c r="AT18" s="299"/>
      <c r="AU18" s="299"/>
      <c r="AV18" s="299"/>
      <c r="AW18" s="299"/>
      <c r="AX18" s="299"/>
    </row>
    <row r="19" spans="1:50" x14ac:dyDescent="0.2">
      <c r="A19" s="299"/>
      <c r="B19" s="299"/>
      <c r="C19" s="299"/>
      <c r="D19" s="299"/>
      <c r="E19" s="299"/>
      <c r="F19" s="299"/>
      <c r="G19" s="299"/>
      <c r="H19" s="299"/>
      <c r="I19" s="299"/>
      <c r="J19" s="299"/>
      <c r="K19" s="299"/>
      <c r="L19" s="299"/>
      <c r="M19" s="299"/>
      <c r="N19" s="299"/>
      <c r="O19" s="299"/>
      <c r="P19" s="299"/>
      <c r="Q19" s="299"/>
      <c r="R19" s="299"/>
      <c r="S19" s="299"/>
      <c r="T19" s="299"/>
      <c r="U19" s="299"/>
      <c r="V19" s="299"/>
      <c r="W19" s="299"/>
      <c r="X19" s="299"/>
      <c r="Y19" s="299"/>
      <c r="Z19" s="299"/>
      <c r="AA19" s="299"/>
      <c r="AB19" s="299"/>
      <c r="AC19" s="299"/>
      <c r="AD19" s="299"/>
      <c r="AE19" s="299"/>
      <c r="AF19" s="299"/>
      <c r="AG19" s="299"/>
      <c r="AH19" s="299"/>
      <c r="AI19" s="299"/>
      <c r="AJ19" s="299"/>
      <c r="AK19" s="299"/>
      <c r="AL19" s="299"/>
      <c r="AM19" s="299"/>
      <c r="AN19" s="299"/>
      <c r="AO19" s="299"/>
      <c r="AP19" s="299"/>
      <c r="AQ19" s="299"/>
      <c r="AR19" s="299"/>
      <c r="AS19" s="299"/>
      <c r="AT19" s="299"/>
      <c r="AU19" s="299"/>
      <c r="AV19" s="299"/>
      <c r="AW19" s="299"/>
      <c r="AX19" s="299"/>
    </row>
    <row r="20" spans="1:50" x14ac:dyDescent="0.2">
      <c r="A20" s="299"/>
      <c r="B20" s="299"/>
      <c r="C20" s="299"/>
      <c r="D20" s="299"/>
      <c r="E20" s="299"/>
      <c r="F20" s="299"/>
      <c r="G20" s="299"/>
      <c r="H20" s="299"/>
      <c r="I20" s="299"/>
      <c r="J20" s="299"/>
      <c r="K20" s="299"/>
      <c r="L20" s="299"/>
      <c r="M20" s="299"/>
      <c r="N20" s="299"/>
      <c r="O20" s="299"/>
      <c r="P20" s="299"/>
      <c r="Q20" s="299"/>
      <c r="R20" s="299"/>
      <c r="S20" s="299"/>
      <c r="T20" s="299"/>
      <c r="U20" s="299"/>
      <c r="V20" s="299"/>
      <c r="W20" s="299"/>
      <c r="X20" s="299"/>
      <c r="Y20" s="299"/>
      <c r="Z20" s="299"/>
      <c r="AA20" s="299"/>
      <c r="AB20" s="299"/>
      <c r="AC20" s="299"/>
      <c r="AD20" s="299"/>
      <c r="AE20" s="299"/>
      <c r="AF20" s="299"/>
      <c r="AG20" s="299"/>
      <c r="AH20" s="299"/>
      <c r="AI20" s="299"/>
      <c r="AJ20" s="299"/>
      <c r="AK20" s="299"/>
      <c r="AL20" s="299"/>
      <c r="AM20" s="299"/>
      <c r="AN20" s="299"/>
      <c r="AO20" s="299"/>
      <c r="AP20" s="299"/>
      <c r="AQ20" s="299"/>
      <c r="AR20" s="299"/>
      <c r="AS20" s="299"/>
      <c r="AT20" s="299"/>
      <c r="AU20" s="299"/>
      <c r="AV20" s="299"/>
      <c r="AW20" s="299"/>
      <c r="AX20" s="299"/>
    </row>
    <row r="21" spans="1:50" x14ac:dyDescent="0.2">
      <c r="A21" s="299"/>
      <c r="B21" s="299"/>
      <c r="C21" s="299"/>
      <c r="D21" s="299"/>
      <c r="E21" s="299"/>
      <c r="F21" s="299"/>
      <c r="G21" s="299"/>
      <c r="H21" s="299"/>
      <c r="I21" s="299"/>
      <c r="J21" s="299"/>
      <c r="K21" s="299"/>
      <c r="L21" s="299"/>
      <c r="M21" s="299"/>
      <c r="N21" s="299"/>
      <c r="O21" s="299"/>
      <c r="P21" s="299"/>
      <c r="Q21" s="299"/>
      <c r="R21" s="299"/>
      <c r="S21" s="299"/>
      <c r="T21" s="299"/>
      <c r="U21" s="299"/>
      <c r="V21" s="299"/>
      <c r="W21" s="299"/>
      <c r="X21" s="299"/>
      <c r="Y21" s="299"/>
      <c r="Z21" s="299"/>
      <c r="AA21" s="299"/>
      <c r="AB21" s="299"/>
      <c r="AC21" s="299"/>
      <c r="AD21" s="299"/>
      <c r="AE21" s="299"/>
      <c r="AF21" s="299"/>
      <c r="AG21" s="299"/>
      <c r="AH21" s="299"/>
      <c r="AI21" s="299"/>
      <c r="AJ21" s="299"/>
      <c r="AK21" s="299"/>
      <c r="AL21" s="299"/>
      <c r="AM21" s="299"/>
      <c r="AN21" s="299"/>
      <c r="AO21" s="299"/>
      <c r="AP21" s="299"/>
      <c r="AQ21" s="299"/>
      <c r="AR21" s="299"/>
      <c r="AS21" s="299"/>
      <c r="AT21" s="299"/>
      <c r="AU21" s="299"/>
      <c r="AV21" s="299"/>
      <c r="AW21" s="299"/>
      <c r="AX21" s="299"/>
    </row>
    <row r="22" spans="1:50" x14ac:dyDescent="0.2">
      <c r="A22" s="299"/>
      <c r="B22" s="299"/>
      <c r="C22" s="299"/>
      <c r="D22" s="299"/>
      <c r="E22" s="299"/>
      <c r="F22" s="299"/>
      <c r="G22" s="299"/>
      <c r="H22" s="299"/>
      <c r="I22" s="299"/>
      <c r="J22" s="299"/>
      <c r="K22" s="299"/>
      <c r="L22" s="299"/>
      <c r="M22" s="299"/>
      <c r="N22" s="299"/>
      <c r="O22" s="299"/>
      <c r="P22" s="299"/>
      <c r="Q22" s="299"/>
      <c r="R22" s="299"/>
      <c r="S22" s="299"/>
      <c r="T22" s="299"/>
      <c r="U22" s="299"/>
      <c r="V22" s="299"/>
      <c r="W22" s="299"/>
      <c r="X22" s="299"/>
      <c r="Y22" s="299"/>
      <c r="Z22" s="299"/>
      <c r="AA22" s="299"/>
      <c r="AB22" s="299"/>
      <c r="AC22" s="299"/>
      <c r="AD22" s="299"/>
      <c r="AE22" s="299"/>
      <c r="AF22" s="299"/>
      <c r="AG22" s="299"/>
      <c r="AH22" s="299"/>
      <c r="AI22" s="299"/>
      <c r="AJ22" s="299"/>
      <c r="AK22" s="299"/>
      <c r="AL22" s="299"/>
      <c r="AM22" s="299"/>
      <c r="AN22" s="299"/>
      <c r="AO22" s="299"/>
      <c r="AP22" s="299"/>
      <c r="AQ22" s="299"/>
      <c r="AR22" s="299"/>
      <c r="AS22" s="299"/>
      <c r="AT22" s="299"/>
      <c r="AU22" s="299"/>
      <c r="AV22" s="299"/>
      <c r="AW22" s="299"/>
      <c r="AX22" s="299"/>
    </row>
    <row r="23" spans="1:50" x14ac:dyDescent="0.2">
      <c r="A23" s="299"/>
      <c r="B23" s="299"/>
      <c r="C23" s="299"/>
      <c r="D23" s="299"/>
      <c r="E23" s="299"/>
      <c r="F23" s="299"/>
      <c r="G23" s="299"/>
      <c r="H23" s="299"/>
      <c r="I23" s="299"/>
      <c r="J23" s="299"/>
      <c r="K23" s="299"/>
      <c r="L23" s="299"/>
      <c r="M23" s="299"/>
      <c r="N23" s="299"/>
      <c r="O23" s="299"/>
      <c r="P23" s="299"/>
      <c r="Q23" s="299"/>
      <c r="R23" s="299"/>
      <c r="S23" s="299"/>
      <c r="T23" s="299"/>
      <c r="U23" s="299"/>
      <c r="V23" s="299"/>
      <c r="W23" s="299"/>
      <c r="X23" s="299"/>
      <c r="Y23" s="299"/>
      <c r="Z23" s="299"/>
      <c r="AA23" s="299"/>
      <c r="AB23" s="299"/>
      <c r="AC23" s="299"/>
      <c r="AD23" s="299"/>
      <c r="AE23" s="299"/>
      <c r="AF23" s="299"/>
      <c r="AG23" s="299"/>
      <c r="AH23" s="299"/>
      <c r="AI23" s="299"/>
      <c r="AJ23" s="299"/>
      <c r="AK23" s="299"/>
      <c r="AL23" s="299"/>
      <c r="AM23" s="299"/>
      <c r="AN23" s="299"/>
      <c r="AO23" s="299"/>
      <c r="AP23" s="299"/>
      <c r="AQ23" s="299"/>
      <c r="AR23" s="299"/>
      <c r="AS23" s="299"/>
      <c r="AT23" s="299"/>
      <c r="AU23" s="299"/>
      <c r="AV23" s="299"/>
      <c r="AW23" s="299"/>
      <c r="AX23" s="299"/>
    </row>
    <row r="24" spans="1:50" x14ac:dyDescent="0.2">
      <c r="A24" s="299"/>
      <c r="B24" s="299"/>
      <c r="C24" s="299"/>
      <c r="D24" s="299"/>
      <c r="E24" s="299"/>
      <c r="F24" s="299"/>
      <c r="G24" s="299"/>
      <c r="H24" s="299"/>
      <c r="I24" s="299"/>
      <c r="J24" s="299"/>
      <c r="K24" s="299"/>
      <c r="L24" s="299"/>
      <c r="M24" s="299"/>
      <c r="N24" s="299"/>
      <c r="O24" s="299"/>
      <c r="P24" s="299"/>
      <c r="Q24" s="299"/>
      <c r="R24" s="299"/>
      <c r="S24" s="299"/>
      <c r="T24" s="299"/>
      <c r="U24" s="299"/>
      <c r="V24" s="299"/>
      <c r="W24" s="299"/>
      <c r="X24" s="299"/>
      <c r="Y24" s="299"/>
      <c r="Z24" s="299"/>
      <c r="AA24" s="299"/>
      <c r="AB24" s="299"/>
      <c r="AC24" s="299"/>
      <c r="AD24" s="299"/>
      <c r="AE24" s="299"/>
      <c r="AF24" s="299"/>
      <c r="AG24" s="299"/>
      <c r="AH24" s="299"/>
      <c r="AI24" s="299"/>
      <c r="AJ24" s="299"/>
      <c r="AK24" s="299"/>
      <c r="AL24" s="299"/>
      <c r="AM24" s="299"/>
      <c r="AN24" s="299"/>
      <c r="AO24" s="299"/>
      <c r="AP24" s="299"/>
      <c r="AQ24" s="299"/>
      <c r="AR24" s="299"/>
      <c r="AS24" s="299"/>
      <c r="AT24" s="299"/>
      <c r="AU24" s="299"/>
      <c r="AV24" s="299"/>
      <c r="AW24" s="299"/>
      <c r="AX24" s="299"/>
    </row>
    <row r="25" spans="1:50" x14ac:dyDescent="0.2">
      <c r="A25" s="299"/>
      <c r="B25" s="299"/>
      <c r="C25" s="299"/>
      <c r="D25" s="299"/>
      <c r="E25" s="299"/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K25" s="299"/>
      <c r="AL25" s="299"/>
      <c r="AM25" s="299"/>
      <c r="AN25" s="299"/>
      <c r="AO25" s="299"/>
      <c r="AP25" s="299"/>
      <c r="AQ25" s="299"/>
      <c r="AR25" s="299"/>
      <c r="AS25" s="299"/>
      <c r="AT25" s="299"/>
      <c r="AU25" s="299"/>
      <c r="AV25" s="299"/>
      <c r="AW25" s="299"/>
      <c r="AX25" s="299"/>
    </row>
    <row r="26" spans="1:50" x14ac:dyDescent="0.2">
      <c r="A26" s="299"/>
      <c r="B26" s="299"/>
      <c r="C26" s="299"/>
      <c r="D26" s="299"/>
      <c r="E26" s="299"/>
      <c r="F26" s="299"/>
      <c r="G26" s="299"/>
      <c r="H26" s="299"/>
      <c r="I26" s="299"/>
      <c r="J26" s="299"/>
      <c r="K26" s="299"/>
      <c r="L26" s="299"/>
      <c r="M26" s="299"/>
      <c r="N26" s="299"/>
      <c r="O26" s="299"/>
      <c r="P26" s="299"/>
      <c r="Q26" s="299"/>
      <c r="R26" s="299"/>
      <c r="S26" s="299"/>
      <c r="T26" s="299"/>
      <c r="U26" s="299"/>
      <c r="V26" s="299"/>
      <c r="W26" s="299"/>
      <c r="X26" s="299"/>
      <c r="Y26" s="299"/>
      <c r="Z26" s="299"/>
      <c r="AA26" s="299"/>
      <c r="AB26" s="299"/>
      <c r="AC26" s="299"/>
      <c r="AD26" s="299"/>
      <c r="AE26" s="299"/>
      <c r="AF26" s="299"/>
      <c r="AG26" s="299"/>
      <c r="AH26" s="299"/>
      <c r="AI26" s="299"/>
      <c r="AJ26" s="299"/>
      <c r="AK26" s="299"/>
      <c r="AL26" s="299"/>
      <c r="AM26" s="299"/>
      <c r="AN26" s="299"/>
      <c r="AO26" s="299"/>
      <c r="AP26" s="299"/>
      <c r="AQ26" s="299"/>
      <c r="AR26" s="299"/>
      <c r="AS26" s="299"/>
      <c r="AT26" s="299"/>
      <c r="AU26" s="299"/>
      <c r="AV26" s="299"/>
      <c r="AW26" s="299"/>
      <c r="AX26" s="299"/>
    </row>
    <row r="27" spans="1:50" x14ac:dyDescent="0.2">
      <c r="A27" s="299"/>
      <c r="B27" s="299"/>
      <c r="C27" s="299"/>
      <c r="D27" s="299"/>
      <c r="E27" s="299"/>
      <c r="F27" s="299"/>
      <c r="G27" s="299"/>
      <c r="H27" s="299"/>
      <c r="I27" s="299"/>
      <c r="J27" s="299"/>
      <c r="K27" s="299"/>
      <c r="L27" s="299"/>
      <c r="M27" s="299"/>
      <c r="N27" s="299"/>
      <c r="O27" s="299"/>
      <c r="P27" s="299"/>
      <c r="Q27" s="299"/>
      <c r="R27" s="299"/>
      <c r="S27" s="299"/>
      <c r="T27" s="299"/>
      <c r="U27" s="299"/>
      <c r="V27" s="299"/>
      <c r="W27" s="299"/>
      <c r="X27" s="299"/>
      <c r="Y27" s="299"/>
      <c r="Z27" s="299"/>
      <c r="AA27" s="299"/>
      <c r="AB27" s="299"/>
      <c r="AC27" s="299"/>
      <c r="AD27" s="299"/>
      <c r="AE27" s="299"/>
      <c r="AF27" s="299"/>
      <c r="AG27" s="299"/>
      <c r="AH27" s="299"/>
      <c r="AI27" s="299"/>
      <c r="AJ27" s="299"/>
      <c r="AK27" s="299"/>
      <c r="AL27" s="299"/>
      <c r="AM27" s="299"/>
      <c r="AN27" s="299"/>
      <c r="AO27" s="299"/>
      <c r="AP27" s="299"/>
      <c r="AQ27" s="299"/>
      <c r="AR27" s="299"/>
      <c r="AS27" s="299"/>
      <c r="AT27" s="299"/>
      <c r="AU27" s="299"/>
      <c r="AV27" s="299"/>
      <c r="AW27" s="299"/>
      <c r="AX27" s="299"/>
    </row>
    <row r="28" spans="1:50" x14ac:dyDescent="0.2">
      <c r="A28" s="299"/>
      <c r="B28" s="299"/>
      <c r="C28" s="299"/>
      <c r="D28" s="299"/>
      <c r="E28" s="299"/>
      <c r="F28" s="299"/>
      <c r="G28" s="299"/>
      <c r="H28" s="299"/>
      <c r="I28" s="299"/>
      <c r="J28" s="299"/>
      <c r="K28" s="299"/>
      <c r="L28" s="299"/>
      <c r="M28" s="299"/>
      <c r="N28" s="299"/>
      <c r="O28" s="299"/>
      <c r="P28" s="299"/>
      <c r="Q28" s="299"/>
      <c r="R28" s="299"/>
      <c r="S28" s="299"/>
      <c r="T28" s="299"/>
      <c r="U28" s="299"/>
      <c r="V28" s="299"/>
      <c r="W28" s="299"/>
      <c r="X28" s="299"/>
      <c r="Y28" s="299"/>
      <c r="Z28" s="299"/>
      <c r="AA28" s="299"/>
      <c r="AB28" s="299"/>
      <c r="AC28" s="299"/>
      <c r="AD28" s="299"/>
      <c r="AE28" s="299"/>
      <c r="AF28" s="299"/>
      <c r="AG28" s="299"/>
      <c r="AH28" s="299"/>
      <c r="AI28" s="299"/>
      <c r="AJ28" s="299"/>
      <c r="AK28" s="299"/>
      <c r="AL28" s="299"/>
      <c r="AM28" s="299"/>
      <c r="AN28" s="299"/>
      <c r="AO28" s="299"/>
      <c r="AP28" s="299"/>
      <c r="AQ28" s="299"/>
      <c r="AR28" s="299"/>
      <c r="AS28" s="299"/>
      <c r="AT28" s="299"/>
      <c r="AU28" s="299"/>
      <c r="AV28" s="299"/>
      <c r="AW28" s="299"/>
      <c r="AX28" s="299"/>
    </row>
    <row r="29" spans="1:50" x14ac:dyDescent="0.2">
      <c r="A29" s="299"/>
      <c r="B29" s="299"/>
      <c r="C29" s="299"/>
      <c r="D29" s="299"/>
      <c r="E29" s="299"/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9"/>
      <c r="AL29" s="299"/>
      <c r="AM29" s="299"/>
      <c r="AN29" s="299"/>
      <c r="AO29" s="299"/>
      <c r="AP29" s="299"/>
      <c r="AQ29" s="299"/>
      <c r="AR29" s="299"/>
      <c r="AS29" s="299"/>
      <c r="AT29" s="299"/>
      <c r="AU29" s="299"/>
      <c r="AV29" s="299"/>
      <c r="AW29" s="299"/>
      <c r="AX29" s="299"/>
    </row>
    <row r="30" spans="1:50" x14ac:dyDescent="0.2">
      <c r="A30" s="299"/>
      <c r="B30" s="299"/>
      <c r="C30" s="299"/>
      <c r="D30" s="299"/>
      <c r="E30" s="299"/>
      <c r="F30" s="299"/>
      <c r="G30" s="299"/>
      <c r="H30" s="299"/>
      <c r="I30" s="299"/>
      <c r="J30" s="299"/>
      <c r="K30" s="299"/>
      <c r="L30" s="299"/>
      <c r="M30" s="299"/>
      <c r="N30" s="299"/>
      <c r="O30" s="299"/>
      <c r="P30" s="299"/>
      <c r="Q30" s="299"/>
      <c r="R30" s="299"/>
      <c r="S30" s="299"/>
      <c r="T30" s="299"/>
      <c r="U30" s="299"/>
      <c r="V30" s="299"/>
      <c r="W30" s="299"/>
      <c r="X30" s="299"/>
      <c r="Y30" s="299"/>
      <c r="Z30" s="299"/>
      <c r="AA30" s="299"/>
      <c r="AB30" s="299"/>
      <c r="AC30" s="299"/>
      <c r="AD30" s="299"/>
      <c r="AE30" s="299"/>
      <c r="AF30" s="299"/>
      <c r="AG30" s="299"/>
      <c r="AH30" s="299"/>
      <c r="AI30" s="299"/>
      <c r="AJ30" s="299"/>
      <c r="AK30" s="299"/>
      <c r="AL30" s="299"/>
      <c r="AM30" s="299"/>
      <c r="AN30" s="299"/>
      <c r="AO30" s="299"/>
      <c r="AP30" s="299"/>
      <c r="AQ30" s="299"/>
      <c r="AR30" s="299"/>
      <c r="AS30" s="299"/>
      <c r="AT30" s="299"/>
      <c r="AU30" s="299"/>
      <c r="AV30" s="299"/>
      <c r="AW30" s="299"/>
      <c r="AX30" s="299"/>
    </row>
    <row r="31" spans="1:50" x14ac:dyDescent="0.2">
      <c r="A31" s="299"/>
      <c r="B31" s="299"/>
      <c r="C31" s="299"/>
      <c r="D31" s="299"/>
      <c r="E31" s="299"/>
      <c r="F31" s="299"/>
      <c r="G31" s="299"/>
      <c r="H31" s="299"/>
      <c r="I31" s="299"/>
      <c r="J31" s="299"/>
      <c r="K31" s="299"/>
      <c r="L31" s="299"/>
      <c r="M31" s="299"/>
      <c r="N31" s="299"/>
      <c r="O31" s="299"/>
      <c r="P31" s="299"/>
      <c r="Q31" s="299"/>
      <c r="R31" s="299"/>
      <c r="S31" s="299"/>
      <c r="T31" s="299"/>
      <c r="U31" s="299"/>
      <c r="V31" s="299"/>
      <c r="W31" s="299"/>
      <c r="X31" s="299"/>
      <c r="Y31" s="299"/>
      <c r="Z31" s="299"/>
      <c r="AA31" s="299"/>
      <c r="AB31" s="299"/>
      <c r="AC31" s="299"/>
      <c r="AD31" s="299"/>
      <c r="AE31" s="299"/>
      <c r="AF31" s="299"/>
      <c r="AG31" s="299"/>
      <c r="AH31" s="299"/>
      <c r="AI31" s="299"/>
      <c r="AJ31" s="299"/>
      <c r="AK31" s="299"/>
      <c r="AL31" s="299"/>
      <c r="AM31" s="299"/>
      <c r="AN31" s="299"/>
      <c r="AO31" s="299"/>
      <c r="AP31" s="299"/>
      <c r="AQ31" s="299"/>
      <c r="AR31" s="299"/>
      <c r="AS31" s="299"/>
      <c r="AT31" s="299"/>
      <c r="AU31" s="299"/>
      <c r="AV31" s="299"/>
      <c r="AW31" s="299"/>
      <c r="AX31" s="299"/>
    </row>
    <row r="32" spans="1:50" x14ac:dyDescent="0.2">
      <c r="A32" s="299"/>
      <c r="B32" s="299"/>
      <c r="C32" s="299"/>
      <c r="D32" s="299"/>
      <c r="E32" s="299"/>
      <c r="F32" s="299"/>
      <c r="G32" s="299"/>
      <c r="H32" s="299"/>
      <c r="I32" s="299"/>
      <c r="J32" s="299"/>
      <c r="K32" s="299"/>
      <c r="L32" s="299"/>
      <c r="M32" s="299"/>
      <c r="N32" s="299"/>
      <c r="O32" s="299"/>
      <c r="P32" s="299"/>
      <c r="Q32" s="299"/>
      <c r="R32" s="299"/>
      <c r="S32" s="299"/>
      <c r="T32" s="299"/>
      <c r="U32" s="299"/>
      <c r="V32" s="299"/>
      <c r="W32" s="299"/>
      <c r="X32" s="299"/>
      <c r="Y32" s="299"/>
      <c r="Z32" s="299"/>
      <c r="AA32" s="299"/>
      <c r="AB32" s="299"/>
      <c r="AC32" s="299"/>
      <c r="AD32" s="299"/>
      <c r="AE32" s="299"/>
      <c r="AF32" s="299"/>
      <c r="AG32" s="299"/>
      <c r="AH32" s="299"/>
      <c r="AI32" s="299"/>
      <c r="AJ32" s="299"/>
      <c r="AK32" s="299"/>
      <c r="AL32" s="299"/>
      <c r="AM32" s="299"/>
      <c r="AN32" s="299"/>
      <c r="AO32" s="299"/>
      <c r="AP32" s="299"/>
      <c r="AQ32" s="299"/>
      <c r="AR32" s="299"/>
      <c r="AS32" s="299"/>
      <c r="AT32" s="299"/>
      <c r="AU32" s="299"/>
      <c r="AV32" s="299"/>
      <c r="AW32" s="299"/>
      <c r="AX32" s="299"/>
    </row>
    <row r="33" spans="1:50" x14ac:dyDescent="0.2">
      <c r="A33" s="299"/>
      <c r="B33" s="299"/>
      <c r="C33" s="299"/>
      <c r="D33" s="299"/>
      <c r="E33" s="299"/>
      <c r="F33" s="299"/>
      <c r="G33" s="299"/>
      <c r="H33" s="299"/>
      <c r="I33" s="299"/>
      <c r="J33" s="299"/>
      <c r="K33" s="299"/>
      <c r="L33" s="299"/>
      <c r="M33" s="299"/>
      <c r="N33" s="299"/>
      <c r="O33" s="299"/>
      <c r="P33" s="299"/>
      <c r="Q33" s="299"/>
      <c r="R33" s="299"/>
      <c r="S33" s="299"/>
      <c r="T33" s="299"/>
      <c r="U33" s="299"/>
      <c r="V33" s="299"/>
      <c r="W33" s="299"/>
      <c r="X33" s="299"/>
      <c r="Y33" s="299"/>
      <c r="Z33" s="299"/>
      <c r="AA33" s="299"/>
      <c r="AB33" s="299"/>
      <c r="AC33" s="299"/>
      <c r="AD33" s="299"/>
      <c r="AE33" s="299"/>
      <c r="AF33" s="299"/>
      <c r="AG33" s="299"/>
      <c r="AH33" s="299"/>
      <c r="AI33" s="299"/>
      <c r="AJ33" s="299"/>
      <c r="AK33" s="299"/>
      <c r="AL33" s="299"/>
      <c r="AM33" s="299"/>
      <c r="AN33" s="299"/>
      <c r="AO33" s="299"/>
      <c r="AP33" s="299"/>
      <c r="AQ33" s="299"/>
      <c r="AR33" s="299"/>
      <c r="AS33" s="299"/>
      <c r="AT33" s="299"/>
      <c r="AU33" s="299"/>
      <c r="AV33" s="299"/>
      <c r="AW33" s="299"/>
      <c r="AX33" s="299"/>
    </row>
    <row r="34" spans="1:50" x14ac:dyDescent="0.2">
      <c r="A34" s="299"/>
      <c r="B34" s="299"/>
      <c r="C34" s="299"/>
      <c r="D34" s="299"/>
      <c r="E34" s="299"/>
      <c r="F34" s="299"/>
      <c r="G34" s="299"/>
      <c r="H34" s="299"/>
      <c r="I34" s="299"/>
      <c r="J34" s="299"/>
      <c r="K34" s="299"/>
      <c r="L34" s="299"/>
      <c r="M34" s="299"/>
      <c r="N34" s="299"/>
      <c r="O34" s="299"/>
      <c r="P34" s="299"/>
      <c r="Q34" s="299"/>
      <c r="R34" s="299"/>
      <c r="S34" s="299"/>
      <c r="T34" s="299"/>
      <c r="U34" s="299"/>
      <c r="V34" s="299"/>
      <c r="W34" s="299"/>
      <c r="X34" s="299"/>
      <c r="Y34" s="299"/>
      <c r="Z34" s="299"/>
      <c r="AA34" s="299"/>
      <c r="AB34" s="299"/>
      <c r="AC34" s="299"/>
      <c r="AD34" s="299"/>
      <c r="AE34" s="299"/>
      <c r="AF34" s="299"/>
      <c r="AG34" s="299"/>
      <c r="AH34" s="299"/>
      <c r="AI34" s="299"/>
      <c r="AJ34" s="299"/>
      <c r="AK34" s="299"/>
      <c r="AL34" s="299"/>
      <c r="AM34" s="299"/>
      <c r="AN34" s="299"/>
      <c r="AO34" s="299"/>
      <c r="AP34" s="299"/>
      <c r="AQ34" s="299"/>
      <c r="AR34" s="299"/>
      <c r="AS34" s="299"/>
      <c r="AT34" s="299"/>
      <c r="AU34" s="299"/>
      <c r="AV34" s="299"/>
      <c r="AW34" s="299"/>
      <c r="AX34" s="299"/>
    </row>
    <row r="35" spans="1:50" x14ac:dyDescent="0.2">
      <c r="A35" s="299"/>
      <c r="B35" s="299"/>
      <c r="C35" s="299"/>
      <c r="D35" s="299"/>
      <c r="E35" s="299"/>
      <c r="F35" s="299"/>
      <c r="G35" s="299"/>
      <c r="H35" s="299"/>
      <c r="I35" s="299"/>
      <c r="J35" s="299"/>
      <c r="K35" s="299"/>
      <c r="L35" s="299"/>
      <c r="M35" s="299"/>
      <c r="N35" s="299"/>
      <c r="O35" s="299"/>
      <c r="P35" s="299"/>
      <c r="Q35" s="299"/>
      <c r="R35" s="299"/>
      <c r="S35" s="299"/>
      <c r="T35" s="299"/>
      <c r="U35" s="299"/>
      <c r="V35" s="299"/>
      <c r="W35" s="299"/>
      <c r="X35" s="299"/>
      <c r="Y35" s="299"/>
      <c r="Z35" s="299"/>
      <c r="AA35" s="299"/>
      <c r="AB35" s="299"/>
      <c r="AC35" s="299"/>
      <c r="AD35" s="299"/>
      <c r="AE35" s="299"/>
      <c r="AF35" s="299"/>
      <c r="AG35" s="299"/>
      <c r="AH35" s="299"/>
      <c r="AI35" s="299"/>
      <c r="AJ35" s="299"/>
      <c r="AK35" s="299"/>
      <c r="AL35" s="299"/>
      <c r="AM35" s="299"/>
      <c r="AN35" s="299"/>
      <c r="AO35" s="299"/>
      <c r="AP35" s="299"/>
      <c r="AQ35" s="299"/>
      <c r="AR35" s="299"/>
      <c r="AS35" s="299"/>
      <c r="AT35" s="299"/>
      <c r="AU35" s="299"/>
      <c r="AV35" s="299"/>
      <c r="AW35" s="299"/>
      <c r="AX35" s="299"/>
    </row>
    <row r="36" spans="1:50" x14ac:dyDescent="0.2">
      <c r="A36" s="299"/>
      <c r="B36" s="299"/>
      <c r="C36" s="299"/>
      <c r="D36" s="299"/>
      <c r="E36" s="299"/>
      <c r="F36" s="299"/>
      <c r="G36" s="299"/>
      <c r="H36" s="299"/>
      <c r="I36" s="299"/>
      <c r="J36" s="299"/>
      <c r="K36" s="299"/>
      <c r="L36" s="299"/>
      <c r="M36" s="299"/>
      <c r="N36" s="299"/>
      <c r="O36" s="299"/>
      <c r="P36" s="299"/>
      <c r="Q36" s="299"/>
      <c r="R36" s="299"/>
      <c r="S36" s="299"/>
      <c r="T36" s="299"/>
      <c r="U36" s="299"/>
      <c r="V36" s="299"/>
      <c r="W36" s="299"/>
      <c r="X36" s="299"/>
      <c r="Y36" s="299"/>
      <c r="Z36" s="299"/>
      <c r="AA36" s="299"/>
      <c r="AB36" s="299"/>
      <c r="AC36" s="299"/>
      <c r="AD36" s="299"/>
      <c r="AE36" s="299"/>
      <c r="AF36" s="299"/>
      <c r="AG36" s="299"/>
      <c r="AH36" s="299"/>
      <c r="AI36" s="299"/>
      <c r="AJ36" s="299"/>
      <c r="AK36" s="299"/>
      <c r="AL36" s="299"/>
      <c r="AM36" s="299"/>
      <c r="AN36" s="299"/>
      <c r="AO36" s="299"/>
      <c r="AP36" s="299"/>
      <c r="AQ36" s="299"/>
      <c r="AR36" s="299"/>
      <c r="AS36" s="299"/>
      <c r="AT36" s="299"/>
      <c r="AU36" s="299"/>
      <c r="AV36" s="299"/>
      <c r="AW36" s="299"/>
      <c r="AX36" s="299"/>
    </row>
    <row r="37" spans="1:50" x14ac:dyDescent="0.2">
      <c r="A37" s="299"/>
      <c r="B37" s="299"/>
      <c r="C37" s="299"/>
      <c r="D37" s="299"/>
      <c r="E37" s="299"/>
      <c r="F37" s="299"/>
      <c r="G37" s="299"/>
      <c r="H37" s="299"/>
      <c r="I37" s="299"/>
      <c r="J37" s="299"/>
      <c r="K37" s="299"/>
      <c r="L37" s="299"/>
      <c r="M37" s="299"/>
      <c r="N37" s="299"/>
      <c r="O37" s="299"/>
      <c r="P37" s="299"/>
      <c r="Q37" s="299"/>
      <c r="R37" s="299"/>
      <c r="S37" s="299"/>
      <c r="T37" s="299"/>
      <c r="U37" s="299"/>
      <c r="V37" s="299"/>
      <c r="W37" s="299"/>
      <c r="X37" s="299"/>
      <c r="Y37" s="299"/>
      <c r="Z37" s="299"/>
      <c r="AA37" s="299"/>
      <c r="AB37" s="299"/>
      <c r="AC37" s="299"/>
      <c r="AD37" s="299"/>
      <c r="AE37" s="299"/>
      <c r="AF37" s="299"/>
      <c r="AG37" s="299"/>
      <c r="AH37" s="299"/>
      <c r="AI37" s="299"/>
      <c r="AJ37" s="299"/>
      <c r="AK37" s="299"/>
      <c r="AL37" s="299"/>
      <c r="AM37" s="299"/>
      <c r="AN37" s="299"/>
      <c r="AO37" s="299"/>
      <c r="AP37" s="299"/>
      <c r="AQ37" s="299"/>
      <c r="AR37" s="299"/>
      <c r="AS37" s="299"/>
      <c r="AT37" s="299"/>
      <c r="AU37" s="299"/>
      <c r="AV37" s="299"/>
      <c r="AW37" s="299"/>
      <c r="AX37" s="29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5D82-3B51-8E4E-B02A-DB28D01572D1}">
  <dimension ref="A1:U14"/>
  <sheetViews>
    <sheetView topLeftCell="F1" zoomScale="90" zoomScaleNormal="90" workbookViewId="0">
      <selection activeCell="N14" sqref="N14"/>
    </sheetView>
  </sheetViews>
  <sheetFormatPr baseColWidth="10" defaultColWidth="11.5" defaultRowHeight="15" x14ac:dyDescent="0.2"/>
  <cols>
    <col min="1" max="6" width="17.1640625" customWidth="1"/>
    <col min="7" max="7" width="16.83203125" customWidth="1"/>
    <col min="8" max="8" width="11" bestFit="1" customWidth="1"/>
    <col min="9" max="10" width="12.1640625" bestFit="1" customWidth="1"/>
    <col min="11" max="11" width="12.5" customWidth="1"/>
    <col min="12" max="12" width="11" bestFit="1" customWidth="1"/>
    <col min="13" max="13" width="12.1640625" bestFit="1" customWidth="1"/>
    <col min="14" max="14" width="12.1640625" customWidth="1"/>
    <col min="15" max="15" width="12.33203125" customWidth="1"/>
    <col min="16" max="17" width="12.83203125" customWidth="1"/>
    <col min="20" max="20" width="13.6640625" customWidth="1"/>
    <col min="21" max="21" width="15.1640625" customWidth="1"/>
  </cols>
  <sheetData>
    <row r="1" spans="1:21" ht="16" thickBot="1" x14ac:dyDescent="0.25">
      <c r="A1" s="466" t="s">
        <v>165</v>
      </c>
      <c r="B1" s="467"/>
      <c r="C1" s="467"/>
      <c r="D1" s="467"/>
      <c r="E1" s="467"/>
      <c r="F1" s="467"/>
      <c r="G1" s="468"/>
      <c r="H1" s="468"/>
      <c r="I1" s="468"/>
      <c r="J1" s="468"/>
      <c r="K1" s="468"/>
      <c r="L1" s="468"/>
      <c r="M1" s="468"/>
      <c r="N1" s="468"/>
      <c r="O1" s="468"/>
      <c r="P1" s="468"/>
      <c r="Q1" s="468"/>
      <c r="R1" s="475"/>
      <c r="S1" s="476"/>
      <c r="T1" s="476"/>
      <c r="U1" s="477"/>
    </row>
    <row r="2" spans="1:21" ht="16" thickBot="1" x14ac:dyDescent="0.25">
      <c r="A2" s="291" t="s">
        <v>166</v>
      </c>
      <c r="B2" s="170">
        <v>2013</v>
      </c>
      <c r="C2" s="170">
        <v>2014</v>
      </c>
      <c r="D2" s="170">
        <v>2015</v>
      </c>
      <c r="E2" s="170">
        <v>2016</v>
      </c>
      <c r="F2" s="170">
        <v>2017</v>
      </c>
      <c r="G2" s="12">
        <v>2018</v>
      </c>
      <c r="H2" s="12">
        <v>2019</v>
      </c>
      <c r="I2" s="12">
        <v>2020</v>
      </c>
      <c r="J2" s="12">
        <v>2021</v>
      </c>
      <c r="K2" s="12">
        <v>2022</v>
      </c>
      <c r="L2" s="12">
        <v>2023</v>
      </c>
      <c r="M2" s="361">
        <v>2024</v>
      </c>
      <c r="N2" s="361">
        <v>2025</v>
      </c>
      <c r="O2" s="361">
        <v>2026</v>
      </c>
      <c r="P2" s="361">
        <v>2027</v>
      </c>
      <c r="Q2" s="363">
        <v>2028</v>
      </c>
      <c r="R2" s="437" t="s">
        <v>444</v>
      </c>
      <c r="S2" s="366" t="s">
        <v>462</v>
      </c>
      <c r="T2" s="367"/>
      <c r="U2" s="375">
        <f>(Financials!BW9/Financials!BU9)^(1/3) - 1</f>
        <v>3.9570472886209407E-2</v>
      </c>
    </row>
    <row r="3" spans="1:21" ht="16" thickBot="1" x14ac:dyDescent="0.25">
      <c r="A3" s="215" t="s">
        <v>167</v>
      </c>
      <c r="B3" s="389">
        <v>74452</v>
      </c>
      <c r="C3" s="170"/>
      <c r="D3" s="170"/>
      <c r="E3" s="170"/>
      <c r="F3" s="170"/>
      <c r="G3" s="239"/>
      <c r="H3" s="239"/>
      <c r="I3" s="239"/>
      <c r="J3" s="239"/>
      <c r="K3" s="239"/>
      <c r="L3" s="390">
        <f>Financials!BY9</f>
        <v>574785</v>
      </c>
      <c r="M3" s="239"/>
      <c r="N3" s="239"/>
      <c r="O3" s="239"/>
      <c r="P3" s="239"/>
      <c r="Q3" s="364"/>
      <c r="R3" s="438"/>
      <c r="S3" s="370" t="s">
        <v>421</v>
      </c>
      <c r="T3" s="371" t="s">
        <v>422</v>
      </c>
      <c r="U3" s="472"/>
    </row>
    <row r="4" spans="1:21" x14ac:dyDescent="0.2">
      <c r="A4" s="215" t="s">
        <v>168</v>
      </c>
      <c r="B4" s="239">
        <f>(C4/$C$11)*$B$3</f>
        <v>57321.54757944891</v>
      </c>
      <c r="C4" s="239">
        <v>68513</v>
      </c>
      <c r="D4" s="239">
        <v>76863</v>
      </c>
      <c r="E4" s="239">
        <v>91431</v>
      </c>
      <c r="F4" s="239">
        <v>108354</v>
      </c>
      <c r="G4" s="239">
        <v>122987</v>
      </c>
      <c r="H4" s="239">
        <v>141247</v>
      </c>
      <c r="I4" s="239">
        <v>197346</v>
      </c>
      <c r="J4" s="239">
        <v>222075</v>
      </c>
      <c r="K4" s="239">
        <v>220004</v>
      </c>
      <c r="L4" s="239">
        <f>L3*0.4</f>
        <v>229914</v>
      </c>
      <c r="M4" s="362">
        <f>L4*(1+0.08)</f>
        <v>248307.12000000002</v>
      </c>
      <c r="N4" s="362">
        <f t="shared" ref="N4:Q4" si="0">M4*(1+$R$4)</f>
        <v>283705.90730450692</v>
      </c>
      <c r="O4" s="362">
        <f t="shared" si="0"/>
        <v>324151.1634441794</v>
      </c>
      <c r="P4" s="362">
        <f t="shared" si="0"/>
        <v>370362.31554190809</v>
      </c>
      <c r="Q4" s="365">
        <f t="shared" si="0"/>
        <v>423161.35261129489</v>
      </c>
      <c r="R4" s="439">
        <f>(M4/B4)^(1/11) - 1</f>
        <v>0.14256050049836233</v>
      </c>
      <c r="S4" s="368">
        <f>M4/$M$11</f>
        <v>0.38894390924642125</v>
      </c>
      <c r="T4" s="369">
        <f>R4*S4</f>
        <v>5.5448038367959432E-2</v>
      </c>
      <c r="U4" s="473"/>
    </row>
    <row r="5" spans="1:21" x14ac:dyDescent="0.2">
      <c r="A5" s="215" t="s">
        <v>169</v>
      </c>
      <c r="B5" s="239">
        <f t="shared" ref="B5:B11" si="1">(C5/$C$11)*$B$3</f>
        <v>0</v>
      </c>
      <c r="C5" s="239">
        <v>0</v>
      </c>
      <c r="D5" s="239">
        <v>0</v>
      </c>
      <c r="E5" s="239">
        <v>0</v>
      </c>
      <c r="F5" s="239">
        <v>5798</v>
      </c>
      <c r="G5" s="239">
        <v>17224</v>
      </c>
      <c r="H5" s="239">
        <v>17192</v>
      </c>
      <c r="I5" s="239">
        <v>16227</v>
      </c>
      <c r="J5" s="239">
        <v>17075</v>
      </c>
      <c r="K5" s="239">
        <v>18963</v>
      </c>
      <c r="L5" s="239">
        <f>L3*0.03</f>
        <v>17243.55</v>
      </c>
      <c r="M5" s="362">
        <f>L5*(1+0.02)</f>
        <v>17588.420999999998</v>
      </c>
      <c r="N5" s="362">
        <f t="shared" ref="N5:Q5" si="2">M5*(1+$R$5)</f>
        <v>20609.936720452228</v>
      </c>
      <c r="O5" s="362">
        <f t="shared" si="2"/>
        <v>24150.518777157155</v>
      </c>
      <c r="P5" s="362">
        <f t="shared" si="2"/>
        <v>28299.337601897427</v>
      </c>
      <c r="Q5" s="365">
        <f t="shared" si="2"/>
        <v>33160.882219377192</v>
      </c>
      <c r="R5" s="439">
        <f>(M5/F5)^(1/7) - 1</f>
        <v>0.17179004985451685</v>
      </c>
      <c r="S5" s="368">
        <f t="shared" ref="S5:S10" si="3">M5/$M$11</f>
        <v>2.7550193571621497E-2</v>
      </c>
      <c r="T5" s="236">
        <f t="shared" ref="T5:T10" si="4">R5*S5</f>
        <v>4.7328491271704468E-3</v>
      </c>
      <c r="U5" s="473"/>
    </row>
    <row r="6" spans="1:21" x14ac:dyDescent="0.2">
      <c r="A6" s="215" t="s">
        <v>170</v>
      </c>
      <c r="B6" s="239">
        <f t="shared" si="1"/>
        <v>9828.1526048455962</v>
      </c>
      <c r="C6" s="239">
        <v>11747</v>
      </c>
      <c r="D6" s="239">
        <v>16086</v>
      </c>
      <c r="E6" s="239">
        <v>22993</v>
      </c>
      <c r="F6" s="239">
        <v>31881</v>
      </c>
      <c r="G6" s="239">
        <v>42745</v>
      </c>
      <c r="H6" s="239">
        <v>53762</v>
      </c>
      <c r="I6" s="239">
        <v>80461</v>
      </c>
      <c r="J6" s="239">
        <v>103366</v>
      </c>
      <c r="K6" s="239">
        <v>117716</v>
      </c>
      <c r="L6" s="239">
        <f>L3*0.24</f>
        <v>137948.4</v>
      </c>
      <c r="M6" s="362">
        <f>L6*(1+0.14)</f>
        <v>157261.17600000001</v>
      </c>
      <c r="N6" s="362">
        <f t="shared" ref="N6:Q6" si="5">M6*(1+$R$6)</f>
        <v>202343.69061435372</v>
      </c>
      <c r="O6" s="362">
        <f t="shared" si="5"/>
        <v>260350.1396392794</v>
      </c>
      <c r="P6" s="362">
        <f t="shared" si="5"/>
        <v>334985.46460427163</v>
      </c>
      <c r="Q6" s="365">
        <f t="shared" si="5"/>
        <v>431016.71330622805</v>
      </c>
      <c r="R6" s="439">
        <f>(M6/B6)^(1/11) - 1</f>
        <v>0.28667288240521427</v>
      </c>
      <c r="S6" s="368">
        <f t="shared" si="3"/>
        <v>0.24633114252273342</v>
      </c>
      <c r="T6" s="236">
        <f t="shared" si="4"/>
        <v>7.0616458653161629E-2</v>
      </c>
      <c r="U6" s="473"/>
    </row>
    <row r="7" spans="1:21" x14ac:dyDescent="0.2">
      <c r="A7" s="215" t="s">
        <v>171</v>
      </c>
      <c r="B7" s="239">
        <f t="shared" si="1"/>
        <v>2310.8331909920439</v>
      </c>
      <c r="C7" s="239">
        <v>2762</v>
      </c>
      <c r="D7" s="239">
        <v>4467</v>
      </c>
      <c r="E7" s="239">
        <v>6394</v>
      </c>
      <c r="F7" s="239">
        <v>9721</v>
      </c>
      <c r="G7" s="239">
        <v>14168</v>
      </c>
      <c r="H7" s="239">
        <v>19210</v>
      </c>
      <c r="I7" s="239">
        <v>25207</v>
      </c>
      <c r="J7" s="239">
        <v>31768</v>
      </c>
      <c r="K7" s="239">
        <v>35218</v>
      </c>
      <c r="L7" s="239">
        <f>L3*0.07</f>
        <v>40234.950000000004</v>
      </c>
      <c r="M7" s="362">
        <f>L7*(1+0.11)</f>
        <v>44660.794500000011</v>
      </c>
      <c r="N7" s="362">
        <f t="shared" ref="N7:Q7" si="6">M7*(1+$R$7)</f>
        <v>58458.798552591114</v>
      </c>
      <c r="O7" s="362">
        <f t="shared" si="6"/>
        <v>76519.711896581415</v>
      </c>
      <c r="P7" s="362">
        <f t="shared" si="6"/>
        <v>100160.56528202967</v>
      </c>
      <c r="Q7" s="365">
        <f t="shared" si="6"/>
        <v>131105.28763064934</v>
      </c>
      <c r="R7" s="439">
        <f>(M7/B7)^(1/11) - 1</f>
        <v>0.30895115519252792</v>
      </c>
      <c r="S7" s="368">
        <f t="shared" si="3"/>
        <v>6.9955883676960498E-2</v>
      </c>
      <c r="T7" s="236">
        <f t="shared" si="4"/>
        <v>2.1612951074511052E-2</v>
      </c>
      <c r="U7" s="473"/>
    </row>
    <row r="8" spans="1:21" x14ac:dyDescent="0.2">
      <c r="A8" s="215" t="s">
        <v>172</v>
      </c>
      <c r="B8" s="239">
        <f t="shared" si="1"/>
        <v>0</v>
      </c>
      <c r="C8" s="239">
        <v>0</v>
      </c>
      <c r="D8" s="239">
        <v>0</v>
      </c>
      <c r="E8" s="239">
        <v>0</v>
      </c>
      <c r="F8" s="239">
        <v>0</v>
      </c>
      <c r="G8" s="239">
        <v>0</v>
      </c>
      <c r="H8" s="239">
        <v>0</v>
      </c>
      <c r="I8" s="239">
        <v>19773</v>
      </c>
      <c r="J8" s="239">
        <v>31160</v>
      </c>
      <c r="K8" s="239">
        <v>37739</v>
      </c>
      <c r="L8" s="239">
        <f>L3*0.08</f>
        <v>45982.8</v>
      </c>
      <c r="M8" s="362">
        <f>L8*(1+0.25)</f>
        <v>57478.5</v>
      </c>
      <c r="N8" s="362">
        <f t="shared" ref="N8:Q8" si="7">M8*(1+$R$8)</f>
        <v>75052.236919749819</v>
      </c>
      <c r="O8" s="362">
        <f t="shared" si="7"/>
        <v>97999.04775974073</v>
      </c>
      <c r="P8" s="362">
        <f t="shared" si="7"/>
        <v>127961.72047589862</v>
      </c>
      <c r="Q8" s="365">
        <f t="shared" si="7"/>
        <v>167085.31645425584</v>
      </c>
      <c r="R8" s="439">
        <f>(M8/I8)^(1/4) - 1</f>
        <v>0.30574452916742456</v>
      </c>
      <c r="S8" s="368">
        <f t="shared" si="3"/>
        <v>9.0033312325560458E-2</v>
      </c>
      <c r="T8" s="236">
        <f t="shared" si="4"/>
        <v>2.7527192686362164E-2</v>
      </c>
      <c r="U8" s="473"/>
    </row>
    <row r="9" spans="1:21" x14ac:dyDescent="0.2">
      <c r="A9" s="215" t="s">
        <v>173</v>
      </c>
      <c r="B9" s="239">
        <f t="shared" si="1"/>
        <v>3885.4125050568614</v>
      </c>
      <c r="C9" s="239">
        <v>4644</v>
      </c>
      <c r="D9" s="239">
        <v>7880</v>
      </c>
      <c r="E9" s="239">
        <v>12219</v>
      </c>
      <c r="F9" s="239">
        <v>17459</v>
      </c>
      <c r="G9" s="239">
        <v>25655</v>
      </c>
      <c r="H9" s="239">
        <v>35026</v>
      </c>
      <c r="I9" s="239">
        <v>45370</v>
      </c>
      <c r="J9" s="239">
        <v>62202</v>
      </c>
      <c r="K9" s="239">
        <v>80096</v>
      </c>
      <c r="L9" s="239">
        <f>L3*0.16</f>
        <v>91965.6</v>
      </c>
      <c r="M9" s="362">
        <f>L9*(1+0.16)</f>
        <v>106680.09600000001</v>
      </c>
      <c r="N9" s="362">
        <f t="shared" ref="N9:Q9" si="8">M9*(1+$R$9)</f>
        <v>144168.18197872277</v>
      </c>
      <c r="O9" s="362">
        <f t="shared" si="8"/>
        <v>194829.82744082011</v>
      </c>
      <c r="P9" s="362">
        <f t="shared" si="8"/>
        <v>263294.3076595217</v>
      </c>
      <c r="Q9" s="365">
        <f t="shared" si="8"/>
        <v>355817.65562546684</v>
      </c>
      <c r="R9" s="439">
        <f>(M9/B9)^(1/11) - 1</f>
        <v>0.35140656396412284</v>
      </c>
      <c r="S9" s="368">
        <f t="shared" si="3"/>
        <v>0.16710182767624021</v>
      </c>
      <c r="T9" s="236">
        <f t="shared" si="4"/>
        <v>5.8720679095832541E-2</v>
      </c>
      <c r="U9" s="473"/>
    </row>
    <row r="10" spans="1:21" ht="16" thickBot="1" x14ac:dyDescent="0.25">
      <c r="A10" s="440" t="s">
        <v>174</v>
      </c>
      <c r="B10" s="441">
        <f t="shared" si="1"/>
        <v>1106.054119656583</v>
      </c>
      <c r="C10" s="441">
        <v>1322</v>
      </c>
      <c r="D10" s="441">
        <v>1710</v>
      </c>
      <c r="E10" s="441">
        <v>2950</v>
      </c>
      <c r="F10" s="441">
        <v>4653</v>
      </c>
      <c r="G10" s="441">
        <v>10108</v>
      </c>
      <c r="H10" s="441">
        <v>14085</v>
      </c>
      <c r="I10" s="441">
        <v>1680</v>
      </c>
      <c r="J10" s="441">
        <v>2176</v>
      </c>
      <c r="K10" s="441">
        <v>4247</v>
      </c>
      <c r="L10" s="441">
        <f>L3*0.01</f>
        <v>5747.85</v>
      </c>
      <c r="M10" s="442">
        <f>L10*(1+0.12)</f>
        <v>6437.5920000000015</v>
      </c>
      <c r="N10" s="442">
        <f t="shared" ref="N10:Q10" si="9">M10*(1+$R$10)</f>
        <v>7555.5153359807891</v>
      </c>
      <c r="O10" s="442">
        <f t="shared" si="9"/>
        <v>8867.5722214518846</v>
      </c>
      <c r="P10" s="442">
        <f t="shared" si="9"/>
        <v>10407.475017381799</v>
      </c>
      <c r="Q10" s="443">
        <f t="shared" si="9"/>
        <v>12214.790422049906</v>
      </c>
      <c r="R10" s="444">
        <f>(M10/B10)^(1/11) - 1</f>
        <v>0.17365551218231712</v>
      </c>
      <c r="S10" s="445">
        <f t="shared" si="3"/>
        <v>1.0083730980462774E-2</v>
      </c>
      <c r="T10" s="446">
        <f t="shared" si="4"/>
        <v>1.7510954681209617E-3</v>
      </c>
      <c r="U10" s="473"/>
    </row>
    <row r="11" spans="1:21" ht="16" thickBot="1" x14ac:dyDescent="0.25">
      <c r="A11" s="289" t="s">
        <v>175</v>
      </c>
      <c r="B11" s="447">
        <f t="shared" si="1"/>
        <v>74452</v>
      </c>
      <c r="C11" s="448">
        <f t="shared" ref="C11:F11" si="10">SUM(C3:C10)</f>
        <v>88988</v>
      </c>
      <c r="D11" s="448">
        <f t="shared" si="10"/>
        <v>107006</v>
      </c>
      <c r="E11" s="448">
        <f t="shared" si="10"/>
        <v>135987</v>
      </c>
      <c r="F11" s="448">
        <f t="shared" si="10"/>
        <v>177866</v>
      </c>
      <c r="G11" s="448">
        <f>SUM(G3:G10)</f>
        <v>232887</v>
      </c>
      <c r="H11" s="448">
        <f t="shared" ref="H11:Q11" si="11">SUM(H3:H10)</f>
        <v>280522</v>
      </c>
      <c r="I11" s="448">
        <f t="shared" si="11"/>
        <v>386064</v>
      </c>
      <c r="J11" s="448">
        <f t="shared" si="11"/>
        <v>469822</v>
      </c>
      <c r="K11" s="448">
        <f t="shared" si="11"/>
        <v>513983</v>
      </c>
      <c r="L11" s="448">
        <f t="shared" ref="L11" si="12">(K11/$K$11)*$L$3</f>
        <v>574785</v>
      </c>
      <c r="M11" s="449">
        <f t="shared" si="11"/>
        <v>638413.69949999999</v>
      </c>
      <c r="N11" s="449">
        <f t="shared" si="11"/>
        <v>791894.26742635737</v>
      </c>
      <c r="O11" s="449">
        <f t="shared" si="11"/>
        <v>986867.98117921012</v>
      </c>
      <c r="P11" s="449">
        <f t="shared" si="11"/>
        <v>1235471.1861829089</v>
      </c>
      <c r="Q11" s="450">
        <f t="shared" si="11"/>
        <v>1553561.9982693219</v>
      </c>
      <c r="R11" s="451">
        <f>AVERAGE(R4:R10)</f>
        <v>0.24868302760921226</v>
      </c>
      <c r="S11" s="452">
        <f t="shared" ref="S11" si="13">K11/$K$11</f>
        <v>1</v>
      </c>
      <c r="T11" s="316">
        <f>SUM(T4:T10)</f>
        <v>0.24040926447311822</v>
      </c>
      <c r="U11" s="474"/>
    </row>
    <row r="12" spans="1:21" ht="16" thickBot="1" x14ac:dyDescent="0.25">
      <c r="A12" s="463" t="s">
        <v>436</v>
      </c>
      <c r="B12" s="357">
        <v>0</v>
      </c>
      <c r="C12" s="358">
        <f>(Financials!AF$9/Financials!AA$9)-1</f>
        <v>0.1952398861011122</v>
      </c>
      <c r="D12" s="358">
        <f>Financials!AK9/Financials!AF9-1</f>
        <v>0.20247673843664304</v>
      </c>
      <c r="E12" s="358">
        <f>Financials!AP9/Financials!AK9-1</f>
        <v>0.27083528026465808</v>
      </c>
      <c r="F12" s="358">
        <f>Financials!AU9/Financials!AP9-1</f>
        <v>0.30796326119408479</v>
      </c>
      <c r="G12" s="358">
        <f>Financials!AZ9/Financials!AU9-1</f>
        <v>0.3093396152159491</v>
      </c>
      <c r="H12" s="358">
        <f>Financials!BE9/Financials!AZ9-1</f>
        <v>0.20454125820676983</v>
      </c>
      <c r="I12" s="358">
        <f>Financials!BJ9/Financials!BE9-1</f>
        <v>0.37623430604373276</v>
      </c>
      <c r="J12" s="358">
        <f>Financials!BO9/Financials!BJ9-1</f>
        <v>0.21695366571345676</v>
      </c>
      <c r="K12" s="358">
        <f>Financials!BT9/Financials!BO9-1</f>
        <v>9.399517263985091E-2</v>
      </c>
      <c r="L12" s="358">
        <f>Financials!BY9/Financials!BT9-1</f>
        <v>0.1182957412988368</v>
      </c>
      <c r="M12" s="373">
        <f>L11*(1+$C$13)</f>
        <v>694751.76989384356</v>
      </c>
      <c r="N12" s="372">
        <f t="shared" ref="N12:Q12" si="14">M11*(1+$C$13)</f>
        <v>771660.79082109209</v>
      </c>
      <c r="O12" s="372">
        <f t="shared" si="14"/>
        <v>957175.19396513561</v>
      </c>
      <c r="P12" s="372">
        <f t="shared" si="14"/>
        <v>1192843.0223054194</v>
      </c>
      <c r="Q12" s="374">
        <f t="shared" si="14"/>
        <v>1493333.6695519583</v>
      </c>
      <c r="R12" s="333"/>
      <c r="T12" s="333"/>
    </row>
    <row r="13" spans="1:21" ht="16" thickBot="1" x14ac:dyDescent="0.25">
      <c r="A13" s="465"/>
      <c r="B13" s="360" t="s">
        <v>454</v>
      </c>
      <c r="C13" s="469">
        <f>AVERAGE(C12,L12,K12,J12,I12,H12,G12,F12,E12,D12,)</f>
        <v>0.2087159022831904</v>
      </c>
      <c r="D13" s="470"/>
      <c r="E13" s="470"/>
      <c r="F13" s="470"/>
      <c r="G13" s="470"/>
      <c r="H13" s="470"/>
      <c r="I13" s="470"/>
      <c r="J13" s="470"/>
      <c r="K13" s="470"/>
      <c r="L13" s="471"/>
      <c r="M13" s="208"/>
      <c r="N13" s="208"/>
      <c r="O13" s="208"/>
      <c r="P13" s="208"/>
      <c r="R13" s="178"/>
    </row>
    <row r="14" spans="1:21" x14ac:dyDescent="0.2">
      <c r="A14" s="356"/>
      <c r="B14" s="317"/>
      <c r="C14" s="317"/>
      <c r="D14" s="317"/>
      <c r="E14" s="317"/>
      <c r="F14" s="317"/>
      <c r="H14" s="2"/>
      <c r="I14" s="2"/>
    </row>
  </sheetData>
  <mergeCells count="5">
    <mergeCell ref="A1:Q1"/>
    <mergeCell ref="A12:A13"/>
    <mergeCell ref="C13:L13"/>
    <mergeCell ref="U3:U11"/>
    <mergeCell ref="R1:U1"/>
  </mergeCells>
  <phoneticPr fontId="2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C699-4147-874B-A2C5-05710C1B15BE}">
  <dimension ref="A1:D18"/>
  <sheetViews>
    <sheetView workbookViewId="0">
      <selection activeCell="E28" sqref="E28"/>
    </sheetView>
  </sheetViews>
  <sheetFormatPr baseColWidth="10" defaultRowHeight="15" x14ac:dyDescent="0.2"/>
  <cols>
    <col min="1" max="1" width="14.5" customWidth="1"/>
    <col min="2" max="2" width="18.83203125" customWidth="1"/>
    <col min="3" max="3" width="15.83203125" customWidth="1"/>
    <col min="4" max="4" width="13.1640625" customWidth="1"/>
  </cols>
  <sheetData>
    <row r="1" spans="1:4" ht="16" thickBot="1" x14ac:dyDescent="0.25">
      <c r="A1" s="287" t="s">
        <v>402</v>
      </c>
      <c r="B1" s="288"/>
      <c r="C1" s="289" t="s">
        <v>455</v>
      </c>
      <c r="D1" s="304" t="s">
        <v>456</v>
      </c>
    </row>
    <row r="2" spans="1:4" ht="16" thickBot="1" x14ac:dyDescent="0.25">
      <c r="A2" s="478" t="s">
        <v>12</v>
      </c>
      <c r="B2" s="479"/>
      <c r="C2" s="453">
        <f>AVERAGE((Financials!AZ10/Financials!AZ9),(Financials!BE10/Financials!BE9),(Financials!BJ10/Financials!BJ9),(Financials!BO10/Financials!BO9),(Financials!BT10/Financials!BT9),(Financials!BY10/Financials!BY9),(Financials!AU10/Financials!AU9),(Financials!AP10/Financials!AP9),(Financials!AK10/Financials!AK9),(Financials!AF10/Financials!AF9),(Financials!AA10/Financials!AA9))</f>
        <v>0.62223968516479333</v>
      </c>
      <c r="D2" s="245">
        <f>((Financials!BU10/Financials!BU9)+(Financials!BV10/Financials!BV9)+(Financials!BW10/Financials!BW9))/3</f>
        <v>0.52428181114523775</v>
      </c>
    </row>
    <row r="3" spans="1:4" ht="16" thickBot="1" x14ac:dyDescent="0.25">
      <c r="A3" s="287" t="s">
        <v>403</v>
      </c>
      <c r="B3" s="288"/>
      <c r="C3" s="224"/>
      <c r="D3" s="244"/>
    </row>
    <row r="4" spans="1:4" x14ac:dyDescent="0.2">
      <c r="A4" s="241" t="s">
        <v>234</v>
      </c>
      <c r="B4" s="211" t="s">
        <v>404</v>
      </c>
      <c r="C4" s="454">
        <f>AVERAGE((Financials!AZ12/Financials!AZ$9),(Financials!BE12/Financials!BE$9),(Financials!BJ12/Financials!BJ$9),(Financials!BO12/Financials!BO$9),(Financials!BT12/Financials!BT$9),(Financials!BY12/Financials!BY$9),(Financials!AU12/Financials!AU$9),(Financials!AP12/Financials!AP$9),(Financials!AK12/Financials!AK$9),(Financials!AF12/Financials!AF$9),(Financials!AA12/Financials!AA$9))</f>
        <v>6.0175861871163888E-2</v>
      </c>
      <c r="D4" s="240">
        <f>((Financials!BU12/Financials!BU$9)+(Financials!BV12/Financials!BV$9)+(Financials!BW12/Financials!BW$9))/3</f>
        <v>7.7855930496406947E-2</v>
      </c>
    </row>
    <row r="5" spans="1:4" x14ac:dyDescent="0.2">
      <c r="A5" s="241" t="s">
        <v>234</v>
      </c>
      <c r="B5" s="211" t="s">
        <v>405</v>
      </c>
      <c r="C5" s="454">
        <f>AVERAGE((Financials!AZ13/Financials!AZ$9),(Financials!BE13/Financials!BE$9),(Financials!BJ13/Financials!BJ$9),(Financials!BO13/Financials!BO$9),(Financials!BT13/Financials!BT$9),(Financials!BY13/Financials!BY$9),(Financials!AU13/Financials!AU$9),(Financials!AP13/Financials!AP$9),(Financials!AK13/Financials!AK$9),(Financials!AF13/Financials!AF$9),(Financials!AA13/Financials!AA$9))</f>
        <v>1.8580039154925208E-2</v>
      </c>
      <c r="D5" s="240">
        <f>((Financials!BU13/Financials!BU$9)+(Financials!BV13/Financials!BV$9)+(Financials!BW13/Financials!BW$9))/3</f>
        <v>2.1873132672383656E-2</v>
      </c>
    </row>
    <row r="6" spans="1:4" x14ac:dyDescent="0.2">
      <c r="A6" s="241" t="s">
        <v>234</v>
      </c>
      <c r="B6" s="211" t="s">
        <v>15</v>
      </c>
      <c r="C6" s="454">
        <f>AVERAGE((Financials!AZ14/Financials!AZ$9),(Financials!BE14/Financials!BE$9),(Financials!BJ14/Financials!BJ$9),(Financials!BO14/Financials!BO$9),(Financials!BT14/Financials!BT$9),(Financials!BY14/Financials!BY$9),(Financials!AU14/Financials!AU$9),(Financials!AP14/Financials!AP$9),(Financials!AK14/Financials!AK$9),(Financials!AF14/Financials!AF$9),(Financials!AA14/Financials!AA$9))</f>
        <v>0.14143379156075678</v>
      </c>
      <c r="D6" s="240">
        <f>((Financials!BU14/Financials!BU$9)+(Financials!BV14/Financials!BV$9)+(Financials!BW14/Financials!BW$9))/3</f>
        <v>0.15954481152551861</v>
      </c>
    </row>
    <row r="7" spans="1:4" x14ac:dyDescent="0.2">
      <c r="A7" s="241" t="s">
        <v>234</v>
      </c>
      <c r="B7" s="211" t="s">
        <v>406</v>
      </c>
      <c r="C7" s="454">
        <f>AVERAGE((Financials!AZ15/Financials!AZ$9),(Financials!BE15/Financials!BE$9),(Financials!BJ15/Financials!BJ$9),(Financials!BO15/Financials!BO$9),(Financials!BT15/Financials!BT$9),(Financials!BY15/Financials!BY$9),(Financials!AU15/Financials!AU$9),(Financials!AP15/Financials!AP$9),(Financials!AK15/Financials!AK$9),(Financials!AF15/Financials!AF$9),(Financials!AA15/Financials!AA$9))</f>
        <v>0.12076187103865442</v>
      </c>
      <c r="D7" s="240">
        <f>((Financials!BU15/Financials!BU$9)+(Financials!BV15/Financials!BV$9)+(Financials!BW15/Financials!BW$9))/3</f>
        <v>0.15731847718986638</v>
      </c>
    </row>
    <row r="8" spans="1:4" ht="16" thickBot="1" x14ac:dyDescent="0.25">
      <c r="A8" s="241" t="s">
        <v>234</v>
      </c>
      <c r="B8" s="211" t="s">
        <v>305</v>
      </c>
      <c r="C8" s="454">
        <f>AVERAGE((Financials!AZ16/Financials!AZ$9),(Financials!BE16/Financials!BE$9),(Financials!BJ16/Financials!BJ$9),(Financials!BO16/Financials!BO$9),(Financials!BT16/Financials!BT$9),(Financials!BY16/Financials!BY$9),(Financials!AU16/Financials!AU$9),(Financials!AP16/Financials!AP$9),(Financials!AK16/Financials!AK$9),(Financials!AF16/Financials!AF$9),(Financials!AA16/Financials!AA$9))</f>
        <v>1.1610851313034875E-3</v>
      </c>
      <c r="D8" s="240">
        <f>((Financials!BU16/Financials!BU$9)+(Financials!BV16/Financials!BV$9)+(Financials!BW16/Financials!BW$9))/3</f>
        <v>1.5142401894547945E-3</v>
      </c>
    </row>
    <row r="9" spans="1:4" ht="15" customHeight="1" x14ac:dyDescent="0.2">
      <c r="A9" s="482" t="s">
        <v>407</v>
      </c>
      <c r="B9" s="483"/>
      <c r="C9" s="472"/>
      <c r="D9" s="472"/>
    </row>
    <row r="10" spans="1:4" ht="16" thickBot="1" x14ac:dyDescent="0.25">
      <c r="A10" s="484"/>
      <c r="B10" s="485"/>
      <c r="C10" s="474"/>
      <c r="D10" s="474"/>
    </row>
    <row r="11" spans="1:4" x14ac:dyDescent="0.2">
      <c r="A11" s="241" t="s">
        <v>234</v>
      </c>
      <c r="B11" s="211" t="s">
        <v>408</v>
      </c>
      <c r="C11" s="455">
        <f>AVERAGE((Financials!AZ24/Financials!AZ$9),(Financials!BE24/Financials!BE$9),(Financials!BJ24/Financials!BJ$9),(Financials!BO24/Financials!BO$9),(Financials!BT24/Financials!BT$9),(Financials!BY24/Financials!BY$9),(Financials!AU24/Financials!AU$9),(Financials!AP24/Financials!AP$9),(Financials!AK24/Financials!AK$9),(Financials!AF24/Financials!AF$9),(Financials!AA24/Financials!AA$9))</f>
        <v>1.5989217763904904E-3</v>
      </c>
      <c r="D11" s="242">
        <f>((Financials!BU24/Financials!BU$9)+(Financials!BV24/Financials!BV$9)+(Financials!BW24/Financials!BW$9))/3</f>
        <v>5.0465674845176604E-3</v>
      </c>
    </row>
    <row r="12" spans="1:4" x14ac:dyDescent="0.2">
      <c r="A12" s="241" t="s">
        <v>234</v>
      </c>
      <c r="B12" s="211" t="s">
        <v>26</v>
      </c>
      <c r="C12" s="455">
        <f>AVERAGE((Financials!AZ25/Financials!AZ$9),(Financials!BE25/Financials!BE$9),(Financials!BJ25/Financials!BJ$9),(Financials!BO25/Financials!BO$9),(Financials!BT25/Financials!BT$9),(Financials!BY25/Financials!BY$9),(Financials!AU25/Financials!AU$9),(Financials!AP25/Financials!AP$9),(Financials!AK25/Financials!AK$9),(Financials!AF25/Financials!AF$9),(Financials!AA25/Financials!AA$9))</f>
        <v>-2.1217777307845215E-3</v>
      </c>
      <c r="D12" s="242">
        <f>((Financials!BU25/Financials!BU$9)+(Financials!BV25/Financials!BV$9)+(Financials!BW25/Financials!BW$9))/3</f>
        <v>-6.1153278979957778E-3</v>
      </c>
    </row>
    <row r="13" spans="1:4" x14ac:dyDescent="0.2">
      <c r="A13" s="241" t="s">
        <v>234</v>
      </c>
      <c r="B13" s="211" t="s">
        <v>305</v>
      </c>
      <c r="C13" s="455">
        <f>AVERAGE((Financials!AZ26/Financials!AZ$9),(Financials!BE26/Financials!BE$9),(Financials!BJ26/Financials!BJ$9),(Financials!BO26/Financials!BO$9),(Financials!BT26/Financials!BT$9),(Financials!BY26/Financials!BY$9),(Financials!AU26/Financials!AU$9),(Financials!AP26/Financials!AP$9),(Financials!AK26/Financials!AK$9),(Financials!AF26/Financials!AF$9),(Financials!AA26/Financials!AA$9))</f>
        <v>2.9286597920747537E-4</v>
      </c>
      <c r="D13" s="242">
        <f>((Financials!BU26/Financials!BU$9)+(Financials!BV26/Financials!BV$9)+(Financials!BW26/Financials!BW$9))/3</f>
        <v>1.3937168763933628E-3</v>
      </c>
    </row>
    <row r="14" spans="1:4" x14ac:dyDescent="0.2">
      <c r="A14" s="241" t="s">
        <v>234</v>
      </c>
      <c r="B14" s="211" t="s">
        <v>409</v>
      </c>
      <c r="C14" s="455">
        <f>AVERAGE((Financials!AZ27/Financials!AZ$9),(Financials!BE27/Financials!BE$9),(Financials!BJ27/Financials!BJ$9),(Financials!BO27/Financials!BO$9),(Financials!BT27/Financials!BT$9),(Financials!BY27/Financials!BY$9),(Financials!AU27/Financials!AU$9),(Financials!AP27/Financials!AP$9),(Financials!AK27/Financials!AK$9),(Financials!AF27/Financials!AF$9),(Financials!AA27/Financials!AA$9))</f>
        <v>-5.9148914900592148E-3</v>
      </c>
      <c r="D14" s="242">
        <f>((Financials!BU27/Financials!BU$9)+(Financials!BV27/Financials!BV$9)+(Financials!BW27/Financials!BW$9))/3</f>
        <v>-9.847667877361228E-3</v>
      </c>
    </row>
    <row r="15" spans="1:4" ht="16" thickBot="1" x14ac:dyDescent="0.25">
      <c r="A15" s="241" t="s">
        <v>234</v>
      </c>
      <c r="B15" s="211" t="s">
        <v>410</v>
      </c>
      <c r="C15" s="455">
        <f>AVERAGE((Financials!AZ28/Financials!AZ$9),(Financials!BE28/Financials!BE$9),(Financials!BJ28/Financials!BJ$9),(Financials!BO28/Financials!BO$9),(Financials!BT28/Financials!BT$9),(Financials!BY28/Financials!BY$9),(Financials!AU28/Financials!AU$9),(Financials!AP28/Financials!AP$9),(Financials!AK28/Financials!AK$9),(Financials!AF28/Financials!AF$9),(Financials!AA28/Financials!AA$9))</f>
        <v>-1.3271825083818474E-4</v>
      </c>
      <c r="D15" s="242">
        <f>((Financials!BU28/Financials!BU$9)+(Financials!BV28/Financials!BV$9)+(Financials!BW28/Financials!BW$9))/3</f>
        <v>-2.9025558917280477E-5</v>
      </c>
    </row>
    <row r="16" spans="1:4" ht="16" thickBot="1" x14ac:dyDescent="0.25">
      <c r="A16" s="480" t="s">
        <v>160</v>
      </c>
      <c r="B16" s="481"/>
      <c r="C16" s="456">
        <f>-AVERAGE((Financials!AZ99/Financials!AZ$9),(Financials!BE99/Financials!BE$9),(Financials!BJ99/Financials!BJ$9),(Financials!BO99/Financials!BO$9),(Financials!BT99/Financials!BT$9),(Financials!BY99/Financials!BY$9),(Financials!AU99/Financials!AU$9),(Financials!AP99/Financials!AP$9),(Financials!AK99/Financials!AK$9),(Financials!AF99/Financials!AF$9),(Financials!AA99/Financials!AA$9))</f>
        <v>7.5384444627489819E-2</v>
      </c>
      <c r="D16" s="243"/>
    </row>
    <row r="17" spans="1:4" ht="16" thickBot="1" x14ac:dyDescent="0.25">
      <c r="A17" s="210"/>
      <c r="B17" s="224" t="s">
        <v>423</v>
      </c>
      <c r="C17" s="221"/>
      <c r="D17" s="211"/>
    </row>
    <row r="18" spans="1:4" ht="16" thickBot="1" x14ac:dyDescent="0.25">
      <c r="A18" s="218"/>
      <c r="B18" s="213" t="s">
        <v>21</v>
      </c>
      <c r="C18" s="453">
        <f>-(AVERAGE((Financials!AZ81/Financials!AZ$133),(Financials!BE81/Financials!BE$133),(Financials!BJ81/Financials!BJ$133),(Financials!BO81/Financials!BO$133),(Financials!BT81/Financials!BT$133),(Financials!BY81/Financials!BY$133),(Financials!AU81/Financials!AU$133),(Financials!AP81/Financials!AP$133),(Financials!AK81/Financials!AK$133),(Financials!AF81/Financials!AF$133),(Financials!AA81/Financials!AA$133)))</f>
        <v>0.96518515744563471</v>
      </c>
      <c r="D18" s="213"/>
    </row>
  </sheetData>
  <mergeCells count="5">
    <mergeCell ref="D9:D10"/>
    <mergeCell ref="A2:B2"/>
    <mergeCell ref="A16:B16"/>
    <mergeCell ref="A9:B10"/>
    <mergeCell ref="C9:C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G33" sqref="G33"/>
    </sheetView>
  </sheetViews>
  <sheetFormatPr baseColWidth="10" defaultColWidth="8.83203125" defaultRowHeight="15" x14ac:dyDescent="0.2"/>
  <cols>
    <col min="1" max="1" width="17.83203125" customWidth="1"/>
    <col min="2" max="2" width="14.33203125" customWidth="1"/>
    <col min="3" max="3" width="11.33203125" customWidth="1"/>
  </cols>
  <sheetData>
    <row r="1" spans="1:2" ht="16" thickBot="1" x14ac:dyDescent="0.25">
      <c r="A1" s="302" t="s">
        <v>414</v>
      </c>
      <c r="B1" s="303" t="s">
        <v>461</v>
      </c>
    </row>
    <row r="2" spans="1:2" x14ac:dyDescent="0.2">
      <c r="A2" s="300" t="s">
        <v>411</v>
      </c>
      <c r="B2" s="301">
        <f>(Financials!$BY55/Financials!$AA55)^(1/10) - 1</f>
        <v>0.33987176776021566</v>
      </c>
    </row>
    <row r="3" spans="1:2" x14ac:dyDescent="0.2">
      <c r="A3" s="215" t="s">
        <v>54</v>
      </c>
      <c r="B3" s="236">
        <f>(Financials!BY56/Financials!BE56)^(1/4) - 1</f>
        <v>0.30319177790583995</v>
      </c>
    </row>
    <row r="4" spans="1:2" x14ac:dyDescent="0.2">
      <c r="A4" s="215" t="s">
        <v>55</v>
      </c>
      <c r="B4" s="236">
        <f>(Financials!BY57/Financials!AA57)^(1/10) - 1</f>
        <v>0.23984122972000699</v>
      </c>
    </row>
    <row r="5" spans="1:2" x14ac:dyDescent="0.2">
      <c r="A5" s="215" t="s">
        <v>412</v>
      </c>
      <c r="B5" s="236">
        <f>(Financials!BY58/Financials!AA58)^(1/10) - 1</f>
        <v>0.4004953797939963</v>
      </c>
    </row>
    <row r="6" spans="1:2" x14ac:dyDescent="0.2">
      <c r="A6" s="215" t="s">
        <v>413</v>
      </c>
      <c r="B6" s="235">
        <f>(Financials!BY62/Financials!AA62)^(1/10) - 1</f>
        <v>0.25477784623245525</v>
      </c>
    </row>
    <row r="7" spans="1:2" x14ac:dyDescent="0.2">
      <c r="A7" s="215" t="s">
        <v>61</v>
      </c>
      <c r="B7" s="235">
        <f>(Financials!BY63/Financials!AA63)^(1/10) - 1</f>
        <v>0.29375812777516241</v>
      </c>
    </row>
    <row r="8" spans="1:2" x14ac:dyDescent="0.2">
      <c r="A8" s="215" t="s">
        <v>415</v>
      </c>
      <c r="B8" s="235">
        <f>(Financials!BY51/Financials!AA51)^(1/10) - 1</f>
        <v>0.13458052944001864</v>
      </c>
    </row>
    <row r="9" spans="1:2" x14ac:dyDescent="0.2">
      <c r="A9" s="215" t="s">
        <v>416</v>
      </c>
      <c r="B9" s="235">
        <f>(Financials!BY65/Financials!AZ65)^(1/5) - 1</f>
        <v>0.51609726772662512</v>
      </c>
    </row>
    <row r="10" spans="1:2" x14ac:dyDescent="0.2">
      <c r="A10" s="215" t="s">
        <v>417</v>
      </c>
      <c r="B10" s="235">
        <f>(Financials!BY66/Financials!AA66)^(1/10) - 1</f>
        <v>0.33716377558423494</v>
      </c>
    </row>
    <row r="11" spans="1:2" x14ac:dyDescent="0.2">
      <c r="A11" s="215" t="s">
        <v>418</v>
      </c>
      <c r="B11" s="235">
        <f>(Financials!BY67/Financials!AA67)^(1/10) - 1</f>
        <v>0.19622649881851206</v>
      </c>
    </row>
    <row r="12" spans="1:2" x14ac:dyDescent="0.2">
      <c r="A12" s="215" t="s">
        <v>419</v>
      </c>
      <c r="B12" s="235">
        <f>(Financials!BY72/Financials!AA72)^(1/10) - 1</f>
        <v>0.26319290941944695</v>
      </c>
    </row>
    <row r="13" spans="1:2" x14ac:dyDescent="0.2">
      <c r="A13" s="215" t="s">
        <v>420</v>
      </c>
      <c r="B13" s="235">
        <f>((Financials!BY73/Financials!AA73)^(1/10) - 1)</f>
        <v>0.32303150338564857</v>
      </c>
    </row>
    <row r="14" spans="1:2" ht="16" thickBot="1" x14ac:dyDescent="0.25">
      <c r="A14" s="237" t="s">
        <v>424</v>
      </c>
      <c r="B14" s="238">
        <f>(Financials!BT82/Financials!AZ82)^(1/5) - 1</f>
        <v>0.2935297674912396</v>
      </c>
    </row>
    <row r="15" spans="1:2" x14ac:dyDescent="0.2">
      <c r="B15" s="209"/>
    </row>
    <row r="16" spans="1:2" x14ac:dyDescent="0.2">
      <c r="B16" s="209"/>
    </row>
    <row r="17" spans="2:2" x14ac:dyDescent="0.2">
      <c r="B17" s="20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4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31.5" customWidth="1"/>
    <col min="2" max="2" width="0" hidden="1" customWidth="1"/>
    <col min="3" max="3" width="11.5" customWidth="1"/>
  </cols>
  <sheetData>
    <row r="1" spans="1:13" ht="16" thickBot="1" x14ac:dyDescent="0.25"/>
    <row r="2" spans="1:13" ht="16" thickBot="1" x14ac:dyDescent="0.25">
      <c r="A2" s="86" t="s">
        <v>217</v>
      </c>
    </row>
    <row r="3" spans="1:13" s="71" customFormat="1" ht="16" thickBot="1" x14ac:dyDescent="0.25">
      <c r="B3" s="70">
        <v>2007</v>
      </c>
      <c r="C3" s="32">
        <v>2011</v>
      </c>
      <c r="D3" s="32">
        <v>2012</v>
      </c>
      <c r="E3" s="32">
        <v>2013</v>
      </c>
      <c r="F3" s="32">
        <v>2014</v>
      </c>
      <c r="G3" s="32" t="s">
        <v>218</v>
      </c>
      <c r="H3" s="32" t="s">
        <v>219</v>
      </c>
      <c r="I3" s="32" t="s">
        <v>220</v>
      </c>
      <c r="J3" s="32" t="s">
        <v>221</v>
      </c>
      <c r="K3" s="32" t="s">
        <v>222</v>
      </c>
      <c r="L3" s="32" t="s">
        <v>223</v>
      </c>
    </row>
    <row r="4" spans="1:13" s="71" customFormat="1" ht="13" x14ac:dyDescent="0.15">
      <c r="B4" s="72"/>
      <c r="C4" s="72"/>
      <c r="M4" s="73"/>
    </row>
    <row r="5" spans="1:13" s="71" customFormat="1" ht="11" x14ac:dyDescent="0.15">
      <c r="A5" s="91" t="s">
        <v>224</v>
      </c>
      <c r="B5" s="74" t="e">
        <f>[1]Fin!AK35</f>
        <v>#DIV/0!</v>
      </c>
      <c r="C5" s="74">
        <f>Financials!BE122</f>
        <v>23.46</v>
      </c>
      <c r="D5" s="74">
        <f>Financials!BJ122</f>
        <v>2.13</v>
      </c>
      <c r="E5" s="74">
        <f>Financials!BO122</f>
        <v>3.3</v>
      </c>
      <c r="F5" s="74">
        <f>Financials!BT122</f>
        <v>-0.27</v>
      </c>
      <c r="G5" s="74">
        <f>'DCF Model'!F24</f>
        <v>0</v>
      </c>
      <c r="H5" s="74">
        <f>'DCF Model'!G24</f>
        <v>0</v>
      </c>
      <c r="I5" s="74">
        <f>'DCF Model'!H24</f>
        <v>0</v>
      </c>
      <c r="J5" s="74">
        <f>'DCF Model'!I24</f>
        <v>0</v>
      </c>
      <c r="K5" s="74">
        <f>'DCF Model'!J24</f>
        <v>0</v>
      </c>
      <c r="L5" s="74">
        <f>'DCF Model'!K24</f>
        <v>0</v>
      </c>
      <c r="M5" s="73"/>
    </row>
    <row r="6" spans="1:13" s="71" customFormat="1" ht="11" x14ac:dyDescent="0.15">
      <c r="A6" s="87">
        <v>10</v>
      </c>
      <c r="B6" s="77" t="e">
        <f>A6*$B$5</f>
        <v>#DIV/0!</v>
      </c>
      <c r="C6" s="78">
        <f>A6*$C$5</f>
        <v>234.60000000000002</v>
      </c>
      <c r="D6" s="78">
        <f>A6*$D$5</f>
        <v>21.299999999999997</v>
      </c>
      <c r="E6" s="78">
        <f>A6*$E$5</f>
        <v>33</v>
      </c>
      <c r="F6" s="78">
        <f>A6*$F$5</f>
        <v>-2.7</v>
      </c>
      <c r="G6" s="78">
        <f>A6*$G$5</f>
        <v>0</v>
      </c>
      <c r="H6" s="78">
        <f>A6*$H$5</f>
        <v>0</v>
      </c>
      <c r="I6" s="78">
        <f>A6*$I$5</f>
        <v>0</v>
      </c>
      <c r="J6" s="78">
        <f>A6*$J$5</f>
        <v>0</v>
      </c>
      <c r="K6" s="78">
        <f>A6*$K$5</f>
        <v>0</v>
      </c>
      <c r="L6" s="78">
        <f>A6*$L$5</f>
        <v>0</v>
      </c>
    </row>
    <row r="7" spans="1:13" s="71" customFormat="1" ht="11" x14ac:dyDescent="0.15">
      <c r="A7" s="87">
        <f t="shared" ref="A7:A16" si="0">+A6+1</f>
        <v>11</v>
      </c>
      <c r="B7" s="77" t="e">
        <f t="shared" ref="B7:B16" si="1">A7*$B$5</f>
        <v>#DIV/0!</v>
      </c>
      <c r="C7" s="78">
        <f t="shared" ref="C7:C16" si="2">A7*$C$5</f>
        <v>258.06</v>
      </c>
      <c r="D7" s="78">
        <f t="shared" ref="D7:D16" si="3">A7*$D$5</f>
        <v>23.43</v>
      </c>
      <c r="E7" s="78">
        <f t="shared" ref="E7:E16" si="4">A7*$E$5</f>
        <v>36.299999999999997</v>
      </c>
      <c r="F7" s="78">
        <f t="shared" ref="F7:F16" si="5">A7*$F$5</f>
        <v>-2.97</v>
      </c>
      <c r="G7" s="78">
        <f t="shared" ref="G7:G16" si="6">A7*$G$5</f>
        <v>0</v>
      </c>
      <c r="H7" s="78">
        <f t="shared" ref="H7:H16" si="7">A7*$H$5</f>
        <v>0</v>
      </c>
      <c r="I7" s="78">
        <f t="shared" ref="I7:I16" si="8">A7*$I$5</f>
        <v>0</v>
      </c>
      <c r="J7" s="78">
        <f t="shared" ref="J7:J16" si="9">A7*$J$5</f>
        <v>0</v>
      </c>
      <c r="K7" s="78">
        <f t="shared" ref="K7:K16" si="10">A7*$K$5</f>
        <v>0</v>
      </c>
      <c r="L7" s="78">
        <f t="shared" ref="L7:L16" si="11">A7*$L$5</f>
        <v>0</v>
      </c>
    </row>
    <row r="8" spans="1:13" s="71" customFormat="1" ht="11" x14ac:dyDescent="0.15">
      <c r="A8" s="87">
        <f t="shared" si="0"/>
        <v>12</v>
      </c>
      <c r="B8" s="77" t="e">
        <f t="shared" si="1"/>
        <v>#DIV/0!</v>
      </c>
      <c r="C8" s="78">
        <f t="shared" si="2"/>
        <v>281.52</v>
      </c>
      <c r="D8" s="78">
        <f t="shared" si="3"/>
        <v>25.56</v>
      </c>
      <c r="E8" s="78">
        <f t="shared" si="4"/>
        <v>39.599999999999994</v>
      </c>
      <c r="F8" s="78">
        <f t="shared" si="5"/>
        <v>-3.24</v>
      </c>
      <c r="G8" s="78">
        <f t="shared" si="6"/>
        <v>0</v>
      </c>
      <c r="H8" s="78">
        <f t="shared" si="7"/>
        <v>0</v>
      </c>
      <c r="I8" s="78">
        <f t="shared" si="8"/>
        <v>0</v>
      </c>
      <c r="J8" s="78">
        <f t="shared" si="9"/>
        <v>0</v>
      </c>
      <c r="K8" s="78">
        <f t="shared" si="10"/>
        <v>0</v>
      </c>
      <c r="L8" s="78">
        <f t="shared" si="11"/>
        <v>0</v>
      </c>
    </row>
    <row r="9" spans="1:13" s="71" customFormat="1" ht="11" x14ac:dyDescent="0.15">
      <c r="A9" s="87">
        <f t="shared" si="0"/>
        <v>13</v>
      </c>
      <c r="B9" s="77" t="e">
        <f t="shared" si="1"/>
        <v>#DIV/0!</v>
      </c>
      <c r="C9" s="78">
        <f t="shared" si="2"/>
        <v>304.98</v>
      </c>
      <c r="D9" s="78">
        <f t="shared" si="3"/>
        <v>27.689999999999998</v>
      </c>
      <c r="E9" s="78">
        <f t="shared" si="4"/>
        <v>42.9</v>
      </c>
      <c r="F9" s="78">
        <f t="shared" si="5"/>
        <v>-3.5100000000000002</v>
      </c>
      <c r="G9" s="78">
        <f t="shared" si="6"/>
        <v>0</v>
      </c>
      <c r="H9" s="78">
        <f t="shared" si="7"/>
        <v>0</v>
      </c>
      <c r="I9" s="78">
        <f t="shared" si="8"/>
        <v>0</v>
      </c>
      <c r="J9" s="78">
        <f t="shared" si="9"/>
        <v>0</v>
      </c>
      <c r="K9" s="78">
        <f t="shared" si="10"/>
        <v>0</v>
      </c>
      <c r="L9" s="78">
        <f t="shared" si="11"/>
        <v>0</v>
      </c>
    </row>
    <row r="10" spans="1:13" s="71" customFormat="1" ht="11" x14ac:dyDescent="0.15">
      <c r="A10" s="87">
        <f t="shared" si="0"/>
        <v>14</v>
      </c>
      <c r="B10" s="77" t="e">
        <f t="shared" si="1"/>
        <v>#DIV/0!</v>
      </c>
      <c r="C10" s="78">
        <f t="shared" si="2"/>
        <v>328.44</v>
      </c>
      <c r="D10" s="78">
        <f t="shared" si="3"/>
        <v>29.82</v>
      </c>
      <c r="E10" s="78">
        <f t="shared" si="4"/>
        <v>46.199999999999996</v>
      </c>
      <c r="F10" s="78">
        <f t="shared" si="5"/>
        <v>-3.7800000000000002</v>
      </c>
      <c r="G10" s="78">
        <f t="shared" si="6"/>
        <v>0</v>
      </c>
      <c r="H10" s="78">
        <f t="shared" si="7"/>
        <v>0</v>
      </c>
      <c r="I10" s="78">
        <f t="shared" si="8"/>
        <v>0</v>
      </c>
      <c r="J10" s="78">
        <f t="shared" si="9"/>
        <v>0</v>
      </c>
      <c r="K10" s="78">
        <f t="shared" si="10"/>
        <v>0</v>
      </c>
      <c r="L10" s="78">
        <f t="shared" si="11"/>
        <v>0</v>
      </c>
    </row>
    <row r="11" spans="1:13" s="71" customFormat="1" ht="11" x14ac:dyDescent="0.15">
      <c r="A11" s="87">
        <f t="shared" si="0"/>
        <v>15</v>
      </c>
      <c r="B11" s="77" t="e">
        <f t="shared" si="1"/>
        <v>#DIV/0!</v>
      </c>
      <c r="C11" s="78">
        <f t="shared" si="2"/>
        <v>351.90000000000003</v>
      </c>
      <c r="D11" s="78">
        <f t="shared" si="3"/>
        <v>31.95</v>
      </c>
      <c r="E11" s="78">
        <f t="shared" si="4"/>
        <v>49.5</v>
      </c>
      <c r="F11" s="78">
        <f t="shared" si="5"/>
        <v>-4.0500000000000007</v>
      </c>
      <c r="G11" s="78">
        <f t="shared" si="6"/>
        <v>0</v>
      </c>
      <c r="H11" s="78">
        <f t="shared" si="7"/>
        <v>0</v>
      </c>
      <c r="I11" s="78">
        <f t="shared" si="8"/>
        <v>0</v>
      </c>
      <c r="J11" s="78">
        <f t="shared" si="9"/>
        <v>0</v>
      </c>
      <c r="K11" s="78">
        <f t="shared" si="10"/>
        <v>0</v>
      </c>
      <c r="L11" s="78">
        <f t="shared" si="11"/>
        <v>0</v>
      </c>
    </row>
    <row r="12" spans="1:13" s="71" customFormat="1" ht="11" x14ac:dyDescent="0.15">
      <c r="A12" s="87">
        <f t="shared" si="0"/>
        <v>16</v>
      </c>
      <c r="B12" s="77" t="e">
        <f t="shared" si="1"/>
        <v>#DIV/0!</v>
      </c>
      <c r="C12" s="78">
        <f t="shared" si="2"/>
        <v>375.36</v>
      </c>
      <c r="D12" s="78">
        <f t="shared" si="3"/>
        <v>34.08</v>
      </c>
      <c r="E12" s="78">
        <f t="shared" si="4"/>
        <v>52.8</v>
      </c>
      <c r="F12" s="78">
        <f t="shared" si="5"/>
        <v>-4.32</v>
      </c>
      <c r="G12" s="78">
        <f t="shared" si="6"/>
        <v>0</v>
      </c>
      <c r="H12" s="78">
        <f t="shared" si="7"/>
        <v>0</v>
      </c>
      <c r="I12" s="78">
        <f t="shared" si="8"/>
        <v>0</v>
      </c>
      <c r="J12" s="78">
        <f t="shared" si="9"/>
        <v>0</v>
      </c>
      <c r="K12" s="78">
        <f t="shared" si="10"/>
        <v>0</v>
      </c>
      <c r="L12" s="78">
        <f t="shared" si="11"/>
        <v>0</v>
      </c>
    </row>
    <row r="13" spans="1:13" s="71" customFormat="1" ht="11" x14ac:dyDescent="0.15">
      <c r="A13" s="87">
        <f t="shared" si="0"/>
        <v>17</v>
      </c>
      <c r="B13" s="77" t="e">
        <f t="shared" si="1"/>
        <v>#DIV/0!</v>
      </c>
      <c r="C13" s="78">
        <f t="shared" si="2"/>
        <v>398.82</v>
      </c>
      <c r="D13" s="78">
        <f t="shared" si="3"/>
        <v>36.21</v>
      </c>
      <c r="E13" s="78">
        <f t="shared" si="4"/>
        <v>56.099999999999994</v>
      </c>
      <c r="F13" s="78">
        <f t="shared" si="5"/>
        <v>-4.59</v>
      </c>
      <c r="G13" s="78">
        <f t="shared" si="6"/>
        <v>0</v>
      </c>
      <c r="H13" s="78">
        <f t="shared" si="7"/>
        <v>0</v>
      </c>
      <c r="I13" s="78">
        <f t="shared" si="8"/>
        <v>0</v>
      </c>
      <c r="J13" s="78">
        <f t="shared" si="9"/>
        <v>0</v>
      </c>
      <c r="K13" s="78">
        <f t="shared" si="10"/>
        <v>0</v>
      </c>
      <c r="L13" s="78">
        <f t="shared" si="11"/>
        <v>0</v>
      </c>
    </row>
    <row r="14" spans="1:13" s="71" customFormat="1" ht="11" x14ac:dyDescent="0.15">
      <c r="A14" s="87">
        <f t="shared" si="0"/>
        <v>18</v>
      </c>
      <c r="B14" s="77" t="e">
        <f t="shared" si="1"/>
        <v>#DIV/0!</v>
      </c>
      <c r="C14" s="78">
        <f t="shared" si="2"/>
        <v>422.28000000000003</v>
      </c>
      <c r="D14" s="78">
        <f t="shared" si="3"/>
        <v>38.339999999999996</v>
      </c>
      <c r="E14" s="78">
        <f t="shared" si="4"/>
        <v>59.4</v>
      </c>
      <c r="F14" s="78">
        <f t="shared" si="5"/>
        <v>-4.8600000000000003</v>
      </c>
      <c r="G14" s="78">
        <f t="shared" si="6"/>
        <v>0</v>
      </c>
      <c r="H14" s="78">
        <f t="shared" si="7"/>
        <v>0</v>
      </c>
      <c r="I14" s="78">
        <f t="shared" si="8"/>
        <v>0</v>
      </c>
      <c r="J14" s="78">
        <f t="shared" si="9"/>
        <v>0</v>
      </c>
      <c r="K14" s="78">
        <f t="shared" si="10"/>
        <v>0</v>
      </c>
      <c r="L14" s="78">
        <f t="shared" si="11"/>
        <v>0</v>
      </c>
    </row>
    <row r="15" spans="1:13" s="71" customFormat="1" ht="11" x14ac:dyDescent="0.15">
      <c r="A15" s="88">
        <f t="shared" si="0"/>
        <v>19</v>
      </c>
      <c r="B15" s="77" t="e">
        <f t="shared" si="1"/>
        <v>#DIV/0!</v>
      </c>
      <c r="C15" s="78">
        <f t="shared" si="2"/>
        <v>445.74</v>
      </c>
      <c r="D15" s="78">
        <f t="shared" si="3"/>
        <v>40.47</v>
      </c>
      <c r="E15" s="78">
        <f t="shared" si="4"/>
        <v>62.699999999999996</v>
      </c>
      <c r="F15" s="78">
        <f t="shared" si="5"/>
        <v>-5.1300000000000008</v>
      </c>
      <c r="G15" s="85">
        <f t="shared" si="6"/>
        <v>0</v>
      </c>
      <c r="H15" s="78">
        <f t="shared" si="7"/>
        <v>0</v>
      </c>
      <c r="I15" s="78">
        <f t="shared" si="8"/>
        <v>0</v>
      </c>
      <c r="J15" s="78">
        <f t="shared" si="9"/>
        <v>0</v>
      </c>
      <c r="K15" s="78">
        <f t="shared" si="10"/>
        <v>0</v>
      </c>
      <c r="L15" s="78">
        <f t="shared" si="11"/>
        <v>0</v>
      </c>
    </row>
    <row r="16" spans="1:13" s="71" customFormat="1" ht="11" x14ac:dyDescent="0.15">
      <c r="A16" s="87">
        <f t="shared" si="0"/>
        <v>20</v>
      </c>
      <c r="B16" s="77" t="e">
        <f t="shared" si="1"/>
        <v>#DIV/0!</v>
      </c>
      <c r="C16" s="78">
        <f t="shared" si="2"/>
        <v>469.20000000000005</v>
      </c>
      <c r="D16" s="78">
        <f t="shared" si="3"/>
        <v>42.599999999999994</v>
      </c>
      <c r="E16" s="78">
        <f t="shared" si="4"/>
        <v>66</v>
      </c>
      <c r="F16" s="78">
        <f t="shared" si="5"/>
        <v>-5.4</v>
      </c>
      <c r="G16" s="78">
        <f t="shared" si="6"/>
        <v>0</v>
      </c>
      <c r="H16" s="78">
        <f t="shared" si="7"/>
        <v>0</v>
      </c>
      <c r="I16" s="78">
        <f t="shared" si="8"/>
        <v>0</v>
      </c>
      <c r="J16" s="78">
        <f t="shared" si="9"/>
        <v>0</v>
      </c>
      <c r="K16" s="78">
        <f t="shared" si="10"/>
        <v>0</v>
      </c>
      <c r="L16" s="78">
        <f t="shared" si="11"/>
        <v>0</v>
      </c>
    </row>
    <row r="17" spans="1:12" s="71" customFormat="1" ht="11" x14ac:dyDescent="0.15">
      <c r="A17" s="87"/>
      <c r="B17" s="77"/>
      <c r="C17" s="79"/>
      <c r="D17" s="79"/>
      <c r="E17" s="80"/>
      <c r="F17" s="80"/>
      <c r="G17" s="80"/>
      <c r="H17" s="81"/>
      <c r="I17" s="81"/>
      <c r="J17" s="81"/>
      <c r="K17" s="81"/>
      <c r="L17" s="81"/>
    </row>
    <row r="18" spans="1:12" s="71" customFormat="1" ht="11" x14ac:dyDescent="0.15">
      <c r="A18" s="76"/>
      <c r="B18" s="77"/>
      <c r="C18" s="79"/>
      <c r="D18" s="79"/>
      <c r="H18" s="79"/>
      <c r="I18" s="79"/>
      <c r="J18" s="79"/>
      <c r="K18" s="79"/>
      <c r="L18" s="79"/>
    </row>
    <row r="19" spans="1:12" s="71" customFormat="1" ht="11" x14ac:dyDescent="0.15">
      <c r="A19" s="91" t="s">
        <v>225</v>
      </c>
      <c r="B19" s="82">
        <f>[2]Fin!BF120</f>
        <v>16.345013333333334</v>
      </c>
      <c r="C19" s="75">
        <f>Financials!BE126</f>
        <v>0.26453537936913896</v>
      </c>
      <c r="D19" s="75">
        <f>Financials!BJ126</f>
        <v>4.3851643192488261</v>
      </c>
      <c r="E19" s="75">
        <f>Financials!BO126</f>
        <v>4.1892424242424244</v>
      </c>
      <c r="F19" s="75">
        <f>Financials!BT126</f>
        <v>-54.09</v>
      </c>
      <c r="G19" s="75">
        <f>'DCF Model'!G38</f>
        <v>11.333398763372264</v>
      </c>
      <c r="H19" s="75">
        <f>'DCF Model'!H38</f>
        <v>8.3333987633722639</v>
      </c>
      <c r="I19" s="75">
        <f>'DCF Model'!I38</f>
        <v>4.8333987633722639</v>
      </c>
      <c r="J19" s="75">
        <f>'DCF Model'!J38</f>
        <v>4.8333987633722639</v>
      </c>
      <c r="K19" s="75">
        <f>'DCF Model'!K38</f>
        <v>4.8333987633722639</v>
      </c>
      <c r="L19" s="75">
        <f>'DCF Model'!L38</f>
        <v>4.8333987633722639</v>
      </c>
    </row>
    <row r="20" spans="1:12" s="71" customFormat="1" ht="11" x14ac:dyDescent="0.15">
      <c r="A20" s="89">
        <v>1</v>
      </c>
      <c r="B20" s="77">
        <f>A20*$B$19</f>
        <v>16.345013333333334</v>
      </c>
      <c r="C20" s="78">
        <f>A20*$C$19</f>
        <v>0.26453537936913896</v>
      </c>
      <c r="D20" s="78">
        <f>A20*$D$19</f>
        <v>4.3851643192488261</v>
      </c>
      <c r="E20" s="78">
        <f>A20*$E$19</f>
        <v>4.1892424242424244</v>
      </c>
      <c r="F20" s="78">
        <f>A20*$F$19</f>
        <v>-54.09</v>
      </c>
      <c r="G20" s="78">
        <f>A20*$G$19</f>
        <v>11.333398763372264</v>
      </c>
      <c r="H20" s="78">
        <f t="shared" ref="H20:H27" si="12">A20*$H$19</f>
        <v>8.3333987633722639</v>
      </c>
      <c r="I20" s="78">
        <f t="shared" ref="I20:I27" si="13">A20*$I$19</f>
        <v>4.8333987633722639</v>
      </c>
      <c r="J20" s="78">
        <f>A20*$J$19</f>
        <v>4.8333987633722639</v>
      </c>
      <c r="K20" s="78">
        <f>A20*$K$19</f>
        <v>4.8333987633722639</v>
      </c>
      <c r="L20" s="78">
        <f>A20*$L$19</f>
        <v>4.8333987633722639</v>
      </c>
    </row>
    <row r="21" spans="1:12" s="71" customFormat="1" ht="11" x14ac:dyDescent="0.15">
      <c r="A21" s="89">
        <f>+A20+1</f>
        <v>2</v>
      </c>
      <c r="B21" s="77">
        <f t="shared" ref="B21:B27" si="14">A21*$B$19</f>
        <v>32.690026666666668</v>
      </c>
      <c r="C21" s="78">
        <f t="shared" ref="C21:C27" si="15">A21*$C$19</f>
        <v>0.52907075873827791</v>
      </c>
      <c r="D21" s="78">
        <f t="shared" ref="D21:D27" si="16">A21*$D$19</f>
        <v>8.7703286384976522</v>
      </c>
      <c r="E21" s="78">
        <f t="shared" ref="E21:E27" si="17">A21*$E$19</f>
        <v>8.3784848484848489</v>
      </c>
      <c r="F21" s="78">
        <f t="shared" ref="F21:F27" si="18">A21*$F$19</f>
        <v>-108.18</v>
      </c>
      <c r="G21" s="78">
        <f t="shared" ref="G21:G27" si="19">A21*$G$19</f>
        <v>22.666797526744528</v>
      </c>
      <c r="H21" s="78">
        <f t="shared" si="12"/>
        <v>16.666797526744528</v>
      </c>
      <c r="I21" s="78">
        <f t="shared" si="13"/>
        <v>9.6667975267445279</v>
      </c>
      <c r="J21" s="78">
        <f t="shared" ref="J21:J27" si="20">A21*$J$19</f>
        <v>9.6667975267445279</v>
      </c>
      <c r="K21" s="78">
        <f t="shared" ref="K21:K27" si="21">A21*$K$19</f>
        <v>9.6667975267445279</v>
      </c>
      <c r="L21" s="78">
        <f t="shared" ref="L21:L27" si="22">A21*$L$19</f>
        <v>9.6667975267445279</v>
      </c>
    </row>
    <row r="22" spans="1:12" s="71" customFormat="1" ht="11" x14ac:dyDescent="0.15">
      <c r="A22" s="89">
        <f>+A21+0.5</f>
        <v>2.5</v>
      </c>
      <c r="B22" s="77">
        <f t="shared" si="14"/>
        <v>40.862533333333332</v>
      </c>
      <c r="C22" s="78">
        <f t="shared" si="15"/>
        <v>0.66133844842284739</v>
      </c>
      <c r="D22" s="78">
        <f t="shared" si="16"/>
        <v>10.962910798122065</v>
      </c>
      <c r="E22" s="78">
        <f t="shared" si="17"/>
        <v>10.47310606060606</v>
      </c>
      <c r="F22" s="78">
        <f t="shared" si="18"/>
        <v>-135.22500000000002</v>
      </c>
      <c r="G22" s="78">
        <f t="shared" si="19"/>
        <v>28.333496908430661</v>
      </c>
      <c r="H22" s="78">
        <f t="shared" si="12"/>
        <v>20.833496908430661</v>
      </c>
      <c r="I22" s="78">
        <f t="shared" si="13"/>
        <v>12.083496908430661</v>
      </c>
      <c r="J22" s="78">
        <f t="shared" si="20"/>
        <v>12.083496908430661</v>
      </c>
      <c r="K22" s="78">
        <f t="shared" si="21"/>
        <v>12.083496908430661</v>
      </c>
      <c r="L22" s="78">
        <f t="shared" si="22"/>
        <v>12.083496908430661</v>
      </c>
    </row>
    <row r="23" spans="1:12" s="71" customFormat="1" ht="11" x14ac:dyDescent="0.15">
      <c r="A23" s="89">
        <f>+A22+0.5</f>
        <v>3</v>
      </c>
      <c r="B23" s="77">
        <f t="shared" si="14"/>
        <v>49.035040000000002</v>
      </c>
      <c r="C23" s="78">
        <f t="shared" si="15"/>
        <v>0.79360613810741687</v>
      </c>
      <c r="D23" s="78">
        <f t="shared" si="16"/>
        <v>13.155492957746478</v>
      </c>
      <c r="E23" s="78">
        <f t="shared" si="17"/>
        <v>12.567727272727273</v>
      </c>
      <c r="F23" s="78">
        <f t="shared" si="18"/>
        <v>-162.27000000000001</v>
      </c>
      <c r="G23" s="78">
        <f t="shared" si="19"/>
        <v>34.00019629011679</v>
      </c>
      <c r="H23" s="78">
        <f t="shared" si="12"/>
        <v>25.00019629011679</v>
      </c>
      <c r="I23" s="78">
        <f t="shared" si="13"/>
        <v>14.500196290116792</v>
      </c>
      <c r="J23" s="78">
        <f t="shared" si="20"/>
        <v>14.500196290116792</v>
      </c>
      <c r="K23" s="78">
        <f t="shared" si="21"/>
        <v>14.500196290116792</v>
      </c>
      <c r="L23" s="78">
        <f t="shared" si="22"/>
        <v>14.500196290116792</v>
      </c>
    </row>
    <row r="24" spans="1:12" s="71" customFormat="1" ht="11" x14ac:dyDescent="0.15">
      <c r="A24" s="89">
        <f>+A22+1</f>
        <v>3.5</v>
      </c>
      <c r="B24" s="77">
        <f t="shared" si="14"/>
        <v>57.207546666666673</v>
      </c>
      <c r="C24" s="78">
        <f t="shared" si="15"/>
        <v>0.92587382779198635</v>
      </c>
      <c r="D24" s="78">
        <f t="shared" si="16"/>
        <v>15.348075117370891</v>
      </c>
      <c r="E24" s="78">
        <f t="shared" si="17"/>
        <v>14.662348484848486</v>
      </c>
      <c r="F24" s="78">
        <f t="shared" si="18"/>
        <v>-189.315</v>
      </c>
      <c r="G24" s="78">
        <f t="shared" si="19"/>
        <v>39.666895671802926</v>
      </c>
      <c r="H24" s="78">
        <f t="shared" si="12"/>
        <v>29.166895671802923</v>
      </c>
      <c r="I24" s="78">
        <f t="shared" si="13"/>
        <v>16.916895671802923</v>
      </c>
      <c r="J24" s="78">
        <f t="shared" si="20"/>
        <v>16.916895671802923</v>
      </c>
      <c r="K24" s="78">
        <f t="shared" si="21"/>
        <v>16.916895671802923</v>
      </c>
      <c r="L24" s="78">
        <f t="shared" si="22"/>
        <v>16.916895671802923</v>
      </c>
    </row>
    <row r="25" spans="1:12" s="71" customFormat="1" ht="11" x14ac:dyDescent="0.15">
      <c r="A25" s="89">
        <f t="shared" ref="A25:A27" si="23">+A24+1</f>
        <v>4.5</v>
      </c>
      <c r="B25" s="77">
        <f t="shared" si="14"/>
        <v>73.55256</v>
      </c>
      <c r="C25" s="78">
        <f t="shared" si="15"/>
        <v>1.1904092071611254</v>
      </c>
      <c r="D25" s="78">
        <f t="shared" si="16"/>
        <v>19.733239436619719</v>
      </c>
      <c r="E25" s="78">
        <f t="shared" si="17"/>
        <v>18.851590909090909</v>
      </c>
      <c r="F25" s="85">
        <f t="shared" si="18"/>
        <v>-243.40500000000003</v>
      </c>
      <c r="G25" s="78">
        <f t="shared" si="19"/>
        <v>51.000294435175185</v>
      </c>
      <c r="H25" s="78">
        <f t="shared" si="12"/>
        <v>37.500294435175185</v>
      </c>
      <c r="I25" s="78">
        <f t="shared" si="13"/>
        <v>21.750294435175189</v>
      </c>
      <c r="J25" s="78">
        <f t="shared" si="20"/>
        <v>21.750294435175189</v>
      </c>
      <c r="K25" s="78">
        <f t="shared" si="21"/>
        <v>21.750294435175189</v>
      </c>
      <c r="L25" s="78">
        <f t="shared" si="22"/>
        <v>21.750294435175189</v>
      </c>
    </row>
    <row r="26" spans="1:12" s="71" customFormat="1" ht="11" x14ac:dyDescent="0.15">
      <c r="A26" s="89">
        <f t="shared" si="23"/>
        <v>5.5</v>
      </c>
      <c r="B26" s="77">
        <f t="shared" si="14"/>
        <v>89.897573333333341</v>
      </c>
      <c r="C26" s="78">
        <f t="shared" si="15"/>
        <v>1.4549445865302642</v>
      </c>
      <c r="D26" s="78">
        <f t="shared" si="16"/>
        <v>24.118403755868542</v>
      </c>
      <c r="E26" s="78">
        <f t="shared" si="17"/>
        <v>23.040833333333335</v>
      </c>
      <c r="F26" s="78">
        <f t="shared" si="18"/>
        <v>-297.495</v>
      </c>
      <c r="G26" s="78">
        <f t="shared" si="19"/>
        <v>62.333693198547451</v>
      </c>
      <c r="H26" s="78">
        <f t="shared" si="12"/>
        <v>45.833693198547451</v>
      </c>
      <c r="I26" s="78">
        <f t="shared" si="13"/>
        <v>26.583693198547451</v>
      </c>
      <c r="J26" s="78">
        <f t="shared" si="20"/>
        <v>26.583693198547451</v>
      </c>
      <c r="K26" s="78">
        <f t="shared" si="21"/>
        <v>26.583693198547451</v>
      </c>
      <c r="L26" s="78">
        <f t="shared" si="22"/>
        <v>26.583693198547451</v>
      </c>
    </row>
    <row r="27" spans="1:12" s="71" customFormat="1" ht="11" x14ac:dyDescent="0.15">
      <c r="A27" s="89">
        <f t="shared" si="23"/>
        <v>6.5</v>
      </c>
      <c r="B27" s="77">
        <f t="shared" si="14"/>
        <v>106.24258666666667</v>
      </c>
      <c r="C27" s="78">
        <f t="shared" si="15"/>
        <v>1.7194799658994033</v>
      </c>
      <c r="D27" s="78">
        <f t="shared" si="16"/>
        <v>28.503568075117371</v>
      </c>
      <c r="E27" s="78">
        <f t="shared" si="17"/>
        <v>27.230075757575758</v>
      </c>
      <c r="F27" s="78">
        <f t="shared" si="18"/>
        <v>-351.58500000000004</v>
      </c>
      <c r="G27" s="78">
        <f t="shared" si="19"/>
        <v>73.667091961919709</v>
      </c>
      <c r="H27" s="78">
        <f t="shared" si="12"/>
        <v>54.167091961919716</v>
      </c>
      <c r="I27" s="78">
        <f t="shared" si="13"/>
        <v>31.417091961919716</v>
      </c>
      <c r="J27" s="78">
        <f t="shared" si="20"/>
        <v>31.417091961919716</v>
      </c>
      <c r="K27" s="78">
        <f t="shared" si="21"/>
        <v>31.417091961919716</v>
      </c>
      <c r="L27" s="78">
        <f t="shared" si="22"/>
        <v>31.417091961919716</v>
      </c>
    </row>
    <row r="28" spans="1:12" s="71" customFormat="1" ht="11" x14ac:dyDescent="0.15">
      <c r="A28" s="87"/>
      <c r="E28" s="80"/>
      <c r="F28" s="80"/>
      <c r="G28" s="80"/>
    </row>
    <row r="29" spans="1:12" s="71" customFormat="1" ht="11" x14ac:dyDescent="0.15"/>
    <row r="30" spans="1:12" s="71" customFormat="1" ht="11" x14ac:dyDescent="0.15"/>
    <row r="31" spans="1:12" s="71" customFormat="1" ht="11" x14ac:dyDescent="0.15">
      <c r="A31" s="91" t="s">
        <v>20</v>
      </c>
      <c r="B31" s="82">
        <f>[2]Fin!BF132</f>
        <v>25.659931419502939</v>
      </c>
      <c r="C31" s="83">
        <f>Financials!BE19</f>
        <v>14541</v>
      </c>
      <c r="D31" s="83">
        <f>Financials!BJ19</f>
        <v>22899</v>
      </c>
      <c r="E31" s="83">
        <f>Financials!BO19</f>
        <v>24879</v>
      </c>
      <c r="F31" s="92">
        <f>Financials!BT19</f>
        <v>12248</v>
      </c>
      <c r="G31" s="92">
        <f>'DCF Model'!F10</f>
        <v>0</v>
      </c>
      <c r="H31" s="92">
        <f>'DCF Model'!G10</f>
        <v>0</v>
      </c>
      <c r="I31" s="92">
        <f>'DCF Model'!H10</f>
        <v>0</v>
      </c>
      <c r="J31" s="92">
        <f>'DCF Model'!I10</f>
        <v>0</v>
      </c>
      <c r="K31" s="92">
        <f>'DCF Model'!J10</f>
        <v>0</v>
      </c>
      <c r="L31" s="92">
        <f>'DCF Model'!K10</f>
        <v>0</v>
      </c>
    </row>
    <row r="32" spans="1:12" s="71" customFormat="1" ht="11" x14ac:dyDescent="0.15">
      <c r="A32" s="90">
        <v>7</v>
      </c>
      <c r="B32" s="77">
        <f>A32*$B$19</f>
        <v>114.41509333333335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</row>
    <row r="33" spans="1:12" s="71" customFormat="1" ht="11" x14ac:dyDescent="0.15">
      <c r="A33" s="90">
        <f>A32+1</f>
        <v>8</v>
      </c>
      <c r="B33" s="77">
        <f t="shared" ref="B33:B39" si="24">A33*$B$19</f>
        <v>130.76010666666667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</row>
    <row r="34" spans="1:12" s="71" customFormat="1" ht="11" x14ac:dyDescent="0.15">
      <c r="A34" s="90">
        <f t="shared" ref="A34:A39" si="25">A33+1</f>
        <v>9</v>
      </c>
      <c r="B34" s="77">
        <f t="shared" si="24"/>
        <v>147.10512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</row>
    <row r="35" spans="1:12" s="71" customFormat="1" ht="11" x14ac:dyDescent="0.15">
      <c r="A35" s="90">
        <f t="shared" si="25"/>
        <v>10</v>
      </c>
      <c r="B35" s="77">
        <f t="shared" si="24"/>
        <v>163.45013333333333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</row>
    <row r="36" spans="1:12" s="71" customFormat="1" ht="11" x14ac:dyDescent="0.15">
      <c r="A36" s="90">
        <f t="shared" si="25"/>
        <v>11</v>
      </c>
      <c r="B36" s="77">
        <f t="shared" si="24"/>
        <v>179.79514666666668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</row>
    <row r="37" spans="1:12" s="71" customFormat="1" ht="11" x14ac:dyDescent="0.15">
      <c r="A37" s="90">
        <f t="shared" si="25"/>
        <v>12</v>
      </c>
      <c r="B37" s="77">
        <f t="shared" si="24"/>
        <v>196.14016000000001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</row>
    <row r="38" spans="1:12" s="71" customFormat="1" ht="11" x14ac:dyDescent="0.15">
      <c r="A38" s="90">
        <f t="shared" si="25"/>
        <v>13</v>
      </c>
      <c r="B38" s="77">
        <f t="shared" si="24"/>
        <v>212.48517333333334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</row>
    <row r="39" spans="1:12" s="71" customFormat="1" ht="11" x14ac:dyDescent="0.15">
      <c r="A39" s="90">
        <f t="shared" si="25"/>
        <v>14</v>
      </c>
      <c r="B39" s="77">
        <f t="shared" si="24"/>
        <v>228.83018666666669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</row>
    <row r="40" spans="1:12" s="71" customFormat="1" ht="11" x14ac:dyDescent="0.15">
      <c r="A40" s="87"/>
      <c r="C40" s="78"/>
      <c r="E40" s="80"/>
      <c r="F40" s="80"/>
      <c r="G40" s="80"/>
    </row>
    <row r="41" spans="1:12" s="71" customFormat="1" ht="11" x14ac:dyDescent="0.15"/>
    <row r="42" spans="1:12" s="71" customFormat="1" ht="11" x14ac:dyDescent="0.15">
      <c r="A42" s="84"/>
      <c r="B42" s="84"/>
    </row>
    <row r="43" spans="1:12" s="71" customFormat="1" ht="11" x14ac:dyDescent="0.1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BA5F-B0FA-46D8-9F4E-4968EC57C2BE}">
  <dimension ref="A1:CX157"/>
  <sheetViews>
    <sheetView zoomScale="81" workbookViewId="0">
      <selection activeCell="AK8" sqref="AK8"/>
    </sheetView>
  </sheetViews>
  <sheetFormatPr baseColWidth="10" defaultColWidth="8.83203125" defaultRowHeight="15" outlineLevelCol="1" x14ac:dyDescent="0.2"/>
  <cols>
    <col min="1" max="1" width="12.1640625" bestFit="1" customWidth="1"/>
    <col min="2" max="2" width="63.83203125" customWidth="1"/>
    <col min="3" max="6" width="0" hidden="1" customWidth="1" outlineLevel="1"/>
    <col min="7" max="7" width="0" hidden="1" customWidth="1" collapsed="1"/>
    <col min="8" max="11" width="8.83203125" customWidth="1" outlineLevel="1"/>
    <col min="12" max="12" width="9.1640625"/>
    <col min="13" max="16" width="8.83203125" customWidth="1" outlineLevel="1"/>
    <col min="17" max="17" width="9.1640625"/>
    <col min="18" max="21" width="8.83203125" customWidth="1" outlineLevel="1"/>
    <col min="22" max="22" width="9.1640625"/>
    <col min="23" max="26" width="8.83203125" customWidth="1" outlineLevel="1"/>
    <col min="27" max="27" width="9.1640625"/>
    <col min="28" max="31" width="8.83203125" customWidth="1" outlineLevel="1"/>
    <col min="32" max="32" width="9.1640625"/>
    <col min="33" max="36" width="0" hidden="1" customWidth="1" outlineLevel="1"/>
    <col min="37" max="37" width="9.1640625" collapsed="1"/>
    <col min="38" max="41" width="0" hidden="1" customWidth="1" outlineLevel="1"/>
    <col min="42" max="42" width="9.1640625" collapsed="1"/>
    <col min="43" max="46" width="0" hidden="1" customWidth="1" outlineLevel="1"/>
    <col min="47" max="47" width="9.1640625" collapsed="1"/>
    <col min="48" max="51" width="0" hidden="1" customWidth="1" outlineLevel="1"/>
    <col min="52" max="52" width="9.1640625" collapsed="1"/>
    <col min="53" max="56" width="0" hidden="1" customWidth="1" outlineLevel="1"/>
    <col min="57" max="57" width="9.1640625" collapsed="1"/>
    <col min="58" max="61" width="0" hidden="1" customWidth="1" outlineLevel="1"/>
    <col min="62" max="62" width="9.1640625" collapsed="1"/>
    <col min="63" max="66" width="0" hidden="1" customWidth="1" outlineLevel="1"/>
    <col min="67" max="67" width="9.1640625" collapsed="1"/>
    <col min="68" max="71" width="0" hidden="1" customWidth="1" outlineLevel="1"/>
    <col min="72" max="72" width="9.1640625" collapsed="1"/>
    <col min="73" max="76" width="0" hidden="1" customWidth="1" outlineLevel="1"/>
    <col min="77" max="77" width="9.1640625" collapsed="1"/>
    <col min="78" max="81" width="0" hidden="1" customWidth="1" outlineLevel="1"/>
    <col min="82" max="82" width="13" bestFit="1" customWidth="1" collapsed="1"/>
    <col min="83" max="86" width="0" hidden="1" customWidth="1" outlineLevel="1"/>
    <col min="87" max="87" width="10" bestFit="1" customWidth="1" collapsed="1"/>
    <col min="88" max="91" width="0" hidden="1" customWidth="1" outlineLevel="1"/>
    <col min="92" max="92" width="10" bestFit="1" customWidth="1" collapsed="1"/>
    <col min="93" max="96" width="0" hidden="1" customWidth="1" outlineLevel="1"/>
    <col min="97" max="97" width="10" bestFit="1" customWidth="1" collapsed="1"/>
    <col min="98" max="101" width="0" hidden="1" customWidth="1" outlineLevel="1"/>
    <col min="102" max="102" width="9.1640625" collapsed="1"/>
  </cols>
  <sheetData>
    <row r="1" spans="1:102" s="63" customFormat="1" x14ac:dyDescent="0.2">
      <c r="A1" s="94" t="s">
        <v>1</v>
      </c>
      <c r="B1" s="94" t="s">
        <v>227</v>
      </c>
      <c r="BE1" s="95"/>
    </row>
    <row r="2" spans="1:102" s="63" customFormat="1" x14ac:dyDescent="0.2">
      <c r="A2" s="94" t="s">
        <v>2</v>
      </c>
      <c r="B2" s="96">
        <v>42369</v>
      </c>
      <c r="AP2" s="97"/>
      <c r="AR2" s="98"/>
      <c r="BE2" s="95"/>
    </row>
    <row r="3" spans="1:102" s="63" customFormat="1" x14ac:dyDescent="0.2">
      <c r="A3" s="94" t="s">
        <v>3</v>
      </c>
      <c r="B3" s="94"/>
      <c r="AO3" s="99"/>
      <c r="BE3" s="95"/>
    </row>
    <row r="4" spans="1:102" s="63" customFormat="1" x14ac:dyDescent="0.2">
      <c r="A4" s="94" t="s">
        <v>4</v>
      </c>
      <c r="B4" s="100"/>
      <c r="AO4" s="95"/>
      <c r="AQ4" s="97"/>
      <c r="AR4" s="101"/>
      <c r="AS4" s="95"/>
      <c r="BE4" s="95"/>
    </row>
    <row r="5" spans="1:102" s="63" customFormat="1" x14ac:dyDescent="0.2">
      <c r="A5" s="66" t="s">
        <v>5</v>
      </c>
      <c r="B5" s="66" t="s">
        <v>228</v>
      </c>
      <c r="AK5" s="95"/>
      <c r="AP5" s="102"/>
      <c r="AQ5" s="97"/>
      <c r="AS5" s="95"/>
      <c r="AT5" s="95"/>
      <c r="AV5" s="103"/>
      <c r="BE5" s="95"/>
      <c r="BJ5" s="95"/>
    </row>
    <row r="6" spans="1:102" s="63" customFormat="1" x14ac:dyDescent="0.2">
      <c r="A6" s="66" t="s">
        <v>7</v>
      </c>
      <c r="B6" s="66" t="s">
        <v>229</v>
      </c>
      <c r="AP6" s="102"/>
      <c r="AQ6" s="97"/>
      <c r="AW6" s="95"/>
      <c r="BE6" s="95"/>
      <c r="BG6" s="104" t="e">
        <f>(BF18+BG18)/(BG9+BF9)</f>
        <v>#DIV/0!</v>
      </c>
      <c r="BJ6" s="95"/>
    </row>
    <row r="7" spans="1:102" s="63" customFormat="1" x14ac:dyDescent="0.2">
      <c r="BE7" s="95"/>
      <c r="BG7" s="105"/>
      <c r="CS7" s="63" t="s">
        <v>230</v>
      </c>
    </row>
    <row r="8" spans="1:102" s="63" customFormat="1" x14ac:dyDescent="0.2">
      <c r="A8" s="94" t="s">
        <v>9</v>
      </c>
      <c r="B8" s="94" t="s">
        <v>231</v>
      </c>
      <c r="C8" s="64" t="str">
        <f>"Q1-"&amp;G8</f>
        <v>Q1-2001</v>
      </c>
      <c r="D8" s="64" t="str">
        <f>"Q2-"&amp;G8</f>
        <v>Q2-2001</v>
      </c>
      <c r="E8" s="64" t="str">
        <f>"Q3-"&amp;G8</f>
        <v>Q3-2001</v>
      </c>
      <c r="F8" s="64" t="str">
        <f>"Q4-"&amp;G8</f>
        <v>Q4-2001</v>
      </c>
      <c r="G8" s="108">
        <v>2001</v>
      </c>
      <c r="H8" s="64" t="str">
        <f>"Q1-"&amp;L8</f>
        <v>Q1-2019</v>
      </c>
      <c r="I8" s="64" t="str">
        <f>"Q2-"&amp;L8</f>
        <v>Q2-2019</v>
      </c>
      <c r="J8" s="64" t="str">
        <f>"Q3-"&amp;L8</f>
        <v>Q3-2019</v>
      </c>
      <c r="K8" s="64" t="str">
        <f>"Q4-"&amp;L8</f>
        <v>Q4-2019</v>
      </c>
      <c r="L8" s="108">
        <v>2019</v>
      </c>
      <c r="M8" s="64" t="str">
        <f>"Q1-"&amp;Q8</f>
        <v>Q1-2020</v>
      </c>
      <c r="N8" s="64" t="str">
        <f>"Q2-"&amp;Q8</f>
        <v>Q2-2020</v>
      </c>
      <c r="O8" s="64" t="str">
        <f>"Q3-"&amp;Q8</f>
        <v>Q3-2020</v>
      </c>
      <c r="P8" s="64" t="str">
        <f>"Q4-"&amp;Q8</f>
        <v>Q4-2020</v>
      </c>
      <c r="Q8" s="108">
        <v>2020</v>
      </c>
      <c r="R8" s="64" t="str">
        <f>"Q1-"&amp;V8</f>
        <v>Q1-2021</v>
      </c>
      <c r="S8" s="64" t="str">
        <f>"Q2-"&amp;V8</f>
        <v>Q2-2021</v>
      </c>
      <c r="T8" s="64" t="str">
        <f>"Q3-"&amp;V8</f>
        <v>Q3-2021</v>
      </c>
      <c r="U8" s="64" t="str">
        <f>"Q4-"&amp;V8</f>
        <v>Q4-2021</v>
      </c>
      <c r="V8" s="108">
        <v>2021</v>
      </c>
      <c r="W8" s="64" t="str">
        <f>"Q1-"&amp;AA8</f>
        <v>Q1-2022</v>
      </c>
      <c r="X8" s="64" t="str">
        <f>"Q2-"&amp;AA8</f>
        <v>Q2-2022</v>
      </c>
      <c r="Y8" s="64" t="str">
        <f>"Q3-"&amp;AA8</f>
        <v>Q3-2022</v>
      </c>
      <c r="Z8" s="64" t="str">
        <f>"Q4-"&amp;AA8</f>
        <v>Q4-2022</v>
      </c>
      <c r="AA8" s="108">
        <v>2022</v>
      </c>
      <c r="AB8" s="64" t="str">
        <f>"Q1-"&amp;AF8</f>
        <v>Q1-2023</v>
      </c>
      <c r="AC8" s="64" t="str">
        <f>"Q2-"&amp;AF8</f>
        <v>Q2-2023</v>
      </c>
      <c r="AD8" s="64" t="str">
        <f>"Q3-"&amp;AF8</f>
        <v>Q3-2023</v>
      </c>
      <c r="AE8" s="64" t="str">
        <f>"Q4-"&amp;AF8</f>
        <v>Q4-2023</v>
      </c>
      <c r="AF8" s="108">
        <f>+AA8+1</f>
        <v>2023</v>
      </c>
      <c r="AG8" s="64" t="str">
        <f>"Q1-"&amp;AK8</f>
        <v>Q1-2024</v>
      </c>
      <c r="AH8" s="64" t="str">
        <f>"Q2-"&amp;AK8</f>
        <v>Q2-2024</v>
      </c>
      <c r="AI8" s="64" t="str">
        <f>"Q3-"&amp;AK8</f>
        <v>Q3-2024</v>
      </c>
      <c r="AJ8" s="64" t="str">
        <f>"Q4-"&amp;AK8</f>
        <v>Q4-2024</v>
      </c>
      <c r="AK8" s="108">
        <f>+AF8+1</f>
        <v>2024</v>
      </c>
      <c r="AL8" s="64" t="str">
        <f>"Q1-"&amp;AP8</f>
        <v>Q1-2025</v>
      </c>
      <c r="AM8" s="64" t="str">
        <f>"Q2-"&amp;AP8</f>
        <v>Q2-2025</v>
      </c>
      <c r="AN8" s="64" t="str">
        <f>"Q3-"&amp;AP8</f>
        <v>Q3-2025</v>
      </c>
      <c r="AO8" s="64" t="str">
        <f>"Q4-"&amp;AP8</f>
        <v>Q4-2025</v>
      </c>
      <c r="AP8" s="108">
        <f>+AK8+1</f>
        <v>2025</v>
      </c>
      <c r="AQ8" s="64" t="str">
        <f>"Q1-"&amp;AU8</f>
        <v>Q1-2026</v>
      </c>
      <c r="AR8" s="64" t="str">
        <f>"Q2-"&amp;AU8</f>
        <v>Q2-2026</v>
      </c>
      <c r="AS8" s="64" t="str">
        <f>"Q3-"&amp;AU8</f>
        <v>Q3-2026</v>
      </c>
      <c r="AT8" s="64" t="str">
        <f>"Q4-"&amp;AU8</f>
        <v>Q4-2026</v>
      </c>
      <c r="AU8" s="108">
        <f>+AP8+1</f>
        <v>2026</v>
      </c>
      <c r="AV8" s="64" t="str">
        <f>"Q1-"&amp;AZ8</f>
        <v>Q1-2027</v>
      </c>
      <c r="AW8" s="64" t="str">
        <f>"Q2-"&amp;AZ8</f>
        <v>Q2-2027</v>
      </c>
      <c r="AX8" s="64" t="str">
        <f>"Q3-"&amp;AZ8</f>
        <v>Q3-2027</v>
      </c>
      <c r="AY8" s="64" t="str">
        <f>"Q4-"&amp;AZ8</f>
        <v>Q4-2027</v>
      </c>
      <c r="AZ8" s="108">
        <f>+AU8+1</f>
        <v>2027</v>
      </c>
      <c r="BA8" s="64" t="str">
        <f>"Q1-"&amp;BE8</f>
        <v>Q1-2028</v>
      </c>
      <c r="BB8" s="64" t="str">
        <f>"Q2-"&amp;BE8</f>
        <v>Q2-2028</v>
      </c>
      <c r="BC8" s="64" t="str">
        <f>"Q3-"&amp;BE8</f>
        <v>Q3-2028</v>
      </c>
      <c r="BD8" s="64" t="str">
        <f>"Q4-"&amp;BE8</f>
        <v>Q4-2028</v>
      </c>
      <c r="BE8" s="108">
        <f>+AZ8+1</f>
        <v>2028</v>
      </c>
      <c r="BF8" s="64" t="str">
        <f>"Q1-"&amp;BJ8</f>
        <v>Q1-2029</v>
      </c>
      <c r="BG8" s="64" t="str">
        <f>"Q2-"&amp;BJ8</f>
        <v>Q2-2029</v>
      </c>
      <c r="BH8" s="64" t="str">
        <f>"Q3-"&amp;BJ8</f>
        <v>Q3-2029</v>
      </c>
      <c r="BI8" s="64" t="str">
        <f>"Q4-"&amp;BJ8</f>
        <v>Q4-2029</v>
      </c>
      <c r="BJ8" s="108">
        <f>+BE8+1</f>
        <v>2029</v>
      </c>
      <c r="BK8" s="64" t="str">
        <f>"Q1-"&amp;BO8</f>
        <v>Q1-2030</v>
      </c>
      <c r="BL8" s="64" t="str">
        <f>"Q2-"&amp;BO8</f>
        <v>Q2-2030</v>
      </c>
      <c r="BM8" s="64" t="str">
        <f>"Q3-"&amp;BO8</f>
        <v>Q3-2030</v>
      </c>
      <c r="BN8" s="64" t="str">
        <f>"Q4-"&amp;BO8</f>
        <v>Q4-2030</v>
      </c>
      <c r="BO8" s="108">
        <f>+BJ8+1</f>
        <v>2030</v>
      </c>
      <c r="BP8" s="64" t="str">
        <f>"Q1-"&amp;BT8</f>
        <v>Q1-2031</v>
      </c>
      <c r="BQ8" s="64" t="str">
        <f>"Q2-"&amp;BT8</f>
        <v>Q2-2031</v>
      </c>
      <c r="BR8" s="64" t="str">
        <f>"Q3-"&amp;BT8</f>
        <v>Q3-2031</v>
      </c>
      <c r="BS8" s="64" t="str">
        <f>"Q4-"&amp;BT8</f>
        <v>Q4-2031</v>
      </c>
      <c r="BT8" s="108">
        <f>+BO8+1</f>
        <v>2031</v>
      </c>
      <c r="BU8" s="64" t="str">
        <f>"Q1-"&amp;BY8</f>
        <v>Q1-2032</v>
      </c>
      <c r="BV8" s="64" t="str">
        <f>"Q2-"&amp;BY8</f>
        <v>Q2-2032</v>
      </c>
      <c r="BW8" s="64" t="str">
        <f>"Q3-"&amp;BY8</f>
        <v>Q3-2032</v>
      </c>
      <c r="BX8" s="64" t="str">
        <f>"Q4-"&amp;BY8</f>
        <v>Q4-2032</v>
      </c>
      <c r="BY8" s="108">
        <f>+BT8+1</f>
        <v>2032</v>
      </c>
      <c r="BZ8" s="64" t="str">
        <f>"Q1-"&amp;CD8</f>
        <v>Q1-2033</v>
      </c>
      <c r="CA8" s="64" t="str">
        <f>"Q2-"&amp;CD8</f>
        <v>Q2-2033</v>
      </c>
      <c r="CB8" s="64" t="str">
        <f>"Q3-"&amp;CD8</f>
        <v>Q3-2033</v>
      </c>
      <c r="CC8" s="64" t="str">
        <f>"Q4-"&amp;CD8</f>
        <v>Q4-2033</v>
      </c>
      <c r="CD8" s="108">
        <f>+BY8+1</f>
        <v>2033</v>
      </c>
      <c r="CE8" s="64" t="str">
        <f>"Q1-"&amp;CI8</f>
        <v>Q1-2034</v>
      </c>
      <c r="CF8" s="64" t="str">
        <f>"Q2-"&amp;CI8</f>
        <v>Q2-2034</v>
      </c>
      <c r="CG8" s="64" t="str">
        <f>"Q3-"&amp;CI8</f>
        <v>Q3-2034</v>
      </c>
      <c r="CH8" s="64" t="str">
        <f>"Q4-"&amp;CI8</f>
        <v>Q4-2034</v>
      </c>
      <c r="CI8" s="108">
        <f>+CD8+1</f>
        <v>2034</v>
      </c>
      <c r="CJ8" s="64" t="str">
        <f>"Q1-"&amp;CN8</f>
        <v>Q1-2035</v>
      </c>
      <c r="CK8" s="64" t="str">
        <f>"Q2-"&amp;CN8</f>
        <v>Q2-2035</v>
      </c>
      <c r="CL8" s="64" t="str">
        <f>"Q3-"&amp;CN8</f>
        <v>Q3-2035</v>
      </c>
      <c r="CM8" s="64" t="str">
        <f>"Q4-"&amp;CN8</f>
        <v>Q4-2035</v>
      </c>
      <c r="CN8" s="108">
        <f>+CI8+1</f>
        <v>2035</v>
      </c>
      <c r="CO8" s="64" t="str">
        <f>"Q1-"&amp;CS8</f>
        <v>Q1-2036</v>
      </c>
      <c r="CP8" s="64" t="str">
        <f>"Q2-"&amp;CS8</f>
        <v>Q2-2036</v>
      </c>
      <c r="CQ8" s="64" t="str">
        <f>"Q3-"&amp;CS8</f>
        <v>Q3-2036</v>
      </c>
      <c r="CR8" s="64" t="str">
        <f>"Q4-"&amp;CS8</f>
        <v>Q4-2036</v>
      </c>
      <c r="CS8" s="108">
        <f>+CN8+1</f>
        <v>2036</v>
      </c>
      <c r="CT8" s="64" t="str">
        <f>"Q1-"&amp;CX8</f>
        <v>Q1-2037</v>
      </c>
      <c r="CU8" s="64" t="str">
        <f>"Q2-"&amp;CX8</f>
        <v>Q2-2037</v>
      </c>
      <c r="CV8" s="64" t="str">
        <f>"Q3-"&amp;CX8</f>
        <v>Q3-2037</v>
      </c>
      <c r="CW8" s="64" t="str">
        <f>"Q4-"&amp;CX8</f>
        <v>Q4-2037</v>
      </c>
      <c r="CX8" s="108">
        <f>+CS8+1</f>
        <v>2037</v>
      </c>
    </row>
    <row r="9" spans="1:102" x14ac:dyDescent="0.2">
      <c r="B9" s="3" t="s">
        <v>232</v>
      </c>
      <c r="C9" s="170"/>
      <c r="D9" s="12"/>
      <c r="E9" s="12"/>
      <c r="F9" s="167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76">
        <v>504596</v>
      </c>
      <c r="CE9" s="12"/>
      <c r="CF9" s="12"/>
      <c r="CG9" s="12"/>
      <c r="CH9" s="12"/>
      <c r="CI9" s="176">
        <v>986159</v>
      </c>
      <c r="CJ9" s="12"/>
      <c r="CK9" s="12"/>
      <c r="CL9" s="12"/>
      <c r="CM9" s="12"/>
      <c r="CN9" s="176">
        <v>1334778</v>
      </c>
      <c r="CO9" s="12"/>
      <c r="CP9" s="12"/>
      <c r="CQ9" s="12"/>
      <c r="CR9" s="12"/>
      <c r="CS9" s="176">
        <v>614556</v>
      </c>
      <c r="CT9" s="12"/>
      <c r="CU9" s="12"/>
      <c r="CV9" s="12"/>
      <c r="CW9" s="12"/>
      <c r="CX9" s="12"/>
    </row>
    <row r="10" spans="1:102" x14ac:dyDescent="0.2">
      <c r="B10" s="171"/>
      <c r="G10" s="168"/>
      <c r="CX10" s="169"/>
    </row>
    <row r="11" spans="1:102" x14ac:dyDescent="0.2">
      <c r="B11" s="171" t="s">
        <v>233</v>
      </c>
      <c r="G11" s="168"/>
      <c r="CD11" s="177" t="s">
        <v>234</v>
      </c>
      <c r="CI11" s="178">
        <v>136393</v>
      </c>
      <c r="CN11" s="178">
        <v>208505</v>
      </c>
      <c r="CS11" s="178">
        <v>94158</v>
      </c>
      <c r="CX11" s="169"/>
    </row>
    <row r="12" spans="1:102" x14ac:dyDescent="0.2">
      <c r="B12" s="171" t="s">
        <v>235</v>
      </c>
      <c r="G12" s="168"/>
      <c r="CD12" s="178">
        <v>53231</v>
      </c>
      <c r="CI12" s="178">
        <v>120398</v>
      </c>
      <c r="CN12" s="178">
        <v>188937</v>
      </c>
      <c r="CS12" s="178">
        <v>97312</v>
      </c>
      <c r="CX12" s="169"/>
    </row>
    <row r="13" spans="1:102" x14ac:dyDescent="0.2">
      <c r="B13" s="171" t="s">
        <v>236</v>
      </c>
      <c r="G13" s="168"/>
      <c r="CD13" s="178">
        <v>48369</v>
      </c>
      <c r="CI13" s="178">
        <v>64045</v>
      </c>
      <c r="CN13" s="178">
        <v>56202</v>
      </c>
      <c r="CS13" s="178">
        <v>29512</v>
      </c>
      <c r="CX13" s="169"/>
    </row>
    <row r="14" spans="1:102" x14ac:dyDescent="0.2">
      <c r="B14" s="171" t="s">
        <v>237</v>
      </c>
      <c r="G14" s="168"/>
      <c r="CD14" s="178">
        <v>37051</v>
      </c>
      <c r="CI14" s="178">
        <v>29606</v>
      </c>
      <c r="CN14" s="178">
        <v>31250</v>
      </c>
      <c r="CS14" s="178">
        <v>16922</v>
      </c>
      <c r="CX14" s="169"/>
    </row>
    <row r="15" spans="1:102" x14ac:dyDescent="0.2">
      <c r="B15" s="171" t="s">
        <v>238</v>
      </c>
      <c r="G15" s="168"/>
      <c r="CD15" s="178">
        <v>11087</v>
      </c>
      <c r="CI15" s="178">
        <v>13725</v>
      </c>
      <c r="CN15" s="178">
        <v>7928</v>
      </c>
      <c r="CS15" s="178">
        <v>3527</v>
      </c>
      <c r="CX15" s="169"/>
    </row>
    <row r="16" spans="1:102" x14ac:dyDescent="0.2">
      <c r="B16" s="171" t="s">
        <v>239</v>
      </c>
      <c r="G16" s="168"/>
      <c r="CD16" s="178">
        <v>1897</v>
      </c>
      <c r="CI16" s="178">
        <v>1902</v>
      </c>
      <c r="CN16" s="178">
        <v>2217</v>
      </c>
      <c r="CS16" s="178">
        <v>951</v>
      </c>
      <c r="CX16" s="169"/>
    </row>
    <row r="17" spans="1:102" x14ac:dyDescent="0.2">
      <c r="B17" s="171" t="s">
        <v>240</v>
      </c>
      <c r="G17" s="168"/>
      <c r="CD17" s="178">
        <v>33615</v>
      </c>
      <c r="CI17" s="178">
        <v>36894</v>
      </c>
      <c r="CN17" s="178">
        <v>41334</v>
      </c>
      <c r="CS17" s="178">
        <v>24297</v>
      </c>
      <c r="CX17" s="169"/>
    </row>
    <row r="18" spans="1:102" x14ac:dyDescent="0.2">
      <c r="B18" s="171" t="s">
        <v>241</v>
      </c>
      <c r="G18" s="168"/>
      <c r="CD18" s="178">
        <v>13646</v>
      </c>
      <c r="CI18" s="178">
        <v>281</v>
      </c>
      <c r="CN18" s="177" t="s">
        <v>234</v>
      </c>
      <c r="CS18" s="177" t="s">
        <v>234</v>
      </c>
      <c r="CX18" s="169"/>
    </row>
    <row r="19" spans="1:102" x14ac:dyDescent="0.2">
      <c r="B19" s="171"/>
      <c r="G19" s="168"/>
      <c r="CX19" s="169"/>
    </row>
    <row r="20" spans="1:102" x14ac:dyDescent="0.2">
      <c r="B20" s="3" t="s">
        <v>242</v>
      </c>
      <c r="C20" s="170"/>
      <c r="D20" s="12"/>
      <c r="E20" s="12"/>
      <c r="F20" s="167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>
        <f>SUM(CD11:CD18)</f>
        <v>198896</v>
      </c>
      <c r="CE20" s="12">
        <f t="shared" ref="CE20:CS20" si="0">SUM(CE11:CE18)</f>
        <v>0</v>
      </c>
      <c r="CF20" s="12">
        <f t="shared" si="0"/>
        <v>0</v>
      </c>
      <c r="CG20" s="12">
        <f t="shared" si="0"/>
        <v>0</v>
      </c>
      <c r="CH20" s="12">
        <f t="shared" si="0"/>
        <v>0</v>
      </c>
      <c r="CI20" s="12">
        <f t="shared" si="0"/>
        <v>403244</v>
      </c>
      <c r="CJ20" s="12">
        <f t="shared" si="0"/>
        <v>0</v>
      </c>
      <c r="CK20" s="12">
        <f t="shared" si="0"/>
        <v>0</v>
      </c>
      <c r="CL20" s="12">
        <f t="shared" si="0"/>
        <v>0</v>
      </c>
      <c r="CM20" s="12">
        <f t="shared" si="0"/>
        <v>0</v>
      </c>
      <c r="CN20" s="12">
        <f t="shared" si="0"/>
        <v>536373</v>
      </c>
      <c r="CO20" s="12">
        <f t="shared" si="0"/>
        <v>0</v>
      </c>
      <c r="CP20" s="12">
        <f t="shared" si="0"/>
        <v>0</v>
      </c>
      <c r="CQ20" s="12">
        <f t="shared" si="0"/>
        <v>0</v>
      </c>
      <c r="CR20" s="12">
        <f t="shared" si="0"/>
        <v>0</v>
      </c>
      <c r="CS20" s="12">
        <f t="shared" si="0"/>
        <v>266679</v>
      </c>
      <c r="CT20" s="12"/>
      <c r="CU20" s="12"/>
      <c r="CV20" s="12"/>
      <c r="CW20" s="12"/>
      <c r="CX20" s="12"/>
    </row>
    <row r="21" spans="1:102" x14ac:dyDescent="0.2">
      <c r="B21" s="171"/>
      <c r="G21" s="168"/>
      <c r="CX21" s="169"/>
    </row>
    <row r="22" spans="1:102" x14ac:dyDescent="0.2">
      <c r="B22" s="3" t="s">
        <v>243</v>
      </c>
      <c r="C22" s="170"/>
      <c r="D22" s="12"/>
      <c r="E22" s="12"/>
      <c r="F22" s="167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76">
        <f>CD9-CD20</f>
        <v>305700</v>
      </c>
      <c r="CE22" s="176">
        <f t="shared" ref="CE22:CS22" si="1">CE9-CE20</f>
        <v>0</v>
      </c>
      <c r="CF22" s="176">
        <f t="shared" si="1"/>
        <v>0</v>
      </c>
      <c r="CG22" s="176">
        <f t="shared" si="1"/>
        <v>0</v>
      </c>
      <c r="CH22" s="176">
        <f t="shared" si="1"/>
        <v>0</v>
      </c>
      <c r="CI22" s="176">
        <f t="shared" si="1"/>
        <v>582915</v>
      </c>
      <c r="CJ22" s="176">
        <f t="shared" si="1"/>
        <v>0</v>
      </c>
      <c r="CK22" s="176">
        <f t="shared" si="1"/>
        <v>0</v>
      </c>
      <c r="CL22" s="176">
        <f t="shared" si="1"/>
        <v>0</v>
      </c>
      <c r="CM22" s="176">
        <f t="shared" si="1"/>
        <v>0</v>
      </c>
      <c r="CN22" s="176">
        <f t="shared" si="1"/>
        <v>798405</v>
      </c>
      <c r="CO22" s="176">
        <f t="shared" si="1"/>
        <v>0</v>
      </c>
      <c r="CP22" s="176">
        <f t="shared" si="1"/>
        <v>0</v>
      </c>
      <c r="CQ22" s="176">
        <f t="shared" si="1"/>
        <v>0</v>
      </c>
      <c r="CR22" s="176">
        <f t="shared" si="1"/>
        <v>0</v>
      </c>
      <c r="CS22" s="176">
        <f t="shared" si="1"/>
        <v>347877</v>
      </c>
      <c r="CT22" s="12"/>
      <c r="CU22" s="12"/>
      <c r="CV22" s="12"/>
      <c r="CW22" s="12"/>
      <c r="CX22" s="12"/>
    </row>
    <row r="23" spans="1:102" x14ac:dyDescent="0.2">
      <c r="B23" s="171"/>
      <c r="G23" s="168"/>
      <c r="CX23" s="169"/>
    </row>
    <row r="24" spans="1:102" x14ac:dyDescent="0.2">
      <c r="B24" s="3" t="s">
        <v>244</v>
      </c>
      <c r="C24" s="170"/>
      <c r="D24" s="12"/>
      <c r="E24" s="12"/>
      <c r="F24" s="167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76">
        <v>49721</v>
      </c>
      <c r="CE24" s="12"/>
      <c r="CF24" s="12"/>
      <c r="CG24" s="12"/>
      <c r="CH24" s="12"/>
      <c r="CI24" s="176">
        <v>284619</v>
      </c>
      <c r="CJ24" s="12"/>
      <c r="CK24" s="12"/>
      <c r="CL24" s="12"/>
      <c r="CM24" s="12"/>
      <c r="CN24" s="176">
        <v>416518</v>
      </c>
      <c r="CO24" s="12"/>
      <c r="CP24" s="12"/>
      <c r="CQ24" s="12"/>
      <c r="CR24" s="12"/>
      <c r="CS24" s="176">
        <v>175871</v>
      </c>
      <c r="CT24" s="12"/>
      <c r="CU24" s="12"/>
      <c r="CV24" s="12"/>
      <c r="CW24" s="12"/>
      <c r="CX24" s="12"/>
    </row>
    <row r="25" spans="1:102" x14ac:dyDescent="0.2">
      <c r="B25" s="171"/>
      <c r="G25" s="168"/>
      <c r="CX25" s="169"/>
    </row>
    <row r="26" spans="1:102" x14ac:dyDescent="0.2">
      <c r="B26" s="3" t="s">
        <v>245</v>
      </c>
      <c r="C26" s="170"/>
      <c r="D26" s="12"/>
      <c r="E26" s="12"/>
      <c r="F26" s="167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79">
        <f>CD24</f>
        <v>49721</v>
      </c>
      <c r="CE26" s="179">
        <f t="shared" ref="CE26:CS26" si="2">CE24</f>
        <v>0</v>
      </c>
      <c r="CF26" s="179">
        <f t="shared" si="2"/>
        <v>0</v>
      </c>
      <c r="CG26" s="179">
        <f t="shared" si="2"/>
        <v>0</v>
      </c>
      <c r="CH26" s="179">
        <f t="shared" si="2"/>
        <v>0</v>
      </c>
      <c r="CI26" s="179">
        <f t="shared" si="2"/>
        <v>284619</v>
      </c>
      <c r="CJ26" s="179">
        <f t="shared" si="2"/>
        <v>0</v>
      </c>
      <c r="CK26" s="179">
        <f t="shared" si="2"/>
        <v>0</v>
      </c>
      <c r="CL26" s="179">
        <f t="shared" si="2"/>
        <v>0</v>
      </c>
      <c r="CM26" s="179">
        <f t="shared" si="2"/>
        <v>0</v>
      </c>
      <c r="CN26" s="179">
        <f t="shared" si="2"/>
        <v>416518</v>
      </c>
      <c r="CO26" s="179">
        <f t="shared" si="2"/>
        <v>0</v>
      </c>
      <c r="CP26" s="179">
        <f t="shared" si="2"/>
        <v>0</v>
      </c>
      <c r="CQ26" s="179">
        <f t="shared" si="2"/>
        <v>0</v>
      </c>
      <c r="CR26" s="179">
        <f t="shared" si="2"/>
        <v>0</v>
      </c>
      <c r="CS26" s="179">
        <f t="shared" si="2"/>
        <v>175871</v>
      </c>
      <c r="CT26" s="12"/>
      <c r="CU26" s="12"/>
      <c r="CV26" s="12"/>
      <c r="CW26" s="12"/>
      <c r="CX26" s="12"/>
    </row>
    <row r="29" spans="1:102" x14ac:dyDescent="0.2">
      <c r="A29" s="3" t="s">
        <v>9</v>
      </c>
      <c r="B29" s="3" t="s">
        <v>246</v>
      </c>
      <c r="C29" s="12"/>
      <c r="D29" s="12"/>
      <c r="E29" s="12"/>
      <c r="F29" s="12"/>
      <c r="G29" s="3">
        <v>2001</v>
      </c>
      <c r="H29" s="3">
        <v>2002</v>
      </c>
      <c r="I29" s="3">
        <v>2003</v>
      </c>
      <c r="J29" s="3">
        <v>2004</v>
      </c>
      <c r="K29" s="3">
        <v>2005</v>
      </c>
      <c r="L29" s="3">
        <v>2002</v>
      </c>
      <c r="M29" s="3">
        <v>2007</v>
      </c>
      <c r="N29" s="3">
        <v>2008</v>
      </c>
      <c r="O29" s="3">
        <v>2009</v>
      </c>
      <c r="P29" s="3">
        <v>2010</v>
      </c>
      <c r="Q29" s="3">
        <v>2003</v>
      </c>
      <c r="R29" s="3">
        <v>2004</v>
      </c>
      <c r="S29" s="3">
        <v>2005</v>
      </c>
      <c r="T29" s="3">
        <v>2006</v>
      </c>
      <c r="U29" s="3">
        <v>2007</v>
      </c>
      <c r="V29" s="3">
        <v>2004</v>
      </c>
      <c r="W29" s="3">
        <v>2009</v>
      </c>
      <c r="X29" s="3">
        <v>2010</v>
      </c>
      <c r="Y29" s="3">
        <v>2011</v>
      </c>
      <c r="Z29" s="3">
        <v>2012</v>
      </c>
      <c r="AA29" s="3">
        <v>2005</v>
      </c>
      <c r="AB29" s="3">
        <v>2014</v>
      </c>
      <c r="AC29" s="3">
        <v>2015</v>
      </c>
      <c r="AD29" s="3">
        <v>2016</v>
      </c>
      <c r="AE29" s="3">
        <v>2017</v>
      </c>
      <c r="AF29" s="3">
        <v>2006</v>
      </c>
      <c r="AG29" s="3">
        <v>2019</v>
      </c>
      <c r="AH29" s="3">
        <v>2020</v>
      </c>
      <c r="AI29" s="3">
        <v>2021</v>
      </c>
      <c r="AJ29" s="3">
        <v>2022</v>
      </c>
      <c r="AK29" s="3">
        <v>2007</v>
      </c>
      <c r="AL29" s="3">
        <v>2024</v>
      </c>
      <c r="AM29" s="3">
        <v>2025</v>
      </c>
      <c r="AN29" s="3">
        <v>2026</v>
      </c>
      <c r="AO29" s="3">
        <v>2027</v>
      </c>
      <c r="AP29" s="3">
        <v>2008</v>
      </c>
      <c r="AQ29" s="3">
        <v>2029</v>
      </c>
      <c r="AR29" s="3">
        <v>2030</v>
      </c>
      <c r="AS29" s="3">
        <v>2031</v>
      </c>
      <c r="AT29" s="3">
        <v>2032</v>
      </c>
      <c r="AU29" s="3">
        <v>2009</v>
      </c>
      <c r="AV29" s="3">
        <v>2034</v>
      </c>
      <c r="AW29" s="3">
        <v>2035</v>
      </c>
      <c r="AX29" s="3">
        <v>2036</v>
      </c>
      <c r="AY29" s="3">
        <v>2037</v>
      </c>
      <c r="AZ29" s="3">
        <v>2010</v>
      </c>
      <c r="BA29" s="3">
        <v>2039</v>
      </c>
      <c r="BB29" s="3">
        <v>2040</v>
      </c>
      <c r="BC29" s="3">
        <v>2041</v>
      </c>
      <c r="BD29" s="3">
        <v>2042</v>
      </c>
      <c r="BE29" s="3">
        <v>2011</v>
      </c>
      <c r="BF29" s="3">
        <v>2044</v>
      </c>
      <c r="BG29" s="3">
        <v>2045</v>
      </c>
      <c r="BH29" s="3">
        <v>2046</v>
      </c>
      <c r="BI29" s="3">
        <v>2047</v>
      </c>
      <c r="BJ29" s="3">
        <v>2012</v>
      </c>
      <c r="BK29" s="3">
        <v>2049</v>
      </c>
      <c r="BL29" s="3">
        <v>2050</v>
      </c>
      <c r="BM29" s="3">
        <v>2051</v>
      </c>
      <c r="BN29" s="3">
        <v>2052</v>
      </c>
      <c r="BO29" s="3">
        <v>2013</v>
      </c>
      <c r="BP29" s="3">
        <v>2054</v>
      </c>
      <c r="BQ29" s="3">
        <v>2055</v>
      </c>
      <c r="BR29" s="3">
        <v>2056</v>
      </c>
      <c r="BS29" s="3">
        <v>2057</v>
      </c>
      <c r="BT29" s="3">
        <v>2014</v>
      </c>
      <c r="BU29" s="3">
        <v>2059</v>
      </c>
      <c r="BV29" s="3">
        <v>2060</v>
      </c>
      <c r="BW29" s="3">
        <v>2061</v>
      </c>
      <c r="BX29" s="3">
        <v>2062</v>
      </c>
      <c r="BY29" s="3">
        <v>2015</v>
      </c>
      <c r="BZ29" s="3">
        <v>2064</v>
      </c>
      <c r="CA29" s="3">
        <v>2065</v>
      </c>
      <c r="CB29" s="3">
        <v>2066</v>
      </c>
      <c r="CC29" s="3">
        <v>2067</v>
      </c>
      <c r="CD29" s="3">
        <v>2016</v>
      </c>
      <c r="CE29" s="3">
        <v>2069</v>
      </c>
      <c r="CF29" s="3">
        <v>2070</v>
      </c>
      <c r="CG29" s="3">
        <v>2071</v>
      </c>
      <c r="CH29" s="3">
        <v>2072</v>
      </c>
      <c r="CI29" s="3">
        <v>2017</v>
      </c>
      <c r="CJ29" s="3">
        <v>2074</v>
      </c>
      <c r="CK29" s="3">
        <v>2075</v>
      </c>
      <c r="CL29" s="3">
        <v>2076</v>
      </c>
      <c r="CM29" s="3">
        <v>2077</v>
      </c>
      <c r="CN29" s="3">
        <v>2018</v>
      </c>
      <c r="CO29" s="3">
        <v>2079</v>
      </c>
      <c r="CP29" s="3">
        <v>2080</v>
      </c>
      <c r="CQ29" s="3">
        <v>2081</v>
      </c>
      <c r="CR29" s="3">
        <v>2082</v>
      </c>
      <c r="CS29" s="3">
        <v>2019</v>
      </c>
      <c r="CT29" s="3">
        <v>2084</v>
      </c>
      <c r="CU29" s="3">
        <v>2085</v>
      </c>
      <c r="CV29" s="3">
        <v>2086</v>
      </c>
      <c r="CW29" s="3">
        <v>2087</v>
      </c>
      <c r="CX29" s="3">
        <v>2020</v>
      </c>
    </row>
    <row r="30" spans="1:102" x14ac:dyDescent="0.2">
      <c r="B30" s="17" t="s">
        <v>247</v>
      </c>
      <c r="G30" s="173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  <c r="AA30" s="174"/>
      <c r="AB30" s="174"/>
      <c r="AC30" s="174"/>
      <c r="AD30" s="174"/>
      <c r="AE30" s="174"/>
      <c r="AF30" s="174"/>
      <c r="AG30" s="174"/>
      <c r="AH30" s="174"/>
      <c r="AI30" s="174"/>
      <c r="AJ30" s="174"/>
      <c r="AK30" s="174"/>
      <c r="AL30" s="174"/>
      <c r="AM30" s="174"/>
      <c r="AN30" s="174"/>
      <c r="AO30" s="174"/>
      <c r="AP30" s="174"/>
      <c r="AQ30" s="174"/>
      <c r="AR30" s="174"/>
      <c r="AS30" s="174"/>
      <c r="AT30" s="174"/>
      <c r="AU30" s="174"/>
      <c r="AV30" s="174"/>
      <c r="AW30" s="174"/>
      <c r="AX30" s="174"/>
      <c r="AY30" s="174"/>
      <c r="AZ30" s="174"/>
      <c r="BA30" s="174"/>
      <c r="BB30" s="174"/>
      <c r="BC30" s="174"/>
      <c r="BD30" s="174"/>
      <c r="BE30" s="174"/>
      <c r="BF30" s="174"/>
      <c r="BG30" s="174"/>
      <c r="BH30" s="174"/>
      <c r="BI30" s="174"/>
      <c r="BJ30" s="174"/>
      <c r="BK30" s="174"/>
      <c r="BL30" s="174"/>
      <c r="BM30" s="174"/>
      <c r="BN30" s="174"/>
      <c r="BO30" s="174"/>
      <c r="BP30" s="174"/>
      <c r="BQ30" s="174"/>
      <c r="BR30" s="174"/>
      <c r="BS30" s="174"/>
      <c r="BT30" s="174"/>
      <c r="BU30" s="174"/>
      <c r="BV30" s="174"/>
      <c r="BW30" s="174"/>
      <c r="BX30" s="174"/>
      <c r="BY30" s="174"/>
      <c r="BZ30" s="174"/>
      <c r="CA30" s="174"/>
      <c r="CB30" s="174"/>
      <c r="CC30" s="174"/>
      <c r="CD30" s="174"/>
      <c r="CE30" s="174"/>
      <c r="CF30" s="174"/>
      <c r="CG30" s="174"/>
      <c r="CH30" s="174"/>
      <c r="CI30" s="174"/>
      <c r="CJ30" s="174"/>
      <c r="CK30" s="174"/>
      <c r="CL30" s="174"/>
      <c r="CM30" s="174"/>
      <c r="CN30" s="174"/>
      <c r="CO30" s="174"/>
      <c r="CP30" s="174"/>
      <c r="CQ30" s="174"/>
      <c r="CR30" s="174"/>
      <c r="CS30" s="174"/>
      <c r="CT30" s="174"/>
      <c r="CU30" s="174"/>
      <c r="CV30" s="174"/>
      <c r="CW30" s="174"/>
      <c r="CX30" s="175"/>
    </row>
    <row r="31" spans="1:102" x14ac:dyDescent="0.2">
      <c r="B31" s="17" t="s">
        <v>248</v>
      </c>
      <c r="C31" s="174"/>
      <c r="D31" s="174"/>
      <c r="E31" s="174"/>
      <c r="F31" s="174"/>
      <c r="G31" s="173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  <c r="AA31" s="174"/>
      <c r="AB31" s="174"/>
      <c r="AC31" s="174"/>
      <c r="AD31" s="174"/>
      <c r="AE31" s="174"/>
      <c r="AF31" s="174"/>
      <c r="AG31" s="174"/>
      <c r="AH31" s="174"/>
      <c r="AI31" s="174"/>
      <c r="AJ31" s="174"/>
      <c r="AK31" s="174"/>
      <c r="AL31" s="174"/>
      <c r="AM31" s="174"/>
      <c r="AN31" s="174"/>
      <c r="AO31" s="174"/>
      <c r="AP31" s="174"/>
      <c r="AQ31" s="174"/>
      <c r="AR31" s="174"/>
      <c r="AS31" s="174"/>
      <c r="AT31" s="174"/>
      <c r="AU31" s="174"/>
      <c r="AV31" s="174"/>
      <c r="AW31" s="174"/>
      <c r="AX31" s="174"/>
      <c r="AY31" s="174"/>
      <c r="AZ31" s="174"/>
      <c r="BA31" s="174"/>
      <c r="BB31" s="174"/>
      <c r="BC31" s="174"/>
      <c r="BD31" s="174"/>
      <c r="BE31" s="174"/>
      <c r="BF31" s="174"/>
      <c r="BG31" s="174"/>
      <c r="BH31" s="174"/>
      <c r="BI31" s="174"/>
      <c r="BJ31" s="174"/>
      <c r="BK31" s="174"/>
      <c r="BL31" s="174"/>
      <c r="BM31" s="174"/>
      <c r="BN31" s="174"/>
      <c r="BO31" s="174"/>
      <c r="BP31" s="174"/>
      <c r="BQ31" s="174"/>
      <c r="BR31" s="174"/>
      <c r="BS31" s="174"/>
      <c r="BT31" s="174"/>
      <c r="BU31" s="174"/>
      <c r="BV31" s="174"/>
      <c r="BW31" s="174"/>
      <c r="BX31" s="174"/>
      <c r="BY31" s="174"/>
      <c r="BZ31" s="174"/>
      <c r="CA31" s="174"/>
      <c r="CB31" s="174"/>
      <c r="CC31" s="174"/>
      <c r="CD31" s="174"/>
      <c r="CE31" s="174"/>
      <c r="CF31" s="174"/>
      <c r="CG31" s="174"/>
      <c r="CH31" s="174"/>
      <c r="CI31" s="174"/>
      <c r="CJ31" s="174"/>
      <c r="CK31" s="174"/>
      <c r="CL31" s="174"/>
      <c r="CM31" s="174"/>
      <c r="CN31" s="174"/>
      <c r="CO31" s="174"/>
      <c r="CP31" s="174"/>
      <c r="CQ31" s="174"/>
      <c r="CR31" s="174"/>
      <c r="CS31" s="174"/>
      <c r="CT31" s="174"/>
      <c r="CU31" s="174"/>
      <c r="CV31" s="174"/>
      <c r="CW31" s="174"/>
      <c r="CX31" s="175"/>
    </row>
    <row r="32" spans="1:102" x14ac:dyDescent="0.2">
      <c r="B32" s="183"/>
      <c r="C32" s="187"/>
      <c r="D32" s="187"/>
      <c r="E32" s="187"/>
      <c r="F32" s="187"/>
      <c r="G32" s="189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187"/>
      <c r="Y32" s="187"/>
      <c r="Z32" s="187"/>
      <c r="AA32" s="187"/>
      <c r="AB32" s="187"/>
      <c r="AC32" s="187"/>
      <c r="AD32" s="187"/>
      <c r="AE32" s="187"/>
      <c r="AF32" s="187"/>
      <c r="AG32" s="187"/>
      <c r="AH32" s="187"/>
      <c r="AI32" s="187"/>
      <c r="AJ32" s="187"/>
      <c r="AK32" s="187"/>
      <c r="AL32" s="187"/>
      <c r="AM32" s="187"/>
      <c r="AN32" s="187"/>
      <c r="AO32" s="187"/>
      <c r="AP32" s="187"/>
      <c r="AQ32" s="187"/>
      <c r="AR32" s="187"/>
      <c r="AS32" s="187"/>
      <c r="AT32" s="187"/>
      <c r="AU32" s="187"/>
      <c r="AV32" s="187"/>
      <c r="AW32" s="187"/>
      <c r="AX32" s="187"/>
      <c r="AY32" s="187"/>
      <c r="AZ32" s="187"/>
      <c r="BA32" s="187"/>
      <c r="BB32" s="187"/>
      <c r="BC32" s="187"/>
      <c r="BD32" s="187"/>
      <c r="BE32" s="187"/>
      <c r="BF32" s="187"/>
      <c r="BG32" s="187"/>
      <c r="BH32" s="187"/>
      <c r="BI32" s="187"/>
      <c r="BJ32" s="187"/>
      <c r="BK32" s="187"/>
      <c r="BL32" s="187"/>
      <c r="BM32" s="187"/>
      <c r="BN32" s="187"/>
      <c r="BO32" s="187"/>
      <c r="BP32" s="187"/>
      <c r="BQ32" s="187"/>
      <c r="BR32" s="187"/>
      <c r="BS32" s="187"/>
      <c r="BT32" s="187"/>
      <c r="BU32" s="187"/>
      <c r="BV32" s="187"/>
      <c r="BW32" s="187"/>
      <c r="BX32" s="187"/>
      <c r="BY32" s="187"/>
      <c r="BZ32" s="187"/>
      <c r="CA32" s="187"/>
      <c r="CB32" s="187"/>
      <c r="CC32" s="187"/>
      <c r="CD32" s="187"/>
      <c r="CE32" s="187"/>
      <c r="CF32" s="187"/>
      <c r="CG32" s="187"/>
      <c r="CH32" s="187"/>
      <c r="CI32" s="187"/>
      <c r="CJ32" s="187"/>
      <c r="CK32" s="187"/>
      <c r="CL32" s="187"/>
      <c r="CM32" s="187"/>
      <c r="CN32" s="187"/>
      <c r="CO32" s="187"/>
      <c r="CP32" s="187"/>
      <c r="CQ32" s="187"/>
      <c r="CR32" s="187"/>
      <c r="CS32" s="187"/>
      <c r="CT32" s="187"/>
      <c r="CU32" s="187"/>
      <c r="CV32" s="187"/>
      <c r="CW32" s="187"/>
      <c r="CX32" s="188"/>
    </row>
    <row r="33" spans="2:102" x14ac:dyDescent="0.2">
      <c r="B33" s="171" t="s">
        <v>249</v>
      </c>
      <c r="G33" s="168"/>
      <c r="CD33" s="178">
        <v>635366</v>
      </c>
      <c r="CI33" s="178">
        <v>751134</v>
      </c>
      <c r="CN33" s="178">
        <v>873827</v>
      </c>
      <c r="CS33" s="178">
        <v>929496</v>
      </c>
      <c r="CX33" s="169"/>
    </row>
    <row r="34" spans="2:102" x14ac:dyDescent="0.2">
      <c r="B34" s="171" t="s">
        <v>250</v>
      </c>
      <c r="G34" s="168"/>
      <c r="CD34" s="178">
        <v>15600</v>
      </c>
      <c r="CI34" s="178">
        <v>24346</v>
      </c>
      <c r="CN34" s="178">
        <v>26896</v>
      </c>
      <c r="CS34" s="178">
        <v>27427</v>
      </c>
      <c r="CX34" s="169"/>
    </row>
    <row r="35" spans="2:102" x14ac:dyDescent="0.2">
      <c r="B35" s="171" t="s">
        <v>251</v>
      </c>
      <c r="G35" s="168"/>
      <c r="CD35" s="178">
        <v>43500</v>
      </c>
      <c r="CI35" s="178">
        <v>27273</v>
      </c>
      <c r="CN35" s="178">
        <v>22579</v>
      </c>
      <c r="CS35" s="178">
        <v>22614</v>
      </c>
      <c r="CX35" s="169"/>
    </row>
    <row r="36" spans="2:102" x14ac:dyDescent="0.2">
      <c r="B36" s="171" t="s">
        <v>252</v>
      </c>
      <c r="G36" s="168"/>
      <c r="CD36" s="178">
        <v>64508</v>
      </c>
      <c r="CI36" s="178">
        <v>13606</v>
      </c>
      <c r="CN36" s="178">
        <v>9866</v>
      </c>
      <c r="CS36" s="178">
        <v>10713</v>
      </c>
      <c r="CX36" s="169"/>
    </row>
    <row r="37" spans="2:102" x14ac:dyDescent="0.2">
      <c r="B37" s="171" t="s">
        <v>253</v>
      </c>
      <c r="G37" s="168"/>
      <c r="CD37" s="178">
        <v>12461</v>
      </c>
      <c r="CI37" s="178">
        <v>14119</v>
      </c>
      <c r="CN37" s="178">
        <v>13127</v>
      </c>
      <c r="CS37" s="178">
        <v>18128</v>
      </c>
      <c r="CX37" s="169"/>
    </row>
    <row r="38" spans="2:102" x14ac:dyDescent="0.2">
      <c r="B38" s="171" t="s">
        <v>254</v>
      </c>
      <c r="G38" s="168"/>
      <c r="CD38" s="178">
        <v>17464</v>
      </c>
      <c r="CI38" s="178">
        <v>18872</v>
      </c>
      <c r="CN38" s="178">
        <v>17214</v>
      </c>
      <c r="CS38" s="178">
        <v>18855</v>
      </c>
      <c r="CX38" s="169"/>
    </row>
    <row r="39" spans="2:102" x14ac:dyDescent="0.2">
      <c r="B39" s="171"/>
      <c r="G39" s="168"/>
      <c r="CX39" s="169"/>
    </row>
    <row r="40" spans="2:102" x14ac:dyDescent="0.2">
      <c r="B40" s="3" t="s">
        <v>255</v>
      </c>
      <c r="C40" s="170"/>
      <c r="D40" s="12"/>
      <c r="E40" s="12"/>
      <c r="F40" s="167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76">
        <f>SUM(CD33:CD38)</f>
        <v>788899</v>
      </c>
      <c r="CE40" s="176">
        <f t="shared" ref="CE40:CS40" si="3">SUM(CE33:CE38)</f>
        <v>0</v>
      </c>
      <c r="CF40" s="176">
        <f t="shared" si="3"/>
        <v>0</v>
      </c>
      <c r="CG40" s="176">
        <f t="shared" si="3"/>
        <v>0</v>
      </c>
      <c r="CH40" s="176">
        <f t="shared" si="3"/>
        <v>0</v>
      </c>
      <c r="CI40" s="176">
        <f t="shared" si="3"/>
        <v>849350</v>
      </c>
      <c r="CJ40" s="176">
        <f t="shared" si="3"/>
        <v>0</v>
      </c>
      <c r="CK40" s="176">
        <f t="shared" si="3"/>
        <v>0</v>
      </c>
      <c r="CL40" s="176">
        <f t="shared" si="3"/>
        <v>0</v>
      </c>
      <c r="CM40" s="176">
        <f t="shared" si="3"/>
        <v>0</v>
      </c>
      <c r="CN40" s="176">
        <f t="shared" si="3"/>
        <v>963509</v>
      </c>
      <c r="CO40" s="176">
        <f t="shared" si="3"/>
        <v>0</v>
      </c>
      <c r="CP40" s="176">
        <f t="shared" si="3"/>
        <v>0</v>
      </c>
      <c r="CQ40" s="176">
        <f t="shared" si="3"/>
        <v>0</v>
      </c>
      <c r="CR40" s="176">
        <f t="shared" si="3"/>
        <v>0</v>
      </c>
      <c r="CS40" s="176">
        <f t="shared" si="3"/>
        <v>1027233</v>
      </c>
      <c r="CT40" s="12"/>
      <c r="CU40" s="12"/>
      <c r="CV40" s="12"/>
      <c r="CW40" s="12"/>
      <c r="CX40" s="12"/>
    </row>
    <row r="41" spans="2:102" x14ac:dyDescent="0.2">
      <c r="B41" s="13"/>
      <c r="C41" s="174"/>
      <c r="D41" s="174"/>
      <c r="E41" s="174"/>
      <c r="F41" s="174"/>
      <c r="G41" s="173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  <c r="AA41" s="174"/>
      <c r="AB41" s="174"/>
      <c r="AC41" s="174"/>
      <c r="AD41" s="174"/>
      <c r="AE41" s="174"/>
      <c r="AF41" s="174"/>
      <c r="AG41" s="174"/>
      <c r="AH41" s="174"/>
      <c r="AI41" s="174"/>
      <c r="AJ41" s="174"/>
      <c r="AK41" s="174"/>
      <c r="AL41" s="174"/>
      <c r="AM41" s="174"/>
      <c r="AN41" s="174"/>
      <c r="AO41" s="174"/>
      <c r="AP41" s="174"/>
      <c r="AQ41" s="174"/>
      <c r="AR41" s="174"/>
      <c r="AS41" s="174"/>
      <c r="AT41" s="174"/>
      <c r="AU41" s="174"/>
      <c r="AV41" s="174"/>
      <c r="AW41" s="174"/>
      <c r="AX41" s="174"/>
      <c r="AY41" s="174"/>
      <c r="AZ41" s="174"/>
      <c r="BA41" s="174"/>
      <c r="BB41" s="174"/>
      <c r="BC41" s="174"/>
      <c r="BD41" s="174"/>
      <c r="BE41" s="174"/>
      <c r="BF41" s="174"/>
      <c r="BG41" s="174"/>
      <c r="BH41" s="174"/>
      <c r="BI41" s="174"/>
      <c r="BJ41" s="174"/>
      <c r="BK41" s="174"/>
      <c r="BL41" s="174"/>
      <c r="BM41" s="174"/>
      <c r="BN41" s="174"/>
      <c r="BO41" s="174"/>
      <c r="BP41" s="174"/>
      <c r="BQ41" s="174"/>
      <c r="BR41" s="174"/>
      <c r="BS41" s="174"/>
      <c r="BT41" s="174"/>
      <c r="BU41" s="174"/>
      <c r="BV41" s="174"/>
      <c r="BW41" s="174"/>
      <c r="BX41" s="174"/>
      <c r="BY41" s="174"/>
      <c r="BZ41" s="174"/>
      <c r="CA41" s="174"/>
      <c r="CB41" s="174"/>
      <c r="CC41" s="174"/>
      <c r="CD41" s="174"/>
      <c r="CE41" s="174"/>
      <c r="CF41" s="174"/>
      <c r="CG41" s="174"/>
      <c r="CH41" s="174"/>
      <c r="CI41" s="174"/>
      <c r="CJ41" s="174"/>
      <c r="CK41" s="174"/>
      <c r="CL41" s="174"/>
      <c r="CM41" s="174"/>
      <c r="CN41" s="174"/>
      <c r="CO41" s="174"/>
      <c r="CP41" s="174"/>
      <c r="CQ41" s="174"/>
      <c r="CR41" s="174"/>
      <c r="CS41" s="174"/>
      <c r="CT41" s="174"/>
      <c r="CU41" s="174"/>
      <c r="CV41" s="174"/>
      <c r="CW41" s="174"/>
      <c r="CX41" s="175"/>
    </row>
    <row r="42" spans="2:102" x14ac:dyDescent="0.2">
      <c r="B42" s="172" t="s">
        <v>256</v>
      </c>
      <c r="G42" s="168"/>
      <c r="CX42" s="169"/>
    </row>
    <row r="43" spans="2:102" x14ac:dyDescent="0.2">
      <c r="B43" s="183"/>
      <c r="C43" s="187"/>
      <c r="D43" s="187"/>
      <c r="E43" s="187"/>
      <c r="F43" s="187"/>
      <c r="G43" s="189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  <c r="X43" s="187"/>
      <c r="Y43" s="187"/>
      <c r="Z43" s="187"/>
      <c r="AA43" s="187"/>
      <c r="AB43" s="187"/>
      <c r="AC43" s="187"/>
      <c r="AD43" s="187"/>
      <c r="AE43" s="187"/>
      <c r="AF43" s="187"/>
      <c r="AG43" s="187"/>
      <c r="AH43" s="187"/>
      <c r="AI43" s="187"/>
      <c r="AJ43" s="187"/>
      <c r="AK43" s="187"/>
      <c r="AL43" s="187"/>
      <c r="AM43" s="187"/>
      <c r="AN43" s="187"/>
      <c r="AO43" s="187"/>
      <c r="AP43" s="187"/>
      <c r="AQ43" s="187"/>
      <c r="AR43" s="187"/>
      <c r="AS43" s="187"/>
      <c r="AT43" s="187"/>
      <c r="AU43" s="187"/>
      <c r="AV43" s="187"/>
      <c r="AW43" s="187"/>
      <c r="AX43" s="187"/>
      <c r="AY43" s="187"/>
      <c r="AZ43" s="187"/>
      <c r="BA43" s="187"/>
      <c r="BB43" s="187"/>
      <c r="BC43" s="187"/>
      <c r="BD43" s="187"/>
      <c r="BE43" s="187"/>
      <c r="BF43" s="187"/>
      <c r="BG43" s="187"/>
      <c r="BH43" s="187"/>
      <c r="BI43" s="187"/>
      <c r="BJ43" s="187"/>
      <c r="BK43" s="187"/>
      <c r="BL43" s="187"/>
      <c r="BM43" s="187"/>
      <c r="BN43" s="187"/>
      <c r="BO43" s="187"/>
      <c r="BP43" s="187"/>
      <c r="BQ43" s="187"/>
      <c r="BR43" s="187"/>
      <c r="BS43" s="187"/>
      <c r="BT43" s="187"/>
      <c r="BU43" s="187"/>
      <c r="BV43" s="187"/>
      <c r="BW43" s="187"/>
      <c r="BX43" s="187"/>
      <c r="BY43" s="187"/>
      <c r="BZ43" s="187"/>
      <c r="CA43" s="187"/>
      <c r="CB43" s="187"/>
      <c r="CC43" s="187"/>
      <c r="CD43" s="187"/>
      <c r="CE43" s="187"/>
      <c r="CF43" s="187"/>
      <c r="CG43" s="187"/>
      <c r="CH43" s="187"/>
      <c r="CI43" s="187"/>
      <c r="CJ43" s="187"/>
      <c r="CK43" s="187"/>
      <c r="CL43" s="187"/>
      <c r="CM43" s="187"/>
      <c r="CN43" s="187"/>
      <c r="CO43" s="187"/>
      <c r="CP43" s="187"/>
      <c r="CQ43" s="187"/>
      <c r="CR43" s="187"/>
      <c r="CS43" s="187"/>
      <c r="CT43" s="187"/>
      <c r="CU43" s="187"/>
      <c r="CV43" s="187"/>
      <c r="CW43" s="187"/>
      <c r="CX43" s="188"/>
    </row>
    <row r="44" spans="2:102" x14ac:dyDescent="0.2">
      <c r="B44" s="171" t="s">
        <v>50</v>
      </c>
      <c r="G44" s="168"/>
      <c r="CD44" s="178">
        <v>21056</v>
      </c>
      <c r="CI44" s="178">
        <v>34013</v>
      </c>
      <c r="CN44" s="178">
        <v>43580</v>
      </c>
      <c r="CS44" s="178">
        <v>45164</v>
      </c>
      <c r="CX44" s="169"/>
    </row>
    <row r="45" spans="2:102" x14ac:dyDescent="0.2">
      <c r="B45" s="171" t="s">
        <v>257</v>
      </c>
      <c r="G45" s="168"/>
      <c r="CD45" s="178">
        <v>65258</v>
      </c>
      <c r="CI45" s="178">
        <v>86892</v>
      </c>
      <c r="CN45" s="178">
        <v>93818</v>
      </c>
      <c r="CS45" s="178">
        <v>100178</v>
      </c>
      <c r="CX45" s="169"/>
    </row>
    <row r="46" spans="2:102" x14ac:dyDescent="0.2">
      <c r="B46" s="171" t="s">
        <v>258</v>
      </c>
      <c r="G46" s="168"/>
      <c r="CD46" s="177" t="s">
        <v>234</v>
      </c>
      <c r="CI46" s="178">
        <v>38991</v>
      </c>
      <c r="CN46" s="178">
        <v>48140</v>
      </c>
      <c r="CS46" s="178">
        <v>46715</v>
      </c>
      <c r="CX46" s="169"/>
    </row>
    <row r="47" spans="2:102" x14ac:dyDescent="0.2">
      <c r="B47" s="171" t="s">
        <v>259</v>
      </c>
      <c r="G47" s="168"/>
      <c r="CD47" s="178">
        <v>4879</v>
      </c>
      <c r="CI47" s="178">
        <v>5881</v>
      </c>
      <c r="CN47" s="178">
        <v>13775</v>
      </c>
      <c r="CS47" s="178">
        <v>11464</v>
      </c>
      <c r="CX47" s="169"/>
    </row>
    <row r="48" spans="2:102" x14ac:dyDescent="0.2">
      <c r="B48" s="171" t="s">
        <v>260</v>
      </c>
      <c r="G48" s="168"/>
      <c r="CD48" s="178">
        <v>12536</v>
      </c>
      <c r="CI48" s="178">
        <v>6184</v>
      </c>
      <c r="CN48" s="178">
        <v>194</v>
      </c>
      <c r="CS48" s="178">
        <v>45452</v>
      </c>
      <c r="CX48" s="169"/>
    </row>
    <row r="49" spans="2:102" x14ac:dyDescent="0.2">
      <c r="B49" s="171" t="s">
        <v>261</v>
      </c>
      <c r="G49" s="168"/>
      <c r="CD49" s="178">
        <v>48075</v>
      </c>
      <c r="CI49" s="178">
        <v>81242</v>
      </c>
      <c r="CN49" s="178">
        <v>183152</v>
      </c>
      <c r="CS49" s="178">
        <v>148225</v>
      </c>
      <c r="CX49" s="169"/>
    </row>
    <row r="50" spans="2:102" x14ac:dyDescent="0.2">
      <c r="B50" s="171"/>
      <c r="G50" s="168"/>
      <c r="CX50" s="169"/>
    </row>
    <row r="51" spans="2:102" x14ac:dyDescent="0.2">
      <c r="B51" s="3" t="s">
        <v>262</v>
      </c>
      <c r="C51" s="170"/>
      <c r="D51" s="12"/>
      <c r="E51" s="12"/>
      <c r="F51" s="167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76">
        <f>SUM(CD44:CD49)</f>
        <v>151804</v>
      </c>
      <c r="CE51" s="176">
        <f t="shared" ref="CE51:CS51" si="4">SUM(CE44:CE49)</f>
        <v>0</v>
      </c>
      <c r="CF51" s="176">
        <f t="shared" si="4"/>
        <v>0</v>
      </c>
      <c r="CG51" s="176">
        <f t="shared" si="4"/>
        <v>0</v>
      </c>
      <c r="CH51" s="176">
        <f t="shared" si="4"/>
        <v>0</v>
      </c>
      <c r="CI51" s="176">
        <f t="shared" si="4"/>
        <v>253203</v>
      </c>
      <c r="CJ51" s="176">
        <f t="shared" si="4"/>
        <v>0</v>
      </c>
      <c r="CK51" s="176">
        <f t="shared" si="4"/>
        <v>0</v>
      </c>
      <c r="CL51" s="176">
        <f t="shared" si="4"/>
        <v>0</v>
      </c>
      <c r="CM51" s="176">
        <f t="shared" si="4"/>
        <v>0</v>
      </c>
      <c r="CN51" s="176">
        <f t="shared" si="4"/>
        <v>382659</v>
      </c>
      <c r="CO51" s="176">
        <f t="shared" si="4"/>
        <v>0</v>
      </c>
      <c r="CP51" s="176">
        <f t="shared" si="4"/>
        <v>0</v>
      </c>
      <c r="CQ51" s="176">
        <f t="shared" si="4"/>
        <v>0</v>
      </c>
      <c r="CR51" s="176">
        <f t="shared" si="4"/>
        <v>0</v>
      </c>
      <c r="CS51" s="176">
        <f t="shared" si="4"/>
        <v>397198</v>
      </c>
      <c r="CT51" s="12"/>
      <c r="CU51" s="12"/>
      <c r="CV51" s="12"/>
      <c r="CW51" s="12"/>
      <c r="CX51" s="12"/>
    </row>
    <row r="52" spans="2:102" x14ac:dyDescent="0.2">
      <c r="B52" s="171"/>
      <c r="G52" s="168"/>
      <c r="CX52" s="169"/>
    </row>
    <row r="53" spans="2:102" x14ac:dyDescent="0.2">
      <c r="B53" s="3" t="s">
        <v>263</v>
      </c>
      <c r="C53" s="170"/>
      <c r="D53" s="12"/>
      <c r="E53" s="12"/>
      <c r="F53" s="167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79">
        <f>CD40+CD51</f>
        <v>940703</v>
      </c>
      <c r="CE53" s="179">
        <f t="shared" ref="CE53:CS53" si="5">CE40+CE51</f>
        <v>0</v>
      </c>
      <c r="CF53" s="179">
        <f t="shared" si="5"/>
        <v>0</v>
      </c>
      <c r="CG53" s="179">
        <f t="shared" si="5"/>
        <v>0</v>
      </c>
      <c r="CH53" s="179">
        <f t="shared" si="5"/>
        <v>0</v>
      </c>
      <c r="CI53" s="179">
        <f t="shared" si="5"/>
        <v>1102553</v>
      </c>
      <c r="CJ53" s="179">
        <f t="shared" si="5"/>
        <v>0</v>
      </c>
      <c r="CK53" s="179">
        <f t="shared" si="5"/>
        <v>0</v>
      </c>
      <c r="CL53" s="179">
        <f t="shared" si="5"/>
        <v>0</v>
      </c>
      <c r="CM53" s="179">
        <f t="shared" si="5"/>
        <v>0</v>
      </c>
      <c r="CN53" s="179">
        <f t="shared" si="5"/>
        <v>1346168</v>
      </c>
      <c r="CO53" s="179">
        <f t="shared" si="5"/>
        <v>0</v>
      </c>
      <c r="CP53" s="179">
        <f t="shared" si="5"/>
        <v>0</v>
      </c>
      <c r="CQ53" s="179">
        <f t="shared" si="5"/>
        <v>0</v>
      </c>
      <c r="CR53" s="179">
        <f t="shared" si="5"/>
        <v>0</v>
      </c>
      <c r="CS53" s="179">
        <f t="shared" si="5"/>
        <v>1424431</v>
      </c>
      <c r="CT53" s="12"/>
      <c r="CU53" s="12"/>
      <c r="CV53" s="12"/>
      <c r="CW53" s="12"/>
      <c r="CX53" s="12"/>
    </row>
    <row r="54" spans="2:102" x14ac:dyDescent="0.2">
      <c r="B54" s="13"/>
      <c r="C54" s="174"/>
      <c r="D54" s="174"/>
      <c r="E54" s="174"/>
      <c r="F54" s="174"/>
      <c r="G54" s="173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4"/>
      <c r="AT54" s="174"/>
      <c r="AU54" s="174"/>
      <c r="AV54" s="174"/>
      <c r="AW54" s="174"/>
      <c r="AX54" s="174"/>
      <c r="AY54" s="174"/>
      <c r="AZ54" s="174"/>
      <c r="BA54" s="174"/>
      <c r="BB54" s="174"/>
      <c r="BC54" s="174"/>
      <c r="BD54" s="174"/>
      <c r="BE54" s="174"/>
      <c r="BF54" s="174"/>
      <c r="BG54" s="174"/>
      <c r="BH54" s="174"/>
      <c r="BI54" s="174"/>
      <c r="BJ54" s="174"/>
      <c r="BK54" s="174"/>
      <c r="BL54" s="174"/>
      <c r="BM54" s="174"/>
      <c r="BN54" s="174"/>
      <c r="BO54" s="174"/>
      <c r="BP54" s="174"/>
      <c r="BQ54" s="174"/>
      <c r="BR54" s="174"/>
      <c r="BS54" s="174"/>
      <c r="BT54" s="174"/>
      <c r="BU54" s="174"/>
      <c r="BV54" s="174"/>
      <c r="BW54" s="174"/>
      <c r="BX54" s="174"/>
      <c r="BY54" s="174"/>
      <c r="BZ54" s="174"/>
      <c r="CA54" s="174"/>
      <c r="CB54" s="174"/>
      <c r="CC54" s="174"/>
      <c r="CD54" s="174"/>
      <c r="CE54" s="174"/>
      <c r="CF54" s="174"/>
      <c r="CG54" s="174"/>
      <c r="CH54" s="174"/>
      <c r="CI54" s="174"/>
      <c r="CJ54" s="174"/>
      <c r="CK54" s="174"/>
      <c r="CL54" s="174"/>
      <c r="CM54" s="174"/>
      <c r="CN54" s="174"/>
      <c r="CO54" s="174"/>
      <c r="CP54" s="174"/>
      <c r="CQ54" s="174"/>
      <c r="CR54" s="174"/>
      <c r="CS54" s="174"/>
      <c r="CT54" s="174"/>
      <c r="CU54" s="174"/>
      <c r="CV54" s="174"/>
      <c r="CW54" s="174"/>
      <c r="CX54" s="175"/>
    </row>
    <row r="55" spans="2:102" x14ac:dyDescent="0.2">
      <c r="B55" s="190" t="s">
        <v>264</v>
      </c>
      <c r="C55" s="187"/>
      <c r="D55" s="187"/>
      <c r="E55" s="187"/>
      <c r="F55" s="187"/>
      <c r="G55" s="189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  <c r="X55" s="187"/>
      <c r="Y55" s="187"/>
      <c r="Z55" s="187"/>
      <c r="AA55" s="187"/>
      <c r="AB55" s="187"/>
      <c r="AC55" s="187"/>
      <c r="AD55" s="187"/>
      <c r="AE55" s="187"/>
      <c r="AF55" s="187"/>
      <c r="AG55" s="187"/>
      <c r="AH55" s="187"/>
      <c r="AI55" s="187"/>
      <c r="AJ55" s="187"/>
      <c r="AK55" s="187"/>
      <c r="AL55" s="187"/>
      <c r="AM55" s="187"/>
      <c r="AN55" s="187"/>
      <c r="AO55" s="187"/>
      <c r="AP55" s="187"/>
      <c r="AQ55" s="187"/>
      <c r="AR55" s="187"/>
      <c r="AS55" s="187"/>
      <c r="AT55" s="187"/>
      <c r="AU55" s="187"/>
      <c r="AV55" s="187"/>
      <c r="AW55" s="187"/>
      <c r="AX55" s="187"/>
      <c r="AY55" s="187"/>
      <c r="AZ55" s="187"/>
      <c r="BA55" s="187"/>
      <c r="BB55" s="187"/>
      <c r="BC55" s="187"/>
      <c r="BD55" s="187"/>
      <c r="BE55" s="187"/>
      <c r="BF55" s="187"/>
      <c r="BG55" s="187"/>
      <c r="BH55" s="187"/>
      <c r="BI55" s="187"/>
      <c r="BJ55" s="187"/>
      <c r="BK55" s="187"/>
      <c r="BL55" s="187"/>
      <c r="BM55" s="187"/>
      <c r="BN55" s="187"/>
      <c r="BO55" s="187"/>
      <c r="BP55" s="187"/>
      <c r="BQ55" s="187"/>
      <c r="BR55" s="187"/>
      <c r="BS55" s="187"/>
      <c r="BT55" s="187"/>
      <c r="BU55" s="187"/>
      <c r="BV55" s="187"/>
      <c r="BW55" s="187"/>
      <c r="BX55" s="187"/>
      <c r="BY55" s="187"/>
      <c r="BZ55" s="187"/>
      <c r="CA55" s="187"/>
      <c r="CB55" s="187"/>
      <c r="CC55" s="187"/>
      <c r="CD55" s="187"/>
      <c r="CE55" s="187"/>
      <c r="CF55" s="187"/>
      <c r="CG55" s="187"/>
      <c r="CH55" s="187"/>
      <c r="CI55" s="187"/>
      <c r="CJ55" s="187"/>
      <c r="CK55" s="187"/>
      <c r="CL55" s="187"/>
      <c r="CM55" s="187"/>
      <c r="CN55" s="187"/>
      <c r="CO55" s="187"/>
      <c r="CP55" s="187"/>
      <c r="CQ55" s="187"/>
      <c r="CR55" s="187"/>
      <c r="CS55" s="187"/>
      <c r="CT55" s="187"/>
      <c r="CU55" s="187"/>
      <c r="CV55" s="187"/>
      <c r="CW55" s="187"/>
      <c r="CX55" s="188"/>
    </row>
    <row r="56" spans="2:102" x14ac:dyDescent="0.2">
      <c r="B56" s="172" t="s">
        <v>265</v>
      </c>
      <c r="G56" s="168"/>
      <c r="CX56" s="169"/>
    </row>
    <row r="57" spans="2:102" x14ac:dyDescent="0.2">
      <c r="B57" s="183"/>
      <c r="C57" s="187"/>
      <c r="D57" s="187"/>
      <c r="E57" s="187"/>
      <c r="F57" s="187"/>
      <c r="G57" s="189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  <c r="X57" s="187"/>
      <c r="Y57" s="187"/>
      <c r="Z57" s="187"/>
      <c r="AA57" s="187"/>
      <c r="AB57" s="187"/>
      <c r="AC57" s="187"/>
      <c r="AD57" s="187"/>
      <c r="AE57" s="187"/>
      <c r="AF57" s="187"/>
      <c r="AG57" s="187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187"/>
      <c r="AT57" s="187"/>
      <c r="AU57" s="187"/>
      <c r="AV57" s="187"/>
      <c r="AW57" s="187"/>
      <c r="AX57" s="187"/>
      <c r="AY57" s="187"/>
      <c r="AZ57" s="187"/>
      <c r="BA57" s="187"/>
      <c r="BB57" s="187"/>
      <c r="BC57" s="187"/>
      <c r="BD57" s="187"/>
      <c r="BE57" s="187"/>
      <c r="BF57" s="187"/>
      <c r="BG57" s="187"/>
      <c r="BH57" s="187"/>
      <c r="BI57" s="187"/>
      <c r="BJ57" s="187"/>
      <c r="BK57" s="187"/>
      <c r="BL57" s="187"/>
      <c r="BM57" s="187"/>
      <c r="BN57" s="187"/>
      <c r="BO57" s="187"/>
      <c r="BP57" s="187"/>
      <c r="BQ57" s="187"/>
      <c r="BR57" s="187"/>
      <c r="BS57" s="187"/>
      <c r="BT57" s="187"/>
      <c r="BU57" s="187"/>
      <c r="BV57" s="187"/>
      <c r="BW57" s="187"/>
      <c r="BX57" s="187"/>
      <c r="BY57" s="187"/>
      <c r="BZ57" s="187"/>
      <c r="CA57" s="187"/>
      <c r="CB57" s="187"/>
      <c r="CC57" s="187"/>
      <c r="CD57" s="187"/>
      <c r="CE57" s="187"/>
      <c r="CF57" s="187"/>
      <c r="CG57" s="187"/>
      <c r="CH57" s="187"/>
      <c r="CI57" s="187"/>
      <c r="CJ57" s="187"/>
      <c r="CK57" s="187"/>
      <c r="CL57" s="187"/>
      <c r="CM57" s="187"/>
      <c r="CN57" s="187"/>
      <c r="CO57" s="187"/>
      <c r="CP57" s="187"/>
      <c r="CQ57" s="187"/>
      <c r="CR57" s="187"/>
      <c r="CS57" s="187"/>
      <c r="CT57" s="187"/>
      <c r="CU57" s="187"/>
      <c r="CV57" s="187"/>
      <c r="CW57" s="187"/>
      <c r="CX57" s="188"/>
    </row>
    <row r="58" spans="2:102" x14ac:dyDescent="0.2">
      <c r="B58" s="171" t="s">
        <v>266</v>
      </c>
      <c r="G58" s="168"/>
      <c r="CD58" s="177" t="s">
        <v>234</v>
      </c>
      <c r="CI58" s="177" t="s">
        <v>234</v>
      </c>
      <c r="CN58" s="178">
        <v>60000</v>
      </c>
      <c r="CS58" s="178">
        <v>60000</v>
      </c>
      <c r="CX58" s="169"/>
    </row>
    <row r="59" spans="2:102" x14ac:dyDescent="0.2">
      <c r="B59" s="171" t="s">
        <v>267</v>
      </c>
      <c r="G59" s="168"/>
      <c r="CD59" s="178">
        <v>60000</v>
      </c>
      <c r="CI59" s="178">
        <v>60000</v>
      </c>
      <c r="CN59" s="177" t="s">
        <v>234</v>
      </c>
      <c r="CS59" s="177" t="s">
        <v>234</v>
      </c>
      <c r="CX59" s="169"/>
    </row>
    <row r="60" spans="2:102" x14ac:dyDescent="0.2">
      <c r="B60" s="171" t="s">
        <v>268</v>
      </c>
      <c r="G60" s="168"/>
      <c r="CD60" s="178">
        <v>26981</v>
      </c>
      <c r="CI60" s="178">
        <v>26981</v>
      </c>
      <c r="CN60" s="178">
        <v>26981</v>
      </c>
      <c r="CS60" s="178">
        <v>26981</v>
      </c>
      <c r="CX60" s="169"/>
    </row>
    <row r="61" spans="2:102" x14ac:dyDescent="0.2">
      <c r="B61" s="171" t="s">
        <v>269</v>
      </c>
      <c r="G61" s="168"/>
      <c r="CX61" s="169"/>
    </row>
    <row r="62" spans="2:102" x14ac:dyDescent="0.2">
      <c r="B62" s="171" t="s">
        <v>270</v>
      </c>
      <c r="G62" s="168"/>
      <c r="CD62" s="178">
        <v>631481</v>
      </c>
      <c r="CI62" s="178">
        <v>715107</v>
      </c>
      <c r="CN62" s="178">
        <v>920625</v>
      </c>
      <c r="CS62" s="178">
        <v>918011</v>
      </c>
      <c r="CX62" s="169"/>
    </row>
    <row r="63" spans="2:102" x14ac:dyDescent="0.2">
      <c r="B63" s="171" t="s">
        <v>271</v>
      </c>
      <c r="G63" s="168"/>
      <c r="CD63" s="178">
        <v>6000</v>
      </c>
      <c r="CI63" s="178">
        <v>6000</v>
      </c>
      <c r="CN63" s="178">
        <v>6000</v>
      </c>
      <c r="CS63" s="178">
        <v>6000</v>
      </c>
      <c r="CX63" s="169"/>
    </row>
    <row r="64" spans="2:102" x14ac:dyDescent="0.2">
      <c r="B64" s="171" t="s">
        <v>272</v>
      </c>
      <c r="G64" s="168"/>
      <c r="CD64" s="178">
        <v>128</v>
      </c>
      <c r="CI64" s="178">
        <v>5670</v>
      </c>
      <c r="CN64" s="178">
        <v>3176</v>
      </c>
      <c r="CS64" s="178">
        <v>1959</v>
      </c>
      <c r="CX64" s="169"/>
    </row>
    <row r="65" spans="2:102" x14ac:dyDescent="0.2">
      <c r="B65" s="171"/>
      <c r="G65" s="168"/>
      <c r="CX65" s="169"/>
    </row>
    <row r="66" spans="2:102" x14ac:dyDescent="0.2">
      <c r="B66" s="3" t="s">
        <v>273</v>
      </c>
      <c r="C66" s="170"/>
      <c r="D66" s="12"/>
      <c r="E66" s="12"/>
      <c r="F66" s="167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>
        <f>SUM(CD58:CD64)</f>
        <v>724590</v>
      </c>
      <c r="CE66" s="12">
        <f t="shared" ref="CE66:CS66" si="6">SUM(CE58:CE64)</f>
        <v>0</v>
      </c>
      <c r="CF66" s="12">
        <f t="shared" si="6"/>
        <v>0</v>
      </c>
      <c r="CG66" s="12">
        <f t="shared" si="6"/>
        <v>0</v>
      </c>
      <c r="CH66" s="12">
        <f t="shared" si="6"/>
        <v>0</v>
      </c>
      <c r="CI66" s="12">
        <f t="shared" si="6"/>
        <v>813758</v>
      </c>
      <c r="CJ66" s="12">
        <f t="shared" si="6"/>
        <v>0</v>
      </c>
      <c r="CK66" s="12">
        <f t="shared" si="6"/>
        <v>0</v>
      </c>
      <c r="CL66" s="12">
        <f t="shared" si="6"/>
        <v>0</v>
      </c>
      <c r="CM66" s="12">
        <f t="shared" si="6"/>
        <v>0</v>
      </c>
      <c r="CN66" s="12">
        <f t="shared" si="6"/>
        <v>1016782</v>
      </c>
      <c r="CO66" s="12">
        <f t="shared" si="6"/>
        <v>0</v>
      </c>
      <c r="CP66" s="12">
        <f t="shared" si="6"/>
        <v>0</v>
      </c>
      <c r="CQ66" s="12">
        <f t="shared" si="6"/>
        <v>0</v>
      </c>
      <c r="CR66" s="12">
        <f t="shared" si="6"/>
        <v>0</v>
      </c>
      <c r="CS66" s="12">
        <f t="shared" si="6"/>
        <v>1012951</v>
      </c>
      <c r="CT66" s="12"/>
      <c r="CU66" s="12"/>
      <c r="CV66" s="12"/>
      <c r="CW66" s="12"/>
      <c r="CX66" s="12"/>
    </row>
    <row r="67" spans="2:102" x14ac:dyDescent="0.2">
      <c r="B67" s="171"/>
      <c r="G67" s="168"/>
      <c r="CX67" s="169"/>
    </row>
    <row r="68" spans="2:102" x14ac:dyDescent="0.2">
      <c r="B68" s="3" t="s">
        <v>274</v>
      </c>
      <c r="C68" s="170"/>
      <c r="D68" s="12"/>
      <c r="E68" s="12"/>
      <c r="F68" s="167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76">
        <v>10756</v>
      </c>
      <c r="CE68" s="12"/>
      <c r="CF68" s="12"/>
      <c r="CG68" s="12"/>
      <c r="CH68" s="12"/>
      <c r="CI68" s="176">
        <v>12556</v>
      </c>
      <c r="CJ68" s="12"/>
      <c r="CK68" s="12"/>
      <c r="CL68" s="12"/>
      <c r="CM68" s="12"/>
      <c r="CN68" s="176">
        <v>11653</v>
      </c>
      <c r="CO68" s="12"/>
      <c r="CP68" s="12"/>
      <c r="CQ68" s="12"/>
      <c r="CR68" s="12"/>
      <c r="CS68" s="176">
        <v>11176</v>
      </c>
      <c r="CT68" s="12"/>
      <c r="CU68" s="12"/>
      <c r="CV68" s="12"/>
      <c r="CW68" s="12"/>
      <c r="CX68" s="12"/>
    </row>
    <row r="69" spans="2:102" x14ac:dyDescent="0.2">
      <c r="B69" s="171"/>
      <c r="G69" s="168"/>
      <c r="CX69" s="169"/>
    </row>
    <row r="70" spans="2:102" x14ac:dyDescent="0.2">
      <c r="B70" s="3" t="s">
        <v>275</v>
      </c>
      <c r="C70" s="170"/>
      <c r="D70" s="12"/>
      <c r="E70" s="12"/>
      <c r="F70" s="167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76">
        <f>CD66+CD68</f>
        <v>735346</v>
      </c>
      <c r="CE70" s="176">
        <f t="shared" ref="CE70:CS70" si="7">CE66+CE68</f>
        <v>0</v>
      </c>
      <c r="CF70" s="176">
        <f t="shared" si="7"/>
        <v>0</v>
      </c>
      <c r="CG70" s="176">
        <f t="shared" si="7"/>
        <v>0</v>
      </c>
      <c r="CH70" s="176">
        <f t="shared" si="7"/>
        <v>0</v>
      </c>
      <c r="CI70" s="176">
        <f t="shared" si="7"/>
        <v>826314</v>
      </c>
      <c r="CJ70" s="176">
        <f t="shared" si="7"/>
        <v>0</v>
      </c>
      <c r="CK70" s="176">
        <f t="shared" si="7"/>
        <v>0</v>
      </c>
      <c r="CL70" s="176">
        <f t="shared" si="7"/>
        <v>0</v>
      </c>
      <c r="CM70" s="176">
        <f t="shared" si="7"/>
        <v>0</v>
      </c>
      <c r="CN70" s="176">
        <f t="shared" si="7"/>
        <v>1028435</v>
      </c>
      <c r="CO70" s="176">
        <f t="shared" si="7"/>
        <v>0</v>
      </c>
      <c r="CP70" s="176">
        <f t="shared" si="7"/>
        <v>0</v>
      </c>
      <c r="CQ70" s="176">
        <f t="shared" si="7"/>
        <v>0</v>
      </c>
      <c r="CR70" s="176">
        <f t="shared" si="7"/>
        <v>0</v>
      </c>
      <c r="CS70" s="176">
        <f t="shared" si="7"/>
        <v>1024127</v>
      </c>
      <c r="CT70" s="12"/>
      <c r="CU70" s="12"/>
      <c r="CV70" s="12"/>
      <c r="CW70" s="12"/>
      <c r="CX70" s="12"/>
    </row>
    <row r="71" spans="2:102" x14ac:dyDescent="0.2">
      <c r="B71" s="13"/>
      <c r="C71" s="174"/>
      <c r="D71" s="174"/>
      <c r="E71" s="174"/>
      <c r="F71" s="174"/>
      <c r="G71" s="173"/>
      <c r="H71" s="174"/>
      <c r="I71" s="174"/>
      <c r="J71" s="174"/>
      <c r="K71" s="174"/>
      <c r="L71" s="174"/>
      <c r="M71" s="174"/>
      <c r="N71" s="174"/>
      <c r="O71" s="174"/>
      <c r="P71" s="174"/>
      <c r="Q71" s="174"/>
      <c r="R71" s="174"/>
      <c r="S71" s="174"/>
      <c r="T71" s="174"/>
      <c r="U71" s="174"/>
      <c r="V71" s="174"/>
      <c r="W71" s="174"/>
      <c r="X71" s="174"/>
      <c r="Y71" s="174"/>
      <c r="Z71" s="174"/>
      <c r="AA71" s="174"/>
      <c r="AB71" s="174"/>
      <c r="AC71" s="174"/>
      <c r="AD71" s="174"/>
      <c r="AE71" s="174"/>
      <c r="AF71" s="174"/>
      <c r="AG71" s="174"/>
      <c r="AH71" s="174"/>
      <c r="AI71" s="174"/>
      <c r="AJ71" s="174"/>
      <c r="AK71" s="174"/>
      <c r="AL71" s="174"/>
      <c r="AM71" s="174"/>
      <c r="AN71" s="174"/>
      <c r="AO71" s="174"/>
      <c r="AP71" s="174"/>
      <c r="AQ71" s="174"/>
      <c r="AR71" s="174"/>
      <c r="AS71" s="174"/>
      <c r="AT71" s="174"/>
      <c r="AU71" s="174"/>
      <c r="AV71" s="174"/>
      <c r="AW71" s="174"/>
      <c r="AX71" s="174"/>
      <c r="AY71" s="174"/>
      <c r="AZ71" s="174"/>
      <c r="BA71" s="174"/>
      <c r="BB71" s="174"/>
      <c r="BC71" s="174"/>
      <c r="BD71" s="174"/>
      <c r="BE71" s="174"/>
      <c r="BF71" s="174"/>
      <c r="BG71" s="174"/>
      <c r="BH71" s="174"/>
      <c r="BI71" s="174"/>
      <c r="BJ71" s="174"/>
      <c r="BK71" s="174"/>
      <c r="BL71" s="174"/>
      <c r="BM71" s="174"/>
      <c r="BN71" s="174"/>
      <c r="BO71" s="174"/>
      <c r="BP71" s="174"/>
      <c r="BQ71" s="174"/>
      <c r="BR71" s="174"/>
      <c r="BS71" s="174"/>
      <c r="BT71" s="174"/>
      <c r="BU71" s="174"/>
      <c r="BV71" s="174"/>
      <c r="BW71" s="174"/>
      <c r="BX71" s="174"/>
      <c r="BY71" s="174"/>
      <c r="BZ71" s="174"/>
      <c r="CA71" s="174"/>
      <c r="CB71" s="174"/>
      <c r="CC71" s="174"/>
      <c r="CD71" s="174"/>
      <c r="CE71" s="174"/>
      <c r="CF71" s="174"/>
      <c r="CG71" s="174"/>
      <c r="CH71" s="174"/>
      <c r="CI71" s="174"/>
      <c r="CJ71" s="174"/>
      <c r="CK71" s="174"/>
      <c r="CL71" s="174"/>
      <c r="CM71" s="174"/>
      <c r="CN71" s="174"/>
      <c r="CO71" s="174"/>
      <c r="CP71" s="174"/>
      <c r="CQ71" s="174"/>
      <c r="CR71" s="174"/>
      <c r="CS71" s="174"/>
      <c r="CT71" s="174"/>
      <c r="CU71" s="174"/>
      <c r="CV71" s="174"/>
      <c r="CW71" s="174"/>
      <c r="CX71" s="175"/>
    </row>
    <row r="72" spans="2:102" x14ac:dyDescent="0.2">
      <c r="B72" s="172" t="s">
        <v>276</v>
      </c>
      <c r="G72" s="168"/>
      <c r="CX72" s="169"/>
    </row>
    <row r="73" spans="2:102" x14ac:dyDescent="0.2">
      <c r="B73" s="183"/>
      <c r="C73" s="187"/>
      <c r="D73" s="187"/>
      <c r="E73" s="187"/>
      <c r="F73" s="187"/>
      <c r="G73" s="189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  <c r="X73" s="187"/>
      <c r="Y73" s="187"/>
      <c r="Z73" s="187"/>
      <c r="AA73" s="187"/>
      <c r="AB73" s="187"/>
      <c r="AC73" s="187"/>
      <c r="AD73" s="187"/>
      <c r="AE73" s="187"/>
      <c r="AF73" s="187"/>
      <c r="AG73" s="187"/>
      <c r="AH73" s="187"/>
      <c r="AI73" s="187"/>
      <c r="AJ73" s="187"/>
      <c r="AK73" s="187"/>
      <c r="AL73" s="187"/>
      <c r="AM73" s="187"/>
      <c r="AN73" s="187"/>
      <c r="AO73" s="187"/>
      <c r="AP73" s="187"/>
      <c r="AQ73" s="187"/>
      <c r="AR73" s="187"/>
      <c r="AS73" s="187"/>
      <c r="AT73" s="187"/>
      <c r="AU73" s="187"/>
      <c r="AV73" s="187"/>
      <c r="AW73" s="187"/>
      <c r="AX73" s="187"/>
      <c r="AY73" s="187"/>
      <c r="AZ73" s="187"/>
      <c r="BA73" s="187"/>
      <c r="BB73" s="187"/>
      <c r="BC73" s="187"/>
      <c r="BD73" s="187"/>
      <c r="BE73" s="187"/>
      <c r="BF73" s="187"/>
      <c r="BG73" s="187"/>
      <c r="BH73" s="187"/>
      <c r="BI73" s="187"/>
      <c r="BJ73" s="187"/>
      <c r="BK73" s="187"/>
      <c r="BL73" s="187"/>
      <c r="BM73" s="187"/>
      <c r="BN73" s="187"/>
      <c r="BO73" s="187"/>
      <c r="BP73" s="187"/>
      <c r="BQ73" s="187"/>
      <c r="BR73" s="187"/>
      <c r="BS73" s="187"/>
      <c r="BT73" s="187"/>
      <c r="BU73" s="187"/>
      <c r="BV73" s="187"/>
      <c r="BW73" s="187"/>
      <c r="BX73" s="187"/>
      <c r="BY73" s="187"/>
      <c r="BZ73" s="187"/>
      <c r="CA73" s="187"/>
      <c r="CB73" s="187"/>
      <c r="CC73" s="187"/>
      <c r="CD73" s="187"/>
      <c r="CE73" s="187"/>
      <c r="CF73" s="187"/>
      <c r="CG73" s="187"/>
      <c r="CH73" s="187"/>
      <c r="CI73" s="187"/>
      <c r="CJ73" s="187"/>
      <c r="CK73" s="187"/>
      <c r="CL73" s="187"/>
      <c r="CM73" s="187"/>
      <c r="CN73" s="187"/>
      <c r="CO73" s="187"/>
      <c r="CP73" s="187"/>
      <c r="CQ73" s="187"/>
      <c r="CR73" s="187"/>
      <c r="CS73" s="187"/>
      <c r="CT73" s="187"/>
      <c r="CU73" s="187"/>
      <c r="CV73" s="187"/>
      <c r="CW73" s="187"/>
      <c r="CX73" s="188"/>
    </row>
    <row r="74" spans="2:102" x14ac:dyDescent="0.2">
      <c r="B74" s="171" t="s">
        <v>277</v>
      </c>
      <c r="G74" s="168"/>
      <c r="CD74" s="178">
        <v>43477</v>
      </c>
      <c r="CI74" s="178">
        <v>68692</v>
      </c>
      <c r="CN74" s="178">
        <v>71329</v>
      </c>
      <c r="CS74" s="178">
        <v>134472</v>
      </c>
      <c r="CX74" s="169"/>
    </row>
    <row r="75" spans="2:102" x14ac:dyDescent="0.2">
      <c r="B75" s="171" t="s">
        <v>278</v>
      </c>
      <c r="G75" s="168"/>
      <c r="CD75" s="178">
        <v>6169</v>
      </c>
      <c r="CI75" s="178">
        <v>6309</v>
      </c>
      <c r="CN75" s="178">
        <v>23877</v>
      </c>
      <c r="CS75" s="178">
        <v>26958</v>
      </c>
      <c r="CX75" s="169"/>
    </row>
    <row r="76" spans="2:102" x14ac:dyDescent="0.2">
      <c r="B76" s="171" t="s">
        <v>279</v>
      </c>
      <c r="G76" s="168"/>
      <c r="CD76" s="178">
        <v>46785</v>
      </c>
      <c r="CI76" s="178">
        <v>38191</v>
      </c>
      <c r="CN76" s="178">
        <v>23209</v>
      </c>
      <c r="CS76" s="178">
        <v>33505</v>
      </c>
      <c r="CX76" s="169"/>
    </row>
    <row r="77" spans="2:102" x14ac:dyDescent="0.2">
      <c r="B77" s="171" t="s">
        <v>280</v>
      </c>
      <c r="G77" s="168"/>
      <c r="CD77" s="178">
        <v>9398</v>
      </c>
      <c r="CI77" s="178">
        <v>13997</v>
      </c>
      <c r="CN77" s="178">
        <v>15606</v>
      </c>
      <c r="CS77" s="178">
        <v>16519</v>
      </c>
      <c r="CX77" s="169"/>
    </row>
    <row r="78" spans="2:102" x14ac:dyDescent="0.2">
      <c r="B78" s="171"/>
      <c r="G78" s="168"/>
      <c r="CX78" s="169"/>
    </row>
    <row r="79" spans="2:102" x14ac:dyDescent="0.2">
      <c r="B79" s="3" t="s">
        <v>281</v>
      </c>
      <c r="C79" s="170"/>
      <c r="D79" s="12"/>
      <c r="E79" s="12"/>
      <c r="F79" s="167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76">
        <f>SUM(CD74:CD77)</f>
        <v>105829</v>
      </c>
      <c r="CE79" s="176">
        <f t="shared" ref="CE79:CS79" si="8">SUM(CE74:CE77)</f>
        <v>0</v>
      </c>
      <c r="CF79" s="176">
        <f t="shared" si="8"/>
        <v>0</v>
      </c>
      <c r="CG79" s="176">
        <f t="shared" si="8"/>
        <v>0</v>
      </c>
      <c r="CH79" s="176">
        <f t="shared" si="8"/>
        <v>0</v>
      </c>
      <c r="CI79" s="176">
        <f t="shared" si="8"/>
        <v>127189</v>
      </c>
      <c r="CJ79" s="176">
        <f t="shared" si="8"/>
        <v>0</v>
      </c>
      <c r="CK79" s="176">
        <f t="shared" si="8"/>
        <v>0</v>
      </c>
      <c r="CL79" s="176">
        <f t="shared" si="8"/>
        <v>0</v>
      </c>
      <c r="CM79" s="176">
        <f t="shared" si="8"/>
        <v>0</v>
      </c>
      <c r="CN79" s="176">
        <f t="shared" si="8"/>
        <v>134021</v>
      </c>
      <c r="CO79" s="176">
        <f t="shared" si="8"/>
        <v>0</v>
      </c>
      <c r="CP79" s="176">
        <f t="shared" si="8"/>
        <v>0</v>
      </c>
      <c r="CQ79" s="176">
        <f t="shared" si="8"/>
        <v>0</v>
      </c>
      <c r="CR79" s="176">
        <f t="shared" si="8"/>
        <v>0</v>
      </c>
      <c r="CS79" s="176">
        <f t="shared" si="8"/>
        <v>211454</v>
      </c>
      <c r="CT79" s="12"/>
      <c r="CU79" s="12"/>
      <c r="CV79" s="12"/>
      <c r="CW79" s="12"/>
      <c r="CX79" s="12"/>
    </row>
    <row r="80" spans="2:102" x14ac:dyDescent="0.2">
      <c r="B80" s="13"/>
      <c r="C80" s="174"/>
      <c r="D80" s="174"/>
      <c r="E80" s="174"/>
      <c r="F80" s="174"/>
      <c r="G80" s="173"/>
      <c r="H80" s="174"/>
      <c r="I80" s="174"/>
      <c r="J80" s="174"/>
      <c r="K80" s="174"/>
      <c r="L80" s="174"/>
      <c r="M80" s="174"/>
      <c r="N80" s="174"/>
      <c r="O80" s="174"/>
      <c r="P80" s="174"/>
      <c r="Q80" s="174"/>
      <c r="R80" s="174"/>
      <c r="S80" s="174"/>
      <c r="T80" s="174"/>
      <c r="U80" s="174"/>
      <c r="V80" s="174"/>
      <c r="W80" s="174"/>
      <c r="X80" s="174"/>
      <c r="Y80" s="174"/>
      <c r="Z80" s="174"/>
      <c r="AA80" s="174"/>
      <c r="AB80" s="174"/>
      <c r="AC80" s="174"/>
      <c r="AD80" s="174"/>
      <c r="AE80" s="174"/>
      <c r="AF80" s="174"/>
      <c r="AG80" s="174"/>
      <c r="AH80" s="174"/>
      <c r="AI80" s="174"/>
      <c r="AJ80" s="174"/>
      <c r="AK80" s="174"/>
      <c r="AL80" s="174"/>
      <c r="AM80" s="174"/>
      <c r="AN80" s="174"/>
      <c r="AO80" s="174"/>
      <c r="AP80" s="174"/>
      <c r="AQ80" s="174"/>
      <c r="AR80" s="174"/>
      <c r="AS80" s="174"/>
      <c r="AT80" s="174"/>
      <c r="AU80" s="174"/>
      <c r="AV80" s="174"/>
      <c r="AW80" s="174"/>
      <c r="AX80" s="174"/>
      <c r="AY80" s="174"/>
      <c r="AZ80" s="174"/>
      <c r="BA80" s="174"/>
      <c r="BB80" s="174"/>
      <c r="BC80" s="174"/>
      <c r="BD80" s="174"/>
      <c r="BE80" s="174"/>
      <c r="BF80" s="174"/>
      <c r="BG80" s="174"/>
      <c r="BH80" s="174"/>
      <c r="BI80" s="174"/>
      <c r="BJ80" s="174"/>
      <c r="BK80" s="174"/>
      <c r="BL80" s="174"/>
      <c r="BM80" s="174"/>
      <c r="BN80" s="174"/>
      <c r="BO80" s="174"/>
      <c r="BP80" s="174"/>
      <c r="BQ80" s="174"/>
      <c r="BR80" s="174"/>
      <c r="BS80" s="174"/>
      <c r="BT80" s="174"/>
      <c r="BU80" s="174"/>
      <c r="BV80" s="174"/>
      <c r="BW80" s="174"/>
      <c r="BX80" s="174"/>
      <c r="BY80" s="174"/>
      <c r="BZ80" s="174"/>
      <c r="CA80" s="174"/>
      <c r="CB80" s="174"/>
      <c r="CC80" s="174"/>
      <c r="CD80" s="174"/>
      <c r="CE80" s="174"/>
      <c r="CF80" s="174"/>
      <c r="CG80" s="174"/>
      <c r="CH80" s="174"/>
      <c r="CI80" s="174"/>
      <c r="CJ80" s="174"/>
      <c r="CK80" s="174"/>
      <c r="CL80" s="174"/>
      <c r="CM80" s="174"/>
      <c r="CN80" s="174"/>
      <c r="CO80" s="174"/>
      <c r="CP80" s="174"/>
      <c r="CQ80" s="174"/>
      <c r="CR80" s="174"/>
      <c r="CS80" s="174"/>
      <c r="CT80" s="174"/>
      <c r="CU80" s="174"/>
      <c r="CV80" s="174"/>
      <c r="CW80" s="174"/>
      <c r="CX80" s="175"/>
    </row>
    <row r="81" spans="1:102" x14ac:dyDescent="0.2">
      <c r="B81" s="172" t="s">
        <v>282</v>
      </c>
      <c r="G81" s="168"/>
      <c r="CX81" s="169"/>
    </row>
    <row r="82" spans="1:102" x14ac:dyDescent="0.2">
      <c r="B82" s="183"/>
      <c r="C82" s="187"/>
      <c r="D82" s="187"/>
      <c r="E82" s="187"/>
      <c r="F82" s="187"/>
      <c r="G82" s="189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  <c r="X82" s="187"/>
      <c r="Y82" s="187"/>
      <c r="Z82" s="187"/>
      <c r="AA82" s="187"/>
      <c r="AB82" s="187"/>
      <c r="AC82" s="187"/>
      <c r="AD82" s="187"/>
      <c r="AE82" s="187"/>
      <c r="AF82" s="187"/>
      <c r="AG82" s="187"/>
      <c r="AH82" s="187"/>
      <c r="AI82" s="187"/>
      <c r="AJ82" s="187"/>
      <c r="AK82" s="187"/>
      <c r="AL82" s="187"/>
      <c r="AM82" s="187"/>
      <c r="AN82" s="187"/>
      <c r="AO82" s="187"/>
      <c r="AP82" s="187"/>
      <c r="AQ82" s="187"/>
      <c r="AR82" s="187"/>
      <c r="AS82" s="187"/>
      <c r="AT82" s="187"/>
      <c r="AU82" s="187"/>
      <c r="AV82" s="187"/>
      <c r="AW82" s="187"/>
      <c r="AX82" s="187"/>
      <c r="AY82" s="187"/>
      <c r="AZ82" s="187"/>
      <c r="BA82" s="187"/>
      <c r="BB82" s="187"/>
      <c r="BC82" s="187"/>
      <c r="BD82" s="187"/>
      <c r="BE82" s="187"/>
      <c r="BF82" s="187"/>
      <c r="BG82" s="187"/>
      <c r="BH82" s="187"/>
      <c r="BI82" s="187"/>
      <c r="BJ82" s="187"/>
      <c r="BK82" s="187"/>
      <c r="BL82" s="187"/>
      <c r="BM82" s="187"/>
      <c r="BN82" s="187"/>
      <c r="BO82" s="187"/>
      <c r="BP82" s="187"/>
      <c r="BQ82" s="187"/>
      <c r="BR82" s="187"/>
      <c r="BS82" s="187"/>
      <c r="BT82" s="187"/>
      <c r="BU82" s="187"/>
      <c r="BV82" s="187"/>
      <c r="BW82" s="187"/>
      <c r="BX82" s="187"/>
      <c r="BY82" s="187"/>
      <c r="BZ82" s="187"/>
      <c r="CA82" s="187"/>
      <c r="CB82" s="187"/>
      <c r="CC82" s="187"/>
      <c r="CD82" s="187"/>
      <c r="CE82" s="187"/>
      <c r="CF82" s="187"/>
      <c r="CG82" s="187"/>
      <c r="CH82" s="187"/>
      <c r="CI82" s="187"/>
      <c r="CJ82" s="187"/>
      <c r="CK82" s="187"/>
      <c r="CL82" s="187"/>
      <c r="CM82" s="187"/>
      <c r="CN82" s="187"/>
      <c r="CO82" s="187"/>
      <c r="CP82" s="187"/>
      <c r="CQ82" s="187"/>
      <c r="CR82" s="187"/>
      <c r="CS82" s="187"/>
      <c r="CT82" s="187"/>
      <c r="CU82" s="187"/>
      <c r="CV82" s="187"/>
      <c r="CW82" s="187"/>
      <c r="CX82" s="188"/>
    </row>
    <row r="83" spans="1:102" x14ac:dyDescent="0.2">
      <c r="B83" s="171" t="s">
        <v>283</v>
      </c>
      <c r="G83" s="168"/>
      <c r="CD83" s="178">
        <v>52139</v>
      </c>
      <c r="CI83" s="178">
        <v>62055</v>
      </c>
      <c r="CN83" s="178">
        <v>72286</v>
      </c>
      <c r="CS83" s="178">
        <v>68279</v>
      </c>
      <c r="CX83" s="169"/>
    </row>
    <row r="84" spans="1:102" x14ac:dyDescent="0.2">
      <c r="B84" s="171" t="s">
        <v>284</v>
      </c>
      <c r="G84" s="168"/>
      <c r="CX84" s="169"/>
    </row>
    <row r="85" spans="1:102" x14ac:dyDescent="0.2">
      <c r="B85" s="171" t="s">
        <v>285</v>
      </c>
      <c r="G85" s="168"/>
      <c r="CD85" s="178">
        <v>28541</v>
      </c>
      <c r="CI85" s="178">
        <v>57679</v>
      </c>
      <c r="CN85" s="178">
        <v>69575</v>
      </c>
      <c r="CS85" s="178">
        <v>69174</v>
      </c>
      <c r="CX85" s="169"/>
    </row>
    <row r="86" spans="1:102" x14ac:dyDescent="0.2">
      <c r="B86" s="171" t="s">
        <v>286</v>
      </c>
      <c r="G86" s="168"/>
      <c r="CD86" s="178">
        <v>9866</v>
      </c>
      <c r="CI86" s="178">
        <v>20410</v>
      </c>
      <c r="CN86" s="178">
        <v>11862</v>
      </c>
      <c r="CS86" s="178">
        <v>12990</v>
      </c>
      <c r="CX86" s="169"/>
    </row>
    <row r="87" spans="1:102" x14ac:dyDescent="0.2">
      <c r="B87" s="171" t="s">
        <v>277</v>
      </c>
      <c r="G87" s="168"/>
      <c r="CD87" s="178">
        <v>8982</v>
      </c>
      <c r="CI87" s="178">
        <v>8906</v>
      </c>
      <c r="CN87" s="178">
        <v>29989</v>
      </c>
      <c r="CS87" s="178">
        <v>38407</v>
      </c>
      <c r="CX87" s="169"/>
    </row>
    <row r="88" spans="1:102" x14ac:dyDescent="0.2">
      <c r="B88" s="171"/>
      <c r="G88" s="168"/>
      <c r="CX88" s="169"/>
    </row>
    <row r="89" spans="1:102" x14ac:dyDescent="0.2">
      <c r="B89" s="3" t="s">
        <v>287</v>
      </c>
      <c r="C89" s="170"/>
      <c r="D89" s="12"/>
      <c r="E89" s="12"/>
      <c r="F89" s="167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76">
        <f>SUM(CD83:CD87)</f>
        <v>99528</v>
      </c>
      <c r="CE89" s="176">
        <f t="shared" ref="CE89:CS89" si="9">SUM(CE83:CE87)</f>
        <v>0</v>
      </c>
      <c r="CF89" s="176">
        <f t="shared" si="9"/>
        <v>0</v>
      </c>
      <c r="CG89" s="176">
        <f t="shared" si="9"/>
        <v>0</v>
      </c>
      <c r="CH89" s="176">
        <f t="shared" si="9"/>
        <v>0</v>
      </c>
      <c r="CI89" s="176">
        <f t="shared" si="9"/>
        <v>149050</v>
      </c>
      <c r="CJ89" s="176">
        <f t="shared" si="9"/>
        <v>0</v>
      </c>
      <c r="CK89" s="176">
        <f t="shared" si="9"/>
        <v>0</v>
      </c>
      <c r="CL89" s="176">
        <f t="shared" si="9"/>
        <v>0</v>
      </c>
      <c r="CM89" s="176">
        <f t="shared" si="9"/>
        <v>0</v>
      </c>
      <c r="CN89" s="176">
        <f t="shared" si="9"/>
        <v>183712</v>
      </c>
      <c r="CO89" s="176">
        <f t="shared" si="9"/>
        <v>0</v>
      </c>
      <c r="CP89" s="176">
        <f t="shared" si="9"/>
        <v>0</v>
      </c>
      <c r="CQ89" s="176">
        <f t="shared" si="9"/>
        <v>0</v>
      </c>
      <c r="CR89" s="176">
        <f t="shared" si="9"/>
        <v>0</v>
      </c>
      <c r="CS89" s="176">
        <f t="shared" si="9"/>
        <v>188850</v>
      </c>
      <c r="CT89" s="12"/>
      <c r="CU89" s="12"/>
      <c r="CV89" s="12"/>
      <c r="CW89" s="12"/>
      <c r="CX89" s="12"/>
    </row>
    <row r="90" spans="1:102" x14ac:dyDescent="0.2">
      <c r="B90" s="171"/>
      <c r="G90" s="168"/>
      <c r="CX90" s="169"/>
    </row>
    <row r="91" spans="1:102" x14ac:dyDescent="0.2">
      <c r="B91" s="3" t="s">
        <v>288</v>
      </c>
      <c r="C91" s="170"/>
      <c r="D91" s="12"/>
      <c r="E91" s="12"/>
      <c r="F91" s="167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79">
        <f>CD79+CD89</f>
        <v>205357</v>
      </c>
      <c r="CE91" s="179">
        <f t="shared" ref="CE91:CS91" si="10">CE79+CE89</f>
        <v>0</v>
      </c>
      <c r="CF91" s="179">
        <f t="shared" si="10"/>
        <v>0</v>
      </c>
      <c r="CG91" s="179">
        <f t="shared" si="10"/>
        <v>0</v>
      </c>
      <c r="CH91" s="179">
        <f t="shared" si="10"/>
        <v>0</v>
      </c>
      <c r="CI91" s="179">
        <f t="shared" si="10"/>
        <v>276239</v>
      </c>
      <c r="CJ91" s="179">
        <f t="shared" si="10"/>
        <v>0</v>
      </c>
      <c r="CK91" s="179">
        <f t="shared" si="10"/>
        <v>0</v>
      </c>
      <c r="CL91" s="179">
        <f t="shared" si="10"/>
        <v>0</v>
      </c>
      <c r="CM91" s="179">
        <f t="shared" si="10"/>
        <v>0</v>
      </c>
      <c r="CN91" s="179">
        <f t="shared" si="10"/>
        <v>317733</v>
      </c>
      <c r="CO91" s="179">
        <f t="shared" si="10"/>
        <v>0</v>
      </c>
      <c r="CP91" s="179">
        <f t="shared" si="10"/>
        <v>0</v>
      </c>
      <c r="CQ91" s="179">
        <f t="shared" si="10"/>
        <v>0</v>
      </c>
      <c r="CR91" s="179">
        <f t="shared" si="10"/>
        <v>0</v>
      </c>
      <c r="CS91" s="179">
        <f t="shared" si="10"/>
        <v>400304</v>
      </c>
      <c r="CT91" s="12"/>
      <c r="CU91" s="12"/>
      <c r="CV91" s="12"/>
      <c r="CW91" s="12"/>
      <c r="CX91" s="12"/>
    </row>
    <row r="92" spans="1:102" x14ac:dyDescent="0.2">
      <c r="B92" s="171"/>
      <c r="G92" s="168"/>
      <c r="CX92" s="169"/>
    </row>
    <row r="93" spans="1:102" x14ac:dyDescent="0.2">
      <c r="B93" s="3" t="s">
        <v>289</v>
      </c>
      <c r="C93" s="170"/>
      <c r="D93" s="12"/>
      <c r="E93" s="12"/>
      <c r="F93" s="167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79">
        <f>CD70+CD91</f>
        <v>940703</v>
      </c>
      <c r="CE93" s="179">
        <f t="shared" ref="CE93:CS93" si="11">CE70+CE91</f>
        <v>0</v>
      </c>
      <c r="CF93" s="179">
        <f t="shared" si="11"/>
        <v>0</v>
      </c>
      <c r="CG93" s="179">
        <f t="shared" si="11"/>
        <v>0</v>
      </c>
      <c r="CH93" s="179">
        <f t="shared" si="11"/>
        <v>0</v>
      </c>
      <c r="CI93" s="179">
        <f t="shared" si="11"/>
        <v>1102553</v>
      </c>
      <c r="CJ93" s="179">
        <f t="shared" si="11"/>
        <v>0</v>
      </c>
      <c r="CK93" s="179">
        <f t="shared" si="11"/>
        <v>0</v>
      </c>
      <c r="CL93" s="179">
        <f t="shared" si="11"/>
        <v>0</v>
      </c>
      <c r="CM93" s="179">
        <f t="shared" si="11"/>
        <v>0</v>
      </c>
      <c r="CN93" s="179">
        <f t="shared" si="11"/>
        <v>1346168</v>
      </c>
      <c r="CO93" s="179">
        <f t="shared" si="11"/>
        <v>0</v>
      </c>
      <c r="CP93" s="179">
        <f t="shared" si="11"/>
        <v>0</v>
      </c>
      <c r="CQ93" s="179">
        <f t="shared" si="11"/>
        <v>0</v>
      </c>
      <c r="CR93" s="179">
        <f t="shared" si="11"/>
        <v>0</v>
      </c>
      <c r="CS93" s="179">
        <f t="shared" si="11"/>
        <v>1424431</v>
      </c>
      <c r="CT93" s="12"/>
      <c r="CU93" s="12"/>
      <c r="CV93" s="12"/>
      <c r="CW93" s="12"/>
      <c r="CX93" s="12"/>
    </row>
    <row r="95" spans="1:102" x14ac:dyDescent="0.2">
      <c r="CS95" t="s">
        <v>290</v>
      </c>
    </row>
    <row r="96" spans="1:102" x14ac:dyDescent="0.2">
      <c r="A96" s="186" t="s">
        <v>9</v>
      </c>
      <c r="B96" s="3" t="s">
        <v>291</v>
      </c>
      <c r="C96" s="185"/>
      <c r="D96" s="3"/>
      <c r="E96" s="3"/>
      <c r="F96" s="186"/>
      <c r="G96" s="3">
        <v>2001</v>
      </c>
      <c r="H96" s="3"/>
      <c r="I96" s="3"/>
      <c r="J96" s="3"/>
      <c r="K96" s="3"/>
      <c r="L96" s="3">
        <v>2002</v>
      </c>
      <c r="M96" s="3"/>
      <c r="N96" s="3"/>
      <c r="O96" s="3"/>
      <c r="P96" s="3"/>
      <c r="Q96" s="3">
        <v>2003</v>
      </c>
      <c r="R96" s="3"/>
      <c r="S96" s="3"/>
      <c r="T96" s="3"/>
      <c r="U96" s="3"/>
      <c r="V96" s="3">
        <v>2004</v>
      </c>
      <c r="W96" s="3"/>
      <c r="X96" s="3"/>
      <c r="Y96" s="3"/>
      <c r="Z96" s="3"/>
      <c r="AA96" s="3">
        <v>2005</v>
      </c>
      <c r="AB96" s="3"/>
      <c r="AC96" s="3"/>
      <c r="AD96" s="3"/>
      <c r="AE96" s="3"/>
      <c r="AF96" s="3">
        <v>2006</v>
      </c>
      <c r="AG96" s="3"/>
      <c r="AH96" s="3"/>
      <c r="AI96" s="3"/>
      <c r="AJ96" s="3"/>
      <c r="AK96" s="3">
        <v>2007</v>
      </c>
      <c r="AL96" s="3"/>
      <c r="AM96" s="3"/>
      <c r="AN96" s="3"/>
      <c r="AO96" s="3"/>
      <c r="AP96" s="3">
        <v>208</v>
      </c>
      <c r="AQ96" s="3"/>
      <c r="AR96" s="3"/>
      <c r="AS96" s="3"/>
      <c r="AT96" s="3"/>
      <c r="AU96" s="3">
        <v>2009</v>
      </c>
      <c r="AV96" s="3"/>
      <c r="AW96" s="3"/>
      <c r="AX96" s="3"/>
      <c r="AY96" s="3"/>
      <c r="AZ96" s="3">
        <v>2010</v>
      </c>
      <c r="BA96" s="3"/>
      <c r="BB96" s="3"/>
      <c r="BC96" s="3"/>
      <c r="BD96" s="3"/>
      <c r="BE96" s="3">
        <v>2011</v>
      </c>
      <c r="BF96" s="3"/>
      <c r="BG96" s="3"/>
      <c r="BH96" s="3"/>
      <c r="BI96" s="3"/>
      <c r="BJ96" s="3">
        <v>2012</v>
      </c>
      <c r="BK96" s="3"/>
      <c r="BL96" s="3"/>
      <c r="BM96" s="3"/>
      <c r="BN96" s="3"/>
      <c r="BO96" s="3">
        <v>2013</v>
      </c>
      <c r="BP96" s="3"/>
      <c r="BQ96" s="3"/>
      <c r="BR96" s="3"/>
      <c r="BS96" s="3"/>
      <c r="BT96" s="3">
        <v>2014</v>
      </c>
      <c r="BU96" s="3"/>
      <c r="BV96" s="3"/>
      <c r="BW96" s="3"/>
      <c r="BX96" s="3"/>
      <c r="BY96" s="3">
        <v>2015</v>
      </c>
      <c r="BZ96" s="3"/>
      <c r="CA96" s="3"/>
      <c r="CB96" s="3"/>
      <c r="CC96" s="3"/>
      <c r="CD96" s="3">
        <v>2016</v>
      </c>
      <c r="CE96" s="3"/>
      <c r="CF96" s="3"/>
      <c r="CG96" s="3"/>
      <c r="CH96" s="3"/>
      <c r="CI96" s="3">
        <v>2017</v>
      </c>
      <c r="CJ96" s="3"/>
      <c r="CK96" s="3"/>
      <c r="CL96" s="3"/>
      <c r="CM96" s="3"/>
      <c r="CN96" s="3">
        <v>2018</v>
      </c>
      <c r="CO96" s="3"/>
      <c r="CP96" s="3"/>
      <c r="CQ96" s="3"/>
      <c r="CR96" s="3"/>
      <c r="CS96" s="3">
        <v>2019</v>
      </c>
      <c r="CT96" s="3"/>
      <c r="CU96" s="3"/>
      <c r="CV96" s="3"/>
      <c r="CW96" s="3"/>
      <c r="CX96" s="3">
        <v>2020</v>
      </c>
    </row>
    <row r="97" spans="2:102" x14ac:dyDescent="0.2">
      <c r="B97" s="171" t="s">
        <v>292</v>
      </c>
      <c r="G97" s="168"/>
      <c r="CD97" s="178">
        <v>304976</v>
      </c>
      <c r="CI97" s="178">
        <v>581438</v>
      </c>
      <c r="CN97" s="178">
        <v>797896</v>
      </c>
      <c r="CS97" s="178">
        <v>346834</v>
      </c>
      <c r="CX97" s="169"/>
    </row>
    <row r="98" spans="2:102" x14ac:dyDescent="0.2">
      <c r="B98" s="13"/>
      <c r="C98" s="174"/>
      <c r="D98" s="174"/>
      <c r="E98" s="174"/>
      <c r="F98" s="174"/>
      <c r="G98" s="173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  <c r="AA98" s="174"/>
      <c r="AB98" s="174"/>
      <c r="AC98" s="174"/>
      <c r="AD98" s="174"/>
      <c r="AE98" s="174"/>
      <c r="AF98" s="174"/>
      <c r="AG98" s="174"/>
      <c r="AH98" s="174"/>
      <c r="AI98" s="174"/>
      <c r="AJ98" s="174"/>
      <c r="AK98" s="174"/>
      <c r="AL98" s="174"/>
      <c r="AM98" s="174"/>
      <c r="AN98" s="174"/>
      <c r="AO98" s="174"/>
      <c r="AP98" s="174"/>
      <c r="AQ98" s="174"/>
      <c r="AR98" s="174"/>
      <c r="AS98" s="174"/>
      <c r="AT98" s="174"/>
      <c r="AU98" s="174"/>
      <c r="AV98" s="174"/>
      <c r="AW98" s="174"/>
      <c r="AX98" s="174"/>
      <c r="AY98" s="174"/>
      <c r="AZ98" s="174"/>
      <c r="BA98" s="174"/>
      <c r="BB98" s="174"/>
      <c r="BC98" s="174"/>
      <c r="BD98" s="174"/>
      <c r="BE98" s="174"/>
      <c r="BF98" s="174"/>
      <c r="BG98" s="174"/>
      <c r="BH98" s="174"/>
      <c r="BI98" s="174"/>
      <c r="BJ98" s="174"/>
      <c r="BK98" s="174"/>
      <c r="BL98" s="174"/>
      <c r="BM98" s="174"/>
      <c r="BN98" s="174"/>
      <c r="BO98" s="174"/>
      <c r="BP98" s="174"/>
      <c r="BQ98" s="174"/>
      <c r="BR98" s="174"/>
      <c r="BS98" s="174"/>
      <c r="BT98" s="174"/>
      <c r="BU98" s="174"/>
      <c r="BV98" s="174"/>
      <c r="BW98" s="174"/>
      <c r="BX98" s="174"/>
      <c r="BY98" s="174"/>
      <c r="BZ98" s="174"/>
      <c r="CA98" s="174"/>
      <c r="CB98" s="174"/>
      <c r="CC98" s="174"/>
      <c r="CD98" s="174"/>
      <c r="CE98" s="174"/>
      <c r="CF98" s="174"/>
      <c r="CG98" s="174"/>
      <c r="CH98" s="174"/>
      <c r="CI98" s="174"/>
      <c r="CJ98" s="174"/>
      <c r="CK98" s="174"/>
      <c r="CL98" s="174"/>
      <c r="CM98" s="174"/>
      <c r="CN98" s="174"/>
      <c r="CO98" s="174"/>
      <c r="CP98" s="174"/>
      <c r="CQ98" s="174"/>
      <c r="CR98" s="174"/>
      <c r="CS98" s="174"/>
      <c r="CT98" s="174"/>
      <c r="CU98" s="174"/>
      <c r="CV98" s="174"/>
      <c r="CW98" s="174"/>
      <c r="CX98" s="175"/>
    </row>
    <row r="99" spans="2:102" x14ac:dyDescent="0.2">
      <c r="B99" s="172" t="s">
        <v>293</v>
      </c>
      <c r="G99" s="168"/>
      <c r="CX99" s="169"/>
    </row>
    <row r="100" spans="2:102" x14ac:dyDescent="0.2">
      <c r="B100" s="183"/>
      <c r="C100" s="187"/>
      <c r="D100" s="187"/>
      <c r="E100" s="187"/>
      <c r="F100" s="187"/>
      <c r="G100" s="189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  <c r="X100" s="187"/>
      <c r="Y100" s="187"/>
      <c r="Z100" s="187"/>
      <c r="AA100" s="187"/>
      <c r="AB100" s="187"/>
      <c r="AC100" s="187"/>
      <c r="AD100" s="187"/>
      <c r="AE100" s="187"/>
      <c r="AF100" s="187"/>
      <c r="AG100" s="187"/>
      <c r="AH100" s="187"/>
      <c r="AI100" s="187"/>
      <c r="AJ100" s="187"/>
      <c r="AK100" s="187"/>
      <c r="AL100" s="187"/>
      <c r="AM100" s="187"/>
      <c r="AN100" s="187"/>
      <c r="AO100" s="187"/>
      <c r="AP100" s="187"/>
      <c r="AQ100" s="187"/>
      <c r="AR100" s="187"/>
      <c r="AS100" s="187"/>
      <c r="AT100" s="187"/>
      <c r="AU100" s="187"/>
      <c r="AV100" s="187"/>
      <c r="AW100" s="187"/>
      <c r="AX100" s="187"/>
      <c r="AY100" s="187"/>
      <c r="AZ100" s="187"/>
      <c r="BA100" s="187"/>
      <c r="BB100" s="187"/>
      <c r="BC100" s="187"/>
      <c r="BD100" s="187"/>
      <c r="BE100" s="187"/>
      <c r="BF100" s="187"/>
      <c r="BG100" s="187"/>
      <c r="BH100" s="187"/>
      <c r="BI100" s="187"/>
      <c r="BJ100" s="187"/>
      <c r="BK100" s="187"/>
      <c r="BL100" s="187"/>
      <c r="BM100" s="187"/>
      <c r="BN100" s="187"/>
      <c r="BO100" s="187"/>
      <c r="BP100" s="187"/>
      <c r="BQ100" s="187"/>
      <c r="BR100" s="187"/>
      <c r="BS100" s="187"/>
      <c r="BT100" s="187"/>
      <c r="BU100" s="187"/>
      <c r="BV100" s="187"/>
      <c r="BW100" s="187"/>
      <c r="BX100" s="187"/>
      <c r="BY100" s="187"/>
      <c r="BZ100" s="187"/>
      <c r="CA100" s="187"/>
      <c r="CB100" s="187"/>
      <c r="CC100" s="187"/>
      <c r="CD100" s="187"/>
      <c r="CE100" s="187"/>
      <c r="CF100" s="187"/>
      <c r="CG100" s="187"/>
      <c r="CH100" s="187"/>
      <c r="CI100" s="187"/>
      <c r="CJ100" s="187"/>
      <c r="CK100" s="187"/>
      <c r="CL100" s="187"/>
      <c r="CM100" s="187"/>
      <c r="CN100" s="187"/>
      <c r="CO100" s="187"/>
      <c r="CP100" s="187"/>
      <c r="CQ100" s="187"/>
      <c r="CR100" s="187"/>
      <c r="CS100" s="187"/>
      <c r="CT100" s="187"/>
      <c r="CU100" s="187"/>
      <c r="CV100" s="187"/>
      <c r="CW100" s="187"/>
      <c r="CX100" s="188"/>
    </row>
    <row r="101" spans="2:102" x14ac:dyDescent="0.2">
      <c r="B101" s="171" t="s">
        <v>294</v>
      </c>
      <c r="G101" s="168"/>
      <c r="CD101" s="178">
        <v>33615</v>
      </c>
      <c r="CI101" s="178">
        <v>36894</v>
      </c>
      <c r="CN101" s="178">
        <v>41334</v>
      </c>
      <c r="CS101" s="178">
        <v>24297</v>
      </c>
      <c r="CX101" s="169"/>
    </row>
    <row r="102" spans="2:102" x14ac:dyDescent="0.2">
      <c r="B102" s="171" t="s">
        <v>295</v>
      </c>
      <c r="G102" s="168"/>
      <c r="CD102" s="178">
        <v>14794</v>
      </c>
      <c r="CI102">
        <v>190</v>
      </c>
      <c r="CN102">
        <v>107</v>
      </c>
      <c r="CS102" s="177" t="s">
        <v>234</v>
      </c>
      <c r="CX102" s="169"/>
    </row>
    <row r="103" spans="2:102" x14ac:dyDescent="0.2">
      <c r="B103" s="171" t="s">
        <v>296</v>
      </c>
      <c r="G103" s="168"/>
      <c r="CD103" s="178">
        <v>6791</v>
      </c>
      <c r="CI103" s="178">
        <v>8522</v>
      </c>
      <c r="CN103" s="178">
        <v>2951</v>
      </c>
      <c r="CS103" s="178">
        <v>1539</v>
      </c>
      <c r="CX103" s="169"/>
    </row>
    <row r="104" spans="2:102" x14ac:dyDescent="0.2">
      <c r="B104" s="171" t="s">
        <v>297</v>
      </c>
      <c r="G104" s="168"/>
      <c r="CD104" s="178">
        <v>127</v>
      </c>
      <c r="CI104" s="177">
        <v>-464</v>
      </c>
      <c r="CN104" s="177" t="s">
        <v>234</v>
      </c>
      <c r="CS104" s="177" t="s">
        <v>234</v>
      </c>
      <c r="CX104" s="169"/>
    </row>
    <row r="105" spans="2:102" x14ac:dyDescent="0.2">
      <c r="B105" s="171" t="s">
        <v>298</v>
      </c>
      <c r="G105" s="168"/>
      <c r="CD105" s="178">
        <v>979</v>
      </c>
      <c r="CI105">
        <v>956</v>
      </c>
      <c r="CN105" s="178">
        <v>1415</v>
      </c>
      <c r="CS105" s="178">
        <v>1432</v>
      </c>
      <c r="CX105" s="169"/>
    </row>
    <row r="106" spans="2:102" x14ac:dyDescent="0.2">
      <c r="B106" s="171" t="s">
        <v>299</v>
      </c>
      <c r="G106" s="168"/>
      <c r="CD106" s="178">
        <v>-867</v>
      </c>
      <c r="CI106" s="178">
        <v>-1217</v>
      </c>
      <c r="CN106" s="178">
        <v>-2840</v>
      </c>
      <c r="CS106" s="178">
        <v>-2714</v>
      </c>
      <c r="CX106" s="169"/>
    </row>
    <row r="107" spans="2:102" x14ac:dyDescent="0.2">
      <c r="B107" s="171" t="s">
        <v>300</v>
      </c>
      <c r="G107" s="168"/>
      <c r="CD107" s="178">
        <v>1354</v>
      </c>
      <c r="CI107" s="178">
        <v>2090</v>
      </c>
      <c r="CN107" s="178">
        <v>2959</v>
      </c>
      <c r="CS107" s="178">
        <v>2779</v>
      </c>
      <c r="CX107" s="169"/>
    </row>
    <row r="108" spans="2:102" x14ac:dyDescent="0.2">
      <c r="B108" s="171" t="s">
        <v>301</v>
      </c>
      <c r="G108" s="168"/>
      <c r="CD108" s="178">
        <v>-154</v>
      </c>
      <c r="CI108" s="178">
        <v>-141</v>
      </c>
      <c r="CN108" s="178">
        <v>-143</v>
      </c>
      <c r="CS108" s="178">
        <v>-432</v>
      </c>
      <c r="CX108" s="169"/>
    </row>
    <row r="109" spans="2:102" x14ac:dyDescent="0.2">
      <c r="B109" s="171" t="s">
        <v>302</v>
      </c>
      <c r="G109" s="168"/>
      <c r="CD109" s="177" t="s">
        <v>234</v>
      </c>
      <c r="CI109" s="178">
        <v>262</v>
      </c>
      <c r="CN109" s="178">
        <v>-870</v>
      </c>
      <c r="CS109" s="177" t="s">
        <v>234</v>
      </c>
      <c r="CX109" s="169"/>
    </row>
    <row r="110" spans="2:102" x14ac:dyDescent="0.2">
      <c r="B110" s="171" t="s">
        <v>303</v>
      </c>
      <c r="G110" s="168"/>
      <c r="CD110" s="178">
        <v>38</v>
      </c>
      <c r="CI110" s="178">
        <v>-38</v>
      </c>
      <c r="CN110" s="178">
        <v>-594</v>
      </c>
      <c r="CS110" s="178">
        <v>-216</v>
      </c>
      <c r="CX110" s="169"/>
    </row>
    <row r="111" spans="2:102" x14ac:dyDescent="0.2">
      <c r="B111" s="171" t="s">
        <v>304</v>
      </c>
      <c r="G111" s="168"/>
      <c r="CD111" s="178">
        <v>-19</v>
      </c>
      <c r="CI111" s="178">
        <v>-530</v>
      </c>
      <c r="CN111" s="178">
        <v>103</v>
      </c>
      <c r="CS111" s="178">
        <v>87</v>
      </c>
      <c r="CX111" s="169"/>
    </row>
    <row r="112" spans="2:102" x14ac:dyDescent="0.2">
      <c r="B112" s="171" t="s">
        <v>305</v>
      </c>
      <c r="G112" s="168"/>
      <c r="CD112" s="178">
        <v>-283</v>
      </c>
      <c r="CI112" s="178">
        <v>156</v>
      </c>
      <c r="CN112" s="178">
        <v>1417</v>
      </c>
      <c r="CS112" s="178">
        <v>197</v>
      </c>
      <c r="CX112" s="169"/>
    </row>
    <row r="113" spans="2:102" x14ac:dyDescent="0.2">
      <c r="B113" s="13"/>
      <c r="C113" s="174"/>
      <c r="D113" s="174"/>
      <c r="E113" s="174"/>
      <c r="F113" s="174"/>
      <c r="G113" s="173"/>
      <c r="H113" s="174"/>
      <c r="I113" s="174"/>
      <c r="J113" s="174"/>
      <c r="K113" s="174"/>
      <c r="L113" s="174"/>
      <c r="M113" s="174"/>
      <c r="N113" s="174"/>
      <c r="O113" s="174"/>
      <c r="P113" s="174"/>
      <c r="Q113" s="174"/>
      <c r="R113" s="174"/>
      <c r="S113" s="174"/>
      <c r="T113" s="174"/>
      <c r="U113" s="174"/>
      <c r="V113" s="174"/>
      <c r="W113" s="174"/>
      <c r="X113" s="174"/>
      <c r="Y113" s="174"/>
      <c r="Z113" s="174"/>
      <c r="AA113" s="174"/>
      <c r="AB113" s="174"/>
      <c r="AC113" s="174"/>
      <c r="AD113" s="174"/>
      <c r="AE113" s="174"/>
      <c r="AF113" s="174"/>
      <c r="AG113" s="174"/>
      <c r="AH113" s="174"/>
      <c r="AI113" s="174"/>
      <c r="AJ113" s="174"/>
      <c r="AK113" s="174"/>
      <c r="AL113" s="174"/>
      <c r="AM113" s="174"/>
      <c r="AN113" s="174"/>
      <c r="AO113" s="174"/>
      <c r="AP113" s="174"/>
      <c r="AQ113" s="174"/>
      <c r="AR113" s="174"/>
      <c r="AS113" s="174"/>
      <c r="AT113" s="174"/>
      <c r="AU113" s="174"/>
      <c r="AV113" s="174"/>
      <c r="AW113" s="174"/>
      <c r="AX113" s="174"/>
      <c r="AY113" s="174"/>
      <c r="AZ113" s="174"/>
      <c r="BA113" s="174"/>
      <c r="BB113" s="174"/>
      <c r="BC113" s="174"/>
      <c r="BD113" s="174"/>
      <c r="BE113" s="174"/>
      <c r="BF113" s="174"/>
      <c r="BG113" s="174"/>
      <c r="BH113" s="174"/>
      <c r="BI113" s="174"/>
      <c r="BJ113" s="174"/>
      <c r="BK113" s="174"/>
      <c r="BL113" s="174"/>
      <c r="BM113" s="174"/>
      <c r="BN113" s="174"/>
      <c r="BO113" s="174"/>
      <c r="BP113" s="174"/>
      <c r="BQ113" s="174"/>
      <c r="BR113" s="174"/>
      <c r="BS113" s="174"/>
      <c r="BT113" s="174"/>
      <c r="BU113" s="174"/>
      <c r="BV113" s="174"/>
      <c r="BW113" s="174"/>
      <c r="BX113" s="174"/>
      <c r="BY113" s="174"/>
      <c r="BZ113" s="174"/>
      <c r="CA113" s="174"/>
      <c r="CB113" s="174"/>
      <c r="CC113" s="174"/>
      <c r="CD113" s="174"/>
      <c r="CE113" s="174"/>
      <c r="CF113" s="174"/>
      <c r="CG113" s="174"/>
      <c r="CH113" s="174"/>
      <c r="CI113" s="174"/>
      <c r="CJ113" s="174"/>
      <c r="CK113" s="174"/>
      <c r="CL113" s="174"/>
      <c r="CM113" s="174"/>
      <c r="CN113" s="174"/>
      <c r="CO113" s="174"/>
      <c r="CP113" s="174"/>
      <c r="CQ113" s="174"/>
      <c r="CR113" s="174"/>
      <c r="CS113" s="174"/>
      <c r="CT113" s="174"/>
      <c r="CU113" s="174"/>
      <c r="CV113" s="174"/>
      <c r="CW113" s="174"/>
      <c r="CX113" s="175"/>
    </row>
    <row r="114" spans="2:102" x14ac:dyDescent="0.2">
      <c r="B114" s="172" t="s">
        <v>306</v>
      </c>
      <c r="G114" s="168"/>
      <c r="CX114" s="169"/>
    </row>
    <row r="115" spans="2:102" x14ac:dyDescent="0.2">
      <c r="B115" s="183"/>
      <c r="C115" s="187"/>
      <c r="D115" s="187"/>
      <c r="E115" s="187"/>
      <c r="F115" s="187"/>
      <c r="G115" s="189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  <c r="X115" s="187"/>
      <c r="Y115" s="187"/>
      <c r="Z115" s="187"/>
      <c r="AA115" s="187"/>
      <c r="AB115" s="187"/>
      <c r="AC115" s="187"/>
      <c r="AD115" s="187"/>
      <c r="AE115" s="187"/>
      <c r="AF115" s="187"/>
      <c r="AG115" s="187"/>
      <c r="AH115" s="187"/>
      <c r="AI115" s="187"/>
      <c r="AJ115" s="187"/>
      <c r="AK115" s="187"/>
      <c r="AL115" s="187"/>
      <c r="AM115" s="187"/>
      <c r="AN115" s="187"/>
      <c r="AO115" s="187"/>
      <c r="AP115" s="187"/>
      <c r="AQ115" s="187"/>
      <c r="AR115" s="187"/>
      <c r="AS115" s="187"/>
      <c r="AT115" s="187"/>
      <c r="AU115" s="187"/>
      <c r="AV115" s="187"/>
      <c r="AW115" s="187"/>
      <c r="AX115" s="187"/>
      <c r="AY115" s="187"/>
      <c r="AZ115" s="187"/>
      <c r="BA115" s="187"/>
      <c r="BB115" s="187"/>
      <c r="BC115" s="187"/>
      <c r="BD115" s="187"/>
      <c r="BE115" s="187"/>
      <c r="BF115" s="187"/>
      <c r="BG115" s="187"/>
      <c r="BH115" s="187"/>
      <c r="BI115" s="187"/>
      <c r="BJ115" s="187"/>
      <c r="BK115" s="187"/>
      <c r="BL115" s="187"/>
      <c r="BM115" s="187"/>
      <c r="BN115" s="187"/>
      <c r="BO115" s="187"/>
      <c r="BP115" s="187"/>
      <c r="BQ115" s="187"/>
      <c r="BR115" s="187"/>
      <c r="BS115" s="187"/>
      <c r="BT115" s="187"/>
      <c r="BU115" s="187"/>
      <c r="BV115" s="187"/>
      <c r="BW115" s="187"/>
      <c r="BX115" s="187"/>
      <c r="BY115" s="187"/>
      <c r="BZ115" s="187"/>
      <c r="CA115" s="187"/>
      <c r="CB115" s="187"/>
      <c r="CC115" s="187"/>
      <c r="CD115" s="187"/>
      <c r="CE115" s="187"/>
      <c r="CF115" s="187"/>
      <c r="CG115" s="187"/>
      <c r="CH115" s="187"/>
      <c r="CI115" s="187"/>
      <c r="CJ115" s="187"/>
      <c r="CK115" s="187"/>
      <c r="CL115" s="187"/>
      <c r="CM115" s="187"/>
      <c r="CN115" s="187"/>
      <c r="CO115" s="187"/>
      <c r="CP115" s="187"/>
      <c r="CQ115" s="187"/>
      <c r="CR115" s="187"/>
      <c r="CS115" s="187"/>
      <c r="CT115" s="187"/>
      <c r="CU115" s="187"/>
      <c r="CV115" s="187"/>
      <c r="CW115" s="187"/>
      <c r="CX115" s="188"/>
    </row>
    <row r="116" spans="2:102" x14ac:dyDescent="0.2">
      <c r="B116" s="171" t="s">
        <v>50</v>
      </c>
      <c r="G116" s="168"/>
      <c r="CD116" s="178">
        <v>-3855</v>
      </c>
      <c r="CI116" s="178">
        <v>-7524</v>
      </c>
      <c r="CN116" s="178">
        <v>-6455</v>
      </c>
      <c r="CS116" s="178">
        <v>-1584</v>
      </c>
      <c r="CX116" s="169"/>
    </row>
    <row r="117" spans="2:102" x14ac:dyDescent="0.2">
      <c r="B117" s="171" t="s">
        <v>257</v>
      </c>
      <c r="G117" s="168"/>
      <c r="CD117" s="178">
        <v>-21435</v>
      </c>
      <c r="CI117" s="178">
        <v>-17874</v>
      </c>
      <c r="CN117" s="178">
        <v>-5696</v>
      </c>
      <c r="CS117" s="178">
        <v>-7458</v>
      </c>
      <c r="CX117" s="169"/>
    </row>
    <row r="118" spans="2:102" x14ac:dyDescent="0.2">
      <c r="B118" s="171" t="s">
        <v>258</v>
      </c>
      <c r="G118" s="168"/>
      <c r="CD118" s="177" t="s">
        <v>234</v>
      </c>
      <c r="CI118" s="178">
        <v>-38991</v>
      </c>
      <c r="CN118" s="178">
        <v>-9149</v>
      </c>
      <c r="CS118" s="178">
        <v>1425</v>
      </c>
      <c r="CX118" s="169"/>
    </row>
    <row r="119" spans="2:102" x14ac:dyDescent="0.2">
      <c r="B119" s="171" t="s">
        <v>259</v>
      </c>
      <c r="G119" s="168"/>
      <c r="CD119" s="178">
        <v>1102</v>
      </c>
      <c r="CI119" s="178">
        <v>-517</v>
      </c>
      <c r="CN119" s="178">
        <v>-7335</v>
      </c>
      <c r="CS119" s="178">
        <v>2562</v>
      </c>
      <c r="CX119" s="169"/>
    </row>
    <row r="120" spans="2:102" x14ac:dyDescent="0.2">
      <c r="B120" s="171" t="s">
        <v>307</v>
      </c>
      <c r="G120" s="168"/>
      <c r="CD120" s="178">
        <v>10613</v>
      </c>
      <c r="CI120" s="178">
        <v>-1140</v>
      </c>
      <c r="CN120" s="178">
        <v>5343</v>
      </c>
      <c r="CS120" s="178">
        <v>-4328</v>
      </c>
      <c r="CX120" s="169"/>
    </row>
    <row r="121" spans="2:102" x14ac:dyDescent="0.2">
      <c r="B121" s="171" t="s">
        <v>308</v>
      </c>
      <c r="G121" s="168"/>
      <c r="CD121" s="178">
        <v>4789</v>
      </c>
      <c r="CI121" s="178">
        <v>10544</v>
      </c>
      <c r="CN121" s="178">
        <v>-8548</v>
      </c>
      <c r="CS121" s="178">
        <v>1128</v>
      </c>
      <c r="CX121" s="169"/>
    </row>
    <row r="122" spans="2:102" x14ac:dyDescent="0.2">
      <c r="B122" s="13"/>
      <c r="C122" s="174"/>
      <c r="D122" s="174"/>
      <c r="E122" s="174"/>
      <c r="F122" s="174"/>
      <c r="G122" s="173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  <c r="AA122" s="174"/>
      <c r="AB122" s="174"/>
      <c r="AC122" s="174"/>
      <c r="AD122" s="174"/>
      <c r="AE122" s="174"/>
      <c r="AF122" s="174"/>
      <c r="AG122" s="174"/>
      <c r="AH122" s="174"/>
      <c r="AI122" s="174"/>
      <c r="AJ122" s="174"/>
      <c r="AK122" s="174"/>
      <c r="AL122" s="174"/>
      <c r="AM122" s="174"/>
      <c r="AN122" s="174"/>
      <c r="AO122" s="174"/>
      <c r="AP122" s="174"/>
      <c r="AQ122" s="174"/>
      <c r="AR122" s="174"/>
      <c r="AS122" s="174"/>
      <c r="AT122" s="174"/>
      <c r="AU122" s="174"/>
      <c r="AV122" s="174"/>
      <c r="AW122" s="174"/>
      <c r="AX122" s="174"/>
      <c r="AY122" s="174"/>
      <c r="AZ122" s="174"/>
      <c r="BA122" s="174"/>
      <c r="BB122" s="174"/>
      <c r="BC122" s="174"/>
      <c r="BD122" s="174"/>
      <c r="BE122" s="174"/>
      <c r="BF122" s="174"/>
      <c r="BG122" s="174"/>
      <c r="BH122" s="174"/>
      <c r="BI122" s="174"/>
      <c r="BJ122" s="174"/>
      <c r="BK122" s="174"/>
      <c r="BL122" s="174"/>
      <c r="BM122" s="174"/>
      <c r="BN122" s="174"/>
      <c r="BO122" s="174"/>
      <c r="BP122" s="174"/>
      <c r="BQ122" s="174"/>
      <c r="BR122" s="174"/>
      <c r="BS122" s="174"/>
      <c r="BT122" s="174"/>
      <c r="BU122" s="174"/>
      <c r="BV122" s="174"/>
      <c r="BW122" s="174"/>
      <c r="BX122" s="174"/>
      <c r="BY122" s="174"/>
      <c r="BZ122" s="174"/>
      <c r="CA122" s="174"/>
      <c r="CB122" s="174"/>
      <c r="CC122" s="174"/>
      <c r="CD122" s="174"/>
      <c r="CE122" s="174"/>
      <c r="CF122" s="174"/>
      <c r="CG122" s="174"/>
      <c r="CH122" s="174"/>
      <c r="CI122" s="174"/>
      <c r="CJ122" s="174"/>
      <c r="CK122" s="174"/>
      <c r="CL122" s="174"/>
      <c r="CM122" s="174"/>
      <c r="CN122" s="174"/>
      <c r="CO122" s="174"/>
      <c r="CP122" s="174"/>
      <c r="CQ122" s="174"/>
      <c r="CR122" s="174"/>
      <c r="CS122" s="174"/>
      <c r="CT122" s="174"/>
      <c r="CU122" s="174"/>
      <c r="CV122" s="174"/>
      <c r="CW122" s="174"/>
      <c r="CX122" s="175"/>
    </row>
    <row r="123" spans="2:102" x14ac:dyDescent="0.2">
      <c r="B123" s="172" t="s">
        <v>309</v>
      </c>
      <c r="G123" s="168"/>
      <c r="CX123" s="169"/>
    </row>
    <row r="124" spans="2:102" x14ac:dyDescent="0.2">
      <c r="B124" s="183"/>
      <c r="C124" s="187"/>
      <c r="D124" s="187"/>
      <c r="E124" s="187"/>
      <c r="F124" s="187"/>
      <c r="G124" s="189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  <c r="X124" s="187"/>
      <c r="Y124" s="187"/>
      <c r="Z124" s="187"/>
      <c r="AA124" s="187"/>
      <c r="AB124" s="187"/>
      <c r="AC124" s="187"/>
      <c r="AD124" s="187"/>
      <c r="AE124" s="187"/>
      <c r="AF124" s="187"/>
      <c r="AG124" s="187"/>
      <c r="AH124" s="187"/>
      <c r="AI124" s="187"/>
      <c r="AJ124" s="187"/>
      <c r="AK124" s="187"/>
      <c r="AL124" s="187"/>
      <c r="AM124" s="187"/>
      <c r="AN124" s="187"/>
      <c r="AO124" s="187"/>
      <c r="AP124" s="187"/>
      <c r="AQ124" s="187"/>
      <c r="AR124" s="187"/>
      <c r="AS124" s="187"/>
      <c r="AT124" s="187"/>
      <c r="AU124" s="187"/>
      <c r="AV124" s="187"/>
      <c r="AW124" s="187"/>
      <c r="AX124" s="187"/>
      <c r="AY124" s="187"/>
      <c r="AZ124" s="187"/>
      <c r="BA124" s="187"/>
      <c r="BB124" s="187"/>
      <c r="BC124" s="187"/>
      <c r="BD124" s="187"/>
      <c r="BE124" s="187"/>
      <c r="BF124" s="187"/>
      <c r="BG124" s="187"/>
      <c r="BH124" s="187"/>
      <c r="BI124" s="187"/>
      <c r="BJ124" s="187"/>
      <c r="BK124" s="187"/>
      <c r="BL124" s="187"/>
      <c r="BM124" s="187"/>
      <c r="BN124" s="187"/>
      <c r="BO124" s="187"/>
      <c r="BP124" s="187"/>
      <c r="BQ124" s="187"/>
      <c r="BR124" s="187"/>
      <c r="BS124" s="187"/>
      <c r="BT124" s="187"/>
      <c r="BU124" s="187"/>
      <c r="BV124" s="187"/>
      <c r="BW124" s="187"/>
      <c r="BX124" s="187"/>
      <c r="BY124" s="187"/>
      <c r="BZ124" s="187"/>
      <c r="CA124" s="187"/>
      <c r="CB124" s="187"/>
      <c r="CC124" s="187"/>
      <c r="CD124" s="187"/>
      <c r="CE124" s="187"/>
      <c r="CF124" s="187"/>
      <c r="CG124" s="187"/>
      <c r="CH124" s="187"/>
      <c r="CI124" s="187"/>
      <c r="CJ124" s="187"/>
      <c r="CK124" s="187"/>
      <c r="CL124" s="187"/>
      <c r="CM124" s="187"/>
      <c r="CN124" s="187"/>
      <c r="CO124" s="187"/>
      <c r="CP124" s="187"/>
      <c r="CQ124" s="187"/>
      <c r="CR124" s="187"/>
      <c r="CS124" s="187"/>
      <c r="CT124" s="187"/>
      <c r="CU124" s="187"/>
      <c r="CV124" s="187"/>
      <c r="CW124" s="187"/>
      <c r="CX124" s="188"/>
    </row>
    <row r="125" spans="2:102" x14ac:dyDescent="0.2">
      <c r="B125" s="171" t="s">
        <v>310</v>
      </c>
      <c r="G125" s="168"/>
      <c r="CD125" s="178">
        <v>-3122</v>
      </c>
      <c r="CI125" s="178">
        <v>-3204</v>
      </c>
      <c r="CN125" s="178">
        <v>-1117</v>
      </c>
      <c r="CS125" s="178">
        <v>-5732</v>
      </c>
      <c r="CX125" s="169"/>
    </row>
    <row r="126" spans="2:102" x14ac:dyDescent="0.2">
      <c r="B126" s="171" t="s">
        <v>280</v>
      </c>
      <c r="G126" s="168"/>
      <c r="CD126">
        <v>6</v>
      </c>
      <c r="CI126" s="178">
        <v>-1597</v>
      </c>
      <c r="CN126">
        <v>-347</v>
      </c>
      <c r="CS126">
        <v>737</v>
      </c>
      <c r="CX126" s="169"/>
    </row>
    <row r="127" spans="2:102" x14ac:dyDescent="0.2">
      <c r="B127" s="171" t="s">
        <v>279</v>
      </c>
      <c r="G127" s="168"/>
      <c r="CD127" s="178">
        <v>-1260</v>
      </c>
      <c r="CI127" s="178">
        <v>-1140</v>
      </c>
      <c r="CN127" s="178">
        <v>-2606</v>
      </c>
      <c r="CS127" s="178">
        <v>1062</v>
      </c>
      <c r="CX127" s="169"/>
    </row>
    <row r="128" spans="2:102" x14ac:dyDescent="0.2">
      <c r="B128" s="171" t="s">
        <v>311</v>
      </c>
      <c r="G128" s="168"/>
      <c r="CD128" s="178">
        <v>-238778</v>
      </c>
      <c r="CI128" s="178">
        <v>-233068</v>
      </c>
      <c r="CN128" s="178">
        <v>-354124</v>
      </c>
      <c r="CS128" s="178">
        <v>-164926</v>
      </c>
      <c r="CX128" s="169"/>
    </row>
    <row r="129" spans="2:102" x14ac:dyDescent="0.2">
      <c r="B129" s="171"/>
      <c r="G129" s="168"/>
      <c r="CX129" s="169"/>
    </row>
    <row r="130" spans="2:102" x14ac:dyDescent="0.2">
      <c r="B130" s="3" t="s">
        <v>312</v>
      </c>
      <c r="C130" s="170"/>
      <c r="D130" s="12"/>
      <c r="E130" s="12"/>
      <c r="F130" s="167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79">
        <f>SUM(CD97:CD128)</f>
        <v>109411</v>
      </c>
      <c r="CE130" s="179">
        <f t="shared" ref="CE130:CS130" si="12">SUM(CE97:CE128)</f>
        <v>0</v>
      </c>
      <c r="CF130" s="179">
        <f t="shared" si="12"/>
        <v>0</v>
      </c>
      <c r="CG130" s="179">
        <f t="shared" si="12"/>
        <v>0</v>
      </c>
      <c r="CH130" s="179">
        <f t="shared" si="12"/>
        <v>0</v>
      </c>
      <c r="CI130" s="179">
        <f t="shared" si="12"/>
        <v>333607</v>
      </c>
      <c r="CJ130" s="179">
        <f t="shared" si="12"/>
        <v>0</v>
      </c>
      <c r="CK130" s="179">
        <f t="shared" si="12"/>
        <v>0</v>
      </c>
      <c r="CL130" s="179">
        <f t="shared" si="12"/>
        <v>0</v>
      </c>
      <c r="CM130" s="179">
        <f t="shared" si="12"/>
        <v>0</v>
      </c>
      <c r="CN130" s="179">
        <f t="shared" si="12"/>
        <v>453701</v>
      </c>
      <c r="CO130" s="179">
        <f t="shared" si="12"/>
        <v>0</v>
      </c>
      <c r="CP130" s="179">
        <f t="shared" si="12"/>
        <v>0</v>
      </c>
      <c r="CQ130" s="179">
        <f t="shared" si="12"/>
        <v>0</v>
      </c>
      <c r="CR130" s="179">
        <f t="shared" si="12"/>
        <v>0</v>
      </c>
      <c r="CS130" s="179">
        <f t="shared" si="12"/>
        <v>196689</v>
      </c>
      <c r="CT130" s="12"/>
      <c r="CU130" s="12"/>
      <c r="CV130" s="12"/>
      <c r="CW130" s="12"/>
      <c r="CX130" s="12"/>
    </row>
    <row r="131" spans="2:102" x14ac:dyDescent="0.2">
      <c r="B131" s="171"/>
      <c r="G131" s="168"/>
      <c r="CX131" s="169"/>
    </row>
    <row r="132" spans="2:102" x14ac:dyDescent="0.2">
      <c r="B132" s="171" t="s">
        <v>313</v>
      </c>
      <c r="G132" s="168"/>
      <c r="CD132" s="178">
        <v>-103346</v>
      </c>
      <c r="CI132" s="178">
        <v>-121955</v>
      </c>
      <c r="CN132" s="178">
        <v>-131766</v>
      </c>
      <c r="CS132" s="178">
        <v>-54263</v>
      </c>
      <c r="CX132" s="169"/>
    </row>
    <row r="133" spans="2:102" x14ac:dyDescent="0.2">
      <c r="B133" s="171" t="s">
        <v>314</v>
      </c>
      <c r="G133" s="168"/>
      <c r="CD133" s="177" t="s">
        <v>234</v>
      </c>
      <c r="CI133" s="178">
        <v>-1152</v>
      </c>
      <c r="CN133" s="178">
        <v>-8571</v>
      </c>
      <c r="CS133">
        <v>-385</v>
      </c>
      <c r="CX133" s="169"/>
    </row>
    <row r="134" spans="2:102" x14ac:dyDescent="0.2">
      <c r="B134" s="171" t="s">
        <v>315</v>
      </c>
      <c r="G134" s="168"/>
      <c r="CD134">
        <v>278</v>
      </c>
      <c r="CI134">
        <v>840</v>
      </c>
      <c r="CN134" s="178">
        <v>1073</v>
      </c>
      <c r="CS134">
        <v>660</v>
      </c>
      <c r="CX134" s="169"/>
    </row>
    <row r="135" spans="2:102" x14ac:dyDescent="0.2">
      <c r="B135" s="171" t="s">
        <v>316</v>
      </c>
      <c r="G135" s="168"/>
      <c r="CD135">
        <v>154</v>
      </c>
      <c r="CI135" s="178">
        <v>141</v>
      </c>
      <c r="CN135" s="178">
        <v>143</v>
      </c>
      <c r="CS135">
        <v>432</v>
      </c>
      <c r="CX135" s="169"/>
    </row>
    <row r="136" spans="2:102" x14ac:dyDescent="0.2">
      <c r="B136" s="171" t="s">
        <v>317</v>
      </c>
      <c r="G136" s="168"/>
      <c r="CD136">
        <v>744</v>
      </c>
      <c r="CI136" s="178">
        <v>1167</v>
      </c>
      <c r="CN136" s="178">
        <v>2942</v>
      </c>
      <c r="CS136" s="178">
        <v>2463</v>
      </c>
      <c r="CX136" s="169"/>
    </row>
    <row r="137" spans="2:102" x14ac:dyDescent="0.2">
      <c r="B137" s="171" t="s">
        <v>318</v>
      </c>
      <c r="G137" s="168"/>
      <c r="CD137" s="178">
        <v>-5160</v>
      </c>
      <c r="CI137" s="177" t="s">
        <v>234</v>
      </c>
      <c r="CN137" s="177" t="s">
        <v>234</v>
      </c>
      <c r="CS137" s="177" t="s">
        <v>234</v>
      </c>
      <c r="CX137" s="169"/>
    </row>
    <row r="138" spans="2:102" x14ac:dyDescent="0.2">
      <c r="B138" s="171" t="s">
        <v>319</v>
      </c>
      <c r="G138" s="168"/>
      <c r="CD138" s="178">
        <v>-5325</v>
      </c>
      <c r="CI138" s="178">
        <v>-3546</v>
      </c>
      <c r="CN138" s="178">
        <v>-401</v>
      </c>
      <c r="CS138">
        <v>-321</v>
      </c>
      <c r="CX138" s="169"/>
    </row>
    <row r="139" spans="2:102" x14ac:dyDescent="0.2">
      <c r="B139" s="171" t="s">
        <v>320</v>
      </c>
      <c r="G139" s="168"/>
      <c r="CD139">
        <v>-829</v>
      </c>
      <c r="CI139" s="178">
        <v>-476</v>
      </c>
      <c r="CN139" s="178">
        <v>-615</v>
      </c>
      <c r="CS139">
        <v>-607</v>
      </c>
      <c r="CX139" s="169"/>
    </row>
    <row r="140" spans="2:102" x14ac:dyDescent="0.2">
      <c r="B140" s="171" t="s">
        <v>321</v>
      </c>
      <c r="G140" s="168"/>
      <c r="CD140" s="178">
        <v>-3416</v>
      </c>
      <c r="CI140" s="178">
        <v>6352</v>
      </c>
      <c r="CN140" s="178">
        <v>5990</v>
      </c>
      <c r="CS140" s="178">
        <v>-45258</v>
      </c>
      <c r="CX140" s="169"/>
    </row>
    <row r="141" spans="2:102" x14ac:dyDescent="0.2">
      <c r="B141" s="171"/>
      <c r="G141" s="168"/>
      <c r="CX141" s="169"/>
    </row>
    <row r="142" spans="2:102" x14ac:dyDescent="0.2">
      <c r="B142" s="3" t="s">
        <v>322</v>
      </c>
      <c r="C142" s="170"/>
      <c r="D142" s="12"/>
      <c r="E142" s="12"/>
      <c r="F142" s="167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79">
        <f>SUM(CD132:CD140)</f>
        <v>-116900</v>
      </c>
      <c r="CE142" s="179">
        <f t="shared" ref="CE142:CS142" si="13">SUM(CE132:CE140)</f>
        <v>0</v>
      </c>
      <c r="CF142" s="179">
        <f t="shared" si="13"/>
        <v>0</v>
      </c>
      <c r="CG142" s="179">
        <f t="shared" si="13"/>
        <v>0</v>
      </c>
      <c r="CH142" s="179">
        <f t="shared" si="13"/>
        <v>0</v>
      </c>
      <c r="CI142" s="179">
        <f t="shared" si="13"/>
        <v>-118629</v>
      </c>
      <c r="CJ142" s="179">
        <f t="shared" si="13"/>
        <v>0</v>
      </c>
      <c r="CK142" s="179">
        <f t="shared" si="13"/>
        <v>0</v>
      </c>
      <c r="CL142" s="179">
        <f t="shared" si="13"/>
        <v>0</v>
      </c>
      <c r="CM142" s="179">
        <f t="shared" si="13"/>
        <v>0</v>
      </c>
      <c r="CN142" s="179">
        <f t="shared" si="13"/>
        <v>-131205</v>
      </c>
      <c r="CO142" s="179">
        <f t="shared" si="13"/>
        <v>0</v>
      </c>
      <c r="CP142" s="179">
        <f t="shared" si="13"/>
        <v>0</v>
      </c>
      <c r="CQ142" s="179">
        <f t="shared" si="13"/>
        <v>0</v>
      </c>
      <c r="CR142" s="179">
        <f t="shared" si="13"/>
        <v>0</v>
      </c>
      <c r="CS142" s="179">
        <f t="shared" si="13"/>
        <v>-97279</v>
      </c>
      <c r="CT142" s="12"/>
      <c r="CU142" s="12"/>
      <c r="CV142" s="12"/>
      <c r="CW142" s="12"/>
      <c r="CX142" s="12"/>
    </row>
    <row r="143" spans="2:102" x14ac:dyDescent="0.2">
      <c r="B143" s="171"/>
      <c r="G143" s="168"/>
      <c r="CX143" s="169"/>
    </row>
    <row r="144" spans="2:102" x14ac:dyDescent="0.2">
      <c r="B144" s="171" t="s">
        <v>323</v>
      </c>
      <c r="G144" s="168"/>
      <c r="CD144" s="177" t="s">
        <v>234</v>
      </c>
      <c r="CI144" s="177" t="s">
        <v>234</v>
      </c>
      <c r="CN144" s="178">
        <v>-217500</v>
      </c>
      <c r="CS144" s="178">
        <v>-173963</v>
      </c>
      <c r="CX144" s="169"/>
    </row>
    <row r="145" spans="2:102" x14ac:dyDescent="0.2">
      <c r="B145" s="171" t="s">
        <v>324</v>
      </c>
      <c r="G145" s="168"/>
      <c r="CD145" s="178">
        <v>-11250</v>
      </c>
      <c r="CI145" s="178">
        <v>-187849</v>
      </c>
      <c r="CN145" s="177" t="s">
        <v>234</v>
      </c>
      <c r="CS145" s="177" t="s">
        <v>234</v>
      </c>
      <c r="CX145" s="169"/>
    </row>
    <row r="146" spans="2:102" x14ac:dyDescent="0.2">
      <c r="B146" s="171" t="s">
        <v>325</v>
      </c>
      <c r="G146" s="168"/>
      <c r="CD146">
        <v>-371</v>
      </c>
      <c r="CI146" s="178">
        <v>-1091</v>
      </c>
      <c r="CN146">
        <v>-902</v>
      </c>
      <c r="CS146">
        <v>-22</v>
      </c>
      <c r="CX146" s="169"/>
    </row>
    <row r="147" spans="2:102" x14ac:dyDescent="0.2">
      <c r="B147" s="171" t="s">
        <v>326</v>
      </c>
      <c r="G147" s="168"/>
      <c r="CD147" s="178">
        <v>-1121</v>
      </c>
      <c r="CI147" s="178">
        <v>-1795</v>
      </c>
      <c r="CN147" s="178">
        <v>-2748</v>
      </c>
      <c r="CS147" s="178">
        <v>-2376</v>
      </c>
      <c r="CX147" s="169"/>
    </row>
    <row r="148" spans="2:102" x14ac:dyDescent="0.2">
      <c r="B148" s="171" t="s">
        <v>327</v>
      </c>
      <c r="G148" s="168"/>
      <c r="CD148" s="178">
        <v>18007</v>
      </c>
      <c r="CI148" s="178">
        <v>20245</v>
      </c>
      <c r="CN148" s="178">
        <v>11660</v>
      </c>
      <c r="CS148" s="178">
        <v>47963</v>
      </c>
      <c r="CX148" s="169"/>
    </row>
    <row r="149" spans="2:102" x14ac:dyDescent="0.2">
      <c r="B149" s="171" t="s">
        <v>328</v>
      </c>
      <c r="G149" s="168"/>
      <c r="CD149" s="178">
        <v>-3244</v>
      </c>
      <c r="CI149" s="178">
        <v>-11321</v>
      </c>
      <c r="CN149" s="178">
        <v>-11096</v>
      </c>
      <c r="CS149" s="178">
        <v>-5939</v>
      </c>
      <c r="CX149" s="169"/>
    </row>
    <row r="150" spans="2:102" x14ac:dyDescent="0.2">
      <c r="B150" s="171"/>
      <c r="G150" s="168"/>
      <c r="CX150" s="169"/>
    </row>
    <row r="151" spans="2:102" x14ac:dyDescent="0.2">
      <c r="B151" s="3" t="s">
        <v>329</v>
      </c>
      <c r="C151" s="170"/>
      <c r="D151" s="12"/>
      <c r="E151" s="12"/>
      <c r="F151" s="167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84">
        <f>SUM(CD144:CD149)</f>
        <v>2021</v>
      </c>
      <c r="CE151" s="184">
        <f t="shared" ref="CE151:CW151" si="14">SUM(CE144:CE149)</f>
        <v>0</v>
      </c>
      <c r="CF151" s="184">
        <f t="shared" si="14"/>
        <v>0</v>
      </c>
      <c r="CG151" s="184">
        <f t="shared" si="14"/>
        <v>0</v>
      </c>
      <c r="CH151" s="184">
        <f t="shared" si="14"/>
        <v>0</v>
      </c>
      <c r="CI151" s="184">
        <f t="shared" si="14"/>
        <v>-181811</v>
      </c>
      <c r="CJ151" s="184">
        <f t="shared" si="14"/>
        <v>0</v>
      </c>
      <c r="CK151" s="184">
        <f t="shared" si="14"/>
        <v>0</v>
      </c>
      <c r="CL151" s="184">
        <f t="shared" si="14"/>
        <v>0</v>
      </c>
      <c r="CM151" s="184">
        <f t="shared" si="14"/>
        <v>0</v>
      </c>
      <c r="CN151" s="184">
        <f t="shared" si="14"/>
        <v>-220586</v>
      </c>
      <c r="CO151" s="184">
        <f t="shared" si="14"/>
        <v>0</v>
      </c>
      <c r="CP151" s="184">
        <f t="shared" si="14"/>
        <v>0</v>
      </c>
      <c r="CQ151" s="184">
        <f t="shared" si="14"/>
        <v>0</v>
      </c>
      <c r="CR151" s="184">
        <f t="shared" si="14"/>
        <v>0</v>
      </c>
      <c r="CS151" s="184">
        <f t="shared" si="14"/>
        <v>-134337</v>
      </c>
      <c r="CT151" s="12">
        <f t="shared" si="14"/>
        <v>0</v>
      </c>
      <c r="CU151" s="12">
        <f t="shared" si="14"/>
        <v>0</v>
      </c>
      <c r="CV151" s="12">
        <f t="shared" si="14"/>
        <v>0</v>
      </c>
      <c r="CW151" s="12">
        <f t="shared" si="14"/>
        <v>0</v>
      </c>
      <c r="CX151" s="12"/>
    </row>
    <row r="152" spans="2:102" x14ac:dyDescent="0.2">
      <c r="B152" s="172"/>
      <c r="G152" s="168"/>
      <c r="CX152" s="169"/>
    </row>
    <row r="153" spans="2:102" x14ac:dyDescent="0.2">
      <c r="B153" s="3" t="s">
        <v>330</v>
      </c>
      <c r="C153" s="170"/>
      <c r="D153" s="12"/>
      <c r="E153" s="12"/>
      <c r="F153" s="167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79">
        <v>-5468</v>
      </c>
      <c r="CE153" s="184"/>
      <c r="CF153" s="184"/>
      <c r="CG153" s="184"/>
      <c r="CH153" s="184"/>
      <c r="CI153" s="179">
        <v>33167</v>
      </c>
      <c r="CJ153" s="184"/>
      <c r="CK153" s="184"/>
      <c r="CL153" s="184"/>
      <c r="CM153" s="184"/>
      <c r="CN153" s="179">
        <v>101910</v>
      </c>
      <c r="CO153" s="184"/>
      <c r="CP153" s="184"/>
      <c r="CQ153" s="184"/>
      <c r="CR153" s="184"/>
      <c r="CS153" s="179">
        <v>-34927</v>
      </c>
      <c r="CT153" s="12"/>
      <c r="CU153" s="12"/>
      <c r="CV153" s="12"/>
      <c r="CW153" s="12"/>
      <c r="CX153" s="12"/>
    </row>
    <row r="154" spans="2:102" x14ac:dyDescent="0.2">
      <c r="B154" s="171"/>
      <c r="G154" s="168"/>
      <c r="CX154" s="169"/>
    </row>
    <row r="155" spans="2:102" x14ac:dyDescent="0.2">
      <c r="B155" s="171" t="s">
        <v>331</v>
      </c>
      <c r="G155" s="168"/>
      <c r="CD155" s="178">
        <v>53543</v>
      </c>
      <c r="CI155" s="178">
        <v>48075</v>
      </c>
      <c r="CN155" s="178">
        <v>81242</v>
      </c>
      <c r="CS155" s="178">
        <v>183152</v>
      </c>
      <c r="CX155" s="169"/>
    </row>
    <row r="156" spans="2:102" x14ac:dyDescent="0.2">
      <c r="B156" s="171"/>
      <c r="G156" s="168"/>
      <c r="CX156" s="169"/>
    </row>
    <row r="157" spans="2:102" x14ac:dyDescent="0.2">
      <c r="B157" s="3" t="s">
        <v>332</v>
      </c>
      <c r="C157" s="170"/>
      <c r="D157" s="12"/>
      <c r="E157" s="12"/>
      <c r="F157" s="167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79">
        <f>CD155+CD153</f>
        <v>48075</v>
      </c>
      <c r="CE157" s="179">
        <f t="shared" ref="CE157:CS157" si="15">CE155+CE153</f>
        <v>0</v>
      </c>
      <c r="CF157" s="179">
        <f t="shared" si="15"/>
        <v>0</v>
      </c>
      <c r="CG157" s="179">
        <f t="shared" si="15"/>
        <v>0</v>
      </c>
      <c r="CH157" s="179">
        <f t="shared" si="15"/>
        <v>0</v>
      </c>
      <c r="CI157" s="179">
        <f t="shared" si="15"/>
        <v>81242</v>
      </c>
      <c r="CJ157" s="179">
        <f t="shared" si="15"/>
        <v>0</v>
      </c>
      <c r="CK157" s="179">
        <f t="shared" si="15"/>
        <v>0</v>
      </c>
      <c r="CL157" s="179">
        <f t="shared" si="15"/>
        <v>0</v>
      </c>
      <c r="CM157" s="179">
        <f t="shared" si="15"/>
        <v>0</v>
      </c>
      <c r="CN157" s="179">
        <f t="shared" si="15"/>
        <v>183152</v>
      </c>
      <c r="CO157" s="179">
        <f t="shared" si="15"/>
        <v>0</v>
      </c>
      <c r="CP157" s="179">
        <f t="shared" si="15"/>
        <v>0</v>
      </c>
      <c r="CQ157" s="179">
        <f t="shared" si="15"/>
        <v>0</v>
      </c>
      <c r="CR157" s="179">
        <f t="shared" si="15"/>
        <v>0</v>
      </c>
      <c r="CS157" s="179">
        <f t="shared" si="15"/>
        <v>148225</v>
      </c>
      <c r="CT157" s="12"/>
      <c r="CU157" s="12"/>
      <c r="CV157" s="12"/>
      <c r="CW157" s="12"/>
      <c r="CX157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A1C5-1476-4B92-93B6-9C149D14869E}">
  <sheetPr>
    <tabColor theme="1"/>
  </sheetPr>
  <dimension ref="D12"/>
  <sheetViews>
    <sheetView workbookViewId="0">
      <selection activeCell="K24" sqref="K24"/>
    </sheetView>
  </sheetViews>
  <sheetFormatPr baseColWidth="10" defaultColWidth="9.1640625" defaultRowHeight="15" x14ac:dyDescent="0.2"/>
  <cols>
    <col min="1" max="16384" width="9.1640625" style="166"/>
  </cols>
  <sheetData>
    <row r="12" spans="4:4" x14ac:dyDescent="0.2">
      <c r="D12" s="166" t="s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J26" sqref="J2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I31"/>
  <sheetViews>
    <sheetView workbookViewId="0">
      <selection activeCell="B1" sqref="B1"/>
    </sheetView>
  </sheetViews>
  <sheetFormatPr baseColWidth="10" defaultColWidth="9.1640625" defaultRowHeight="15" x14ac:dyDescent="0.2"/>
  <cols>
    <col min="1" max="1" width="20" bestFit="1" customWidth="1"/>
    <col min="2" max="2" width="10.5" customWidth="1"/>
    <col min="3" max="4" width="8.83203125"/>
    <col min="5" max="5" width="10.6640625" customWidth="1"/>
    <col min="6" max="6" width="13.5" bestFit="1" customWidth="1"/>
    <col min="7" max="9" width="8.83203125" customWidth="1"/>
  </cols>
  <sheetData>
    <row r="3" spans="1:9" s="160" customFormat="1" x14ac:dyDescent="0.2">
      <c r="A3" s="44" t="s">
        <v>333</v>
      </c>
      <c r="B3" s="43">
        <v>2011</v>
      </c>
      <c r="C3" s="43">
        <f>B3+1</f>
        <v>2012</v>
      </c>
      <c r="D3" s="43">
        <f>C3+1</f>
        <v>2013</v>
      </c>
      <c r="E3" s="43">
        <f>D3+1</f>
        <v>2014</v>
      </c>
      <c r="F3" s="43">
        <v>2015</v>
      </c>
      <c r="G3" s="43">
        <v>2016</v>
      </c>
      <c r="H3" s="43">
        <v>2017</v>
      </c>
      <c r="I3" s="157">
        <v>2018</v>
      </c>
    </row>
    <row r="4" spans="1:9" x14ac:dyDescent="0.2">
      <c r="A4" t="s">
        <v>334</v>
      </c>
    </row>
    <row r="5" spans="1:9" x14ac:dyDescent="0.2">
      <c r="A5" t="s">
        <v>335</v>
      </c>
    </row>
    <row r="6" spans="1:9" x14ac:dyDescent="0.2">
      <c r="A6" t="s">
        <v>336</v>
      </c>
    </row>
    <row r="7" spans="1:9" x14ac:dyDescent="0.2">
      <c r="A7" t="s">
        <v>337</v>
      </c>
    </row>
    <row r="8" spans="1:9" x14ac:dyDescent="0.2">
      <c r="A8" t="s">
        <v>338</v>
      </c>
    </row>
    <row r="9" spans="1:9" x14ac:dyDescent="0.2">
      <c r="A9" t="s">
        <v>339</v>
      </c>
    </row>
    <row r="10" spans="1:9" x14ac:dyDescent="0.2">
      <c r="A10" t="s">
        <v>340</v>
      </c>
    </row>
    <row r="11" spans="1:9" s="1" customFormat="1" ht="16" thickBot="1" x14ac:dyDescent="0.25">
      <c r="A11" s="15" t="s">
        <v>341</v>
      </c>
      <c r="B11" s="15">
        <f>SUM(B4:B10)</f>
        <v>0</v>
      </c>
      <c r="C11" s="15">
        <f>SUM(C4:C10)</f>
        <v>0</v>
      </c>
      <c r="D11" s="15">
        <f>SUM(D4:D10)</f>
        <v>0</v>
      </c>
      <c r="E11" s="15">
        <f>SUM(E4:E10)</f>
        <v>0</v>
      </c>
      <c r="F11" s="15"/>
      <c r="G11" s="15"/>
      <c r="H11" s="15"/>
      <c r="I11" s="15"/>
    </row>
    <row r="12" spans="1:9" x14ac:dyDescent="0.2">
      <c r="A12" s="1"/>
      <c r="B12" s="1"/>
      <c r="C12" s="1"/>
      <c r="D12" s="1"/>
      <c r="E12" s="1"/>
      <c r="F12" s="16"/>
      <c r="G12" s="16"/>
      <c r="H12" s="16"/>
      <c r="I12" s="16"/>
    </row>
    <row r="13" spans="1:9" s="161" customFormat="1" x14ac:dyDescent="0.2">
      <c r="A13" s="35" t="s">
        <v>342</v>
      </c>
      <c r="B13" s="35"/>
      <c r="C13" s="35">
        <v>2012</v>
      </c>
      <c r="D13" s="35">
        <v>2013</v>
      </c>
      <c r="E13" s="35">
        <v>2014</v>
      </c>
      <c r="F13" s="38"/>
      <c r="G13" s="34"/>
      <c r="H13" s="34"/>
      <c r="I13" s="158"/>
    </row>
    <row r="14" spans="1:9" s="37" customFormat="1" x14ac:dyDescent="0.2">
      <c r="A14" s="41" t="s">
        <v>334</v>
      </c>
      <c r="B14" s="41"/>
      <c r="C14" s="41" t="e">
        <f t="shared" ref="C14:E20" si="0">C4/B4-1</f>
        <v>#DIV/0!</v>
      </c>
      <c r="D14" s="41" t="e">
        <f t="shared" si="0"/>
        <v>#DIV/0!</v>
      </c>
      <c r="E14" s="41" t="e">
        <f t="shared" si="0"/>
        <v>#DIV/0!</v>
      </c>
      <c r="F14" s="36"/>
      <c r="G14" s="41"/>
      <c r="H14" s="41"/>
      <c r="I14" s="41"/>
    </row>
    <row r="15" spans="1:9" s="37" customFormat="1" x14ac:dyDescent="0.2">
      <c r="A15" s="41" t="s">
        <v>335</v>
      </c>
      <c r="B15" s="41"/>
      <c r="C15" s="41" t="e">
        <f t="shared" si="0"/>
        <v>#DIV/0!</v>
      </c>
      <c r="D15" s="41" t="e">
        <f t="shared" si="0"/>
        <v>#DIV/0!</v>
      </c>
      <c r="E15" s="41" t="e">
        <f t="shared" si="0"/>
        <v>#DIV/0!</v>
      </c>
      <c r="F15" s="36"/>
      <c r="G15" s="41"/>
      <c r="H15" s="41"/>
      <c r="I15" s="41"/>
    </row>
    <row r="16" spans="1:9" s="37" customFormat="1" x14ac:dyDescent="0.2">
      <c r="A16" s="41" t="s">
        <v>336</v>
      </c>
      <c r="B16" s="41"/>
      <c r="C16" s="41" t="e">
        <f t="shared" si="0"/>
        <v>#DIV/0!</v>
      </c>
      <c r="D16" s="41" t="e">
        <f t="shared" si="0"/>
        <v>#DIV/0!</v>
      </c>
      <c r="E16" s="41" t="e">
        <f t="shared" si="0"/>
        <v>#DIV/0!</v>
      </c>
      <c r="F16" s="36"/>
      <c r="G16" s="41"/>
      <c r="H16" s="41"/>
      <c r="I16" s="41"/>
    </row>
    <row r="17" spans="1:9" s="37" customFormat="1" x14ac:dyDescent="0.2">
      <c r="A17" s="41" t="s">
        <v>337</v>
      </c>
      <c r="B17" s="41"/>
      <c r="C17" s="41" t="e">
        <f t="shared" si="0"/>
        <v>#DIV/0!</v>
      </c>
      <c r="D17" s="41" t="e">
        <f t="shared" si="0"/>
        <v>#DIV/0!</v>
      </c>
      <c r="E17" s="41" t="e">
        <f t="shared" si="0"/>
        <v>#DIV/0!</v>
      </c>
      <c r="F17" s="36"/>
      <c r="G17" s="41"/>
      <c r="H17" s="41"/>
      <c r="I17" s="41"/>
    </row>
    <row r="18" spans="1:9" s="37" customFormat="1" x14ac:dyDescent="0.2">
      <c r="A18" s="41" t="s">
        <v>338</v>
      </c>
      <c r="B18" s="41"/>
      <c r="C18" s="41" t="e">
        <f t="shared" si="0"/>
        <v>#DIV/0!</v>
      </c>
      <c r="D18" s="41" t="e">
        <f t="shared" si="0"/>
        <v>#DIV/0!</v>
      </c>
      <c r="E18" s="41" t="e">
        <f t="shared" si="0"/>
        <v>#DIV/0!</v>
      </c>
      <c r="F18" s="36"/>
      <c r="G18" s="41"/>
      <c r="H18" s="41"/>
      <c r="I18" s="41"/>
    </row>
    <row r="19" spans="1:9" s="37" customFormat="1" x14ac:dyDescent="0.2">
      <c r="A19" s="41" t="s">
        <v>339</v>
      </c>
      <c r="B19" s="41"/>
      <c r="C19" s="41" t="e">
        <f t="shared" si="0"/>
        <v>#DIV/0!</v>
      </c>
      <c r="D19" s="41" t="e">
        <f t="shared" si="0"/>
        <v>#DIV/0!</v>
      </c>
      <c r="E19" s="41" t="e">
        <f t="shared" si="0"/>
        <v>#DIV/0!</v>
      </c>
      <c r="F19" s="36"/>
      <c r="G19" s="41"/>
      <c r="H19" s="41"/>
      <c r="I19" s="41"/>
    </row>
    <row r="20" spans="1:9" s="162" customFormat="1" x14ac:dyDescent="0.2">
      <c r="A20" s="42" t="s">
        <v>340</v>
      </c>
      <c r="B20" s="42"/>
      <c r="C20" s="42" t="e">
        <f t="shared" si="0"/>
        <v>#DIV/0!</v>
      </c>
      <c r="D20" s="42" t="e">
        <f t="shared" si="0"/>
        <v>#DIV/0!</v>
      </c>
      <c r="E20" s="42" t="e">
        <f t="shared" si="0"/>
        <v>#DIV/0!</v>
      </c>
      <c r="F20" s="42"/>
      <c r="G20" s="42"/>
      <c r="H20" s="42"/>
      <c r="I20" s="42"/>
    </row>
    <row r="21" spans="1:9" s="161" customFormat="1" x14ac:dyDescent="0.2">
      <c r="A21" s="35" t="s">
        <v>341</v>
      </c>
      <c r="B21" s="35"/>
      <c r="C21" s="35"/>
      <c r="D21" s="35"/>
      <c r="E21" s="35"/>
      <c r="F21" s="38"/>
      <c r="G21" s="34"/>
      <c r="H21" s="34"/>
      <c r="I21" s="158"/>
    </row>
    <row r="22" spans="1:9" x14ac:dyDescent="0.2">
      <c r="A22" s="16"/>
      <c r="B22" s="16"/>
      <c r="C22" s="16"/>
      <c r="D22" s="16"/>
      <c r="E22" s="16"/>
    </row>
    <row r="23" spans="1:9" s="163" customFormat="1" x14ac:dyDescent="0.2">
      <c r="A23" s="39" t="s">
        <v>343</v>
      </c>
      <c r="B23" s="39">
        <v>2011</v>
      </c>
      <c r="C23" s="39">
        <f>B23+1</f>
        <v>2012</v>
      </c>
      <c r="D23" s="39">
        <f>C23+1</f>
        <v>2013</v>
      </c>
      <c r="E23" s="39">
        <f>D23+1</f>
        <v>2014</v>
      </c>
      <c r="F23" s="39"/>
      <c r="G23" s="39"/>
      <c r="H23" s="39"/>
      <c r="I23" s="159"/>
    </row>
    <row r="24" spans="1:9" s="164" customFormat="1" x14ac:dyDescent="0.2">
      <c r="A24" s="18" t="s">
        <v>334</v>
      </c>
      <c r="B24" s="18" t="e">
        <f>B4/B11</f>
        <v>#DIV/0!</v>
      </c>
      <c r="C24" s="18" t="e">
        <f>C4/C11</f>
        <v>#DIV/0!</v>
      </c>
      <c r="D24" s="18" t="e">
        <f>D4/D11</f>
        <v>#DIV/0!</v>
      </c>
      <c r="E24" s="18" t="e">
        <f>E4/E11</f>
        <v>#DIV/0!</v>
      </c>
      <c r="F24" s="18"/>
      <c r="G24" s="18"/>
      <c r="H24" s="18"/>
      <c r="I24" s="18"/>
    </row>
    <row r="25" spans="1:9" s="164" customFormat="1" x14ac:dyDescent="0.2">
      <c r="A25" s="18" t="s">
        <v>335</v>
      </c>
      <c r="B25" s="18" t="e">
        <f>B5/B11</f>
        <v>#DIV/0!</v>
      </c>
      <c r="C25" s="18" t="e">
        <f>C5/C11</f>
        <v>#DIV/0!</v>
      </c>
      <c r="D25" s="18" t="e">
        <f>D5/D11</f>
        <v>#DIV/0!</v>
      </c>
      <c r="E25" s="18" t="e">
        <f>E5/E11</f>
        <v>#DIV/0!</v>
      </c>
      <c r="F25" s="18"/>
      <c r="G25" s="18"/>
      <c r="H25" s="18"/>
      <c r="I25" s="18"/>
    </row>
    <row r="26" spans="1:9" s="164" customFormat="1" x14ac:dyDescent="0.2">
      <c r="A26" s="18" t="s">
        <v>336</v>
      </c>
      <c r="B26" s="18" t="e">
        <f>B6/B11</f>
        <v>#DIV/0!</v>
      </c>
      <c r="C26" s="18" t="e">
        <f>C6/C11</f>
        <v>#DIV/0!</v>
      </c>
      <c r="D26" s="18" t="e">
        <f>D6/D11</f>
        <v>#DIV/0!</v>
      </c>
      <c r="E26" s="18" t="e">
        <f>E6/E11</f>
        <v>#DIV/0!</v>
      </c>
      <c r="F26" s="18"/>
      <c r="G26" s="18"/>
      <c r="H26" s="18"/>
      <c r="I26" s="18"/>
    </row>
    <row r="27" spans="1:9" s="164" customFormat="1" x14ac:dyDescent="0.2">
      <c r="A27" s="18" t="s">
        <v>337</v>
      </c>
      <c r="B27" s="18" t="e">
        <f>B7/B11</f>
        <v>#DIV/0!</v>
      </c>
      <c r="C27" s="18" t="e">
        <f>C7/C11</f>
        <v>#DIV/0!</v>
      </c>
      <c r="D27" s="18" t="e">
        <f>D7/D11</f>
        <v>#DIV/0!</v>
      </c>
      <c r="E27" s="18" t="e">
        <f>E7/E11</f>
        <v>#DIV/0!</v>
      </c>
      <c r="F27" s="18"/>
      <c r="G27" s="18"/>
      <c r="H27" s="18"/>
      <c r="I27" s="18"/>
    </row>
    <row r="28" spans="1:9" s="164" customFormat="1" x14ac:dyDescent="0.2">
      <c r="A28" s="18" t="s">
        <v>338</v>
      </c>
      <c r="B28" s="18" t="e">
        <f>B8/B11</f>
        <v>#DIV/0!</v>
      </c>
      <c r="C28" s="18" t="e">
        <f>C8/C11</f>
        <v>#DIV/0!</v>
      </c>
      <c r="D28" s="18" t="e">
        <f>D8/D11</f>
        <v>#DIV/0!</v>
      </c>
      <c r="E28" s="18" t="e">
        <f>E8/E11</f>
        <v>#DIV/0!</v>
      </c>
      <c r="F28" s="18"/>
      <c r="G28" s="18"/>
      <c r="H28" s="18"/>
      <c r="I28" s="18"/>
    </row>
    <row r="29" spans="1:9" s="164" customFormat="1" x14ac:dyDescent="0.2">
      <c r="A29" s="18" t="s">
        <v>339</v>
      </c>
      <c r="B29" s="18" t="e">
        <f>B9/B11</f>
        <v>#DIV/0!</v>
      </c>
      <c r="C29" s="18" t="e">
        <f>C9/C11</f>
        <v>#DIV/0!</v>
      </c>
      <c r="D29" s="18" t="e">
        <f>D9/D11</f>
        <v>#DIV/0!</v>
      </c>
      <c r="E29" s="18" t="e">
        <f>E9/E11</f>
        <v>#DIV/0!</v>
      </c>
      <c r="F29" s="18"/>
      <c r="G29" s="18"/>
      <c r="H29" s="18"/>
      <c r="I29" s="18"/>
    </row>
    <row r="30" spans="1:9" s="164" customFormat="1" x14ac:dyDescent="0.2">
      <c r="A30" s="18" t="s">
        <v>340</v>
      </c>
      <c r="B30" s="18" t="e">
        <f>B10/B11</f>
        <v>#DIV/0!</v>
      </c>
      <c r="C30" s="18" t="e">
        <f>C10/C11</f>
        <v>#DIV/0!</v>
      </c>
      <c r="D30" s="18" t="e">
        <f>D10/D11</f>
        <v>#DIV/0!</v>
      </c>
      <c r="E30" s="18" t="e">
        <f>E10/E11</f>
        <v>#DIV/0!</v>
      </c>
      <c r="F30" s="18"/>
      <c r="G30" s="18"/>
      <c r="H30" s="18"/>
      <c r="I30" s="18"/>
    </row>
    <row r="31" spans="1:9" s="165" customFormat="1" ht="16" thickBot="1" x14ac:dyDescent="0.25">
      <c r="A31" s="40" t="s">
        <v>341</v>
      </c>
      <c r="B31" s="40" t="e">
        <f>SUM(B24:B30)</f>
        <v>#DIV/0!</v>
      </c>
      <c r="C31" s="40" t="e">
        <f>SUM(C24:C30)</f>
        <v>#DIV/0!</v>
      </c>
      <c r="D31" s="40" t="e">
        <f>SUM(D24:D30)</f>
        <v>#DIV/0!</v>
      </c>
      <c r="E31" s="40" t="e">
        <f>SUM(E24:E30)</f>
        <v>#DIV/0!</v>
      </c>
      <c r="F31" s="40"/>
      <c r="G31" s="40"/>
      <c r="H31" s="40"/>
      <c r="I31" s="4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J19"/>
  <sheetViews>
    <sheetView zoomScale="81" zoomScaleNormal="81" workbookViewId="0">
      <selection activeCell="I30" sqref="I30"/>
    </sheetView>
  </sheetViews>
  <sheetFormatPr baseColWidth="10" defaultColWidth="8.83203125" defaultRowHeight="15" x14ac:dyDescent="0.2"/>
  <cols>
    <col min="1" max="1" width="38.1640625" customWidth="1"/>
    <col min="2" max="2" width="11" customWidth="1"/>
  </cols>
  <sheetData>
    <row r="3" spans="1:10" ht="18" x14ac:dyDescent="0.2">
      <c r="A3" s="45" t="s">
        <v>18</v>
      </c>
    </row>
    <row r="4" spans="1:10" s="46" customFormat="1" ht="18" x14ac:dyDescent="0.2">
      <c r="B4" s="46">
        <v>2012</v>
      </c>
      <c r="C4" s="46">
        <v>2013</v>
      </c>
      <c r="D4" s="46">
        <v>2014</v>
      </c>
      <c r="E4" s="46">
        <v>2015</v>
      </c>
      <c r="F4" s="46">
        <v>2016</v>
      </c>
      <c r="G4" s="46">
        <v>2017</v>
      </c>
      <c r="H4" s="46">
        <v>2018</v>
      </c>
      <c r="I4" s="46">
        <v>2019</v>
      </c>
      <c r="J4" s="46">
        <v>2020</v>
      </c>
    </row>
    <row r="5" spans="1:10" x14ac:dyDescent="0.2">
      <c r="A5" t="s">
        <v>344</v>
      </c>
      <c r="B5">
        <v>16.899999999999999</v>
      </c>
      <c r="C5">
        <v>14.7</v>
      </c>
      <c r="D5">
        <v>19.100000000000001</v>
      </c>
      <c r="E5">
        <v>20.7</v>
      </c>
      <c r="F5">
        <v>21.3</v>
      </c>
      <c r="G5">
        <v>21.9</v>
      </c>
      <c r="H5">
        <v>22.6</v>
      </c>
      <c r="I5">
        <v>23.3</v>
      </c>
      <c r="J5">
        <v>24</v>
      </c>
    </row>
    <row r="6" spans="1:10" x14ac:dyDescent="0.2">
      <c r="A6" t="s">
        <v>345</v>
      </c>
      <c r="B6">
        <v>8</v>
      </c>
      <c r="C6">
        <v>8.9</v>
      </c>
      <c r="D6">
        <v>10.5</v>
      </c>
      <c r="E6">
        <v>11.8</v>
      </c>
      <c r="F6">
        <v>12.3</v>
      </c>
      <c r="G6">
        <v>12.8</v>
      </c>
      <c r="H6">
        <v>13.3</v>
      </c>
      <c r="I6">
        <v>13.9</v>
      </c>
      <c r="J6">
        <v>14.5</v>
      </c>
    </row>
    <row r="7" spans="1:10" x14ac:dyDescent="0.2">
      <c r="A7" t="s">
        <v>346</v>
      </c>
      <c r="B7">
        <v>29</v>
      </c>
      <c r="C7">
        <v>40.299999999999997</v>
      </c>
      <c r="D7">
        <v>51.6</v>
      </c>
      <c r="E7">
        <v>54.9</v>
      </c>
      <c r="F7">
        <v>58.2</v>
      </c>
      <c r="G7">
        <v>61.7</v>
      </c>
      <c r="H7">
        <v>65.400000000000006</v>
      </c>
      <c r="I7">
        <v>69.3</v>
      </c>
      <c r="J7">
        <v>73.5</v>
      </c>
    </row>
    <row r="8" spans="1:10" x14ac:dyDescent="0.2">
      <c r="A8" t="s">
        <v>347</v>
      </c>
      <c r="B8" t="s">
        <v>348</v>
      </c>
      <c r="C8">
        <v>2.2000000000000002</v>
      </c>
      <c r="D8">
        <v>2</v>
      </c>
      <c r="E8">
        <v>2.1</v>
      </c>
      <c r="F8">
        <v>2.2999999999999998</v>
      </c>
      <c r="G8">
        <v>2.7</v>
      </c>
      <c r="H8">
        <v>3.9</v>
      </c>
      <c r="I8">
        <v>4.0999999999999996</v>
      </c>
      <c r="J8">
        <v>4.4000000000000004</v>
      </c>
    </row>
    <row r="9" spans="1:10" x14ac:dyDescent="0.2">
      <c r="A9" t="s">
        <v>349</v>
      </c>
      <c r="B9">
        <v>5.6</v>
      </c>
      <c r="C9">
        <v>6.1</v>
      </c>
      <c r="D9">
        <v>7.5</v>
      </c>
      <c r="E9">
        <v>10.4</v>
      </c>
      <c r="F9">
        <v>9.1</v>
      </c>
      <c r="G9">
        <v>9.1999999999999993</v>
      </c>
      <c r="H9">
        <v>9.4</v>
      </c>
      <c r="I9">
        <v>9.5</v>
      </c>
      <c r="J9">
        <v>9.5</v>
      </c>
    </row>
    <row r="10" spans="1:10" x14ac:dyDescent="0.2">
      <c r="A10" t="s">
        <v>350</v>
      </c>
      <c r="B10">
        <v>0.6</v>
      </c>
      <c r="C10">
        <v>1.1000000000000001</v>
      </c>
      <c r="D10">
        <v>1.2</v>
      </c>
      <c r="E10">
        <v>1.2</v>
      </c>
      <c r="F10">
        <v>1.2</v>
      </c>
      <c r="G10">
        <v>1.2</v>
      </c>
      <c r="H10">
        <v>1.3</v>
      </c>
      <c r="I10">
        <v>1.3</v>
      </c>
      <c r="J10">
        <v>1.3</v>
      </c>
    </row>
    <row r="11" spans="1:10" x14ac:dyDescent="0.2">
      <c r="A11" t="s">
        <v>351</v>
      </c>
      <c r="B11">
        <v>11.8</v>
      </c>
      <c r="C11">
        <v>11.9</v>
      </c>
      <c r="D11">
        <v>16.3</v>
      </c>
      <c r="E11">
        <v>18.399999999999999</v>
      </c>
      <c r="F11">
        <v>19.8</v>
      </c>
      <c r="G11">
        <v>21</v>
      </c>
      <c r="H11">
        <v>21.9</v>
      </c>
      <c r="I11">
        <v>22.8</v>
      </c>
      <c r="J11">
        <v>23.7</v>
      </c>
    </row>
    <row r="12" spans="1:10" x14ac:dyDescent="0.2">
      <c r="A12" t="s">
        <v>352</v>
      </c>
      <c r="B12">
        <v>8.1999999999999993</v>
      </c>
      <c r="C12">
        <v>-2.2999999999999998</v>
      </c>
      <c r="D12">
        <v>9.4</v>
      </c>
      <c r="E12">
        <v>12.9</v>
      </c>
      <c r="F12">
        <v>14</v>
      </c>
      <c r="G12">
        <v>14.8</v>
      </c>
      <c r="H12">
        <v>15.4</v>
      </c>
      <c r="I12">
        <v>16</v>
      </c>
      <c r="J12">
        <v>16.7</v>
      </c>
    </row>
    <row r="13" spans="1:10" x14ac:dyDescent="0.2">
      <c r="A13" t="s">
        <v>353</v>
      </c>
      <c r="B13">
        <v>0</v>
      </c>
      <c r="C13">
        <v>0.5</v>
      </c>
    </row>
    <row r="14" spans="1:10" x14ac:dyDescent="0.2">
      <c r="A14" t="s">
        <v>354</v>
      </c>
      <c r="B14">
        <v>2.2000000000000002</v>
      </c>
      <c r="C14">
        <v>4.3</v>
      </c>
      <c r="D14">
        <v>4.8</v>
      </c>
      <c r="E14">
        <v>6.2</v>
      </c>
      <c r="F14">
        <v>6.8</v>
      </c>
      <c r="G14">
        <v>7.2</v>
      </c>
      <c r="H14">
        <v>7.5</v>
      </c>
      <c r="I14">
        <v>7.8</v>
      </c>
      <c r="J14">
        <v>8.1</v>
      </c>
    </row>
    <row r="15" spans="1:10" x14ac:dyDescent="0.2">
      <c r="A15" t="s">
        <v>355</v>
      </c>
      <c r="B15">
        <v>1.1000000000000001</v>
      </c>
      <c r="C15">
        <v>0.2</v>
      </c>
      <c r="D15">
        <v>0.2</v>
      </c>
      <c r="E15">
        <v>0.2</v>
      </c>
    </row>
    <row r="16" spans="1:10" x14ac:dyDescent="0.2">
      <c r="A16" t="s">
        <v>356</v>
      </c>
      <c r="B16">
        <v>3.9</v>
      </c>
      <c r="C16">
        <v>4.7</v>
      </c>
      <c r="D16">
        <v>8.8000000000000007</v>
      </c>
      <c r="E16" s="14">
        <v>11.7</v>
      </c>
      <c r="F16" s="14">
        <v>12.1</v>
      </c>
      <c r="G16" s="14">
        <v>12.9</v>
      </c>
      <c r="H16" s="14">
        <v>11.2</v>
      </c>
      <c r="I16" s="14">
        <v>10.4</v>
      </c>
      <c r="J16" s="14">
        <v>10.4</v>
      </c>
    </row>
    <row r="17" spans="1:10" x14ac:dyDescent="0.2">
      <c r="A17" t="s">
        <v>357</v>
      </c>
      <c r="B17">
        <f t="shared" ref="B17:J17" si="0">SUM(B5:B16)</f>
        <v>87.300000000000011</v>
      </c>
      <c r="C17">
        <f t="shared" si="0"/>
        <v>92.6</v>
      </c>
      <c r="D17">
        <f t="shared" si="0"/>
        <v>131.4</v>
      </c>
      <c r="E17">
        <f t="shared" si="0"/>
        <v>150.49999999999997</v>
      </c>
      <c r="F17">
        <f t="shared" si="0"/>
        <v>157.1</v>
      </c>
      <c r="G17">
        <f t="shared" si="0"/>
        <v>165.4</v>
      </c>
      <c r="H17">
        <f t="shared" si="0"/>
        <v>171.9</v>
      </c>
      <c r="I17">
        <f t="shared" si="0"/>
        <v>178.4</v>
      </c>
      <c r="J17">
        <f t="shared" si="0"/>
        <v>186.1</v>
      </c>
    </row>
    <row r="18" spans="1:10" x14ac:dyDescent="0.2">
      <c r="B18">
        <v>104.3</v>
      </c>
      <c r="C18">
        <v>112.3</v>
      </c>
    </row>
    <row r="19" spans="1:10" x14ac:dyDescent="0.2">
      <c r="B19">
        <f>B18-B17</f>
        <v>16.999999999999986</v>
      </c>
      <c r="C19">
        <f>C18-C17</f>
        <v>19.700000000000003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G38"/>
  <sheetViews>
    <sheetView topLeftCell="A26" workbookViewId="0">
      <selection activeCell="L42" sqref="L42"/>
    </sheetView>
  </sheetViews>
  <sheetFormatPr baseColWidth="10" defaultColWidth="8.83203125" defaultRowHeight="15" x14ac:dyDescent="0.2"/>
  <cols>
    <col min="2" max="2" width="30.5" customWidth="1"/>
    <col min="3" max="4" width="13.6640625" customWidth="1"/>
    <col min="5" max="5" width="13.1640625" customWidth="1"/>
    <col min="6" max="6" width="13.5" customWidth="1"/>
  </cols>
  <sheetData>
    <row r="2" spans="2:7" x14ac:dyDescent="0.2">
      <c r="B2" s="3" t="s">
        <v>358</v>
      </c>
      <c r="C2" s="185">
        <v>2016</v>
      </c>
      <c r="D2" s="3">
        <v>2017</v>
      </c>
      <c r="E2" s="3">
        <v>2018</v>
      </c>
      <c r="F2" s="186" t="s">
        <v>359</v>
      </c>
      <c r="G2" s="168"/>
    </row>
    <row r="3" spans="2:7" x14ac:dyDescent="0.2">
      <c r="B3" s="13"/>
      <c r="C3" s="174"/>
      <c r="D3" s="174"/>
      <c r="E3" s="174"/>
      <c r="F3" s="175"/>
    </row>
    <row r="4" spans="2:7" x14ac:dyDescent="0.2">
      <c r="B4" s="172" t="s">
        <v>360</v>
      </c>
      <c r="C4" s="178"/>
      <c r="D4" s="178"/>
      <c r="E4" s="178"/>
      <c r="F4" s="180"/>
    </row>
    <row r="5" spans="2:7" x14ac:dyDescent="0.2">
      <c r="B5" s="183"/>
      <c r="C5" s="187"/>
      <c r="D5" s="187"/>
      <c r="E5" s="187"/>
      <c r="F5" s="188"/>
    </row>
    <row r="6" spans="2:7" x14ac:dyDescent="0.2">
      <c r="B6" s="171" t="s">
        <v>277</v>
      </c>
      <c r="C6" s="178">
        <v>27630</v>
      </c>
      <c r="D6" s="178">
        <v>26664</v>
      </c>
      <c r="E6" s="178">
        <v>25934</v>
      </c>
      <c r="F6" s="180">
        <v>24086</v>
      </c>
    </row>
    <row r="7" spans="2:7" x14ac:dyDescent="0.2">
      <c r="B7" s="171" t="s">
        <v>361</v>
      </c>
      <c r="C7" s="178">
        <v>7276</v>
      </c>
      <c r="D7" s="178">
        <v>20735</v>
      </c>
      <c r="E7" s="178">
        <v>17014</v>
      </c>
      <c r="F7" s="180">
        <v>61331</v>
      </c>
    </row>
    <row r="8" spans="2:7" x14ac:dyDescent="0.2">
      <c r="B8" s="171" t="s">
        <v>362</v>
      </c>
      <c r="C8" s="178">
        <v>1918</v>
      </c>
      <c r="D8" s="178">
        <v>13001</v>
      </c>
      <c r="E8" s="178">
        <v>12821</v>
      </c>
      <c r="F8" s="180">
        <v>12915</v>
      </c>
    </row>
    <row r="9" spans="2:7" x14ac:dyDescent="0.2">
      <c r="B9" s="171" t="s">
        <v>363</v>
      </c>
      <c r="C9" s="178">
        <v>6653</v>
      </c>
      <c r="D9" s="178">
        <v>7158</v>
      </c>
      <c r="E9" s="178">
        <v>12329</v>
      </c>
      <c r="F9" s="180">
        <v>32882</v>
      </c>
    </row>
    <row r="10" spans="2:7" x14ac:dyDescent="0.2">
      <c r="B10" s="171" t="s">
        <v>305</v>
      </c>
      <c r="C10" s="177" t="s">
        <v>234</v>
      </c>
      <c r="D10" s="178">
        <v>1134</v>
      </c>
      <c r="E10" s="178">
        <v>3231</v>
      </c>
      <c r="F10" s="180">
        <v>3258</v>
      </c>
    </row>
    <row r="11" spans="2:7" x14ac:dyDescent="0.2">
      <c r="B11" s="171"/>
      <c r="F11" s="169"/>
    </row>
    <row r="12" spans="2:7" x14ac:dyDescent="0.2">
      <c r="B12" s="3" t="s">
        <v>364</v>
      </c>
      <c r="C12" s="181">
        <f>SUM(C6:C10)</f>
        <v>43477</v>
      </c>
      <c r="D12" s="181">
        <f t="shared" ref="D12:F12" si="0">SUM(D6:D10)</f>
        <v>68692</v>
      </c>
      <c r="E12" s="181">
        <f t="shared" si="0"/>
        <v>71329</v>
      </c>
      <c r="F12" s="181">
        <f t="shared" si="0"/>
        <v>134472</v>
      </c>
    </row>
    <row r="13" spans="2:7" x14ac:dyDescent="0.2">
      <c r="B13" s="13"/>
      <c r="C13" s="174"/>
      <c r="D13" s="174"/>
      <c r="E13" s="174"/>
      <c r="F13" s="175"/>
    </row>
    <row r="14" spans="2:7" x14ac:dyDescent="0.2">
      <c r="B14" s="172" t="s">
        <v>365</v>
      </c>
      <c r="F14" s="169"/>
    </row>
    <row r="15" spans="2:7" x14ac:dyDescent="0.2">
      <c r="B15" s="183"/>
      <c r="C15" s="187"/>
      <c r="D15" s="187"/>
      <c r="E15" s="187"/>
      <c r="F15" s="188"/>
    </row>
    <row r="16" spans="2:7" x14ac:dyDescent="0.2">
      <c r="B16" s="171" t="s">
        <v>366</v>
      </c>
      <c r="C16" s="178">
        <v>5551</v>
      </c>
      <c r="D16" s="178">
        <v>4857</v>
      </c>
      <c r="E16" s="178">
        <v>23174</v>
      </c>
      <c r="F16" s="180">
        <v>26375</v>
      </c>
    </row>
    <row r="17" spans="2:6" x14ac:dyDescent="0.2">
      <c r="B17" s="171" t="s">
        <v>277</v>
      </c>
      <c r="C17" s="178">
        <v>2878</v>
      </c>
      <c r="D17" s="178">
        <v>3354</v>
      </c>
      <c r="E17" s="178">
        <v>5906</v>
      </c>
      <c r="F17" s="180">
        <v>5160</v>
      </c>
    </row>
    <row r="18" spans="2:6" x14ac:dyDescent="0.2">
      <c r="B18" s="171" t="s">
        <v>367</v>
      </c>
      <c r="C18">
        <v>134</v>
      </c>
      <c r="D18">
        <v>157</v>
      </c>
      <c r="E18">
        <v>180</v>
      </c>
      <c r="F18" s="169">
        <v>180</v>
      </c>
    </row>
    <row r="19" spans="2:6" x14ac:dyDescent="0.2">
      <c r="B19" s="171" t="s">
        <v>363</v>
      </c>
      <c r="C19">
        <v>419</v>
      </c>
      <c r="D19">
        <v>538</v>
      </c>
      <c r="E19">
        <v>729</v>
      </c>
      <c r="F19" s="180">
        <v>6692</v>
      </c>
    </row>
    <row r="20" spans="2:6" x14ac:dyDescent="0.2">
      <c r="B20" s="171"/>
      <c r="F20" s="169"/>
    </row>
    <row r="21" spans="2:6" x14ac:dyDescent="0.2">
      <c r="B21" s="3" t="s">
        <v>368</v>
      </c>
      <c r="C21" s="181">
        <f>SUM(C16:C19)</f>
        <v>8982</v>
      </c>
      <c r="D21" s="181">
        <f t="shared" ref="D21:F21" si="1">SUM(D16:D19)</f>
        <v>8906</v>
      </c>
      <c r="E21" s="181">
        <f t="shared" si="1"/>
        <v>29989</v>
      </c>
      <c r="F21" s="181">
        <f t="shared" si="1"/>
        <v>38407</v>
      </c>
    </row>
    <row r="22" spans="2:6" x14ac:dyDescent="0.2">
      <c r="B22" s="13"/>
      <c r="C22" s="174"/>
      <c r="D22" s="174"/>
      <c r="E22" s="174"/>
      <c r="F22" s="175"/>
    </row>
    <row r="23" spans="2:6" x14ac:dyDescent="0.2">
      <c r="B23" s="172" t="s">
        <v>300</v>
      </c>
      <c r="F23" s="169"/>
    </row>
    <row r="24" spans="2:6" x14ac:dyDescent="0.2">
      <c r="B24" s="183"/>
      <c r="C24" s="187"/>
      <c r="D24" s="187"/>
      <c r="E24" s="187"/>
      <c r="F24" s="188"/>
    </row>
    <row r="25" spans="2:6" x14ac:dyDescent="0.2">
      <c r="B25" s="171" t="s">
        <v>369</v>
      </c>
      <c r="C25">
        <v>565</v>
      </c>
      <c r="D25">
        <v>965</v>
      </c>
      <c r="E25" s="178">
        <v>1576</v>
      </c>
      <c r="F25" s="180">
        <v>1334</v>
      </c>
    </row>
    <row r="26" spans="2:6" x14ac:dyDescent="0.2">
      <c r="B26" s="171" t="s">
        <v>363</v>
      </c>
      <c r="C26">
        <v>529</v>
      </c>
      <c r="D26">
        <v>500</v>
      </c>
      <c r="E26">
        <v>480</v>
      </c>
      <c r="F26" s="169">
        <v>902</v>
      </c>
    </row>
    <row r="27" spans="2:6" x14ac:dyDescent="0.2">
      <c r="B27" s="171" t="s">
        <v>370</v>
      </c>
      <c r="C27">
        <v>260</v>
      </c>
      <c r="D27">
        <v>625</v>
      </c>
      <c r="E27">
        <v>593</v>
      </c>
      <c r="F27" s="169">
        <v>340</v>
      </c>
    </row>
    <row r="28" spans="2:6" x14ac:dyDescent="0.2">
      <c r="B28" s="171" t="s">
        <v>305</v>
      </c>
      <c r="C28" s="177" t="s">
        <v>234</v>
      </c>
      <c r="D28" s="177" t="s">
        <v>234</v>
      </c>
      <c r="E28">
        <v>310</v>
      </c>
      <c r="F28" s="169">
        <v>203</v>
      </c>
    </row>
    <row r="29" spans="2:6" x14ac:dyDescent="0.2">
      <c r="B29" s="171"/>
      <c r="F29" s="169"/>
    </row>
    <row r="30" spans="2:6" x14ac:dyDescent="0.2">
      <c r="B30" s="3" t="s">
        <v>371</v>
      </c>
      <c r="C30" s="182">
        <f>SUM(C25:C28)</f>
        <v>1354</v>
      </c>
      <c r="D30" s="182">
        <f t="shared" ref="D30:F30" si="2">SUM(D25:D28)</f>
        <v>2090</v>
      </c>
      <c r="E30" s="182">
        <f t="shared" si="2"/>
        <v>2959</v>
      </c>
      <c r="F30" s="182">
        <f t="shared" si="2"/>
        <v>2779</v>
      </c>
    </row>
    <row r="31" spans="2:6" x14ac:dyDescent="0.2">
      <c r="B31" s="13"/>
      <c r="C31" s="174"/>
      <c r="D31" s="174"/>
      <c r="E31" s="174"/>
      <c r="F31" s="175"/>
    </row>
    <row r="32" spans="2:6" x14ac:dyDescent="0.2">
      <c r="B32" s="172" t="s">
        <v>372</v>
      </c>
      <c r="F32" s="169"/>
    </row>
    <row r="33" spans="2:6" x14ac:dyDescent="0.2">
      <c r="B33" s="183"/>
      <c r="C33" s="187"/>
      <c r="D33" s="187"/>
      <c r="E33" s="187"/>
      <c r="F33" s="188"/>
    </row>
    <row r="34" spans="2:6" x14ac:dyDescent="0.2">
      <c r="B34" s="171" t="s">
        <v>373</v>
      </c>
      <c r="C34" s="178">
        <v>3172</v>
      </c>
      <c r="D34" s="178">
        <v>3735</v>
      </c>
      <c r="E34" s="178">
        <v>6946</v>
      </c>
      <c r="F34" s="180">
        <v>7883</v>
      </c>
    </row>
    <row r="35" spans="2:6" x14ac:dyDescent="0.2">
      <c r="B35" s="171" t="s">
        <v>374</v>
      </c>
      <c r="C35" s="178">
        <v>20764</v>
      </c>
      <c r="D35" s="178">
        <v>29186</v>
      </c>
      <c r="E35" s="178">
        <v>28931</v>
      </c>
      <c r="F35" s="180">
        <v>52717</v>
      </c>
    </row>
    <row r="36" spans="2:6" x14ac:dyDescent="0.2">
      <c r="B36" s="171" t="s">
        <v>375</v>
      </c>
      <c r="C36" s="178">
        <v>21375</v>
      </c>
      <c r="D36" s="178">
        <v>33638</v>
      </c>
      <c r="E36" s="178">
        <v>41163</v>
      </c>
      <c r="F36" s="180">
        <v>86819</v>
      </c>
    </row>
    <row r="37" spans="2:6" x14ac:dyDescent="0.2">
      <c r="B37" s="183"/>
      <c r="F37" s="169"/>
    </row>
    <row r="38" spans="2:6" x14ac:dyDescent="0.2">
      <c r="B38" s="3" t="s">
        <v>376</v>
      </c>
      <c r="C38" s="179">
        <f>SUM(C34:C36)</f>
        <v>45311</v>
      </c>
      <c r="D38" s="179">
        <f t="shared" ref="D38:F38" si="3">SUM(D34:D36)</f>
        <v>66559</v>
      </c>
      <c r="E38" s="179">
        <f t="shared" si="3"/>
        <v>77040</v>
      </c>
      <c r="F38" s="179">
        <f t="shared" si="3"/>
        <v>147419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3:Q126"/>
  <sheetViews>
    <sheetView workbookViewId="0">
      <selection activeCell="H9" sqref="H9"/>
    </sheetView>
  </sheetViews>
  <sheetFormatPr baseColWidth="10" defaultColWidth="8.83203125" defaultRowHeight="15" x14ac:dyDescent="0.2"/>
  <cols>
    <col min="2" max="2" width="36" customWidth="1"/>
    <col min="3" max="3" width="10.5" customWidth="1"/>
    <col min="5" max="5" width="9.5" customWidth="1"/>
    <col min="6" max="6" width="10.1640625" customWidth="1"/>
  </cols>
  <sheetData>
    <row r="3" spans="2:17" ht="16" thickBot="1" x14ac:dyDescent="0.25"/>
    <row r="4" spans="2:17" ht="17" thickBot="1" x14ac:dyDescent="0.25">
      <c r="B4" s="48" t="s">
        <v>377</v>
      </c>
      <c r="C4" s="49">
        <v>2011</v>
      </c>
      <c r="D4" s="49">
        <v>2012</v>
      </c>
      <c r="E4" s="49">
        <v>2013</v>
      </c>
      <c r="F4" s="49">
        <v>2014</v>
      </c>
      <c r="G4" s="49">
        <v>2015</v>
      </c>
      <c r="H4" s="49">
        <v>2016</v>
      </c>
      <c r="I4" s="49">
        <v>2017</v>
      </c>
      <c r="J4" s="49">
        <v>2018</v>
      </c>
      <c r="K4" s="49">
        <v>2019</v>
      </c>
      <c r="L4" s="49">
        <v>2020</v>
      </c>
      <c r="M4" s="49">
        <v>2021</v>
      </c>
      <c r="N4" s="49">
        <v>2022</v>
      </c>
      <c r="O4" s="49">
        <v>2023</v>
      </c>
      <c r="P4" s="49">
        <v>2024</v>
      </c>
      <c r="Q4" s="49">
        <v>2025</v>
      </c>
    </row>
    <row r="5" spans="2:17" x14ac:dyDescent="0.2">
      <c r="B5" s="14" t="s">
        <v>378</v>
      </c>
    </row>
    <row r="6" spans="2:17" x14ac:dyDescent="0.2">
      <c r="B6" t="s">
        <v>379</v>
      </c>
      <c r="E6" s="50"/>
      <c r="F6" s="9"/>
    </row>
    <row r="7" spans="2:17" x14ac:dyDescent="0.2">
      <c r="B7" t="s">
        <v>380</v>
      </c>
      <c r="E7" s="50"/>
      <c r="F7" s="9"/>
    </row>
    <row r="8" spans="2:17" x14ac:dyDescent="0.2">
      <c r="B8" t="s">
        <v>381</v>
      </c>
      <c r="E8" s="50"/>
      <c r="F8" s="9"/>
    </row>
    <row r="9" spans="2:17" x14ac:dyDescent="0.2">
      <c r="B9" t="s">
        <v>382</v>
      </c>
      <c r="E9" s="51"/>
      <c r="F9" s="9"/>
    </row>
    <row r="10" spans="2:17" x14ac:dyDescent="0.2">
      <c r="B10" t="s">
        <v>383</v>
      </c>
      <c r="E10" s="51"/>
      <c r="F10" s="9"/>
    </row>
    <row r="11" spans="2:17" x14ac:dyDescent="0.2">
      <c r="B11" t="s">
        <v>384</v>
      </c>
      <c r="E11" s="51"/>
      <c r="F11" s="9"/>
    </row>
    <row r="12" spans="2:17" x14ac:dyDescent="0.2">
      <c r="B12" t="s">
        <v>385</v>
      </c>
      <c r="E12" s="51"/>
      <c r="F12" s="9"/>
    </row>
    <row r="13" spans="2:17" x14ac:dyDescent="0.2">
      <c r="B13" s="52" t="s">
        <v>341</v>
      </c>
      <c r="C13" s="53">
        <f>SUM(C6:C12)</f>
        <v>0</v>
      </c>
      <c r="D13" s="53">
        <f>SUM(D6:D12)</f>
        <v>0</v>
      </c>
      <c r="E13" s="53">
        <f>SUM(E6:E12)</f>
        <v>0</v>
      </c>
      <c r="F13" s="53">
        <f t="shared" ref="F13:Q13" si="0">SUM(F6:F11)</f>
        <v>0</v>
      </c>
      <c r="G13" s="53">
        <f t="shared" si="0"/>
        <v>0</v>
      </c>
      <c r="H13" s="53">
        <f t="shared" si="0"/>
        <v>0</v>
      </c>
      <c r="I13" s="53">
        <f t="shared" si="0"/>
        <v>0</v>
      </c>
      <c r="J13" s="53">
        <f t="shared" si="0"/>
        <v>0</v>
      </c>
      <c r="K13" s="53">
        <f t="shared" si="0"/>
        <v>0</v>
      </c>
      <c r="L13" s="53">
        <f t="shared" si="0"/>
        <v>0</v>
      </c>
      <c r="M13" s="53">
        <f t="shared" si="0"/>
        <v>0</v>
      </c>
      <c r="N13" s="53">
        <f t="shared" si="0"/>
        <v>0</v>
      </c>
      <c r="O13" s="53">
        <f t="shared" si="0"/>
        <v>0</v>
      </c>
      <c r="P13" s="53">
        <f t="shared" si="0"/>
        <v>0</v>
      </c>
      <c r="Q13" s="54">
        <f t="shared" si="0"/>
        <v>0</v>
      </c>
    </row>
    <row r="15" spans="2:17" x14ac:dyDescent="0.2">
      <c r="B15" s="14" t="s">
        <v>386</v>
      </c>
    </row>
    <row r="16" spans="2:17" x14ac:dyDescent="0.2">
      <c r="B16" t="s">
        <v>379</v>
      </c>
    </row>
    <row r="17" spans="2:17" x14ac:dyDescent="0.2">
      <c r="B17" t="s">
        <v>380</v>
      </c>
    </row>
    <row r="18" spans="2:17" x14ac:dyDescent="0.2">
      <c r="B18" t="s">
        <v>381</v>
      </c>
    </row>
    <row r="19" spans="2:17" x14ac:dyDescent="0.2">
      <c r="B19" t="s">
        <v>382</v>
      </c>
    </row>
    <row r="20" spans="2:17" x14ac:dyDescent="0.2">
      <c r="B20" t="s">
        <v>383</v>
      </c>
    </row>
    <row r="21" spans="2:17" x14ac:dyDescent="0.2">
      <c r="B21" t="s">
        <v>384</v>
      </c>
    </row>
    <row r="22" spans="2:17" x14ac:dyDescent="0.2">
      <c r="B22" t="s">
        <v>385</v>
      </c>
    </row>
    <row r="23" spans="2:17" x14ac:dyDescent="0.2">
      <c r="B23" s="52" t="s">
        <v>341</v>
      </c>
      <c r="C23" s="53">
        <f>SUM(C16:C22)</f>
        <v>0</v>
      </c>
      <c r="D23" s="53">
        <f>SUM(D16:D22)</f>
        <v>0</v>
      </c>
      <c r="E23" s="53">
        <f>SUM(E16:E22)</f>
        <v>0</v>
      </c>
      <c r="F23" s="53">
        <f>SUM(F16:F22)</f>
        <v>0</v>
      </c>
      <c r="G23" s="53">
        <f t="shared" ref="G23:Q23" si="1">SUM(G16:G21)</f>
        <v>0</v>
      </c>
      <c r="H23" s="53">
        <f t="shared" si="1"/>
        <v>0</v>
      </c>
      <c r="I23" s="53">
        <f t="shared" si="1"/>
        <v>0</v>
      </c>
      <c r="J23" s="53">
        <f t="shared" si="1"/>
        <v>0</v>
      </c>
      <c r="K23" s="53">
        <f t="shared" si="1"/>
        <v>0</v>
      </c>
      <c r="L23" s="53">
        <f t="shared" si="1"/>
        <v>0</v>
      </c>
      <c r="M23" s="53">
        <f t="shared" si="1"/>
        <v>0</v>
      </c>
      <c r="N23" s="53">
        <f t="shared" si="1"/>
        <v>0</v>
      </c>
      <c r="O23" s="53">
        <f t="shared" si="1"/>
        <v>0</v>
      </c>
      <c r="P23" s="53">
        <f t="shared" si="1"/>
        <v>0</v>
      </c>
      <c r="Q23" s="54">
        <f t="shared" si="1"/>
        <v>0</v>
      </c>
    </row>
    <row r="25" spans="2:17" x14ac:dyDescent="0.2">
      <c r="B25" s="14" t="s">
        <v>387</v>
      </c>
    </row>
    <row r="26" spans="2:17" x14ac:dyDescent="0.2">
      <c r="B26" t="s">
        <v>379</v>
      </c>
    </row>
    <row r="27" spans="2:17" x14ac:dyDescent="0.2">
      <c r="B27" t="s">
        <v>380</v>
      </c>
    </row>
    <row r="28" spans="2:17" x14ac:dyDescent="0.2">
      <c r="B28" t="s">
        <v>381</v>
      </c>
    </row>
    <row r="29" spans="2:17" x14ac:dyDescent="0.2">
      <c r="B29" t="s">
        <v>382</v>
      </c>
    </row>
    <row r="30" spans="2:17" x14ac:dyDescent="0.2">
      <c r="B30" t="s">
        <v>383</v>
      </c>
    </row>
    <row r="31" spans="2:17" x14ac:dyDescent="0.2">
      <c r="B31" t="s">
        <v>384</v>
      </c>
    </row>
    <row r="32" spans="2:17" x14ac:dyDescent="0.2">
      <c r="B32" t="s">
        <v>385</v>
      </c>
    </row>
    <row r="33" spans="2:17" x14ac:dyDescent="0.2">
      <c r="B33" s="52" t="s">
        <v>341</v>
      </c>
      <c r="C33" s="53">
        <f>SUM(C26:C32)</f>
        <v>0</v>
      </c>
      <c r="D33" s="53">
        <f>SUM(D26:D32)</f>
        <v>0</v>
      </c>
      <c r="E33" s="53">
        <f>SUM(E26:E32)</f>
        <v>0</v>
      </c>
      <c r="F33" s="53">
        <f>SUM(F26:F32)</f>
        <v>0</v>
      </c>
      <c r="G33" s="53">
        <f t="shared" ref="G33:Q33" si="2">SUM(G26:G31)</f>
        <v>0</v>
      </c>
      <c r="H33" s="53">
        <f t="shared" si="2"/>
        <v>0</v>
      </c>
      <c r="I33" s="53">
        <f t="shared" si="2"/>
        <v>0</v>
      </c>
      <c r="J33" s="53">
        <f t="shared" si="2"/>
        <v>0</v>
      </c>
      <c r="K33" s="53">
        <f t="shared" si="2"/>
        <v>0</v>
      </c>
      <c r="L33" s="53">
        <f t="shared" si="2"/>
        <v>0</v>
      </c>
      <c r="M33" s="53">
        <f t="shared" si="2"/>
        <v>0</v>
      </c>
      <c r="N33" s="53">
        <f t="shared" si="2"/>
        <v>0</v>
      </c>
      <c r="O33" s="53">
        <f t="shared" si="2"/>
        <v>0</v>
      </c>
      <c r="P33" s="53">
        <f t="shared" si="2"/>
        <v>0</v>
      </c>
      <c r="Q33" s="54">
        <f t="shared" si="2"/>
        <v>0</v>
      </c>
    </row>
    <row r="35" spans="2:17" x14ac:dyDescent="0.2">
      <c r="B35" s="14" t="s">
        <v>388</v>
      </c>
    </row>
    <row r="36" spans="2:17" x14ac:dyDescent="0.2">
      <c r="B36" t="s">
        <v>379</v>
      </c>
    </row>
    <row r="37" spans="2:17" x14ac:dyDescent="0.2">
      <c r="B37" t="s">
        <v>380</v>
      </c>
    </row>
    <row r="38" spans="2:17" x14ac:dyDescent="0.2">
      <c r="B38" t="s">
        <v>381</v>
      </c>
    </row>
    <row r="39" spans="2:17" x14ac:dyDescent="0.2">
      <c r="B39" t="s">
        <v>382</v>
      </c>
    </row>
    <row r="40" spans="2:17" x14ac:dyDescent="0.2">
      <c r="B40" t="s">
        <v>383</v>
      </c>
    </row>
    <row r="41" spans="2:17" x14ac:dyDescent="0.2">
      <c r="B41" t="s">
        <v>384</v>
      </c>
    </row>
    <row r="42" spans="2:17" x14ac:dyDescent="0.2">
      <c r="B42" t="s">
        <v>385</v>
      </c>
    </row>
    <row r="43" spans="2:17" x14ac:dyDescent="0.2">
      <c r="B43" s="52" t="s">
        <v>341</v>
      </c>
      <c r="C43" s="53">
        <f>SUM(C36:C42)</f>
        <v>0</v>
      </c>
      <c r="D43" s="53">
        <f t="shared" ref="D43:F43" si="3">SUM(D36:D42)</f>
        <v>0</v>
      </c>
      <c r="E43" s="53">
        <f>SUM(E36:E42)</f>
        <v>0</v>
      </c>
      <c r="F43" s="53">
        <f t="shared" si="3"/>
        <v>0</v>
      </c>
      <c r="G43" s="53"/>
    </row>
    <row r="45" spans="2:17" x14ac:dyDescent="0.2">
      <c r="B45" s="14" t="s">
        <v>389</v>
      </c>
    </row>
    <row r="46" spans="2:17" x14ac:dyDescent="0.2">
      <c r="B46" t="s">
        <v>390</v>
      </c>
      <c r="C46" s="4">
        <f t="shared" ref="C46:D52" si="4">C6+C16+C26</f>
        <v>0</v>
      </c>
      <c r="D46" s="4">
        <f t="shared" si="4"/>
        <v>0</v>
      </c>
      <c r="E46" s="4">
        <f t="shared" ref="E46:E52" si="5">E6+E16-E26</f>
        <v>0</v>
      </c>
      <c r="F46" s="4">
        <f>F6+F16-F26+F36</f>
        <v>0</v>
      </c>
    </row>
    <row r="47" spans="2:17" x14ac:dyDescent="0.2">
      <c r="B47" t="s">
        <v>391</v>
      </c>
      <c r="C47" s="4">
        <f t="shared" si="4"/>
        <v>0</v>
      </c>
      <c r="D47" s="4">
        <f t="shared" si="4"/>
        <v>0</v>
      </c>
      <c r="E47" s="4">
        <f t="shared" si="5"/>
        <v>0</v>
      </c>
      <c r="F47" s="4">
        <f t="shared" ref="F47:F52" si="6">F7+F17-F27+F37</f>
        <v>0</v>
      </c>
    </row>
    <row r="48" spans="2:17" x14ac:dyDescent="0.2">
      <c r="B48" t="s">
        <v>392</v>
      </c>
      <c r="C48" s="4">
        <f t="shared" si="4"/>
        <v>0</v>
      </c>
      <c r="D48" s="4">
        <f t="shared" si="4"/>
        <v>0</v>
      </c>
      <c r="E48" s="4">
        <f t="shared" si="5"/>
        <v>0</v>
      </c>
      <c r="F48" s="4">
        <f t="shared" si="6"/>
        <v>0</v>
      </c>
    </row>
    <row r="49" spans="2:17" x14ac:dyDescent="0.2">
      <c r="B49" t="s">
        <v>382</v>
      </c>
      <c r="C49" s="4">
        <f t="shared" si="4"/>
        <v>0</v>
      </c>
      <c r="D49" s="4">
        <f t="shared" si="4"/>
        <v>0</v>
      </c>
      <c r="E49" s="4">
        <f t="shared" si="5"/>
        <v>0</v>
      </c>
      <c r="F49" s="4">
        <f t="shared" si="6"/>
        <v>0</v>
      </c>
    </row>
    <row r="50" spans="2:17" x14ac:dyDescent="0.2">
      <c r="B50" t="s">
        <v>393</v>
      </c>
      <c r="C50" s="4">
        <f t="shared" si="4"/>
        <v>0</v>
      </c>
      <c r="D50" s="4">
        <f t="shared" si="4"/>
        <v>0</v>
      </c>
      <c r="E50" s="4">
        <f t="shared" si="5"/>
        <v>0</v>
      </c>
      <c r="F50" s="4">
        <f t="shared" si="6"/>
        <v>0</v>
      </c>
    </row>
    <row r="51" spans="2:17" x14ac:dyDescent="0.2">
      <c r="B51" t="s">
        <v>384</v>
      </c>
      <c r="C51" s="4">
        <f t="shared" si="4"/>
        <v>0</v>
      </c>
      <c r="D51" s="4">
        <f t="shared" si="4"/>
        <v>0</v>
      </c>
      <c r="E51" s="4">
        <f t="shared" si="5"/>
        <v>0</v>
      </c>
      <c r="F51" s="4">
        <f t="shared" si="6"/>
        <v>0</v>
      </c>
    </row>
    <row r="52" spans="2:17" x14ac:dyDescent="0.2">
      <c r="B52" t="s">
        <v>385</v>
      </c>
      <c r="C52" s="4">
        <f t="shared" si="4"/>
        <v>0</v>
      </c>
      <c r="D52" s="4">
        <f t="shared" si="4"/>
        <v>0</v>
      </c>
      <c r="E52" s="4">
        <f t="shared" si="5"/>
        <v>0</v>
      </c>
      <c r="F52" s="4">
        <f t="shared" si="6"/>
        <v>0</v>
      </c>
    </row>
    <row r="53" spans="2:17" x14ac:dyDescent="0.2">
      <c r="B53" s="52" t="s">
        <v>341</v>
      </c>
      <c r="C53" s="53">
        <f>SUM(C46:C51)</f>
        <v>0</v>
      </c>
      <c r="D53" s="53">
        <f>SUM(D46:D51)</f>
        <v>0</v>
      </c>
      <c r="E53" s="53">
        <f t="shared" ref="E53:Q53" si="7">SUM(E46:E51)</f>
        <v>0</v>
      </c>
      <c r="F53" s="53">
        <f>SUM(F46:F52)</f>
        <v>0</v>
      </c>
      <c r="G53" s="53">
        <f t="shared" si="7"/>
        <v>0</v>
      </c>
      <c r="H53" s="53">
        <f t="shared" si="7"/>
        <v>0</v>
      </c>
      <c r="I53" s="53">
        <f t="shared" si="7"/>
        <v>0</v>
      </c>
      <c r="J53" s="53">
        <f t="shared" si="7"/>
        <v>0</v>
      </c>
      <c r="K53" s="53">
        <f t="shared" si="7"/>
        <v>0</v>
      </c>
      <c r="L53" s="53">
        <f t="shared" si="7"/>
        <v>0</v>
      </c>
      <c r="M53" s="53">
        <f t="shared" si="7"/>
        <v>0</v>
      </c>
      <c r="N53" s="53">
        <f t="shared" si="7"/>
        <v>0</v>
      </c>
      <c r="O53" s="53">
        <f t="shared" si="7"/>
        <v>0</v>
      </c>
      <c r="P53" s="53">
        <f t="shared" si="7"/>
        <v>0</v>
      </c>
      <c r="Q53" s="54">
        <f t="shared" si="7"/>
        <v>0</v>
      </c>
    </row>
    <row r="54" spans="2:17" ht="16" thickBot="1" x14ac:dyDescent="0.25"/>
    <row r="55" spans="2:17" ht="17" thickBot="1" x14ac:dyDescent="0.25">
      <c r="B55" s="48" t="s">
        <v>337</v>
      </c>
      <c r="C55" s="49">
        <v>2011</v>
      </c>
      <c r="D55" s="49">
        <v>2012</v>
      </c>
      <c r="E55" s="49">
        <v>2013</v>
      </c>
      <c r="F55" s="49">
        <v>2014</v>
      </c>
      <c r="G55" s="49">
        <v>2015</v>
      </c>
      <c r="H55" s="49">
        <v>2016</v>
      </c>
      <c r="I55" s="49">
        <v>2017</v>
      </c>
      <c r="J55" s="49">
        <v>2018</v>
      </c>
      <c r="K55" s="49">
        <v>2019</v>
      </c>
      <c r="L55" s="49">
        <v>2020</v>
      </c>
      <c r="M55" s="49">
        <v>2021</v>
      </c>
      <c r="N55" s="49">
        <v>2022</v>
      </c>
      <c r="O55" s="49">
        <v>2023</v>
      </c>
      <c r="P55" s="49">
        <v>2024</v>
      </c>
      <c r="Q55" s="49">
        <v>2025</v>
      </c>
    </row>
    <row r="56" spans="2:17" x14ac:dyDescent="0.2">
      <c r="B56" s="14" t="s">
        <v>378</v>
      </c>
    </row>
    <row r="57" spans="2:17" x14ac:dyDescent="0.2">
      <c r="B57" t="s">
        <v>379</v>
      </c>
      <c r="F57" s="9"/>
    </row>
    <row r="58" spans="2:17" x14ac:dyDescent="0.2">
      <c r="B58" t="s">
        <v>380</v>
      </c>
      <c r="F58" s="9"/>
    </row>
    <row r="59" spans="2:17" x14ac:dyDescent="0.2">
      <c r="B59" t="s">
        <v>381</v>
      </c>
      <c r="F59" s="9"/>
    </row>
    <row r="60" spans="2:17" x14ac:dyDescent="0.2">
      <c r="B60" t="s">
        <v>382</v>
      </c>
      <c r="F60" s="9"/>
    </row>
    <row r="61" spans="2:17" x14ac:dyDescent="0.2">
      <c r="B61" t="s">
        <v>383</v>
      </c>
      <c r="F61" s="9"/>
    </row>
    <row r="62" spans="2:17" x14ac:dyDescent="0.2">
      <c r="B62" t="s">
        <v>384</v>
      </c>
      <c r="F62" s="9"/>
    </row>
    <row r="63" spans="2:17" x14ac:dyDescent="0.2">
      <c r="B63" t="s">
        <v>385</v>
      </c>
      <c r="F63" s="9"/>
    </row>
    <row r="64" spans="2:17" x14ac:dyDescent="0.2">
      <c r="B64" s="52" t="s">
        <v>341</v>
      </c>
      <c r="C64" s="53">
        <f>SUM(C57:C63)</f>
        <v>0</v>
      </c>
      <c r="D64" s="53">
        <f>SUM(D57:D63)</f>
        <v>0</v>
      </c>
      <c r="E64" s="53">
        <f>SUM(E57:E63)</f>
        <v>0</v>
      </c>
      <c r="F64" s="53">
        <f>SUM(F57:F63)</f>
        <v>0</v>
      </c>
      <c r="G64" s="53">
        <f t="shared" ref="G64:Q64" si="8">SUM(G57:G62)</f>
        <v>0</v>
      </c>
      <c r="H64" s="53">
        <f t="shared" si="8"/>
        <v>0</v>
      </c>
      <c r="I64" s="53">
        <f t="shared" si="8"/>
        <v>0</v>
      </c>
      <c r="J64" s="53">
        <f t="shared" si="8"/>
        <v>0</v>
      </c>
      <c r="K64" s="53">
        <f t="shared" si="8"/>
        <v>0</v>
      </c>
      <c r="L64" s="53">
        <f t="shared" si="8"/>
        <v>0</v>
      </c>
      <c r="M64" s="53">
        <f t="shared" si="8"/>
        <v>0</v>
      </c>
      <c r="N64" s="53">
        <f t="shared" si="8"/>
        <v>0</v>
      </c>
      <c r="O64" s="53">
        <f t="shared" si="8"/>
        <v>0</v>
      </c>
      <c r="P64" s="53">
        <f t="shared" si="8"/>
        <v>0</v>
      </c>
      <c r="Q64" s="54">
        <f t="shared" si="8"/>
        <v>0</v>
      </c>
    </row>
    <row r="66" spans="2:17" x14ac:dyDescent="0.2">
      <c r="B66" s="14" t="s">
        <v>394</v>
      </c>
    </row>
    <row r="67" spans="2:17" x14ac:dyDescent="0.2">
      <c r="B67" t="s">
        <v>379</v>
      </c>
    </row>
    <row r="68" spans="2:17" x14ac:dyDescent="0.2">
      <c r="B68" t="s">
        <v>380</v>
      </c>
    </row>
    <row r="69" spans="2:17" x14ac:dyDescent="0.2">
      <c r="B69" t="s">
        <v>381</v>
      </c>
    </row>
    <row r="70" spans="2:17" x14ac:dyDescent="0.2">
      <c r="B70" t="s">
        <v>382</v>
      </c>
    </row>
    <row r="71" spans="2:17" x14ac:dyDescent="0.2">
      <c r="B71" t="s">
        <v>383</v>
      </c>
    </row>
    <row r="72" spans="2:17" x14ac:dyDescent="0.2">
      <c r="B72" t="s">
        <v>384</v>
      </c>
    </row>
    <row r="73" spans="2:17" x14ac:dyDescent="0.2">
      <c r="B73" t="s">
        <v>385</v>
      </c>
    </row>
    <row r="74" spans="2:17" x14ac:dyDescent="0.2">
      <c r="B74" s="52" t="s">
        <v>341</v>
      </c>
      <c r="C74" s="53">
        <f>SUM(C67:C72)</f>
        <v>0</v>
      </c>
      <c r="D74" s="53">
        <f>SUM(D67:D73)</f>
        <v>0</v>
      </c>
      <c r="E74" s="53">
        <f>SUM(E67:E73)</f>
        <v>0</v>
      </c>
      <c r="F74" s="53">
        <f>SUM(F67:F73)</f>
        <v>0</v>
      </c>
      <c r="G74" s="53">
        <f t="shared" ref="G74:Q74" si="9">SUM(G67:G72)</f>
        <v>0</v>
      </c>
      <c r="H74" s="53">
        <f t="shared" si="9"/>
        <v>0</v>
      </c>
      <c r="I74" s="53">
        <f t="shared" si="9"/>
        <v>0</v>
      </c>
      <c r="J74" s="53">
        <f t="shared" si="9"/>
        <v>0</v>
      </c>
      <c r="K74" s="53">
        <f t="shared" si="9"/>
        <v>0</v>
      </c>
      <c r="L74" s="53">
        <f t="shared" si="9"/>
        <v>0</v>
      </c>
      <c r="M74" s="53">
        <f t="shared" si="9"/>
        <v>0</v>
      </c>
      <c r="N74" s="53">
        <f t="shared" si="9"/>
        <v>0</v>
      </c>
      <c r="O74" s="53">
        <f t="shared" si="9"/>
        <v>0</v>
      </c>
      <c r="P74" s="53">
        <f t="shared" si="9"/>
        <v>0</v>
      </c>
      <c r="Q74" s="54">
        <f t="shared" si="9"/>
        <v>0</v>
      </c>
    </row>
    <row r="76" spans="2:17" x14ac:dyDescent="0.2">
      <c r="B76" s="14" t="s">
        <v>387</v>
      </c>
    </row>
    <row r="77" spans="2:17" x14ac:dyDescent="0.2">
      <c r="B77" t="s">
        <v>379</v>
      </c>
    </row>
    <row r="78" spans="2:17" x14ac:dyDescent="0.2">
      <c r="B78" t="s">
        <v>380</v>
      </c>
    </row>
    <row r="79" spans="2:17" x14ac:dyDescent="0.2">
      <c r="B79" t="s">
        <v>381</v>
      </c>
    </row>
    <row r="80" spans="2:17" x14ac:dyDescent="0.2">
      <c r="B80" t="s">
        <v>382</v>
      </c>
    </row>
    <row r="81" spans="2:17" x14ac:dyDescent="0.2">
      <c r="B81" t="s">
        <v>383</v>
      </c>
    </row>
    <row r="82" spans="2:17" x14ac:dyDescent="0.2">
      <c r="B82" t="s">
        <v>384</v>
      </c>
    </row>
    <row r="83" spans="2:17" x14ac:dyDescent="0.2">
      <c r="B83" t="s">
        <v>385</v>
      </c>
    </row>
    <row r="84" spans="2:17" x14ac:dyDescent="0.2">
      <c r="B84" s="52" t="s">
        <v>341</v>
      </c>
      <c r="C84" s="53">
        <f>SUM(C77:C83)</f>
        <v>0</v>
      </c>
      <c r="D84" s="53">
        <f>SUM(D77:D83)</f>
        <v>0</v>
      </c>
      <c r="E84" s="53">
        <f>SUM(E77:E83)</f>
        <v>0</v>
      </c>
      <c r="F84" s="53">
        <f>SUM(F77:F83)</f>
        <v>0</v>
      </c>
      <c r="G84" s="53">
        <f t="shared" ref="G84:Q84" si="10">SUM(G77:G82)</f>
        <v>0</v>
      </c>
      <c r="H84" s="53">
        <f t="shared" si="10"/>
        <v>0</v>
      </c>
      <c r="I84" s="53">
        <f t="shared" si="10"/>
        <v>0</v>
      </c>
      <c r="J84" s="53">
        <f t="shared" si="10"/>
        <v>0</v>
      </c>
      <c r="K84" s="53">
        <f t="shared" si="10"/>
        <v>0</v>
      </c>
      <c r="L84" s="53">
        <f t="shared" si="10"/>
        <v>0</v>
      </c>
      <c r="M84" s="53">
        <f t="shared" si="10"/>
        <v>0</v>
      </c>
      <c r="N84" s="53">
        <f t="shared" si="10"/>
        <v>0</v>
      </c>
      <c r="O84" s="53">
        <f t="shared" si="10"/>
        <v>0</v>
      </c>
      <c r="P84" s="53">
        <f t="shared" si="10"/>
        <v>0</v>
      </c>
      <c r="Q84" s="54">
        <f t="shared" si="10"/>
        <v>0</v>
      </c>
    </row>
    <row r="86" spans="2:17" x14ac:dyDescent="0.2">
      <c r="B86" s="14" t="s">
        <v>388</v>
      </c>
    </row>
    <row r="87" spans="2:17" x14ac:dyDescent="0.2">
      <c r="B87" t="s">
        <v>379</v>
      </c>
      <c r="E87" s="62"/>
      <c r="F87" s="61"/>
    </row>
    <row r="88" spans="2:17" x14ac:dyDescent="0.2">
      <c r="B88" t="s">
        <v>380</v>
      </c>
      <c r="E88" s="62"/>
      <c r="F88" s="61"/>
    </row>
    <row r="89" spans="2:17" x14ac:dyDescent="0.2">
      <c r="B89" t="s">
        <v>381</v>
      </c>
      <c r="E89" s="62"/>
      <c r="F89" s="61"/>
    </row>
    <row r="90" spans="2:17" x14ac:dyDescent="0.2">
      <c r="B90" t="s">
        <v>382</v>
      </c>
      <c r="E90" s="62"/>
      <c r="F90" s="61"/>
    </row>
    <row r="91" spans="2:17" x14ac:dyDescent="0.2">
      <c r="B91" t="s">
        <v>383</v>
      </c>
      <c r="E91" s="62"/>
      <c r="F91" s="61"/>
    </row>
    <row r="92" spans="2:17" x14ac:dyDescent="0.2">
      <c r="B92" t="s">
        <v>384</v>
      </c>
      <c r="E92" s="61"/>
      <c r="F92" s="61"/>
    </row>
    <row r="93" spans="2:17" x14ac:dyDescent="0.2">
      <c r="B93" t="s">
        <v>385</v>
      </c>
      <c r="E93" s="61"/>
      <c r="F93" s="61"/>
    </row>
    <row r="94" spans="2:17" x14ac:dyDescent="0.2">
      <c r="B94" s="52" t="s">
        <v>341</v>
      </c>
      <c r="C94" s="60">
        <f>SUM(C87:C93)</f>
        <v>0</v>
      </c>
      <c r="D94" s="60">
        <f t="shared" ref="D94:O94" si="11">SUM(D87:D93)</f>
        <v>0</v>
      </c>
      <c r="E94" s="60">
        <f>SUM(E87:E93)</f>
        <v>0</v>
      </c>
      <c r="F94" s="60">
        <f t="shared" si="11"/>
        <v>0</v>
      </c>
      <c r="G94" s="60">
        <f t="shared" si="11"/>
        <v>0</v>
      </c>
      <c r="H94" s="60">
        <f t="shared" si="11"/>
        <v>0</v>
      </c>
      <c r="I94" s="60">
        <f t="shared" si="11"/>
        <v>0</v>
      </c>
      <c r="J94" s="60">
        <f t="shared" si="11"/>
        <v>0</v>
      </c>
      <c r="K94" s="60">
        <f t="shared" si="11"/>
        <v>0</v>
      </c>
      <c r="L94" s="60">
        <f t="shared" si="11"/>
        <v>0</v>
      </c>
      <c r="M94" s="60">
        <f t="shared" si="11"/>
        <v>0</v>
      </c>
      <c r="N94" s="60">
        <f t="shared" si="11"/>
        <v>0</v>
      </c>
      <c r="O94" s="60">
        <f t="shared" si="11"/>
        <v>0</v>
      </c>
    </row>
    <row r="97" spans="2:17" x14ac:dyDescent="0.2">
      <c r="B97" s="14" t="s">
        <v>389</v>
      </c>
    </row>
    <row r="98" spans="2:17" x14ac:dyDescent="0.2">
      <c r="B98" t="s">
        <v>379</v>
      </c>
      <c r="C98" s="55">
        <f t="shared" ref="C98:C104" si="12">C57+C67+C77</f>
        <v>0</v>
      </c>
      <c r="D98" s="51">
        <f>D57+D67+D77+D87</f>
        <v>0</v>
      </c>
      <c r="E98" s="55">
        <f>E57+E67+E77+E87</f>
        <v>0</v>
      </c>
      <c r="F98" s="55">
        <f t="shared" ref="F98:F104" si="13">F57+F67-F77</f>
        <v>0</v>
      </c>
    </row>
    <row r="99" spans="2:17" x14ac:dyDescent="0.2">
      <c r="B99" t="s">
        <v>380</v>
      </c>
      <c r="C99" s="55">
        <f t="shared" si="12"/>
        <v>0</v>
      </c>
      <c r="D99" s="51">
        <f t="shared" ref="D99:E104" si="14">D58+D68+D78+D88</f>
        <v>0</v>
      </c>
      <c r="E99" s="55">
        <f t="shared" si="14"/>
        <v>0</v>
      </c>
      <c r="F99" s="55">
        <f t="shared" si="13"/>
        <v>0</v>
      </c>
    </row>
    <row r="100" spans="2:17" x14ac:dyDescent="0.2">
      <c r="B100" t="s">
        <v>381</v>
      </c>
      <c r="C100" s="55">
        <f t="shared" si="12"/>
        <v>0</v>
      </c>
      <c r="D100" s="51">
        <f t="shared" si="14"/>
        <v>0</v>
      </c>
      <c r="E100" s="55">
        <f t="shared" si="14"/>
        <v>0</v>
      </c>
      <c r="F100" s="55">
        <f t="shared" si="13"/>
        <v>0</v>
      </c>
    </row>
    <row r="101" spans="2:17" x14ac:dyDescent="0.2">
      <c r="B101" t="s">
        <v>382</v>
      </c>
      <c r="C101" s="55">
        <f t="shared" si="12"/>
        <v>0</v>
      </c>
      <c r="D101" s="51">
        <f t="shared" si="14"/>
        <v>0</v>
      </c>
      <c r="E101" s="55">
        <f t="shared" si="14"/>
        <v>0</v>
      </c>
      <c r="F101" s="55">
        <f t="shared" si="13"/>
        <v>0</v>
      </c>
    </row>
    <row r="102" spans="2:17" x14ac:dyDescent="0.2">
      <c r="B102" t="s">
        <v>383</v>
      </c>
      <c r="C102" s="55">
        <f t="shared" si="12"/>
        <v>0</v>
      </c>
      <c r="D102" s="51">
        <f t="shared" si="14"/>
        <v>0</v>
      </c>
      <c r="E102" s="55">
        <f t="shared" si="14"/>
        <v>0</v>
      </c>
      <c r="F102" s="55">
        <f t="shared" si="13"/>
        <v>0</v>
      </c>
    </row>
    <row r="103" spans="2:17" x14ac:dyDescent="0.2">
      <c r="B103" t="s">
        <v>384</v>
      </c>
      <c r="C103" s="55">
        <f t="shared" si="12"/>
        <v>0</v>
      </c>
      <c r="D103" s="51">
        <f>D62+D72+D82+D92</f>
        <v>0</v>
      </c>
      <c r="E103" s="55">
        <f t="shared" si="14"/>
        <v>0</v>
      </c>
      <c r="F103" s="55">
        <f t="shared" si="13"/>
        <v>0</v>
      </c>
    </row>
    <row r="104" spans="2:17" x14ac:dyDescent="0.2">
      <c r="B104" t="s">
        <v>385</v>
      </c>
      <c r="C104" s="55">
        <f t="shared" si="12"/>
        <v>0</v>
      </c>
      <c r="D104" s="51">
        <f t="shared" si="14"/>
        <v>0</v>
      </c>
      <c r="E104" s="55">
        <f t="shared" si="14"/>
        <v>0</v>
      </c>
      <c r="F104" s="55">
        <f t="shared" si="13"/>
        <v>0</v>
      </c>
    </row>
    <row r="105" spans="2:17" x14ac:dyDescent="0.2">
      <c r="B105" s="52" t="s">
        <v>341</v>
      </c>
      <c r="C105" s="53">
        <f>SUM(C98:C103)</f>
        <v>0</v>
      </c>
      <c r="D105" s="53">
        <f>SUM(D98:D103)</f>
        <v>0</v>
      </c>
      <c r="E105" s="53">
        <f t="shared" ref="E105:Q105" si="15">SUM(E98:E103)</f>
        <v>0</v>
      </c>
      <c r="F105" s="53">
        <f t="shared" si="15"/>
        <v>0</v>
      </c>
      <c r="G105" s="53">
        <f t="shared" si="15"/>
        <v>0</v>
      </c>
      <c r="H105" s="53">
        <f t="shared" si="15"/>
        <v>0</v>
      </c>
      <c r="I105" s="53">
        <f t="shared" si="15"/>
        <v>0</v>
      </c>
      <c r="J105" s="53">
        <f t="shared" si="15"/>
        <v>0</v>
      </c>
      <c r="K105" s="53">
        <f t="shared" si="15"/>
        <v>0</v>
      </c>
      <c r="L105" s="53">
        <f t="shared" si="15"/>
        <v>0</v>
      </c>
      <c r="M105" s="53">
        <f t="shared" si="15"/>
        <v>0</v>
      </c>
      <c r="N105" s="53">
        <f t="shared" si="15"/>
        <v>0</v>
      </c>
      <c r="O105" s="53">
        <f t="shared" si="15"/>
        <v>0</v>
      </c>
      <c r="P105" s="53">
        <f t="shared" si="15"/>
        <v>0</v>
      </c>
      <c r="Q105" s="54">
        <f t="shared" si="15"/>
        <v>0</v>
      </c>
    </row>
    <row r="107" spans="2:17" ht="16" thickBot="1" x14ac:dyDescent="0.25">
      <c r="B107" s="56" t="s">
        <v>395</v>
      </c>
      <c r="C107" s="49">
        <v>2011</v>
      </c>
      <c r="D107" s="49">
        <v>2012</v>
      </c>
      <c r="E107" s="49">
        <v>2013</v>
      </c>
      <c r="F107" s="49">
        <v>2014</v>
      </c>
      <c r="G107" s="49">
        <v>2015</v>
      </c>
      <c r="H107" s="49">
        <v>2016</v>
      </c>
      <c r="I107" s="49">
        <v>2017</v>
      </c>
      <c r="J107" s="49">
        <v>2018</v>
      </c>
      <c r="K107" s="49">
        <v>2019</v>
      </c>
      <c r="L107" s="49">
        <v>2020</v>
      </c>
      <c r="M107" s="49">
        <v>2021</v>
      </c>
      <c r="N107" s="49">
        <v>2022</v>
      </c>
      <c r="O107" s="49">
        <v>2023</v>
      </c>
      <c r="P107" s="49">
        <v>2024</v>
      </c>
      <c r="Q107" s="49">
        <v>2025</v>
      </c>
    </row>
    <row r="108" spans="2:17" x14ac:dyDescent="0.2">
      <c r="B108" t="s">
        <v>379</v>
      </c>
      <c r="C108" s="4">
        <f>C46+C98</f>
        <v>0</v>
      </c>
      <c r="D108" s="4">
        <f>D46+D98</f>
        <v>0</v>
      </c>
      <c r="E108" s="4">
        <f>E46+E98</f>
        <v>0</v>
      </c>
      <c r="F108" s="4">
        <f>F46+F98</f>
        <v>0</v>
      </c>
    </row>
    <row r="109" spans="2:17" x14ac:dyDescent="0.2">
      <c r="B109" t="s">
        <v>380</v>
      </c>
      <c r="C109" s="4">
        <f t="shared" ref="C109:C114" si="16">C47+C99</f>
        <v>0</v>
      </c>
      <c r="D109" s="4">
        <f t="shared" ref="D109" si="17">D47+D99</f>
        <v>0</v>
      </c>
      <c r="E109" s="4">
        <f t="shared" ref="E109:E114" si="18">E47+E99</f>
        <v>0</v>
      </c>
      <c r="F109" s="4">
        <f t="shared" ref="F109:F114" si="19">F47+F99</f>
        <v>0</v>
      </c>
    </row>
    <row r="110" spans="2:17" x14ac:dyDescent="0.2">
      <c r="B110" t="s">
        <v>381</v>
      </c>
      <c r="C110" s="4">
        <f t="shared" si="16"/>
        <v>0</v>
      </c>
      <c r="D110" s="4">
        <f t="shared" ref="D110" si="20">D48+D100</f>
        <v>0</v>
      </c>
      <c r="E110" s="4">
        <f t="shared" si="18"/>
        <v>0</v>
      </c>
      <c r="F110" s="4">
        <f t="shared" si="19"/>
        <v>0</v>
      </c>
    </row>
    <row r="111" spans="2:17" x14ac:dyDescent="0.2">
      <c r="B111" t="s">
        <v>382</v>
      </c>
      <c r="C111" s="4">
        <f t="shared" si="16"/>
        <v>0</v>
      </c>
      <c r="D111" s="4">
        <f t="shared" ref="D111" si="21">D49+D101</f>
        <v>0</v>
      </c>
      <c r="E111" s="4">
        <f t="shared" si="18"/>
        <v>0</v>
      </c>
      <c r="F111" s="4">
        <f t="shared" si="19"/>
        <v>0</v>
      </c>
    </row>
    <row r="112" spans="2:17" x14ac:dyDescent="0.2">
      <c r="B112" t="s">
        <v>383</v>
      </c>
      <c r="C112" s="4">
        <f t="shared" si="16"/>
        <v>0</v>
      </c>
      <c r="D112" s="4">
        <f t="shared" ref="D112" si="22">D50+D102</f>
        <v>0</v>
      </c>
      <c r="E112" s="4">
        <f t="shared" si="18"/>
        <v>0</v>
      </c>
      <c r="F112" s="4">
        <f t="shared" si="19"/>
        <v>0</v>
      </c>
    </row>
    <row r="113" spans="2:17" x14ac:dyDescent="0.2">
      <c r="B113" t="s">
        <v>384</v>
      </c>
      <c r="C113" s="4">
        <f t="shared" si="16"/>
        <v>0</v>
      </c>
      <c r="D113" s="4">
        <f t="shared" ref="D113" si="23">D51+D103</f>
        <v>0</v>
      </c>
      <c r="E113" s="4">
        <f t="shared" si="18"/>
        <v>0</v>
      </c>
      <c r="F113" s="4">
        <f t="shared" si="19"/>
        <v>0</v>
      </c>
    </row>
    <row r="114" spans="2:17" x14ac:dyDescent="0.2">
      <c r="B114" t="s">
        <v>385</v>
      </c>
      <c r="C114" s="4">
        <f t="shared" si="16"/>
        <v>0</v>
      </c>
      <c r="D114" s="4">
        <f t="shared" ref="D114" si="24">D52+D104</f>
        <v>0</v>
      </c>
      <c r="E114" s="4">
        <f t="shared" si="18"/>
        <v>0</v>
      </c>
      <c r="F114" s="4">
        <f t="shared" si="19"/>
        <v>0</v>
      </c>
    </row>
    <row r="115" spans="2:17" x14ac:dyDescent="0.2">
      <c r="B115" s="57" t="s">
        <v>341</v>
      </c>
      <c r="C115" s="58">
        <f>SUM(C108:C113)</f>
        <v>0</v>
      </c>
      <c r="D115" s="58">
        <f>SUM(D108:D113)</f>
        <v>0</v>
      </c>
      <c r="E115" s="58">
        <f t="shared" ref="E115:Q115" si="25">SUM(E108:E113)</f>
        <v>0</v>
      </c>
      <c r="F115" s="58">
        <f>SUM(F108:F114)</f>
        <v>0</v>
      </c>
      <c r="G115" s="58">
        <f t="shared" si="25"/>
        <v>0</v>
      </c>
      <c r="H115" s="58">
        <f t="shared" si="25"/>
        <v>0</v>
      </c>
      <c r="I115" s="58">
        <f t="shared" si="25"/>
        <v>0</v>
      </c>
      <c r="J115" s="58">
        <f t="shared" si="25"/>
        <v>0</v>
      </c>
      <c r="K115" s="58">
        <f t="shared" si="25"/>
        <v>0</v>
      </c>
      <c r="L115" s="58">
        <f t="shared" si="25"/>
        <v>0</v>
      </c>
      <c r="M115" s="58">
        <f t="shared" si="25"/>
        <v>0</v>
      </c>
      <c r="N115" s="58">
        <f t="shared" si="25"/>
        <v>0</v>
      </c>
      <c r="O115" s="58">
        <f t="shared" si="25"/>
        <v>0</v>
      </c>
      <c r="P115" s="58">
        <f t="shared" si="25"/>
        <v>0</v>
      </c>
      <c r="Q115" s="59">
        <f t="shared" si="25"/>
        <v>0</v>
      </c>
    </row>
    <row r="118" spans="2:17" ht="16" thickBot="1" x14ac:dyDescent="0.25">
      <c r="B118" s="56" t="s">
        <v>160</v>
      </c>
      <c r="C118" s="49">
        <v>2011</v>
      </c>
      <c r="D118" s="49">
        <v>2012</v>
      </c>
      <c r="E118" s="49">
        <v>2013</v>
      </c>
      <c r="F118" s="49">
        <v>2014</v>
      </c>
      <c r="G118" s="49">
        <v>2015</v>
      </c>
      <c r="H118" s="49">
        <v>2016</v>
      </c>
      <c r="I118" s="49">
        <v>2017</v>
      </c>
      <c r="J118" s="49">
        <v>2018</v>
      </c>
      <c r="K118" s="49">
        <v>2019</v>
      </c>
      <c r="L118" s="49">
        <v>2020</v>
      </c>
      <c r="M118" s="49">
        <v>2021</v>
      </c>
      <c r="N118" s="49">
        <v>2022</v>
      </c>
      <c r="O118" s="49">
        <v>2023</v>
      </c>
      <c r="P118" s="49">
        <v>2024</v>
      </c>
      <c r="Q118" s="49">
        <v>2025</v>
      </c>
    </row>
    <row r="119" spans="2:17" x14ac:dyDescent="0.2">
      <c r="B119" t="s">
        <v>396</v>
      </c>
      <c r="C119" s="4">
        <f>C13</f>
        <v>0</v>
      </c>
      <c r="D119" s="4">
        <f>C123</f>
        <v>0</v>
      </c>
      <c r="E119" s="4">
        <f t="shared" ref="E119:Q119" si="26">D123</f>
        <v>0</v>
      </c>
      <c r="F119" s="4">
        <f t="shared" si="26"/>
        <v>0</v>
      </c>
      <c r="G119" s="4">
        <f t="shared" si="26"/>
        <v>0</v>
      </c>
      <c r="H119" s="4">
        <f t="shared" si="26"/>
        <v>0</v>
      </c>
      <c r="I119" s="4">
        <f t="shared" si="26"/>
        <v>0</v>
      </c>
      <c r="J119" s="4">
        <f t="shared" si="26"/>
        <v>0</v>
      </c>
      <c r="K119" s="4">
        <f t="shared" si="26"/>
        <v>0</v>
      </c>
      <c r="L119" s="4">
        <f t="shared" si="26"/>
        <v>0</v>
      </c>
      <c r="M119" s="4">
        <f t="shared" si="26"/>
        <v>0</v>
      </c>
      <c r="N119" s="4">
        <f t="shared" si="26"/>
        <v>0</v>
      </c>
      <c r="O119" s="4">
        <f t="shared" si="26"/>
        <v>0</v>
      </c>
      <c r="P119" s="4">
        <f t="shared" si="26"/>
        <v>0</v>
      </c>
      <c r="Q119" s="4">
        <f t="shared" si="26"/>
        <v>0</v>
      </c>
    </row>
    <row r="120" spans="2:17" x14ac:dyDescent="0.2">
      <c r="B120" t="s">
        <v>160</v>
      </c>
      <c r="C120" s="4">
        <f>C23</f>
        <v>0</v>
      </c>
      <c r="D120" s="4">
        <f t="shared" ref="D120:E120" si="27">D23</f>
        <v>0</v>
      </c>
      <c r="E120" s="4">
        <f t="shared" si="27"/>
        <v>0</v>
      </c>
      <c r="F120" s="4">
        <f t="shared" ref="F120:L120" si="28">F23</f>
        <v>0</v>
      </c>
      <c r="G120" s="4">
        <f t="shared" si="28"/>
        <v>0</v>
      </c>
      <c r="H120" s="4">
        <f t="shared" si="28"/>
        <v>0</v>
      </c>
      <c r="I120" s="4">
        <f t="shared" si="28"/>
        <v>0</v>
      </c>
      <c r="J120" s="4">
        <f t="shared" si="28"/>
        <v>0</v>
      </c>
      <c r="K120" s="4">
        <f t="shared" si="28"/>
        <v>0</v>
      </c>
      <c r="L120" s="4">
        <f t="shared" si="28"/>
        <v>0</v>
      </c>
    </row>
    <row r="121" spans="2:17" x14ac:dyDescent="0.2">
      <c r="B121" t="s">
        <v>397</v>
      </c>
      <c r="C121" s="4">
        <f>C33</f>
        <v>0</v>
      </c>
      <c r="D121" s="4">
        <f t="shared" ref="D121:F121" si="29">D33</f>
        <v>0</v>
      </c>
      <c r="E121" s="4">
        <f t="shared" si="29"/>
        <v>0</v>
      </c>
      <c r="F121" s="4">
        <f t="shared" si="29"/>
        <v>0</v>
      </c>
      <c r="G121" s="4">
        <f t="shared" ref="G121:L121" si="30">G33</f>
        <v>0</v>
      </c>
      <c r="H121" s="4">
        <f t="shared" si="30"/>
        <v>0</v>
      </c>
      <c r="I121" s="4">
        <f t="shared" si="30"/>
        <v>0</v>
      </c>
      <c r="J121" s="4">
        <f t="shared" si="30"/>
        <v>0</v>
      </c>
      <c r="K121" s="4">
        <f t="shared" si="30"/>
        <v>0</v>
      </c>
      <c r="L121" s="4">
        <f t="shared" si="30"/>
        <v>0</v>
      </c>
    </row>
    <row r="122" spans="2:17" x14ac:dyDescent="0.2">
      <c r="B122" t="s">
        <v>198</v>
      </c>
    </row>
    <row r="123" spans="2:17" x14ac:dyDescent="0.2">
      <c r="B123" t="s">
        <v>398</v>
      </c>
      <c r="C123" s="4">
        <f>C119+C120+C121+C122</f>
        <v>0</v>
      </c>
      <c r="D123" s="4">
        <f t="shared" ref="D123:F123" si="31">D119+D120+D121+D122</f>
        <v>0</v>
      </c>
      <c r="E123" s="4">
        <f t="shared" si="31"/>
        <v>0</v>
      </c>
      <c r="F123" s="4">
        <f t="shared" si="31"/>
        <v>0</v>
      </c>
      <c r="G123" s="4">
        <f t="shared" ref="G123:L123" si="32">G119+G120+G121+G122</f>
        <v>0</v>
      </c>
      <c r="H123" s="4">
        <f t="shared" si="32"/>
        <v>0</v>
      </c>
      <c r="I123" s="4">
        <f t="shared" si="32"/>
        <v>0</v>
      </c>
      <c r="J123" s="4">
        <f t="shared" si="32"/>
        <v>0</v>
      </c>
      <c r="K123" s="4">
        <f t="shared" si="32"/>
        <v>0</v>
      </c>
      <c r="L123" s="4">
        <f t="shared" si="32"/>
        <v>0</v>
      </c>
    </row>
    <row r="124" spans="2:17" x14ac:dyDescent="0.2">
      <c r="B124" s="19" t="s">
        <v>399</v>
      </c>
      <c r="C124" s="67" t="e">
        <f>-C125/C123</f>
        <v>#DIV/0!</v>
      </c>
      <c r="D124" s="67" t="e">
        <f t="shared" ref="D124:E124" si="33">-D125/D123</f>
        <v>#DIV/0!</v>
      </c>
      <c r="E124" s="67" t="e">
        <f t="shared" si="33"/>
        <v>#DIV/0!</v>
      </c>
      <c r="F124" s="67" t="e">
        <f t="shared" ref="F124:L124" si="34">-F125/F123</f>
        <v>#DIV/0!</v>
      </c>
      <c r="G124" s="67" t="e">
        <f t="shared" si="34"/>
        <v>#DIV/0!</v>
      </c>
      <c r="H124" s="67" t="e">
        <f t="shared" si="34"/>
        <v>#DIV/0!</v>
      </c>
      <c r="I124" s="67" t="e">
        <f t="shared" si="34"/>
        <v>#DIV/0!</v>
      </c>
      <c r="J124" s="67" t="e">
        <f t="shared" si="34"/>
        <v>#DIV/0!</v>
      </c>
      <c r="K124" s="67" t="e">
        <f t="shared" si="34"/>
        <v>#DIV/0!</v>
      </c>
      <c r="L124" s="67" t="e">
        <f t="shared" si="34"/>
        <v>#DIV/0!</v>
      </c>
      <c r="M124" s="19"/>
      <c r="N124" s="19"/>
      <c r="O124" s="19"/>
      <c r="P124" s="19"/>
      <c r="Q124" s="19"/>
    </row>
    <row r="125" spans="2:17" x14ac:dyDescent="0.2">
      <c r="B125" t="s">
        <v>400</v>
      </c>
      <c r="C125" s="4">
        <f>C74</f>
        <v>0</v>
      </c>
      <c r="D125" s="4">
        <f t="shared" ref="D125:F125" si="35">D74</f>
        <v>0</v>
      </c>
      <c r="E125" s="4">
        <f t="shared" si="35"/>
        <v>0</v>
      </c>
      <c r="F125" s="4">
        <f t="shared" si="35"/>
        <v>0</v>
      </c>
      <c r="G125" s="4">
        <f t="shared" ref="G125:L125" si="36">G74</f>
        <v>0</v>
      </c>
      <c r="H125" s="4">
        <f t="shared" si="36"/>
        <v>0</v>
      </c>
      <c r="I125" s="4">
        <f t="shared" si="36"/>
        <v>0</v>
      </c>
      <c r="J125" s="4">
        <f t="shared" si="36"/>
        <v>0</v>
      </c>
      <c r="K125" s="4">
        <f t="shared" si="36"/>
        <v>0</v>
      </c>
      <c r="L125" s="4">
        <f t="shared" si="36"/>
        <v>0</v>
      </c>
    </row>
    <row r="126" spans="2:17" x14ac:dyDescent="0.2">
      <c r="B126" s="68" t="s">
        <v>401</v>
      </c>
      <c r="C126" s="69"/>
      <c r="D126" s="69"/>
      <c r="E126" s="69"/>
      <c r="F126" s="69"/>
      <c r="G126" s="68"/>
      <c r="H126" s="68"/>
      <c r="I126" s="68"/>
      <c r="J126" s="68"/>
      <c r="K126" s="68"/>
      <c r="L126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 Amazon Modeling --&gt;</vt:lpstr>
      <vt:lpstr>Financials</vt:lpstr>
      <vt:lpstr>DCF Model</vt:lpstr>
      <vt:lpstr>Sensitivity Analysis</vt:lpstr>
      <vt:lpstr>2. Supporting Info --&gt;</vt:lpstr>
      <vt:lpstr>Segmental Revenue</vt:lpstr>
      <vt:lpstr>As % of Revenue</vt:lpstr>
      <vt:lpstr>CAGR-Based Elements</vt:lpstr>
      <vt:lpstr>Multiples</vt:lpstr>
      <vt:lpstr>Fin_R</vt:lpstr>
      <vt:lpstr>2</vt:lpstr>
      <vt:lpstr>Suppliers</vt:lpstr>
      <vt:lpstr>COGS</vt:lpstr>
      <vt:lpstr>Op. exp</vt:lpstr>
      <vt:lpstr>Loans </vt:lpstr>
      <vt:lpstr>capex</vt:lpstr>
    </vt:vector>
  </TitlesOfParts>
  <Manager/>
  <Company>Jarir Investment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bedour</dc:creator>
  <cp:keywords/>
  <dc:description/>
  <cp:lastModifiedBy>Girish Venkateswaran</cp:lastModifiedBy>
  <cp:revision/>
  <dcterms:created xsi:type="dcterms:W3CDTF">2015-04-09T10:30:47Z</dcterms:created>
  <dcterms:modified xsi:type="dcterms:W3CDTF">2024-07-08T22:01:44Z</dcterms:modified>
  <cp:category/>
  <cp:contentStatus/>
</cp:coreProperties>
</file>