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Forages\Pilot test\"/>
    </mc:Choice>
  </mc:AlternateContent>
  <xr:revisionPtr revIDLastSave="0" documentId="13_ncr:1_{01B899B5-021E-4855-8072-B5006FCCB37A}" xr6:coauthVersionLast="47" xr6:coauthVersionMax="47" xr10:uidLastSave="{00000000-0000-0000-0000-000000000000}"/>
  <bookViews>
    <workbookView xWindow="-120" yWindow="-120" windowWidth="29040" windowHeight="15840" firstSheet="3" activeTab="4" xr2:uid="{A7B0B497-B6A5-42C8-B69E-CB4642C045B6}"/>
  </bookViews>
  <sheets>
    <sheet name="Data" sheetId="2" r:id="rId1"/>
    <sheet name="Data Avg" sheetId="3" r:id="rId2"/>
    <sheet name="Metabolomics" sheetId="1" r:id="rId3"/>
    <sheet name="Data Volcano-plot" sheetId="4" r:id="rId4"/>
    <sheet name="Final Samples Pilot-Test March" sheetId="5" r:id="rId5"/>
  </sheets>
  <externalReferences>
    <externalReference r:id="rId6"/>
  </externalReferences>
  <definedNames>
    <definedName name="_xlnm._FilterDatabase" localSheetId="0" hidden="1">Data!$A$19:$AB$19</definedName>
    <definedName name="_xlnm._FilterDatabase" localSheetId="1" hidden="1">'Data Avg'!$A$19:$AB$19</definedName>
    <definedName name="_xlnm._FilterDatabase" localSheetId="2" hidden="1">Metabolomics!$A$1:$N$26</definedName>
    <definedName name="solver_eng" localSheetId="0" hidden="1">1</definedName>
    <definedName name="solver_eng" localSheetId="1" hidden="1">1</definedName>
    <definedName name="solver_neg" localSheetId="0" hidden="1">1</definedName>
    <definedName name="solver_neg" localSheetId="1" hidden="1">1</definedName>
    <definedName name="solver_num" localSheetId="0" hidden="1">0</definedName>
    <definedName name="solver_num" localSheetId="1" hidden="1">0</definedName>
    <definedName name="solver_opt" localSheetId="0" hidden="1">Data!$CT$3</definedName>
    <definedName name="solver_opt" localSheetId="1" hidden="1">'Data Avg'!$CT$3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91" i="3" l="1"/>
  <c r="AE191" i="3"/>
  <c r="AB191" i="3"/>
  <c r="AA191" i="3"/>
  <c r="Z191" i="3"/>
  <c r="Y191" i="3"/>
  <c r="AG190" i="3"/>
  <c r="AE190" i="3"/>
  <c r="AB190" i="3"/>
  <c r="AA190" i="3"/>
  <c r="Z190" i="3"/>
  <c r="Y190" i="3"/>
  <c r="AG189" i="3"/>
  <c r="AE189" i="3"/>
  <c r="AB189" i="3"/>
  <c r="AA189" i="3"/>
  <c r="Z189" i="3"/>
  <c r="Y189" i="3"/>
  <c r="AG188" i="3"/>
  <c r="AE188" i="3"/>
  <c r="AB188" i="3"/>
  <c r="AA188" i="3"/>
  <c r="Z188" i="3"/>
  <c r="Y188" i="3"/>
  <c r="AG187" i="3"/>
  <c r="AE187" i="3"/>
  <c r="AB187" i="3"/>
  <c r="AA187" i="3"/>
  <c r="Z187" i="3"/>
  <c r="Y187" i="3"/>
  <c r="AG186" i="3"/>
  <c r="AE186" i="3"/>
  <c r="AB186" i="3"/>
  <c r="AA186" i="3"/>
  <c r="Z186" i="3"/>
  <c r="Y186" i="3"/>
  <c r="AG185" i="3"/>
  <c r="AE185" i="3"/>
  <c r="AB185" i="3"/>
  <c r="AA185" i="3"/>
  <c r="Z185" i="3"/>
  <c r="Y185" i="3"/>
  <c r="AG184" i="3"/>
  <c r="AE184" i="3"/>
  <c r="AB184" i="3"/>
  <c r="AA184" i="3"/>
  <c r="Z184" i="3"/>
  <c r="Y184" i="3"/>
  <c r="AG183" i="3"/>
  <c r="AE183" i="3"/>
  <c r="AB183" i="3"/>
  <c r="AA183" i="3"/>
  <c r="Z183" i="3"/>
  <c r="Y183" i="3"/>
  <c r="AG182" i="3"/>
  <c r="AE182" i="3"/>
  <c r="AB182" i="3"/>
  <c r="AA182" i="3"/>
  <c r="Z182" i="3"/>
  <c r="Y182" i="3"/>
  <c r="AG181" i="3"/>
  <c r="AE181" i="3"/>
  <c r="AB181" i="3"/>
  <c r="AA181" i="3"/>
  <c r="Z181" i="3"/>
  <c r="Y181" i="3"/>
  <c r="AG180" i="3"/>
  <c r="AE180" i="3"/>
  <c r="AB180" i="3"/>
  <c r="AA180" i="3"/>
  <c r="Z180" i="3"/>
  <c r="Y180" i="3"/>
  <c r="AG179" i="3"/>
  <c r="AE179" i="3"/>
  <c r="AB179" i="3"/>
  <c r="AA179" i="3"/>
  <c r="Z179" i="3"/>
  <c r="Y179" i="3"/>
  <c r="AG178" i="3"/>
  <c r="AE178" i="3"/>
  <c r="AB178" i="3"/>
  <c r="AA178" i="3"/>
  <c r="Z178" i="3"/>
  <c r="Y178" i="3"/>
  <c r="AG177" i="3"/>
  <c r="AE177" i="3"/>
  <c r="AB177" i="3"/>
  <c r="AA177" i="3"/>
  <c r="Z177" i="3"/>
  <c r="Y177" i="3"/>
  <c r="AG176" i="3"/>
  <c r="AE176" i="3"/>
  <c r="AB176" i="3"/>
  <c r="AA176" i="3"/>
  <c r="Z176" i="3"/>
  <c r="Y176" i="3"/>
  <c r="AG175" i="3"/>
  <c r="AE175" i="3"/>
  <c r="AB175" i="3"/>
  <c r="AA175" i="3"/>
  <c r="Z175" i="3"/>
  <c r="Y175" i="3"/>
  <c r="AG174" i="3"/>
  <c r="AE174" i="3"/>
  <c r="AB174" i="3"/>
  <c r="AA174" i="3"/>
  <c r="Z174" i="3"/>
  <c r="Y174" i="3"/>
  <c r="AG173" i="3"/>
  <c r="AE173" i="3"/>
  <c r="AB173" i="3"/>
  <c r="AA173" i="3"/>
  <c r="Z173" i="3"/>
  <c r="Y173" i="3"/>
  <c r="AG172" i="3"/>
  <c r="AE172" i="3"/>
  <c r="AB172" i="3"/>
  <c r="AA172" i="3"/>
  <c r="Z172" i="3"/>
  <c r="Y172" i="3"/>
  <c r="AG171" i="3"/>
  <c r="AE171" i="3"/>
  <c r="AB171" i="3"/>
  <c r="AA171" i="3"/>
  <c r="Z171" i="3"/>
  <c r="Y171" i="3"/>
  <c r="AG170" i="3"/>
  <c r="AE170" i="3"/>
  <c r="AB170" i="3"/>
  <c r="AA170" i="3"/>
  <c r="Z170" i="3"/>
  <c r="Y170" i="3"/>
  <c r="AG169" i="3"/>
  <c r="AE169" i="3"/>
  <c r="AB169" i="3"/>
  <c r="AA169" i="3"/>
  <c r="Z169" i="3"/>
  <c r="Y169" i="3"/>
  <c r="AG168" i="3"/>
  <c r="AE168" i="3"/>
  <c r="AB168" i="3"/>
  <c r="AA168" i="3"/>
  <c r="Z168" i="3"/>
  <c r="Y168" i="3"/>
  <c r="AG167" i="3"/>
  <c r="AE167" i="3"/>
  <c r="AB167" i="3"/>
  <c r="AA167" i="3"/>
  <c r="Z167" i="3"/>
  <c r="Y167" i="3"/>
  <c r="AG166" i="3"/>
  <c r="AE166" i="3"/>
  <c r="AB166" i="3"/>
  <c r="AA166" i="3"/>
  <c r="Z166" i="3"/>
  <c r="Y166" i="3"/>
  <c r="AG165" i="3"/>
  <c r="AE165" i="3"/>
  <c r="AB165" i="3"/>
  <c r="AA165" i="3"/>
  <c r="Z165" i="3"/>
  <c r="Y165" i="3"/>
  <c r="AG164" i="3"/>
  <c r="AE164" i="3"/>
  <c r="AB164" i="3"/>
  <c r="AA164" i="3"/>
  <c r="Z164" i="3"/>
  <c r="Y164" i="3"/>
  <c r="AG163" i="3"/>
  <c r="AE163" i="3"/>
  <c r="AB163" i="3"/>
  <c r="AA163" i="3"/>
  <c r="Z163" i="3"/>
  <c r="Y163" i="3"/>
  <c r="AG162" i="3"/>
  <c r="AE162" i="3"/>
  <c r="AB162" i="3"/>
  <c r="AA162" i="3"/>
  <c r="Z162" i="3"/>
  <c r="Y162" i="3"/>
  <c r="AG161" i="3"/>
  <c r="AE161" i="3"/>
  <c r="AB161" i="3"/>
  <c r="AA161" i="3"/>
  <c r="Z161" i="3"/>
  <c r="Y161" i="3"/>
  <c r="AG160" i="3"/>
  <c r="AE160" i="3"/>
  <c r="AB160" i="3"/>
  <c r="AA160" i="3"/>
  <c r="Z160" i="3"/>
  <c r="Y160" i="3"/>
  <c r="AG159" i="3"/>
  <c r="AE159" i="3"/>
  <c r="AB159" i="3"/>
  <c r="AA159" i="3"/>
  <c r="Z159" i="3"/>
  <c r="Y159" i="3"/>
  <c r="AG158" i="3"/>
  <c r="AE158" i="3"/>
  <c r="AB158" i="3"/>
  <c r="AA158" i="3"/>
  <c r="Z158" i="3"/>
  <c r="Y158" i="3"/>
  <c r="AG157" i="3"/>
  <c r="AE157" i="3"/>
  <c r="AB157" i="3"/>
  <c r="AA157" i="3"/>
  <c r="Z157" i="3"/>
  <c r="Y157" i="3"/>
  <c r="AG156" i="3"/>
  <c r="AE156" i="3"/>
  <c r="AB156" i="3"/>
  <c r="AA156" i="3"/>
  <c r="Z156" i="3"/>
  <c r="Y156" i="3"/>
  <c r="AG155" i="3"/>
  <c r="AE155" i="3"/>
  <c r="AB155" i="3"/>
  <c r="AA155" i="3"/>
  <c r="Z155" i="3"/>
  <c r="Y155" i="3"/>
  <c r="AG154" i="3"/>
  <c r="AE154" i="3"/>
  <c r="AB154" i="3"/>
  <c r="AA154" i="3"/>
  <c r="Z154" i="3"/>
  <c r="Y154" i="3"/>
  <c r="AG153" i="3"/>
  <c r="AE153" i="3"/>
  <c r="AF153" i="3" s="1"/>
  <c r="AB153" i="3"/>
  <c r="AA153" i="3"/>
  <c r="Z153" i="3"/>
  <c r="Y153" i="3"/>
  <c r="AG152" i="3"/>
  <c r="AE152" i="3"/>
  <c r="AB152" i="3"/>
  <c r="AA152" i="3"/>
  <c r="Z152" i="3"/>
  <c r="Y152" i="3"/>
  <c r="AG151" i="3"/>
  <c r="AE151" i="3"/>
  <c r="AB151" i="3"/>
  <c r="AA151" i="3"/>
  <c r="Z151" i="3"/>
  <c r="Y151" i="3"/>
  <c r="AG150" i="3"/>
  <c r="AE150" i="3"/>
  <c r="AB150" i="3"/>
  <c r="AA150" i="3"/>
  <c r="Z150" i="3"/>
  <c r="Y150" i="3"/>
  <c r="AG149" i="3"/>
  <c r="AE149" i="3"/>
  <c r="AB149" i="3"/>
  <c r="AA149" i="3"/>
  <c r="Z149" i="3"/>
  <c r="Y149" i="3"/>
  <c r="AG148" i="3"/>
  <c r="AE148" i="3"/>
  <c r="AB148" i="3"/>
  <c r="AA148" i="3"/>
  <c r="Z148" i="3"/>
  <c r="Y148" i="3"/>
  <c r="AG147" i="3"/>
  <c r="AE147" i="3"/>
  <c r="AB147" i="3"/>
  <c r="AA147" i="3"/>
  <c r="Z147" i="3"/>
  <c r="Y147" i="3"/>
  <c r="AG146" i="3"/>
  <c r="AE146" i="3"/>
  <c r="AB146" i="3"/>
  <c r="AA146" i="3"/>
  <c r="Z146" i="3"/>
  <c r="Y146" i="3"/>
  <c r="AG145" i="3"/>
  <c r="AE145" i="3"/>
  <c r="AB145" i="3"/>
  <c r="AA145" i="3"/>
  <c r="Z145" i="3"/>
  <c r="Y145" i="3"/>
  <c r="AG144" i="3"/>
  <c r="AE144" i="3"/>
  <c r="AB144" i="3"/>
  <c r="AA144" i="3"/>
  <c r="Z144" i="3"/>
  <c r="Y144" i="3"/>
  <c r="AG143" i="3"/>
  <c r="AE143" i="3"/>
  <c r="AB143" i="3"/>
  <c r="AA143" i="3"/>
  <c r="Z143" i="3"/>
  <c r="Y143" i="3"/>
  <c r="AG142" i="3"/>
  <c r="AE142" i="3"/>
  <c r="AB142" i="3"/>
  <c r="AA142" i="3"/>
  <c r="Z142" i="3"/>
  <c r="Y142" i="3"/>
  <c r="AG141" i="3"/>
  <c r="AE141" i="3"/>
  <c r="AB141" i="3"/>
  <c r="AA141" i="3"/>
  <c r="Z141" i="3"/>
  <c r="Y141" i="3"/>
  <c r="AG140" i="3"/>
  <c r="AE140" i="3"/>
  <c r="AB140" i="3"/>
  <c r="AA140" i="3"/>
  <c r="Z140" i="3"/>
  <c r="Y140" i="3"/>
  <c r="AG139" i="3"/>
  <c r="AE139" i="3"/>
  <c r="AB139" i="3"/>
  <c r="AA139" i="3"/>
  <c r="Z139" i="3"/>
  <c r="Y139" i="3"/>
  <c r="AG138" i="3"/>
  <c r="AE138" i="3"/>
  <c r="AB138" i="3"/>
  <c r="AA138" i="3"/>
  <c r="Z138" i="3"/>
  <c r="Y138" i="3"/>
  <c r="AG137" i="3"/>
  <c r="AE137" i="3"/>
  <c r="AB137" i="3"/>
  <c r="AA137" i="3"/>
  <c r="Z137" i="3"/>
  <c r="Y137" i="3"/>
  <c r="AG136" i="3"/>
  <c r="AE136" i="3"/>
  <c r="AB136" i="3"/>
  <c r="AA136" i="3"/>
  <c r="Z136" i="3"/>
  <c r="Y136" i="3"/>
  <c r="AG135" i="3"/>
  <c r="AE135" i="3"/>
  <c r="AB135" i="3"/>
  <c r="AA135" i="3"/>
  <c r="Z135" i="3"/>
  <c r="Y135" i="3"/>
  <c r="AG134" i="3"/>
  <c r="AE134" i="3"/>
  <c r="AB134" i="3"/>
  <c r="AA134" i="3"/>
  <c r="Z134" i="3"/>
  <c r="Y134" i="3"/>
  <c r="AG133" i="3"/>
  <c r="AE133" i="3"/>
  <c r="AB133" i="3"/>
  <c r="AA133" i="3"/>
  <c r="Z133" i="3"/>
  <c r="Y133" i="3"/>
  <c r="AG132" i="3"/>
  <c r="AE132" i="3"/>
  <c r="AB132" i="3"/>
  <c r="AA132" i="3"/>
  <c r="Z132" i="3"/>
  <c r="Y132" i="3"/>
  <c r="AG131" i="3"/>
  <c r="AE131" i="3"/>
  <c r="AB131" i="3"/>
  <c r="AA131" i="3"/>
  <c r="Z131" i="3"/>
  <c r="Y131" i="3"/>
  <c r="AG130" i="3"/>
  <c r="AE130" i="3"/>
  <c r="AB130" i="3"/>
  <c r="AA130" i="3"/>
  <c r="Z130" i="3"/>
  <c r="Y130" i="3"/>
  <c r="AG129" i="3"/>
  <c r="AE129" i="3"/>
  <c r="AB129" i="3"/>
  <c r="AA129" i="3"/>
  <c r="Z129" i="3"/>
  <c r="Y129" i="3"/>
  <c r="AG128" i="3"/>
  <c r="AE128" i="3"/>
  <c r="AB128" i="3"/>
  <c r="AA128" i="3"/>
  <c r="Z128" i="3"/>
  <c r="Y128" i="3"/>
  <c r="AG127" i="3"/>
  <c r="AE127" i="3"/>
  <c r="AB127" i="3"/>
  <c r="AA127" i="3"/>
  <c r="Z127" i="3"/>
  <c r="Y127" i="3"/>
  <c r="AG125" i="3"/>
  <c r="AE125" i="3"/>
  <c r="AB125" i="3"/>
  <c r="AA125" i="3"/>
  <c r="Z125" i="3"/>
  <c r="Y125" i="3"/>
  <c r="AG124" i="3"/>
  <c r="AE124" i="3"/>
  <c r="AB124" i="3"/>
  <c r="AA124" i="3"/>
  <c r="Z124" i="3"/>
  <c r="Y124" i="3"/>
  <c r="AG126" i="3"/>
  <c r="AE126" i="3"/>
  <c r="AB126" i="3"/>
  <c r="AA126" i="3"/>
  <c r="Z126" i="3"/>
  <c r="Y126" i="3"/>
  <c r="AG123" i="3"/>
  <c r="AE123" i="3"/>
  <c r="AB123" i="3"/>
  <c r="AA123" i="3"/>
  <c r="Z123" i="3"/>
  <c r="Y123" i="3"/>
  <c r="AG122" i="3"/>
  <c r="AE122" i="3"/>
  <c r="AB122" i="3"/>
  <c r="AA122" i="3"/>
  <c r="Z122" i="3"/>
  <c r="Y122" i="3"/>
  <c r="AG121" i="3"/>
  <c r="AE121" i="3"/>
  <c r="AB121" i="3"/>
  <c r="AA121" i="3"/>
  <c r="Z121" i="3"/>
  <c r="Y121" i="3"/>
  <c r="AG120" i="3"/>
  <c r="AE120" i="3"/>
  <c r="AB120" i="3"/>
  <c r="AA120" i="3"/>
  <c r="Z120" i="3"/>
  <c r="Y120" i="3"/>
  <c r="AG119" i="3"/>
  <c r="AE119" i="3"/>
  <c r="AB119" i="3"/>
  <c r="AA119" i="3"/>
  <c r="Z119" i="3"/>
  <c r="Y119" i="3"/>
  <c r="AG118" i="3"/>
  <c r="AE118" i="3"/>
  <c r="AB118" i="3"/>
  <c r="AA118" i="3"/>
  <c r="Z118" i="3"/>
  <c r="Y118" i="3"/>
  <c r="AG117" i="3"/>
  <c r="AE117" i="3"/>
  <c r="AB117" i="3"/>
  <c r="AA117" i="3"/>
  <c r="Z117" i="3"/>
  <c r="Y117" i="3"/>
  <c r="AG116" i="3"/>
  <c r="AE116" i="3"/>
  <c r="AB116" i="3"/>
  <c r="AA116" i="3"/>
  <c r="Z116" i="3"/>
  <c r="Y116" i="3"/>
  <c r="AG115" i="3"/>
  <c r="AE115" i="3"/>
  <c r="AB115" i="3"/>
  <c r="AA115" i="3"/>
  <c r="Z115" i="3"/>
  <c r="Y115" i="3"/>
  <c r="AG114" i="3"/>
  <c r="AE114" i="3"/>
  <c r="AB114" i="3"/>
  <c r="AA114" i="3"/>
  <c r="Z114" i="3"/>
  <c r="Y114" i="3"/>
  <c r="AG113" i="3"/>
  <c r="AE113" i="3"/>
  <c r="AB113" i="3"/>
  <c r="AA113" i="3"/>
  <c r="Z113" i="3"/>
  <c r="Y113" i="3"/>
  <c r="AG112" i="3"/>
  <c r="AE112" i="3"/>
  <c r="AB112" i="3"/>
  <c r="AA112" i="3"/>
  <c r="Z112" i="3"/>
  <c r="Y112" i="3"/>
  <c r="AG111" i="3"/>
  <c r="AE111" i="3"/>
  <c r="AB111" i="3"/>
  <c r="AA111" i="3"/>
  <c r="Z111" i="3"/>
  <c r="Y111" i="3"/>
  <c r="AG110" i="3"/>
  <c r="AE110" i="3"/>
  <c r="AB110" i="3"/>
  <c r="AA110" i="3"/>
  <c r="Z110" i="3"/>
  <c r="Y110" i="3"/>
  <c r="AG109" i="3"/>
  <c r="AE109" i="3"/>
  <c r="AB109" i="3"/>
  <c r="AA109" i="3"/>
  <c r="Z109" i="3"/>
  <c r="Y109" i="3"/>
  <c r="AG108" i="3"/>
  <c r="AE108" i="3"/>
  <c r="AB108" i="3"/>
  <c r="AA108" i="3"/>
  <c r="Z108" i="3"/>
  <c r="Y108" i="3"/>
  <c r="AG107" i="3"/>
  <c r="AE107" i="3"/>
  <c r="AB107" i="3"/>
  <c r="AA107" i="3"/>
  <c r="Z107" i="3"/>
  <c r="Y107" i="3"/>
  <c r="AG106" i="3"/>
  <c r="AE106" i="3"/>
  <c r="AB106" i="3"/>
  <c r="AA106" i="3"/>
  <c r="Z106" i="3"/>
  <c r="Y106" i="3"/>
  <c r="AG105" i="3"/>
  <c r="AE105" i="3"/>
  <c r="AB105" i="3"/>
  <c r="AA105" i="3"/>
  <c r="Z105" i="3"/>
  <c r="Y105" i="3"/>
  <c r="AG104" i="3"/>
  <c r="AE104" i="3"/>
  <c r="AB104" i="3"/>
  <c r="AA104" i="3"/>
  <c r="Z104" i="3"/>
  <c r="Y104" i="3"/>
  <c r="AG103" i="3"/>
  <c r="AE103" i="3"/>
  <c r="AB103" i="3"/>
  <c r="AA103" i="3"/>
  <c r="Z103" i="3"/>
  <c r="Y103" i="3"/>
  <c r="AG102" i="3"/>
  <c r="AE102" i="3"/>
  <c r="AB102" i="3"/>
  <c r="AA102" i="3"/>
  <c r="Z102" i="3"/>
  <c r="Y102" i="3"/>
  <c r="AG101" i="3"/>
  <c r="AE101" i="3"/>
  <c r="AB101" i="3"/>
  <c r="AA101" i="3"/>
  <c r="Z101" i="3"/>
  <c r="Y101" i="3"/>
  <c r="AG100" i="3"/>
  <c r="AE100" i="3"/>
  <c r="AB100" i="3"/>
  <c r="AA100" i="3"/>
  <c r="Z100" i="3"/>
  <c r="Y100" i="3"/>
  <c r="AG99" i="3"/>
  <c r="AE99" i="3"/>
  <c r="AB99" i="3"/>
  <c r="AA99" i="3"/>
  <c r="Z99" i="3"/>
  <c r="Y99" i="3"/>
  <c r="AG98" i="3"/>
  <c r="AE98" i="3"/>
  <c r="AF98" i="3" s="1"/>
  <c r="AB98" i="3"/>
  <c r="AA98" i="3"/>
  <c r="Z98" i="3"/>
  <c r="Y98" i="3"/>
  <c r="AG97" i="3"/>
  <c r="AE97" i="3"/>
  <c r="AB97" i="3"/>
  <c r="AA97" i="3"/>
  <c r="Z97" i="3"/>
  <c r="Y97" i="3"/>
  <c r="AG96" i="3"/>
  <c r="AE96" i="3"/>
  <c r="AB96" i="3"/>
  <c r="AA96" i="3"/>
  <c r="Z96" i="3"/>
  <c r="Y96" i="3"/>
  <c r="AG95" i="3"/>
  <c r="AE95" i="3"/>
  <c r="AB95" i="3"/>
  <c r="AA95" i="3"/>
  <c r="Z95" i="3"/>
  <c r="Y95" i="3"/>
  <c r="AG94" i="3"/>
  <c r="AE94" i="3"/>
  <c r="AB94" i="3"/>
  <c r="AA94" i="3"/>
  <c r="Z94" i="3"/>
  <c r="Y94" i="3"/>
  <c r="AG93" i="3"/>
  <c r="AE93" i="3"/>
  <c r="AB93" i="3"/>
  <c r="AA93" i="3"/>
  <c r="Z93" i="3"/>
  <c r="Y93" i="3"/>
  <c r="AG92" i="3"/>
  <c r="AE92" i="3"/>
  <c r="AB92" i="3"/>
  <c r="AA92" i="3"/>
  <c r="Z92" i="3"/>
  <c r="Y92" i="3"/>
  <c r="AG91" i="3"/>
  <c r="AE91" i="3"/>
  <c r="AB91" i="3"/>
  <c r="AA91" i="3"/>
  <c r="Z91" i="3"/>
  <c r="Y91" i="3"/>
  <c r="AG90" i="3"/>
  <c r="AE90" i="3"/>
  <c r="AB90" i="3"/>
  <c r="AA90" i="3"/>
  <c r="Z90" i="3"/>
  <c r="Y90" i="3"/>
  <c r="AG89" i="3"/>
  <c r="AE89" i="3"/>
  <c r="AB89" i="3"/>
  <c r="AA89" i="3"/>
  <c r="Z89" i="3"/>
  <c r="Y89" i="3"/>
  <c r="AG88" i="3"/>
  <c r="AE88" i="3"/>
  <c r="AB88" i="3"/>
  <c r="AA88" i="3"/>
  <c r="Z88" i="3"/>
  <c r="Y88" i="3"/>
  <c r="AG87" i="3"/>
  <c r="AE87" i="3"/>
  <c r="AB87" i="3"/>
  <c r="AA87" i="3"/>
  <c r="Z87" i="3"/>
  <c r="Y87" i="3"/>
  <c r="AG85" i="3"/>
  <c r="AE85" i="3"/>
  <c r="AB85" i="3"/>
  <c r="AA85" i="3"/>
  <c r="Z85" i="3"/>
  <c r="Y85" i="3"/>
  <c r="AG84" i="3"/>
  <c r="AE84" i="3"/>
  <c r="AB84" i="3"/>
  <c r="AA84" i="3"/>
  <c r="Z84" i="3"/>
  <c r="Y84" i="3"/>
  <c r="AG86" i="3"/>
  <c r="AE86" i="3"/>
  <c r="AB86" i="3"/>
  <c r="AA86" i="3"/>
  <c r="Z86" i="3"/>
  <c r="Y86" i="3"/>
  <c r="AG83" i="3"/>
  <c r="AE83" i="3"/>
  <c r="AB83" i="3"/>
  <c r="AA83" i="3"/>
  <c r="Z83" i="3"/>
  <c r="Y83" i="3"/>
  <c r="AG82" i="3"/>
  <c r="AE82" i="3"/>
  <c r="AB82" i="3"/>
  <c r="AA82" i="3"/>
  <c r="Z82" i="3"/>
  <c r="Y82" i="3"/>
  <c r="AG81" i="3"/>
  <c r="AE81" i="3"/>
  <c r="AB81" i="3"/>
  <c r="AA81" i="3"/>
  <c r="Z81" i="3"/>
  <c r="Y81" i="3"/>
  <c r="AG80" i="3"/>
  <c r="AE80" i="3"/>
  <c r="AB80" i="3"/>
  <c r="AA80" i="3"/>
  <c r="Z80" i="3"/>
  <c r="Y80" i="3"/>
  <c r="AG79" i="3"/>
  <c r="AE79" i="3"/>
  <c r="AB79" i="3"/>
  <c r="AA79" i="3"/>
  <c r="Z79" i="3"/>
  <c r="Y79" i="3"/>
  <c r="AG78" i="3"/>
  <c r="AE78" i="3"/>
  <c r="AB78" i="3"/>
  <c r="AA78" i="3"/>
  <c r="Z78" i="3"/>
  <c r="Y78" i="3"/>
  <c r="AG77" i="3"/>
  <c r="AE77" i="3"/>
  <c r="AB77" i="3"/>
  <c r="AA77" i="3"/>
  <c r="Z77" i="3"/>
  <c r="Y77" i="3"/>
  <c r="AG76" i="3"/>
  <c r="AE76" i="3"/>
  <c r="AB76" i="3"/>
  <c r="AA76" i="3"/>
  <c r="Z76" i="3"/>
  <c r="Y76" i="3"/>
  <c r="AG75" i="3"/>
  <c r="AE75" i="3"/>
  <c r="AB75" i="3"/>
  <c r="AA75" i="3"/>
  <c r="Z75" i="3"/>
  <c r="Y75" i="3"/>
  <c r="AG74" i="3"/>
  <c r="AE74" i="3"/>
  <c r="AB74" i="3"/>
  <c r="AA74" i="3"/>
  <c r="Z74" i="3"/>
  <c r="Y74" i="3"/>
  <c r="AG73" i="3"/>
  <c r="AE73" i="3"/>
  <c r="AB73" i="3"/>
  <c r="AA73" i="3"/>
  <c r="Z73" i="3"/>
  <c r="Y73" i="3"/>
  <c r="AG72" i="3"/>
  <c r="AE72" i="3"/>
  <c r="AB72" i="3"/>
  <c r="AA72" i="3"/>
  <c r="Z72" i="3"/>
  <c r="Y72" i="3"/>
  <c r="AG71" i="3"/>
  <c r="AE71" i="3"/>
  <c r="AB71" i="3"/>
  <c r="AA71" i="3"/>
  <c r="Z71" i="3"/>
  <c r="Y71" i="3"/>
  <c r="AG70" i="3"/>
  <c r="AE70" i="3"/>
  <c r="AB70" i="3"/>
  <c r="AA70" i="3"/>
  <c r="Z70" i="3"/>
  <c r="Y70" i="3"/>
  <c r="AG69" i="3"/>
  <c r="AE69" i="3"/>
  <c r="AB69" i="3"/>
  <c r="AA69" i="3"/>
  <c r="Z69" i="3"/>
  <c r="Y69" i="3"/>
  <c r="AG68" i="3"/>
  <c r="AE68" i="3"/>
  <c r="AB68" i="3"/>
  <c r="AA68" i="3"/>
  <c r="Z68" i="3"/>
  <c r="Y68" i="3"/>
  <c r="AG67" i="3"/>
  <c r="AE67" i="3"/>
  <c r="AB67" i="3"/>
  <c r="AA67" i="3"/>
  <c r="Z67" i="3"/>
  <c r="Y67" i="3"/>
  <c r="AG66" i="3"/>
  <c r="AE66" i="3"/>
  <c r="AB66" i="3"/>
  <c r="AA66" i="3"/>
  <c r="Z66" i="3"/>
  <c r="Y66" i="3"/>
  <c r="AG65" i="3"/>
  <c r="AE65" i="3"/>
  <c r="AB65" i="3"/>
  <c r="AA65" i="3"/>
  <c r="Z65" i="3"/>
  <c r="Y65" i="3"/>
  <c r="AG64" i="3"/>
  <c r="AE64" i="3"/>
  <c r="AB64" i="3"/>
  <c r="AA64" i="3"/>
  <c r="Z64" i="3"/>
  <c r="Y64" i="3"/>
  <c r="AG63" i="3"/>
  <c r="AE63" i="3"/>
  <c r="AB63" i="3"/>
  <c r="AA63" i="3"/>
  <c r="Z63" i="3"/>
  <c r="Y63" i="3"/>
  <c r="AG62" i="3"/>
  <c r="AE62" i="3"/>
  <c r="AB62" i="3"/>
  <c r="AA62" i="3"/>
  <c r="Z62" i="3"/>
  <c r="Y62" i="3"/>
  <c r="AG61" i="3"/>
  <c r="AE61" i="3"/>
  <c r="AB61" i="3"/>
  <c r="AA61" i="3"/>
  <c r="Z61" i="3"/>
  <c r="Y61" i="3"/>
  <c r="AG60" i="3"/>
  <c r="AE60" i="3"/>
  <c r="AB60" i="3"/>
  <c r="AA60" i="3"/>
  <c r="Z60" i="3"/>
  <c r="Y60" i="3"/>
  <c r="AG59" i="3"/>
  <c r="AE59" i="3"/>
  <c r="AB59" i="3"/>
  <c r="AA59" i="3"/>
  <c r="Z59" i="3"/>
  <c r="Y59" i="3"/>
  <c r="AG58" i="3"/>
  <c r="AE58" i="3"/>
  <c r="AB58" i="3"/>
  <c r="AA58" i="3"/>
  <c r="Z58" i="3"/>
  <c r="Y58" i="3"/>
  <c r="AG57" i="3"/>
  <c r="AE57" i="3"/>
  <c r="AB57" i="3"/>
  <c r="AA57" i="3"/>
  <c r="Z57" i="3"/>
  <c r="Y57" i="3"/>
  <c r="AG56" i="3"/>
  <c r="AE56" i="3"/>
  <c r="AB56" i="3"/>
  <c r="AA56" i="3"/>
  <c r="Z56" i="3"/>
  <c r="Y56" i="3"/>
  <c r="AG55" i="3"/>
  <c r="AE55" i="3"/>
  <c r="AB55" i="3"/>
  <c r="AA55" i="3"/>
  <c r="Z55" i="3"/>
  <c r="Y55" i="3"/>
  <c r="AG54" i="3"/>
  <c r="AE54" i="3"/>
  <c r="AB54" i="3"/>
  <c r="AA54" i="3"/>
  <c r="Z54" i="3"/>
  <c r="Y54" i="3"/>
  <c r="AG53" i="3"/>
  <c r="AE53" i="3"/>
  <c r="AB53" i="3"/>
  <c r="AA53" i="3"/>
  <c r="Z53" i="3"/>
  <c r="Y53" i="3"/>
  <c r="AG52" i="3"/>
  <c r="AE52" i="3"/>
  <c r="AB52" i="3"/>
  <c r="AA52" i="3"/>
  <c r="Z52" i="3"/>
  <c r="Y52" i="3"/>
  <c r="AG51" i="3"/>
  <c r="AE51" i="3"/>
  <c r="AB51" i="3"/>
  <c r="AA51" i="3"/>
  <c r="Z51" i="3"/>
  <c r="Y51" i="3"/>
  <c r="AG50" i="3"/>
  <c r="AE50" i="3"/>
  <c r="AB50" i="3"/>
  <c r="AA50" i="3"/>
  <c r="Z50" i="3"/>
  <c r="Y50" i="3"/>
  <c r="AG49" i="3"/>
  <c r="AE49" i="3"/>
  <c r="AB49" i="3"/>
  <c r="AA49" i="3"/>
  <c r="Z49" i="3"/>
  <c r="Y49" i="3"/>
  <c r="AG48" i="3"/>
  <c r="AE48" i="3"/>
  <c r="AB48" i="3"/>
  <c r="AA48" i="3"/>
  <c r="Z48" i="3"/>
  <c r="Y48" i="3"/>
  <c r="AG47" i="3"/>
  <c r="AE47" i="3"/>
  <c r="AB47" i="3"/>
  <c r="AA47" i="3"/>
  <c r="Z47" i="3"/>
  <c r="Y47" i="3"/>
  <c r="AG46" i="3"/>
  <c r="AE46" i="3"/>
  <c r="AB46" i="3"/>
  <c r="AA46" i="3"/>
  <c r="Z46" i="3"/>
  <c r="Y46" i="3"/>
  <c r="AG45" i="3"/>
  <c r="AE45" i="3"/>
  <c r="AB45" i="3"/>
  <c r="AA45" i="3"/>
  <c r="Z45" i="3"/>
  <c r="Y45" i="3"/>
  <c r="AG44" i="3"/>
  <c r="AE44" i="3"/>
  <c r="AB44" i="3"/>
  <c r="AA44" i="3"/>
  <c r="Z44" i="3"/>
  <c r="Y44" i="3"/>
  <c r="AG43" i="3"/>
  <c r="AE43" i="3"/>
  <c r="AB43" i="3"/>
  <c r="AA43" i="3"/>
  <c r="Z43" i="3"/>
  <c r="Y43" i="3"/>
  <c r="AG42" i="3"/>
  <c r="AE42" i="3"/>
  <c r="AB42" i="3"/>
  <c r="AA42" i="3"/>
  <c r="Z42" i="3"/>
  <c r="Y42" i="3"/>
  <c r="AG41" i="3"/>
  <c r="AE41" i="3"/>
  <c r="AB41" i="3"/>
  <c r="AA41" i="3"/>
  <c r="Z41" i="3"/>
  <c r="Y41" i="3"/>
  <c r="AG40" i="3"/>
  <c r="AE40" i="3"/>
  <c r="AB40" i="3"/>
  <c r="AA40" i="3"/>
  <c r="Z40" i="3"/>
  <c r="Y40" i="3"/>
  <c r="AG39" i="3"/>
  <c r="AE39" i="3"/>
  <c r="AB39" i="3"/>
  <c r="AA39" i="3"/>
  <c r="Z39" i="3"/>
  <c r="Y39" i="3"/>
  <c r="AG38" i="3"/>
  <c r="AE38" i="3"/>
  <c r="AB38" i="3"/>
  <c r="AA38" i="3"/>
  <c r="Z38" i="3"/>
  <c r="Y38" i="3"/>
  <c r="AG37" i="3"/>
  <c r="AE37" i="3"/>
  <c r="AB37" i="3"/>
  <c r="AA37" i="3"/>
  <c r="Z37" i="3"/>
  <c r="Y37" i="3"/>
  <c r="AG36" i="3"/>
  <c r="AE36" i="3"/>
  <c r="AB36" i="3"/>
  <c r="AA36" i="3"/>
  <c r="Z36" i="3"/>
  <c r="Y36" i="3"/>
  <c r="AG35" i="3"/>
  <c r="AE35" i="3"/>
  <c r="AB35" i="3"/>
  <c r="AA35" i="3"/>
  <c r="Z35" i="3"/>
  <c r="Y35" i="3"/>
  <c r="AG34" i="3"/>
  <c r="AE34" i="3"/>
  <c r="AB34" i="3"/>
  <c r="AA34" i="3"/>
  <c r="Z34" i="3"/>
  <c r="Y34" i="3"/>
  <c r="AG33" i="3"/>
  <c r="AE33" i="3"/>
  <c r="AB33" i="3"/>
  <c r="AA33" i="3"/>
  <c r="Z33" i="3"/>
  <c r="Y33" i="3"/>
  <c r="AG32" i="3"/>
  <c r="AE32" i="3"/>
  <c r="AB32" i="3"/>
  <c r="AA32" i="3"/>
  <c r="Z32" i="3"/>
  <c r="Y32" i="3"/>
  <c r="AG31" i="3"/>
  <c r="AE31" i="3"/>
  <c r="AB31" i="3"/>
  <c r="AA31" i="3"/>
  <c r="Z31" i="3"/>
  <c r="Y31" i="3"/>
  <c r="AG30" i="3"/>
  <c r="AE30" i="3"/>
  <c r="AB30" i="3"/>
  <c r="AA30" i="3"/>
  <c r="Z30" i="3"/>
  <c r="Y30" i="3"/>
  <c r="AG29" i="3"/>
  <c r="AE29" i="3"/>
  <c r="AB29" i="3"/>
  <c r="AA29" i="3"/>
  <c r="Z29" i="3"/>
  <c r="Y29" i="3"/>
  <c r="AG28" i="3"/>
  <c r="AE28" i="3"/>
  <c r="AB28" i="3"/>
  <c r="AA28" i="3"/>
  <c r="Z28" i="3"/>
  <c r="Y28" i="3"/>
  <c r="AG27" i="3"/>
  <c r="AE27" i="3"/>
  <c r="AB27" i="3"/>
  <c r="AA27" i="3"/>
  <c r="Z27" i="3"/>
  <c r="Y27" i="3"/>
  <c r="AG26" i="3"/>
  <c r="AE26" i="3"/>
  <c r="AB26" i="3"/>
  <c r="AA26" i="3"/>
  <c r="Z26" i="3"/>
  <c r="Y26" i="3"/>
  <c r="AG25" i="3"/>
  <c r="AE25" i="3"/>
  <c r="AB25" i="3"/>
  <c r="AA25" i="3"/>
  <c r="Z25" i="3"/>
  <c r="Y25" i="3"/>
  <c r="AG24" i="3"/>
  <c r="AE24" i="3"/>
  <c r="AB24" i="3"/>
  <c r="AA24" i="3"/>
  <c r="Z24" i="3"/>
  <c r="Y24" i="3"/>
  <c r="AG23" i="3"/>
  <c r="AE23" i="3"/>
  <c r="AB23" i="3"/>
  <c r="AA23" i="3"/>
  <c r="Z23" i="3"/>
  <c r="Y23" i="3"/>
  <c r="AG22" i="3"/>
  <c r="AE22" i="3"/>
  <c r="AB22" i="3"/>
  <c r="AA22" i="3"/>
  <c r="Z22" i="3"/>
  <c r="Y22" i="3"/>
  <c r="AG21" i="3"/>
  <c r="AE21" i="3"/>
  <c r="AB21" i="3"/>
  <c r="AA21" i="3"/>
  <c r="Z21" i="3"/>
  <c r="Y21" i="3"/>
  <c r="AG20" i="3"/>
  <c r="AG6" i="3" s="1"/>
  <c r="AE20" i="3"/>
  <c r="AB20" i="3"/>
  <c r="AA20" i="3"/>
  <c r="Z20" i="3"/>
  <c r="Y20" i="3"/>
  <c r="CV14" i="3"/>
  <c r="CU14" i="3"/>
  <c r="AD11" i="3"/>
  <c r="AD10" i="3" s="1"/>
  <c r="N11" i="3"/>
  <c r="X8" i="3"/>
  <c r="W8" i="3"/>
  <c r="V8" i="3"/>
  <c r="U8" i="3"/>
  <c r="T8" i="3"/>
  <c r="S8" i="3"/>
  <c r="R8" i="3"/>
  <c r="Q8" i="3"/>
  <c r="P8" i="3"/>
  <c r="O8" i="3"/>
  <c r="X7" i="3"/>
  <c r="W7" i="3"/>
  <c r="V7" i="3"/>
  <c r="U7" i="3"/>
  <c r="T7" i="3"/>
  <c r="S7" i="3"/>
  <c r="R7" i="3"/>
  <c r="Q7" i="3"/>
  <c r="P7" i="3"/>
  <c r="O7" i="3"/>
  <c r="X6" i="3"/>
  <c r="W6" i="3"/>
  <c r="V6" i="3"/>
  <c r="U6" i="3"/>
  <c r="T6" i="3"/>
  <c r="S6" i="3"/>
  <c r="R6" i="3"/>
  <c r="Q6" i="3"/>
  <c r="P6" i="3"/>
  <c r="O6" i="3"/>
  <c r="X5" i="3"/>
  <c r="W5" i="3"/>
  <c r="V5" i="3"/>
  <c r="U5" i="3"/>
  <c r="T5" i="3"/>
  <c r="S5" i="3"/>
  <c r="R5" i="3"/>
  <c r="Q5" i="3"/>
  <c r="P5" i="3"/>
  <c r="O5" i="3"/>
  <c r="X4" i="3"/>
  <c r="W4" i="3"/>
  <c r="V4" i="3"/>
  <c r="U4" i="3"/>
  <c r="T4" i="3"/>
  <c r="S4" i="3"/>
  <c r="R4" i="3"/>
  <c r="Q4" i="3"/>
  <c r="P4" i="3"/>
  <c r="O4" i="3"/>
  <c r="X3" i="3"/>
  <c r="W3" i="3"/>
  <c r="V3" i="3"/>
  <c r="U3" i="3"/>
  <c r="T3" i="3"/>
  <c r="S3" i="3"/>
  <c r="R3" i="3"/>
  <c r="Q3" i="3"/>
  <c r="P3" i="3"/>
  <c r="O3" i="3"/>
  <c r="X2" i="3"/>
  <c r="X11" i="3" s="1"/>
  <c r="W2" i="3"/>
  <c r="W11" i="3" s="1"/>
  <c r="V2" i="3"/>
  <c r="V11" i="3" s="1"/>
  <c r="U2" i="3"/>
  <c r="U11" i="3" s="1"/>
  <c r="T2" i="3"/>
  <c r="T11" i="3" s="1"/>
  <c r="S2" i="3"/>
  <c r="S11" i="3" s="1"/>
  <c r="R2" i="3"/>
  <c r="R11" i="3" s="1"/>
  <c r="Q2" i="3"/>
  <c r="Q11" i="3" s="1"/>
  <c r="P2" i="3"/>
  <c r="P11" i="3" s="1"/>
  <c r="O2" i="3"/>
  <c r="O11" i="3" s="1"/>
  <c r="AQ533" i="2"/>
  <c r="AG533" i="2"/>
  <c r="AE533" i="2"/>
  <c r="AF533" i="2" s="1"/>
  <c r="AQ532" i="2"/>
  <c r="AG532" i="2"/>
  <c r="AF532" i="2"/>
  <c r="AE532" i="2"/>
  <c r="AQ531" i="2"/>
  <c r="AG531" i="2"/>
  <c r="AE531" i="2"/>
  <c r="AF531" i="2" s="1"/>
  <c r="AA531" i="2"/>
  <c r="X531" i="2"/>
  <c r="AQ530" i="2"/>
  <c r="AG530" i="2"/>
  <c r="AE530" i="2"/>
  <c r="AF530" i="2" s="1"/>
  <c r="AB530" i="2"/>
  <c r="AA530" i="2"/>
  <c r="X530" i="2"/>
  <c r="AG529" i="2"/>
  <c r="AF529" i="2"/>
  <c r="AE529" i="2"/>
  <c r="AB529" i="2"/>
  <c r="AQ529" i="2" s="1"/>
  <c r="AA529" i="2"/>
  <c r="X529" i="2"/>
  <c r="AG528" i="2"/>
  <c r="AF528" i="2"/>
  <c r="AE528" i="2"/>
  <c r="AB528" i="2"/>
  <c r="AQ528" i="2" s="1"/>
  <c r="AA528" i="2"/>
  <c r="X528" i="2"/>
  <c r="AQ527" i="2"/>
  <c r="AG527" i="2"/>
  <c r="AE527" i="2"/>
  <c r="AF527" i="2" s="1"/>
  <c r="AB527" i="2"/>
  <c r="AA527" i="2"/>
  <c r="X527" i="2"/>
  <c r="AQ526" i="2"/>
  <c r="AG526" i="2"/>
  <c r="AE526" i="2"/>
  <c r="AF526" i="2" s="1"/>
  <c r="AB526" i="2"/>
  <c r="AA526" i="2"/>
  <c r="X526" i="2"/>
  <c r="AG525" i="2"/>
  <c r="AF525" i="2"/>
  <c r="AE525" i="2"/>
  <c r="AB525" i="2"/>
  <c r="AQ525" i="2" s="1"/>
  <c r="AA525" i="2"/>
  <c r="X525" i="2"/>
  <c r="AG524" i="2"/>
  <c r="AF524" i="2"/>
  <c r="AE524" i="2"/>
  <c r="AB524" i="2"/>
  <c r="AQ524" i="2" s="1"/>
  <c r="AA524" i="2"/>
  <c r="X524" i="2"/>
  <c r="AQ523" i="2"/>
  <c r="AG523" i="2"/>
  <c r="AE523" i="2"/>
  <c r="AF523" i="2" s="1"/>
  <c r="AB523" i="2"/>
  <c r="AA523" i="2"/>
  <c r="X523" i="2"/>
  <c r="AQ522" i="2"/>
  <c r="AG522" i="2"/>
  <c r="AE522" i="2"/>
  <c r="AF522" i="2" s="1"/>
  <c r="AB522" i="2"/>
  <c r="AA522" i="2"/>
  <c r="X522" i="2"/>
  <c r="AG521" i="2"/>
  <c r="AF521" i="2"/>
  <c r="AE521" i="2"/>
  <c r="AB521" i="2"/>
  <c r="AQ521" i="2" s="1"/>
  <c r="AA521" i="2"/>
  <c r="X521" i="2"/>
  <c r="AG520" i="2"/>
  <c r="AF520" i="2"/>
  <c r="AE520" i="2"/>
  <c r="AB520" i="2"/>
  <c r="AQ520" i="2" s="1"/>
  <c r="AA520" i="2"/>
  <c r="X520" i="2"/>
  <c r="AQ519" i="2"/>
  <c r="AG519" i="2"/>
  <c r="AE519" i="2"/>
  <c r="AF519" i="2" s="1"/>
  <c r="AB519" i="2"/>
  <c r="AA519" i="2"/>
  <c r="X519" i="2"/>
  <c r="AQ518" i="2"/>
  <c r="AG518" i="2"/>
  <c r="AE518" i="2"/>
  <c r="AF518" i="2" s="1"/>
  <c r="AB518" i="2"/>
  <c r="AA518" i="2"/>
  <c r="X518" i="2"/>
  <c r="AG517" i="2"/>
  <c r="AF517" i="2"/>
  <c r="AE517" i="2"/>
  <c r="AB517" i="2"/>
  <c r="AQ517" i="2" s="1"/>
  <c r="AA517" i="2"/>
  <c r="X517" i="2"/>
  <c r="AG516" i="2"/>
  <c r="AF516" i="2"/>
  <c r="AE516" i="2"/>
  <c r="AB516" i="2"/>
  <c r="AQ516" i="2" s="1"/>
  <c r="AA516" i="2"/>
  <c r="X516" i="2"/>
  <c r="AG515" i="2"/>
  <c r="AF515" i="2"/>
  <c r="AE515" i="2"/>
  <c r="AB515" i="2"/>
  <c r="AQ515" i="2" s="1"/>
  <c r="AA515" i="2"/>
  <c r="X515" i="2"/>
  <c r="AG514" i="2"/>
  <c r="AE514" i="2"/>
  <c r="AF514" i="2" s="1"/>
  <c r="AB514" i="2"/>
  <c r="AQ514" i="2" s="1"/>
  <c r="AA514" i="2"/>
  <c r="X514" i="2"/>
  <c r="AG513" i="2"/>
  <c r="AF513" i="2"/>
  <c r="AE513" i="2"/>
  <c r="AB513" i="2"/>
  <c r="AQ513" i="2" s="1"/>
  <c r="AA513" i="2"/>
  <c r="X513" i="2"/>
  <c r="AQ512" i="2"/>
  <c r="AG512" i="2"/>
  <c r="AE512" i="2"/>
  <c r="AF512" i="2" s="1"/>
  <c r="AB512" i="2"/>
  <c r="AA512" i="2"/>
  <c r="X512" i="2"/>
  <c r="AG511" i="2"/>
  <c r="AF511" i="2"/>
  <c r="AE511" i="2"/>
  <c r="AB511" i="2"/>
  <c r="AQ511" i="2" s="1"/>
  <c r="AA511" i="2"/>
  <c r="X511" i="2"/>
  <c r="AG510" i="2"/>
  <c r="AE510" i="2"/>
  <c r="AF510" i="2" s="1"/>
  <c r="AB510" i="2"/>
  <c r="AQ510" i="2" s="1"/>
  <c r="AA510" i="2"/>
  <c r="X510" i="2"/>
  <c r="AQ509" i="2"/>
  <c r="AG509" i="2"/>
  <c r="AF509" i="2"/>
  <c r="AE509" i="2"/>
  <c r="AB509" i="2"/>
  <c r="AA509" i="2"/>
  <c r="X509" i="2"/>
  <c r="AG508" i="2"/>
  <c r="AE508" i="2"/>
  <c r="AF508" i="2" s="1"/>
  <c r="AB508" i="2"/>
  <c r="AQ508" i="2" s="1"/>
  <c r="AA508" i="2"/>
  <c r="X508" i="2"/>
  <c r="AG507" i="2"/>
  <c r="AF507" i="2"/>
  <c r="AE507" i="2"/>
  <c r="AB507" i="2"/>
  <c r="AQ507" i="2" s="1"/>
  <c r="AA507" i="2"/>
  <c r="X507" i="2"/>
  <c r="AG506" i="2"/>
  <c r="AE506" i="2"/>
  <c r="AF506" i="2" s="1"/>
  <c r="AB506" i="2"/>
  <c r="AQ506" i="2" s="1"/>
  <c r="AA506" i="2"/>
  <c r="X506" i="2"/>
  <c r="AQ505" i="2"/>
  <c r="AG505" i="2"/>
  <c r="AF505" i="2"/>
  <c r="AE505" i="2"/>
  <c r="AB505" i="2"/>
  <c r="AA505" i="2"/>
  <c r="X505" i="2"/>
  <c r="AG504" i="2"/>
  <c r="AE504" i="2"/>
  <c r="AF504" i="2" s="1"/>
  <c r="AB504" i="2"/>
  <c r="AQ504" i="2" s="1"/>
  <c r="AA504" i="2"/>
  <c r="X504" i="2"/>
  <c r="AG503" i="2"/>
  <c r="AF503" i="2"/>
  <c r="AE503" i="2"/>
  <c r="AB503" i="2"/>
  <c r="AQ503" i="2" s="1"/>
  <c r="AA503" i="2"/>
  <c r="X503" i="2"/>
  <c r="AQ502" i="2"/>
  <c r="AG502" i="2"/>
  <c r="AF502" i="2"/>
  <c r="AE502" i="2"/>
  <c r="AB502" i="2"/>
  <c r="AA502" i="2"/>
  <c r="X502" i="2"/>
  <c r="AG501" i="2"/>
  <c r="AE501" i="2"/>
  <c r="AF501" i="2" s="1"/>
  <c r="AB501" i="2"/>
  <c r="AQ501" i="2" s="1"/>
  <c r="AA501" i="2"/>
  <c r="X501" i="2"/>
  <c r="AG500" i="2"/>
  <c r="AF500" i="2"/>
  <c r="AE500" i="2"/>
  <c r="AB500" i="2"/>
  <c r="AQ500" i="2" s="1"/>
  <c r="AA500" i="2"/>
  <c r="X500" i="2"/>
  <c r="AG499" i="2"/>
  <c r="AE499" i="2"/>
  <c r="AF499" i="2" s="1"/>
  <c r="AB499" i="2"/>
  <c r="AQ499" i="2" s="1"/>
  <c r="AA499" i="2"/>
  <c r="X499" i="2"/>
  <c r="AQ498" i="2"/>
  <c r="AG498" i="2"/>
  <c r="AE498" i="2"/>
  <c r="AF498" i="2" s="1"/>
  <c r="AB498" i="2"/>
  <c r="AA498" i="2"/>
  <c r="X498" i="2"/>
  <c r="AQ497" i="2"/>
  <c r="AG497" i="2"/>
  <c r="AF497" i="2"/>
  <c r="AE497" i="2"/>
  <c r="AB497" i="2"/>
  <c r="AA497" i="2"/>
  <c r="X497" i="2"/>
  <c r="AG496" i="2"/>
  <c r="AE496" i="2"/>
  <c r="AF496" i="2" s="1"/>
  <c r="AB496" i="2"/>
  <c r="AQ496" i="2" s="1"/>
  <c r="AA496" i="2"/>
  <c r="X496" i="2"/>
  <c r="AG495" i="2"/>
  <c r="AF495" i="2"/>
  <c r="AE495" i="2"/>
  <c r="AB495" i="2"/>
  <c r="AQ495" i="2" s="1"/>
  <c r="AA495" i="2"/>
  <c r="X495" i="2"/>
  <c r="AG494" i="2"/>
  <c r="AF494" i="2"/>
  <c r="AE494" i="2"/>
  <c r="AB494" i="2"/>
  <c r="AQ494" i="2" s="1"/>
  <c r="AA494" i="2"/>
  <c r="X494" i="2"/>
  <c r="AG493" i="2"/>
  <c r="AF493" i="2"/>
  <c r="AE493" i="2"/>
  <c r="AB493" i="2"/>
  <c r="AQ493" i="2" s="1"/>
  <c r="AA493" i="2"/>
  <c r="X493" i="2"/>
  <c r="AQ492" i="2"/>
  <c r="AG492" i="2"/>
  <c r="AE492" i="2"/>
  <c r="AF492" i="2" s="1"/>
  <c r="AB492" i="2"/>
  <c r="AA492" i="2"/>
  <c r="X492" i="2"/>
  <c r="AQ491" i="2"/>
  <c r="AG491" i="2"/>
  <c r="AE491" i="2"/>
  <c r="AF491" i="2" s="1"/>
  <c r="AB491" i="2"/>
  <c r="AA491" i="2"/>
  <c r="X491" i="2"/>
  <c r="AG490" i="2"/>
  <c r="AF490" i="2"/>
  <c r="AE490" i="2"/>
  <c r="AB490" i="2"/>
  <c r="AQ490" i="2" s="1"/>
  <c r="AA490" i="2"/>
  <c r="X490" i="2"/>
  <c r="AG489" i="2"/>
  <c r="AF489" i="2"/>
  <c r="AE489" i="2"/>
  <c r="AB489" i="2"/>
  <c r="AQ489" i="2" s="1"/>
  <c r="AA489" i="2"/>
  <c r="X489" i="2"/>
  <c r="AG488" i="2"/>
  <c r="AF488" i="2"/>
  <c r="AE488" i="2"/>
  <c r="AB488" i="2"/>
  <c r="AQ488" i="2" s="1"/>
  <c r="AA488" i="2"/>
  <c r="X488" i="2"/>
  <c r="AQ487" i="2"/>
  <c r="AG487" i="2"/>
  <c r="AE487" i="2"/>
  <c r="AF487" i="2" s="1"/>
  <c r="AB487" i="2"/>
  <c r="AA487" i="2"/>
  <c r="X487" i="2"/>
  <c r="AG486" i="2"/>
  <c r="AE486" i="2"/>
  <c r="AF486" i="2" s="1"/>
  <c r="AB486" i="2"/>
  <c r="AQ486" i="2" s="1"/>
  <c r="AA486" i="2"/>
  <c r="X486" i="2"/>
  <c r="AG485" i="2"/>
  <c r="AF485" i="2"/>
  <c r="AE485" i="2"/>
  <c r="AB485" i="2"/>
  <c r="AQ485" i="2" s="1"/>
  <c r="AA485" i="2"/>
  <c r="X485" i="2"/>
  <c r="AQ484" i="2"/>
  <c r="AG484" i="2"/>
  <c r="AF484" i="2"/>
  <c r="AE484" i="2"/>
  <c r="AB484" i="2"/>
  <c r="AA484" i="2"/>
  <c r="X484" i="2"/>
  <c r="AG483" i="2"/>
  <c r="AE483" i="2"/>
  <c r="AF483" i="2" s="1"/>
  <c r="AB483" i="2"/>
  <c r="AQ483" i="2" s="1"/>
  <c r="AA483" i="2"/>
  <c r="X483" i="2"/>
  <c r="AG482" i="2"/>
  <c r="AE482" i="2"/>
  <c r="AF482" i="2" s="1"/>
  <c r="AB482" i="2"/>
  <c r="AQ482" i="2" s="1"/>
  <c r="AA482" i="2"/>
  <c r="X482" i="2"/>
  <c r="AG481" i="2"/>
  <c r="AF481" i="2"/>
  <c r="AE481" i="2"/>
  <c r="AB481" i="2"/>
  <c r="AQ481" i="2" s="1"/>
  <c r="AA481" i="2"/>
  <c r="X481" i="2"/>
  <c r="AG480" i="2"/>
  <c r="AE480" i="2"/>
  <c r="AF480" i="2" s="1"/>
  <c r="AB480" i="2"/>
  <c r="AQ480" i="2" s="1"/>
  <c r="AA480" i="2"/>
  <c r="X480" i="2"/>
  <c r="AQ479" i="2"/>
  <c r="AG479" i="2"/>
  <c r="AE479" i="2"/>
  <c r="AF479" i="2" s="1"/>
  <c r="AB479" i="2"/>
  <c r="AA479" i="2"/>
  <c r="X479" i="2"/>
  <c r="AQ478" i="2"/>
  <c r="AG478" i="2"/>
  <c r="AE478" i="2"/>
  <c r="AF478" i="2" s="1"/>
  <c r="AB478" i="2"/>
  <c r="AA478" i="2"/>
  <c r="X478" i="2"/>
  <c r="AG477" i="2"/>
  <c r="AF477" i="2"/>
  <c r="AE477" i="2"/>
  <c r="AB477" i="2"/>
  <c r="AQ477" i="2" s="1"/>
  <c r="AA477" i="2"/>
  <c r="X477" i="2"/>
  <c r="AG476" i="2"/>
  <c r="AF476" i="2"/>
  <c r="AE476" i="2"/>
  <c r="AB476" i="2"/>
  <c r="AQ476" i="2" s="1"/>
  <c r="AA476" i="2"/>
  <c r="X476" i="2"/>
  <c r="AQ475" i="2"/>
  <c r="AG475" i="2"/>
  <c r="AE475" i="2"/>
  <c r="AF475" i="2" s="1"/>
  <c r="AB475" i="2"/>
  <c r="AA475" i="2"/>
  <c r="X475" i="2"/>
  <c r="AG474" i="2"/>
  <c r="AE474" i="2"/>
  <c r="AF474" i="2" s="1"/>
  <c r="AB474" i="2"/>
  <c r="AQ474" i="2" s="1"/>
  <c r="AA474" i="2"/>
  <c r="X474" i="2"/>
  <c r="AG473" i="2"/>
  <c r="AF473" i="2"/>
  <c r="AE473" i="2"/>
  <c r="AB473" i="2"/>
  <c r="AQ473" i="2" s="1"/>
  <c r="AA473" i="2"/>
  <c r="X473" i="2"/>
  <c r="AG472" i="2"/>
  <c r="AE472" i="2"/>
  <c r="AF472" i="2" s="1"/>
  <c r="AB472" i="2"/>
  <c r="AQ472" i="2" s="1"/>
  <c r="AA472" i="2"/>
  <c r="X472" i="2"/>
  <c r="AG471" i="2"/>
  <c r="AE471" i="2"/>
  <c r="AF471" i="2" s="1"/>
  <c r="AB471" i="2"/>
  <c r="AQ471" i="2" s="1"/>
  <c r="AA471" i="2"/>
  <c r="X471" i="2"/>
  <c r="AQ470" i="2"/>
  <c r="AG470" i="2"/>
  <c r="AF470" i="2"/>
  <c r="AE470" i="2"/>
  <c r="AB470" i="2"/>
  <c r="AA470" i="2"/>
  <c r="X470" i="2"/>
  <c r="AQ469" i="2"/>
  <c r="AG469" i="2"/>
  <c r="AE469" i="2"/>
  <c r="AF469" i="2" s="1"/>
  <c r="AB469" i="2"/>
  <c r="AA469" i="2"/>
  <c r="X469" i="2"/>
  <c r="AQ468" i="2"/>
  <c r="AG468" i="2"/>
  <c r="AF468" i="2"/>
  <c r="AE468" i="2"/>
  <c r="AB468" i="2"/>
  <c r="AA468" i="2"/>
  <c r="X468" i="2"/>
  <c r="AG467" i="2"/>
  <c r="AF467" i="2"/>
  <c r="AE467" i="2"/>
  <c r="AB467" i="2"/>
  <c r="AQ467" i="2" s="1"/>
  <c r="AA467" i="2"/>
  <c r="X467" i="2"/>
  <c r="AG466" i="2"/>
  <c r="AF466" i="2"/>
  <c r="AE466" i="2"/>
  <c r="AB466" i="2"/>
  <c r="AQ466" i="2" s="1"/>
  <c r="AA466" i="2"/>
  <c r="X466" i="2"/>
  <c r="AQ465" i="2"/>
  <c r="AG465" i="2"/>
  <c r="AF465" i="2"/>
  <c r="AE465" i="2"/>
  <c r="AB465" i="2"/>
  <c r="AA465" i="2"/>
  <c r="X465" i="2"/>
  <c r="AQ464" i="2"/>
  <c r="AG464" i="2"/>
  <c r="AE464" i="2"/>
  <c r="AF464" i="2" s="1"/>
  <c r="AB464" i="2"/>
  <c r="AA464" i="2"/>
  <c r="X464" i="2"/>
  <c r="AG463" i="2"/>
  <c r="AE463" i="2"/>
  <c r="AF463" i="2" s="1"/>
  <c r="AB463" i="2"/>
  <c r="AQ463" i="2" s="1"/>
  <c r="AA463" i="2"/>
  <c r="X463" i="2"/>
  <c r="AQ462" i="2"/>
  <c r="AG462" i="2"/>
  <c r="AF462" i="2"/>
  <c r="AE462" i="2"/>
  <c r="AB462" i="2"/>
  <c r="AA462" i="2"/>
  <c r="X462" i="2"/>
  <c r="AG461" i="2"/>
  <c r="AE461" i="2"/>
  <c r="AF461" i="2" s="1"/>
  <c r="AB461" i="2"/>
  <c r="AQ461" i="2" s="1"/>
  <c r="AA461" i="2"/>
  <c r="X461" i="2"/>
  <c r="AQ460" i="2"/>
  <c r="AG460" i="2"/>
  <c r="AE460" i="2"/>
  <c r="AF460" i="2" s="1"/>
  <c r="AB460" i="2"/>
  <c r="AA460" i="2"/>
  <c r="X460" i="2"/>
  <c r="AG459" i="2"/>
  <c r="AF459" i="2"/>
  <c r="AE459" i="2"/>
  <c r="AB459" i="2"/>
  <c r="AQ459" i="2" s="1"/>
  <c r="AA459" i="2"/>
  <c r="X459" i="2"/>
  <c r="AG458" i="2"/>
  <c r="AF458" i="2"/>
  <c r="AE458" i="2"/>
  <c r="AB458" i="2"/>
  <c r="AQ458" i="2" s="1"/>
  <c r="AA458" i="2"/>
  <c r="X458" i="2"/>
  <c r="AG457" i="2"/>
  <c r="AE457" i="2"/>
  <c r="AF457" i="2" s="1"/>
  <c r="AB457" i="2"/>
  <c r="AQ457" i="2" s="1"/>
  <c r="AA457" i="2"/>
  <c r="X457" i="2"/>
  <c r="AQ456" i="2"/>
  <c r="AG456" i="2"/>
  <c r="AF456" i="2"/>
  <c r="AE456" i="2"/>
  <c r="AB456" i="2"/>
  <c r="AA456" i="2"/>
  <c r="X456" i="2"/>
  <c r="AG455" i="2"/>
  <c r="AE455" i="2"/>
  <c r="AF455" i="2" s="1"/>
  <c r="AB455" i="2"/>
  <c r="AQ455" i="2" s="1"/>
  <c r="AA455" i="2"/>
  <c r="X455" i="2"/>
  <c r="AG454" i="2"/>
  <c r="AF454" i="2"/>
  <c r="AE454" i="2"/>
  <c r="AB454" i="2"/>
  <c r="AQ454" i="2" s="1"/>
  <c r="AA454" i="2"/>
  <c r="X454" i="2"/>
  <c r="AQ453" i="2"/>
  <c r="AG453" i="2"/>
  <c r="AE453" i="2"/>
  <c r="AF453" i="2" s="1"/>
  <c r="AB453" i="2"/>
  <c r="AA453" i="2"/>
  <c r="X453" i="2"/>
  <c r="AQ452" i="2"/>
  <c r="AG452" i="2"/>
  <c r="AE452" i="2"/>
  <c r="AF452" i="2" s="1"/>
  <c r="AB452" i="2"/>
  <c r="AA452" i="2"/>
  <c r="X452" i="2"/>
  <c r="AG451" i="2"/>
  <c r="AE451" i="2"/>
  <c r="AF451" i="2" s="1"/>
  <c r="AB451" i="2"/>
  <c r="AQ451" i="2" s="1"/>
  <c r="AA451" i="2"/>
  <c r="X451" i="2"/>
  <c r="AG450" i="2"/>
  <c r="AF450" i="2"/>
  <c r="AE450" i="2"/>
  <c r="AB450" i="2"/>
  <c r="AQ450" i="2" s="1"/>
  <c r="AA450" i="2"/>
  <c r="X450" i="2"/>
  <c r="AG449" i="2"/>
  <c r="AE449" i="2"/>
  <c r="AF449" i="2" s="1"/>
  <c r="AB449" i="2"/>
  <c r="AQ449" i="2" s="1"/>
  <c r="AA449" i="2"/>
  <c r="X449" i="2"/>
  <c r="AQ448" i="2"/>
  <c r="AG448" i="2"/>
  <c r="AF448" i="2"/>
  <c r="AE448" i="2"/>
  <c r="AB448" i="2"/>
  <c r="AA448" i="2"/>
  <c r="X448" i="2"/>
  <c r="AG447" i="2"/>
  <c r="AE447" i="2"/>
  <c r="AF447" i="2" s="1"/>
  <c r="AB447" i="2"/>
  <c r="AQ447" i="2" s="1"/>
  <c r="AA447" i="2"/>
  <c r="X447" i="2"/>
  <c r="AG446" i="2"/>
  <c r="AF446" i="2"/>
  <c r="AE446" i="2"/>
  <c r="AB446" i="2"/>
  <c r="AQ446" i="2" s="1"/>
  <c r="AA446" i="2"/>
  <c r="X446" i="2"/>
  <c r="AQ445" i="2"/>
  <c r="AG445" i="2"/>
  <c r="AE445" i="2"/>
  <c r="AF445" i="2" s="1"/>
  <c r="AB445" i="2"/>
  <c r="AA445" i="2"/>
  <c r="X445" i="2"/>
  <c r="AQ444" i="2"/>
  <c r="AG444" i="2"/>
  <c r="AE444" i="2"/>
  <c r="AF444" i="2" s="1"/>
  <c r="AB444" i="2"/>
  <c r="AA444" i="2"/>
  <c r="X444" i="2"/>
  <c r="AG443" i="2"/>
  <c r="AE443" i="2"/>
  <c r="AF443" i="2" s="1"/>
  <c r="AB443" i="2"/>
  <c r="AQ443" i="2" s="1"/>
  <c r="AA443" i="2"/>
  <c r="X443" i="2"/>
  <c r="AG442" i="2"/>
  <c r="AF442" i="2"/>
  <c r="AE442" i="2"/>
  <c r="AB442" i="2"/>
  <c r="AQ442" i="2" s="1"/>
  <c r="AA442" i="2"/>
  <c r="X442" i="2"/>
  <c r="AG441" i="2"/>
  <c r="AE441" i="2"/>
  <c r="AF441" i="2" s="1"/>
  <c r="AB441" i="2"/>
  <c r="AQ441" i="2" s="1"/>
  <c r="AA441" i="2"/>
  <c r="X441" i="2"/>
  <c r="AQ440" i="2"/>
  <c r="AG440" i="2"/>
  <c r="AE440" i="2"/>
  <c r="AF440" i="2" s="1"/>
  <c r="AB440" i="2"/>
  <c r="AA440" i="2"/>
  <c r="X440" i="2"/>
  <c r="AG439" i="2"/>
  <c r="AE439" i="2"/>
  <c r="AF439" i="2" s="1"/>
  <c r="AB439" i="2"/>
  <c r="AQ439" i="2" s="1"/>
  <c r="AA439" i="2"/>
  <c r="X439" i="2"/>
  <c r="AG438" i="2"/>
  <c r="AF438" i="2"/>
  <c r="AE438" i="2"/>
  <c r="AB438" i="2"/>
  <c r="AQ438" i="2" s="1"/>
  <c r="AA438" i="2"/>
  <c r="X438" i="2"/>
  <c r="AQ437" i="2"/>
  <c r="AG437" i="2"/>
  <c r="AF437" i="2"/>
  <c r="AE437" i="2"/>
  <c r="AB437" i="2"/>
  <c r="AA437" i="2"/>
  <c r="X437" i="2"/>
  <c r="AQ436" i="2"/>
  <c r="AG436" i="2"/>
  <c r="AE436" i="2"/>
  <c r="AF436" i="2" s="1"/>
  <c r="AB436" i="2"/>
  <c r="AA436" i="2"/>
  <c r="X436" i="2"/>
  <c r="AG435" i="2"/>
  <c r="AF435" i="2"/>
  <c r="AE435" i="2"/>
  <c r="AB435" i="2"/>
  <c r="AQ435" i="2" s="1"/>
  <c r="AA435" i="2"/>
  <c r="X435" i="2"/>
  <c r="AG434" i="2"/>
  <c r="AF434" i="2"/>
  <c r="AE434" i="2"/>
  <c r="AB434" i="2"/>
  <c r="AQ434" i="2" s="1"/>
  <c r="AA434" i="2"/>
  <c r="X434" i="2"/>
  <c r="AG433" i="2"/>
  <c r="AE433" i="2"/>
  <c r="AF433" i="2" s="1"/>
  <c r="AB433" i="2"/>
  <c r="AQ433" i="2" s="1"/>
  <c r="AA433" i="2"/>
  <c r="X433" i="2"/>
  <c r="AQ432" i="2"/>
  <c r="AG432" i="2"/>
  <c r="AE432" i="2"/>
  <c r="AF432" i="2" s="1"/>
  <c r="AB432" i="2"/>
  <c r="AA432" i="2"/>
  <c r="X432" i="2"/>
  <c r="AG431" i="2"/>
  <c r="AE431" i="2"/>
  <c r="AF431" i="2" s="1"/>
  <c r="AB431" i="2"/>
  <c r="AQ431" i="2" s="1"/>
  <c r="AA431" i="2"/>
  <c r="X431" i="2"/>
  <c r="AG430" i="2"/>
  <c r="AF430" i="2"/>
  <c r="AE430" i="2"/>
  <c r="AB430" i="2"/>
  <c r="AQ430" i="2" s="1"/>
  <c r="AA430" i="2"/>
  <c r="X430" i="2"/>
  <c r="AQ429" i="2"/>
  <c r="AG429" i="2"/>
  <c r="AE429" i="2"/>
  <c r="AF429" i="2" s="1"/>
  <c r="AB429" i="2"/>
  <c r="AA429" i="2"/>
  <c r="X429" i="2"/>
  <c r="AG428" i="2"/>
  <c r="AE428" i="2"/>
  <c r="AF428" i="2" s="1"/>
  <c r="AB428" i="2"/>
  <c r="AQ428" i="2" s="1"/>
  <c r="AA428" i="2"/>
  <c r="X428" i="2"/>
  <c r="AG427" i="2"/>
  <c r="AF427" i="2"/>
  <c r="AE427" i="2"/>
  <c r="AB427" i="2"/>
  <c r="AQ427" i="2" s="1"/>
  <c r="AA427" i="2"/>
  <c r="X427" i="2"/>
  <c r="AG426" i="2"/>
  <c r="AE426" i="2"/>
  <c r="AF426" i="2" s="1"/>
  <c r="AB426" i="2"/>
  <c r="AQ426" i="2" s="1"/>
  <c r="AA426" i="2"/>
  <c r="X426" i="2"/>
  <c r="AG425" i="2"/>
  <c r="AF425" i="2"/>
  <c r="AE425" i="2"/>
  <c r="AB425" i="2"/>
  <c r="AQ425" i="2" s="1"/>
  <c r="AA425" i="2"/>
  <c r="X425" i="2"/>
  <c r="AQ424" i="2"/>
  <c r="AG424" i="2"/>
  <c r="AE424" i="2"/>
  <c r="AF424" i="2" s="1"/>
  <c r="AB424" i="2"/>
  <c r="AA424" i="2"/>
  <c r="X424" i="2"/>
  <c r="AG423" i="2"/>
  <c r="AE423" i="2"/>
  <c r="AF423" i="2" s="1"/>
  <c r="AB423" i="2"/>
  <c r="AQ423" i="2" s="1"/>
  <c r="AA423" i="2"/>
  <c r="X423" i="2"/>
  <c r="AG422" i="2"/>
  <c r="AF422" i="2"/>
  <c r="AE422" i="2"/>
  <c r="AB422" i="2"/>
  <c r="AQ422" i="2" s="1"/>
  <c r="AA422" i="2"/>
  <c r="X422" i="2"/>
  <c r="AG421" i="2"/>
  <c r="AF421" i="2"/>
  <c r="AE421" i="2"/>
  <c r="AB421" i="2"/>
  <c r="AQ421" i="2" s="1"/>
  <c r="AA421" i="2"/>
  <c r="X421" i="2"/>
  <c r="AQ420" i="2"/>
  <c r="AG420" i="2"/>
  <c r="AE420" i="2"/>
  <c r="AF420" i="2" s="1"/>
  <c r="AB420" i="2"/>
  <c r="AA420" i="2"/>
  <c r="X420" i="2"/>
  <c r="AQ419" i="2"/>
  <c r="AG419" i="2"/>
  <c r="AF419" i="2"/>
  <c r="AE419" i="2"/>
  <c r="AB419" i="2"/>
  <c r="AA419" i="2"/>
  <c r="X419" i="2"/>
  <c r="AG418" i="2"/>
  <c r="AE418" i="2"/>
  <c r="AF418" i="2" s="1"/>
  <c r="AB418" i="2"/>
  <c r="AQ418" i="2" s="1"/>
  <c r="AA418" i="2"/>
  <c r="X418" i="2"/>
  <c r="AG417" i="2"/>
  <c r="AF417" i="2"/>
  <c r="AE417" i="2"/>
  <c r="AB417" i="2"/>
  <c r="AQ417" i="2" s="1"/>
  <c r="AA417" i="2"/>
  <c r="X417" i="2"/>
  <c r="AQ416" i="2"/>
  <c r="AG416" i="2"/>
  <c r="AE416" i="2"/>
  <c r="AF416" i="2" s="1"/>
  <c r="AB416" i="2"/>
  <c r="AA416" i="2"/>
  <c r="X416" i="2"/>
  <c r="AG415" i="2"/>
  <c r="AE415" i="2"/>
  <c r="AF415" i="2" s="1"/>
  <c r="AB415" i="2"/>
  <c r="AQ415" i="2" s="1"/>
  <c r="AA415" i="2"/>
  <c r="X415" i="2"/>
  <c r="AG414" i="2"/>
  <c r="AF414" i="2"/>
  <c r="AE414" i="2"/>
  <c r="AB414" i="2"/>
  <c r="AQ414" i="2" s="1"/>
  <c r="AA414" i="2"/>
  <c r="X414" i="2"/>
  <c r="AG413" i="2"/>
  <c r="AF413" i="2"/>
  <c r="AE413" i="2"/>
  <c r="AB413" i="2"/>
  <c r="AQ413" i="2" s="1"/>
  <c r="AA413" i="2"/>
  <c r="X413" i="2"/>
  <c r="AQ412" i="2"/>
  <c r="AG412" i="2"/>
  <c r="AE412" i="2"/>
  <c r="AF412" i="2" s="1"/>
  <c r="AB412" i="2"/>
  <c r="AA412" i="2"/>
  <c r="X412" i="2"/>
  <c r="AG411" i="2"/>
  <c r="AF411" i="2"/>
  <c r="AE411" i="2"/>
  <c r="AB411" i="2"/>
  <c r="AQ411" i="2" s="1"/>
  <c r="AA411" i="2"/>
  <c r="X411" i="2"/>
  <c r="AG410" i="2"/>
  <c r="AF410" i="2"/>
  <c r="AE410" i="2"/>
  <c r="AB410" i="2"/>
  <c r="AA410" i="2"/>
  <c r="X410" i="2"/>
  <c r="AG409" i="2"/>
  <c r="AF409" i="2"/>
  <c r="AE409" i="2"/>
  <c r="AB409" i="2"/>
  <c r="AA409" i="2"/>
  <c r="X409" i="2"/>
  <c r="AG408" i="2"/>
  <c r="AE408" i="2"/>
  <c r="AF408" i="2" s="1"/>
  <c r="AB408" i="2"/>
  <c r="AA408" i="2"/>
  <c r="X408" i="2"/>
  <c r="AG407" i="2"/>
  <c r="AE407" i="2"/>
  <c r="AF407" i="2" s="1"/>
  <c r="AB407" i="2"/>
  <c r="AA407" i="2"/>
  <c r="X407" i="2"/>
  <c r="AG406" i="2"/>
  <c r="AE406" i="2"/>
  <c r="AF406" i="2" s="1"/>
  <c r="AB406" i="2"/>
  <c r="AA406" i="2"/>
  <c r="X406" i="2"/>
  <c r="AG405" i="2"/>
  <c r="AE405" i="2"/>
  <c r="AF405" i="2" s="1"/>
  <c r="AB405" i="2"/>
  <c r="AA405" i="2"/>
  <c r="X405" i="2"/>
  <c r="AG404" i="2"/>
  <c r="AF404" i="2"/>
  <c r="AE404" i="2"/>
  <c r="AB404" i="2"/>
  <c r="AA404" i="2"/>
  <c r="X404" i="2"/>
  <c r="AG403" i="2"/>
  <c r="AE403" i="2"/>
  <c r="AF403" i="2" s="1"/>
  <c r="AB403" i="2"/>
  <c r="AA403" i="2"/>
  <c r="X403" i="2"/>
  <c r="AG402" i="2"/>
  <c r="AE402" i="2"/>
  <c r="AF402" i="2" s="1"/>
  <c r="AB402" i="2"/>
  <c r="AA402" i="2"/>
  <c r="X402" i="2"/>
  <c r="AG401" i="2"/>
  <c r="AE401" i="2"/>
  <c r="AF401" i="2" s="1"/>
  <c r="AB401" i="2"/>
  <c r="AA401" i="2"/>
  <c r="X401" i="2"/>
  <c r="AG400" i="2"/>
  <c r="AE400" i="2"/>
  <c r="AF400" i="2" s="1"/>
  <c r="AB400" i="2"/>
  <c r="AA400" i="2"/>
  <c r="X400" i="2"/>
  <c r="AG399" i="2"/>
  <c r="AE399" i="2"/>
  <c r="AF399" i="2" s="1"/>
  <c r="AB399" i="2"/>
  <c r="AA399" i="2"/>
  <c r="X399" i="2"/>
  <c r="AG398" i="2"/>
  <c r="AE398" i="2"/>
  <c r="AF398" i="2" s="1"/>
  <c r="AB398" i="2"/>
  <c r="AA398" i="2"/>
  <c r="X398" i="2"/>
  <c r="AG397" i="2"/>
  <c r="AE397" i="2"/>
  <c r="AF397" i="2" s="1"/>
  <c r="AB397" i="2"/>
  <c r="AA397" i="2"/>
  <c r="X397" i="2"/>
  <c r="AG396" i="2"/>
  <c r="AE396" i="2"/>
  <c r="AF396" i="2" s="1"/>
  <c r="AB396" i="2"/>
  <c r="AA396" i="2"/>
  <c r="X396" i="2"/>
  <c r="AG395" i="2"/>
  <c r="AE395" i="2"/>
  <c r="AF395" i="2" s="1"/>
  <c r="AB395" i="2"/>
  <c r="AA395" i="2"/>
  <c r="X395" i="2"/>
  <c r="AG394" i="2"/>
  <c r="AE394" i="2"/>
  <c r="AF394" i="2" s="1"/>
  <c r="AB394" i="2"/>
  <c r="AA394" i="2"/>
  <c r="X394" i="2"/>
  <c r="AG393" i="2"/>
  <c r="AE393" i="2"/>
  <c r="AF393" i="2" s="1"/>
  <c r="AB393" i="2"/>
  <c r="AA393" i="2"/>
  <c r="X393" i="2"/>
  <c r="AG392" i="2"/>
  <c r="AE392" i="2"/>
  <c r="AF392" i="2" s="1"/>
  <c r="AB392" i="2"/>
  <c r="AA392" i="2"/>
  <c r="X392" i="2"/>
  <c r="AG391" i="2"/>
  <c r="AE391" i="2"/>
  <c r="AF391" i="2" s="1"/>
  <c r="AB391" i="2"/>
  <c r="AA391" i="2"/>
  <c r="X391" i="2"/>
  <c r="AG390" i="2"/>
  <c r="AE390" i="2"/>
  <c r="AF390" i="2" s="1"/>
  <c r="AB390" i="2"/>
  <c r="AA390" i="2"/>
  <c r="X390" i="2"/>
  <c r="AG389" i="2"/>
  <c r="AE389" i="2"/>
  <c r="AF389" i="2" s="1"/>
  <c r="AB389" i="2"/>
  <c r="AA389" i="2"/>
  <c r="X389" i="2"/>
  <c r="AG388" i="2"/>
  <c r="AE388" i="2"/>
  <c r="AF388" i="2" s="1"/>
  <c r="AB388" i="2"/>
  <c r="AA388" i="2"/>
  <c r="X388" i="2"/>
  <c r="AG387" i="2"/>
  <c r="AE387" i="2"/>
  <c r="AF387" i="2" s="1"/>
  <c r="AB387" i="2"/>
  <c r="AA387" i="2"/>
  <c r="X387" i="2"/>
  <c r="AG386" i="2"/>
  <c r="AE386" i="2"/>
  <c r="AF386" i="2" s="1"/>
  <c r="AB386" i="2"/>
  <c r="AA386" i="2"/>
  <c r="X386" i="2"/>
  <c r="AG385" i="2"/>
  <c r="AE385" i="2"/>
  <c r="AF385" i="2" s="1"/>
  <c r="AB385" i="2"/>
  <c r="AA385" i="2"/>
  <c r="X385" i="2"/>
  <c r="AG384" i="2"/>
  <c r="AE384" i="2"/>
  <c r="AF384" i="2" s="1"/>
  <c r="AB384" i="2"/>
  <c r="AA384" i="2"/>
  <c r="X384" i="2"/>
  <c r="AG383" i="2"/>
  <c r="AE383" i="2"/>
  <c r="AF383" i="2" s="1"/>
  <c r="AB383" i="2"/>
  <c r="AA383" i="2"/>
  <c r="X383" i="2"/>
  <c r="AG382" i="2"/>
  <c r="AE382" i="2"/>
  <c r="AF382" i="2" s="1"/>
  <c r="AB382" i="2"/>
  <c r="AA382" i="2"/>
  <c r="X382" i="2"/>
  <c r="AG381" i="2"/>
  <c r="AE381" i="2"/>
  <c r="AF381" i="2" s="1"/>
  <c r="AB381" i="2"/>
  <c r="AA381" i="2"/>
  <c r="X381" i="2"/>
  <c r="AG380" i="2"/>
  <c r="AE380" i="2"/>
  <c r="AF380" i="2" s="1"/>
  <c r="AB380" i="2"/>
  <c r="AA380" i="2"/>
  <c r="X380" i="2"/>
  <c r="AG379" i="2"/>
  <c r="AE379" i="2"/>
  <c r="AF379" i="2" s="1"/>
  <c r="AB379" i="2"/>
  <c r="AA379" i="2"/>
  <c r="X379" i="2"/>
  <c r="AG378" i="2"/>
  <c r="AE378" i="2"/>
  <c r="AF378" i="2" s="1"/>
  <c r="AB378" i="2"/>
  <c r="AA378" i="2"/>
  <c r="X378" i="2"/>
  <c r="AG377" i="2"/>
  <c r="AE377" i="2"/>
  <c r="AF377" i="2" s="1"/>
  <c r="AB377" i="2"/>
  <c r="AA377" i="2"/>
  <c r="X377" i="2"/>
  <c r="AG376" i="2"/>
  <c r="AE376" i="2"/>
  <c r="AF376" i="2" s="1"/>
  <c r="AB376" i="2"/>
  <c r="AA376" i="2"/>
  <c r="X376" i="2"/>
  <c r="AG375" i="2"/>
  <c r="AE375" i="2"/>
  <c r="AF375" i="2" s="1"/>
  <c r="AB375" i="2"/>
  <c r="AA375" i="2"/>
  <c r="X375" i="2"/>
  <c r="AG374" i="2"/>
  <c r="AE374" i="2"/>
  <c r="AF374" i="2" s="1"/>
  <c r="AB374" i="2"/>
  <c r="AA374" i="2"/>
  <c r="X374" i="2"/>
  <c r="AG373" i="2"/>
  <c r="AE373" i="2"/>
  <c r="AF373" i="2" s="1"/>
  <c r="AB373" i="2"/>
  <c r="AA373" i="2"/>
  <c r="X373" i="2"/>
  <c r="AG372" i="2"/>
  <c r="AE372" i="2"/>
  <c r="AF372" i="2" s="1"/>
  <c r="AB372" i="2"/>
  <c r="AA372" i="2"/>
  <c r="X372" i="2"/>
  <c r="AG371" i="2"/>
  <c r="AE371" i="2"/>
  <c r="AF371" i="2" s="1"/>
  <c r="AB371" i="2"/>
  <c r="AA371" i="2"/>
  <c r="X371" i="2"/>
  <c r="AG370" i="2"/>
  <c r="AF370" i="2"/>
  <c r="AE370" i="2"/>
  <c r="AB370" i="2"/>
  <c r="AA370" i="2"/>
  <c r="X370" i="2"/>
  <c r="AG369" i="2"/>
  <c r="AF369" i="2"/>
  <c r="AE369" i="2"/>
  <c r="AB369" i="2"/>
  <c r="AA369" i="2"/>
  <c r="X369" i="2"/>
  <c r="AG368" i="2"/>
  <c r="AE368" i="2"/>
  <c r="AF368" i="2" s="1"/>
  <c r="AB368" i="2"/>
  <c r="AA368" i="2"/>
  <c r="X368" i="2"/>
  <c r="AG367" i="2"/>
  <c r="AF367" i="2"/>
  <c r="AE367" i="2"/>
  <c r="AB367" i="2"/>
  <c r="AA367" i="2"/>
  <c r="X367" i="2"/>
  <c r="AG366" i="2"/>
  <c r="AF366" i="2"/>
  <c r="AE366" i="2"/>
  <c r="AB366" i="2"/>
  <c r="AA366" i="2"/>
  <c r="X366" i="2"/>
  <c r="AG365" i="2"/>
  <c r="AE365" i="2"/>
  <c r="AF365" i="2" s="1"/>
  <c r="AB365" i="2"/>
  <c r="AA365" i="2"/>
  <c r="X365" i="2"/>
  <c r="AG364" i="2"/>
  <c r="AE364" i="2"/>
  <c r="AF364" i="2" s="1"/>
  <c r="AB364" i="2"/>
  <c r="AA364" i="2"/>
  <c r="X364" i="2"/>
  <c r="AG363" i="2"/>
  <c r="AE363" i="2"/>
  <c r="AF363" i="2" s="1"/>
  <c r="AB363" i="2"/>
  <c r="AA363" i="2"/>
  <c r="X363" i="2"/>
  <c r="AG362" i="2"/>
  <c r="AE362" i="2"/>
  <c r="AF362" i="2" s="1"/>
  <c r="AB362" i="2"/>
  <c r="AA362" i="2"/>
  <c r="X362" i="2"/>
  <c r="AG361" i="2"/>
  <c r="AE361" i="2"/>
  <c r="AF361" i="2" s="1"/>
  <c r="AB361" i="2"/>
  <c r="AA361" i="2"/>
  <c r="X361" i="2"/>
  <c r="AG360" i="2"/>
  <c r="AE360" i="2"/>
  <c r="AF360" i="2" s="1"/>
  <c r="AB360" i="2"/>
  <c r="AA360" i="2"/>
  <c r="X360" i="2"/>
  <c r="AG359" i="2"/>
  <c r="AE359" i="2"/>
  <c r="AF359" i="2" s="1"/>
  <c r="AB359" i="2"/>
  <c r="AA359" i="2"/>
  <c r="X359" i="2"/>
  <c r="AG358" i="2"/>
  <c r="AE358" i="2"/>
  <c r="AF358" i="2" s="1"/>
  <c r="AB358" i="2"/>
  <c r="AA358" i="2"/>
  <c r="X358" i="2"/>
  <c r="AG357" i="2"/>
  <c r="AE357" i="2"/>
  <c r="AF357" i="2" s="1"/>
  <c r="AB357" i="2"/>
  <c r="AA357" i="2"/>
  <c r="X357" i="2"/>
  <c r="AG356" i="2"/>
  <c r="AE356" i="2"/>
  <c r="AF356" i="2" s="1"/>
  <c r="AB356" i="2"/>
  <c r="AA356" i="2"/>
  <c r="X356" i="2"/>
  <c r="AG355" i="2"/>
  <c r="AE355" i="2"/>
  <c r="AF355" i="2" s="1"/>
  <c r="AB355" i="2"/>
  <c r="AA355" i="2"/>
  <c r="X355" i="2"/>
  <c r="AG354" i="2"/>
  <c r="AE354" i="2"/>
  <c r="AF354" i="2" s="1"/>
  <c r="AB354" i="2"/>
  <c r="AA354" i="2"/>
  <c r="X354" i="2"/>
  <c r="AG353" i="2"/>
  <c r="AE353" i="2"/>
  <c r="AF353" i="2" s="1"/>
  <c r="AB353" i="2"/>
  <c r="AA353" i="2"/>
  <c r="X353" i="2"/>
  <c r="AG352" i="2"/>
  <c r="AE352" i="2"/>
  <c r="AF352" i="2" s="1"/>
  <c r="AB352" i="2"/>
  <c r="AA352" i="2"/>
  <c r="X352" i="2"/>
  <c r="AG351" i="2"/>
  <c r="AE351" i="2"/>
  <c r="AF351" i="2" s="1"/>
  <c r="AB351" i="2"/>
  <c r="AA351" i="2"/>
  <c r="X351" i="2"/>
  <c r="AG350" i="2"/>
  <c r="AE350" i="2"/>
  <c r="AF350" i="2" s="1"/>
  <c r="AB350" i="2"/>
  <c r="AA350" i="2"/>
  <c r="X350" i="2"/>
  <c r="AG349" i="2"/>
  <c r="AE349" i="2"/>
  <c r="AF349" i="2" s="1"/>
  <c r="AB349" i="2"/>
  <c r="AA349" i="2"/>
  <c r="X349" i="2"/>
  <c r="AG348" i="2"/>
  <c r="AE348" i="2"/>
  <c r="AF348" i="2" s="1"/>
  <c r="AB348" i="2"/>
  <c r="AA348" i="2"/>
  <c r="X348" i="2"/>
  <c r="AG347" i="2"/>
  <c r="AE347" i="2"/>
  <c r="AF347" i="2" s="1"/>
  <c r="AB347" i="2"/>
  <c r="AA347" i="2"/>
  <c r="X347" i="2"/>
  <c r="AG346" i="2"/>
  <c r="AE346" i="2"/>
  <c r="AF346" i="2" s="1"/>
  <c r="AB346" i="2"/>
  <c r="AA346" i="2"/>
  <c r="X346" i="2"/>
  <c r="AG345" i="2"/>
  <c r="AE345" i="2"/>
  <c r="AF345" i="2" s="1"/>
  <c r="AB345" i="2"/>
  <c r="AA345" i="2"/>
  <c r="X345" i="2"/>
  <c r="AG344" i="2"/>
  <c r="AE344" i="2"/>
  <c r="AF344" i="2" s="1"/>
  <c r="AB344" i="2"/>
  <c r="AA344" i="2"/>
  <c r="X344" i="2"/>
  <c r="AG343" i="2"/>
  <c r="AF343" i="2"/>
  <c r="AE343" i="2"/>
  <c r="AB343" i="2"/>
  <c r="AA343" i="2"/>
  <c r="X343" i="2"/>
  <c r="AG342" i="2"/>
  <c r="AE342" i="2"/>
  <c r="AF342" i="2" s="1"/>
  <c r="AB342" i="2"/>
  <c r="AA342" i="2"/>
  <c r="X342" i="2"/>
  <c r="AG341" i="2"/>
  <c r="AE341" i="2"/>
  <c r="AF341" i="2" s="1"/>
  <c r="AB341" i="2"/>
  <c r="AA341" i="2"/>
  <c r="X341" i="2"/>
  <c r="AG340" i="2"/>
  <c r="AE340" i="2"/>
  <c r="AF340" i="2" s="1"/>
  <c r="AB340" i="2"/>
  <c r="AA340" i="2"/>
  <c r="X340" i="2"/>
  <c r="AG339" i="2"/>
  <c r="AE339" i="2"/>
  <c r="AF339" i="2" s="1"/>
  <c r="AB339" i="2"/>
  <c r="AA339" i="2"/>
  <c r="X339" i="2"/>
  <c r="AG338" i="2"/>
  <c r="AE338" i="2"/>
  <c r="AF338" i="2" s="1"/>
  <c r="AB338" i="2"/>
  <c r="AA338" i="2"/>
  <c r="X338" i="2"/>
  <c r="AG337" i="2"/>
  <c r="AE337" i="2"/>
  <c r="AF337" i="2" s="1"/>
  <c r="AB337" i="2"/>
  <c r="AA337" i="2"/>
  <c r="X337" i="2"/>
  <c r="AG336" i="2"/>
  <c r="AE336" i="2"/>
  <c r="AF336" i="2" s="1"/>
  <c r="AB336" i="2"/>
  <c r="AA336" i="2"/>
  <c r="X336" i="2"/>
  <c r="AG335" i="2"/>
  <c r="AE335" i="2"/>
  <c r="AF335" i="2" s="1"/>
  <c r="AB335" i="2"/>
  <c r="AA335" i="2"/>
  <c r="X335" i="2"/>
  <c r="AG334" i="2"/>
  <c r="AE334" i="2"/>
  <c r="AF334" i="2" s="1"/>
  <c r="AB334" i="2"/>
  <c r="AA334" i="2"/>
  <c r="X334" i="2"/>
  <c r="AG333" i="2"/>
  <c r="AE333" i="2"/>
  <c r="AF333" i="2" s="1"/>
  <c r="AB333" i="2"/>
  <c r="AA333" i="2"/>
  <c r="X333" i="2"/>
  <c r="AG332" i="2"/>
  <c r="AE332" i="2"/>
  <c r="AF332" i="2" s="1"/>
  <c r="AB332" i="2"/>
  <c r="AA332" i="2"/>
  <c r="X332" i="2"/>
  <c r="AG331" i="2"/>
  <c r="AE331" i="2"/>
  <c r="AF331" i="2" s="1"/>
  <c r="AB331" i="2"/>
  <c r="AA331" i="2"/>
  <c r="X331" i="2"/>
  <c r="AG330" i="2"/>
  <c r="AE330" i="2"/>
  <c r="AF330" i="2" s="1"/>
  <c r="AB330" i="2"/>
  <c r="AA330" i="2"/>
  <c r="X330" i="2"/>
  <c r="AG329" i="2"/>
  <c r="AE329" i="2"/>
  <c r="AF329" i="2" s="1"/>
  <c r="AB329" i="2"/>
  <c r="AA329" i="2"/>
  <c r="X329" i="2"/>
  <c r="AG328" i="2"/>
  <c r="AE328" i="2"/>
  <c r="AF328" i="2" s="1"/>
  <c r="AB328" i="2"/>
  <c r="AA328" i="2"/>
  <c r="X328" i="2"/>
  <c r="AG327" i="2"/>
  <c r="AE327" i="2"/>
  <c r="AF327" i="2" s="1"/>
  <c r="AB327" i="2"/>
  <c r="AA327" i="2"/>
  <c r="X327" i="2"/>
  <c r="AG326" i="2"/>
  <c r="AE326" i="2"/>
  <c r="AF326" i="2" s="1"/>
  <c r="AB326" i="2"/>
  <c r="AA326" i="2"/>
  <c r="X326" i="2"/>
  <c r="AG325" i="2"/>
  <c r="AE325" i="2"/>
  <c r="AF325" i="2" s="1"/>
  <c r="AB325" i="2"/>
  <c r="AA325" i="2"/>
  <c r="X325" i="2"/>
  <c r="AG324" i="2"/>
  <c r="AE324" i="2"/>
  <c r="AF324" i="2" s="1"/>
  <c r="AB324" i="2"/>
  <c r="AA324" i="2"/>
  <c r="X324" i="2"/>
  <c r="AG323" i="2"/>
  <c r="AE323" i="2"/>
  <c r="AF323" i="2" s="1"/>
  <c r="AB323" i="2"/>
  <c r="AA323" i="2"/>
  <c r="X323" i="2"/>
  <c r="AG322" i="2"/>
  <c r="AE322" i="2"/>
  <c r="AF322" i="2" s="1"/>
  <c r="AB322" i="2"/>
  <c r="AA322" i="2"/>
  <c r="X322" i="2"/>
  <c r="AG321" i="2"/>
  <c r="AE321" i="2"/>
  <c r="AF321" i="2" s="1"/>
  <c r="AB321" i="2"/>
  <c r="AA321" i="2"/>
  <c r="X321" i="2"/>
  <c r="AG320" i="2"/>
  <c r="AE320" i="2"/>
  <c r="AF320" i="2" s="1"/>
  <c r="AB320" i="2"/>
  <c r="AA320" i="2"/>
  <c r="X320" i="2"/>
  <c r="AG319" i="2"/>
  <c r="AE319" i="2"/>
  <c r="AF319" i="2" s="1"/>
  <c r="AB319" i="2"/>
  <c r="AA319" i="2"/>
  <c r="X319" i="2"/>
  <c r="AG318" i="2"/>
  <c r="AE318" i="2"/>
  <c r="AF318" i="2" s="1"/>
  <c r="AB318" i="2"/>
  <c r="AA318" i="2"/>
  <c r="X318" i="2"/>
  <c r="AG317" i="2"/>
  <c r="AE317" i="2"/>
  <c r="AF317" i="2" s="1"/>
  <c r="AB317" i="2"/>
  <c r="AA317" i="2"/>
  <c r="X317" i="2"/>
  <c r="AG316" i="2"/>
  <c r="AE316" i="2"/>
  <c r="AF316" i="2" s="1"/>
  <c r="AB316" i="2"/>
  <c r="AA316" i="2"/>
  <c r="X316" i="2"/>
  <c r="AG315" i="2"/>
  <c r="AE315" i="2"/>
  <c r="AF315" i="2" s="1"/>
  <c r="AB315" i="2"/>
  <c r="AA315" i="2"/>
  <c r="X315" i="2"/>
  <c r="AG314" i="2"/>
  <c r="AE314" i="2"/>
  <c r="AF314" i="2" s="1"/>
  <c r="AB314" i="2"/>
  <c r="AA314" i="2"/>
  <c r="X314" i="2"/>
  <c r="AG313" i="2"/>
  <c r="AE313" i="2"/>
  <c r="AF313" i="2" s="1"/>
  <c r="AB313" i="2"/>
  <c r="AA313" i="2"/>
  <c r="X313" i="2"/>
  <c r="AG312" i="2"/>
  <c r="AE312" i="2"/>
  <c r="AF312" i="2" s="1"/>
  <c r="AB312" i="2"/>
  <c r="AA312" i="2"/>
  <c r="X312" i="2"/>
  <c r="AG311" i="2"/>
  <c r="AE311" i="2"/>
  <c r="AF311" i="2" s="1"/>
  <c r="AB311" i="2"/>
  <c r="AA311" i="2"/>
  <c r="X311" i="2"/>
  <c r="AG310" i="2"/>
  <c r="AE310" i="2"/>
  <c r="AF310" i="2" s="1"/>
  <c r="AB310" i="2"/>
  <c r="AA310" i="2"/>
  <c r="X310" i="2"/>
  <c r="AG309" i="2"/>
  <c r="AE309" i="2"/>
  <c r="AF309" i="2" s="1"/>
  <c r="AB309" i="2"/>
  <c r="AA309" i="2"/>
  <c r="X309" i="2"/>
  <c r="AG308" i="2"/>
  <c r="AE308" i="2"/>
  <c r="AF308" i="2" s="1"/>
  <c r="AB308" i="2"/>
  <c r="AA308" i="2"/>
  <c r="X308" i="2"/>
  <c r="AG307" i="2"/>
  <c r="AE307" i="2"/>
  <c r="AF307" i="2" s="1"/>
  <c r="AB307" i="2"/>
  <c r="AA307" i="2"/>
  <c r="X307" i="2"/>
  <c r="AG306" i="2"/>
  <c r="AE306" i="2"/>
  <c r="AF306" i="2" s="1"/>
  <c r="AB306" i="2"/>
  <c r="AA306" i="2"/>
  <c r="X306" i="2"/>
  <c r="AG305" i="2"/>
  <c r="AE305" i="2"/>
  <c r="AF305" i="2" s="1"/>
  <c r="AB305" i="2"/>
  <c r="AA305" i="2"/>
  <c r="X305" i="2"/>
  <c r="AG304" i="2"/>
  <c r="AE304" i="2"/>
  <c r="AF304" i="2" s="1"/>
  <c r="AB304" i="2"/>
  <c r="AA304" i="2"/>
  <c r="X304" i="2"/>
  <c r="AG303" i="2"/>
  <c r="AE303" i="2"/>
  <c r="AF303" i="2" s="1"/>
  <c r="AB303" i="2"/>
  <c r="AA303" i="2"/>
  <c r="X303" i="2"/>
  <c r="AG302" i="2"/>
  <c r="AE302" i="2"/>
  <c r="AF302" i="2" s="1"/>
  <c r="AB302" i="2"/>
  <c r="AA302" i="2"/>
  <c r="X302" i="2"/>
  <c r="AG301" i="2"/>
  <c r="AE301" i="2"/>
  <c r="AF301" i="2" s="1"/>
  <c r="AB301" i="2"/>
  <c r="AA301" i="2"/>
  <c r="X301" i="2"/>
  <c r="AG300" i="2"/>
  <c r="AE300" i="2"/>
  <c r="AF300" i="2" s="1"/>
  <c r="AB300" i="2"/>
  <c r="AA300" i="2"/>
  <c r="X300" i="2"/>
  <c r="AG299" i="2"/>
  <c r="AE299" i="2"/>
  <c r="AF299" i="2" s="1"/>
  <c r="AB299" i="2"/>
  <c r="AA299" i="2"/>
  <c r="X299" i="2"/>
  <c r="AG298" i="2"/>
  <c r="AE298" i="2"/>
  <c r="AF298" i="2" s="1"/>
  <c r="AB298" i="2"/>
  <c r="AA298" i="2"/>
  <c r="X298" i="2"/>
  <c r="AG297" i="2"/>
  <c r="AE297" i="2"/>
  <c r="AF297" i="2" s="1"/>
  <c r="AB297" i="2"/>
  <c r="AA297" i="2"/>
  <c r="X297" i="2"/>
  <c r="AG296" i="2"/>
  <c r="AE296" i="2"/>
  <c r="AF296" i="2" s="1"/>
  <c r="AB296" i="2"/>
  <c r="AA296" i="2"/>
  <c r="X296" i="2"/>
  <c r="AG295" i="2"/>
  <c r="AE295" i="2"/>
  <c r="AF295" i="2" s="1"/>
  <c r="AB295" i="2"/>
  <c r="AA295" i="2"/>
  <c r="X295" i="2"/>
  <c r="AG294" i="2"/>
  <c r="AE294" i="2"/>
  <c r="AF294" i="2" s="1"/>
  <c r="AB294" i="2"/>
  <c r="AA294" i="2"/>
  <c r="X294" i="2"/>
  <c r="AG293" i="2"/>
  <c r="AE293" i="2"/>
  <c r="AF293" i="2" s="1"/>
  <c r="AB293" i="2"/>
  <c r="AA293" i="2"/>
  <c r="X293" i="2"/>
  <c r="AG292" i="2"/>
  <c r="AE292" i="2"/>
  <c r="AF292" i="2" s="1"/>
  <c r="AB292" i="2"/>
  <c r="AA292" i="2"/>
  <c r="X292" i="2"/>
  <c r="AG291" i="2"/>
  <c r="AF291" i="2"/>
  <c r="AE291" i="2"/>
  <c r="AB291" i="2"/>
  <c r="AA291" i="2"/>
  <c r="X291" i="2"/>
  <c r="AG290" i="2"/>
  <c r="AE290" i="2"/>
  <c r="AF290" i="2" s="1"/>
  <c r="AB290" i="2"/>
  <c r="AA290" i="2"/>
  <c r="X290" i="2"/>
  <c r="AG289" i="2"/>
  <c r="AE289" i="2"/>
  <c r="AF289" i="2" s="1"/>
  <c r="AB289" i="2"/>
  <c r="AA289" i="2"/>
  <c r="X289" i="2"/>
  <c r="AG288" i="2"/>
  <c r="AE288" i="2"/>
  <c r="AF288" i="2" s="1"/>
  <c r="AB288" i="2"/>
  <c r="AA288" i="2"/>
  <c r="X288" i="2"/>
  <c r="AG287" i="2"/>
  <c r="AF287" i="2"/>
  <c r="AE287" i="2"/>
  <c r="AB287" i="2"/>
  <c r="AA287" i="2"/>
  <c r="X287" i="2"/>
  <c r="AG286" i="2"/>
  <c r="AF286" i="2"/>
  <c r="AE286" i="2"/>
  <c r="AB286" i="2"/>
  <c r="AA286" i="2"/>
  <c r="X286" i="2"/>
  <c r="AG285" i="2"/>
  <c r="AE285" i="2"/>
  <c r="AF285" i="2" s="1"/>
  <c r="AB285" i="2"/>
  <c r="AA285" i="2"/>
  <c r="X285" i="2"/>
  <c r="AG284" i="2"/>
  <c r="AE284" i="2"/>
  <c r="AF284" i="2" s="1"/>
  <c r="AB284" i="2"/>
  <c r="AA284" i="2"/>
  <c r="X284" i="2"/>
  <c r="AG283" i="2"/>
  <c r="AE283" i="2"/>
  <c r="AF283" i="2" s="1"/>
  <c r="AB283" i="2"/>
  <c r="AA283" i="2"/>
  <c r="X283" i="2"/>
  <c r="AG282" i="2"/>
  <c r="AE282" i="2"/>
  <c r="AF282" i="2" s="1"/>
  <c r="AB282" i="2"/>
  <c r="AA282" i="2"/>
  <c r="X282" i="2"/>
  <c r="AG281" i="2"/>
  <c r="AE281" i="2"/>
  <c r="AF281" i="2" s="1"/>
  <c r="AB281" i="2"/>
  <c r="AA281" i="2"/>
  <c r="X281" i="2"/>
  <c r="AG280" i="2"/>
  <c r="AE280" i="2"/>
  <c r="AF280" i="2" s="1"/>
  <c r="AB280" i="2"/>
  <c r="AA280" i="2"/>
  <c r="X280" i="2"/>
  <c r="AG279" i="2"/>
  <c r="AE279" i="2"/>
  <c r="AF279" i="2" s="1"/>
  <c r="AB279" i="2"/>
  <c r="AA279" i="2"/>
  <c r="X279" i="2"/>
  <c r="AG278" i="2"/>
  <c r="AE278" i="2"/>
  <c r="AF278" i="2" s="1"/>
  <c r="AB278" i="2"/>
  <c r="AA278" i="2"/>
  <c r="X278" i="2"/>
  <c r="AG277" i="2"/>
  <c r="AE277" i="2"/>
  <c r="AF277" i="2" s="1"/>
  <c r="AB277" i="2"/>
  <c r="AA277" i="2"/>
  <c r="X277" i="2"/>
  <c r="AG276" i="2"/>
  <c r="AF276" i="2"/>
  <c r="AE276" i="2"/>
  <c r="AB276" i="2"/>
  <c r="AA276" i="2"/>
  <c r="X276" i="2"/>
  <c r="AG275" i="2"/>
  <c r="AE275" i="2"/>
  <c r="AF275" i="2" s="1"/>
  <c r="AB275" i="2"/>
  <c r="AA275" i="2"/>
  <c r="X275" i="2"/>
  <c r="AG274" i="2"/>
  <c r="AF274" i="2"/>
  <c r="AE274" i="2"/>
  <c r="AB274" i="2"/>
  <c r="AA274" i="2"/>
  <c r="X274" i="2"/>
  <c r="AG273" i="2"/>
  <c r="AF273" i="2"/>
  <c r="AE273" i="2"/>
  <c r="AB273" i="2"/>
  <c r="AA273" i="2"/>
  <c r="X273" i="2"/>
  <c r="AG272" i="2"/>
  <c r="AF272" i="2"/>
  <c r="AE272" i="2"/>
  <c r="AB272" i="2"/>
  <c r="AA272" i="2"/>
  <c r="X272" i="2"/>
  <c r="AG271" i="2"/>
  <c r="AF271" i="2"/>
  <c r="AE271" i="2"/>
  <c r="AB271" i="2"/>
  <c r="AA271" i="2"/>
  <c r="X271" i="2"/>
  <c r="AG270" i="2"/>
  <c r="AF270" i="2"/>
  <c r="AE270" i="2"/>
  <c r="AB270" i="2"/>
  <c r="AA270" i="2"/>
  <c r="X270" i="2"/>
  <c r="AG269" i="2"/>
  <c r="AF269" i="2"/>
  <c r="AE269" i="2"/>
  <c r="AB269" i="2"/>
  <c r="AA269" i="2"/>
  <c r="X269" i="2"/>
  <c r="AG268" i="2"/>
  <c r="AF268" i="2"/>
  <c r="AE268" i="2"/>
  <c r="AB268" i="2"/>
  <c r="AA268" i="2"/>
  <c r="X268" i="2"/>
  <c r="AG267" i="2"/>
  <c r="AF267" i="2"/>
  <c r="AE267" i="2"/>
  <c r="AB267" i="2"/>
  <c r="AA267" i="2"/>
  <c r="X267" i="2"/>
  <c r="AG266" i="2"/>
  <c r="AF266" i="2"/>
  <c r="AE266" i="2"/>
  <c r="AB266" i="2"/>
  <c r="AA266" i="2"/>
  <c r="X266" i="2"/>
  <c r="AG265" i="2"/>
  <c r="AF265" i="2"/>
  <c r="AE265" i="2"/>
  <c r="AB265" i="2"/>
  <c r="AA265" i="2"/>
  <c r="X265" i="2"/>
  <c r="AG264" i="2"/>
  <c r="AF264" i="2"/>
  <c r="AE264" i="2"/>
  <c r="AB264" i="2"/>
  <c r="AA264" i="2"/>
  <c r="X264" i="2"/>
  <c r="AG263" i="2"/>
  <c r="AF263" i="2"/>
  <c r="AE263" i="2"/>
  <c r="AB263" i="2"/>
  <c r="AA263" i="2"/>
  <c r="X263" i="2"/>
  <c r="AG262" i="2"/>
  <c r="AF262" i="2"/>
  <c r="AE262" i="2"/>
  <c r="AB262" i="2"/>
  <c r="AA262" i="2"/>
  <c r="X262" i="2"/>
  <c r="AG261" i="2"/>
  <c r="AF261" i="2"/>
  <c r="AE261" i="2"/>
  <c r="AB261" i="2"/>
  <c r="AA261" i="2"/>
  <c r="X261" i="2"/>
  <c r="AG260" i="2"/>
  <c r="AF260" i="2"/>
  <c r="AE260" i="2"/>
  <c r="AB260" i="2"/>
  <c r="AA260" i="2"/>
  <c r="X260" i="2"/>
  <c r="AG259" i="2"/>
  <c r="AF259" i="2"/>
  <c r="AE259" i="2"/>
  <c r="AB259" i="2"/>
  <c r="AA259" i="2"/>
  <c r="X259" i="2"/>
  <c r="AG258" i="2"/>
  <c r="AF258" i="2"/>
  <c r="AE258" i="2"/>
  <c r="AB258" i="2"/>
  <c r="AA258" i="2"/>
  <c r="X258" i="2"/>
  <c r="AG257" i="2"/>
  <c r="AF257" i="2"/>
  <c r="AE257" i="2"/>
  <c r="AB257" i="2"/>
  <c r="AA257" i="2"/>
  <c r="X257" i="2"/>
  <c r="AG256" i="2"/>
  <c r="AF256" i="2"/>
  <c r="AE256" i="2"/>
  <c r="AB256" i="2"/>
  <c r="AA256" i="2"/>
  <c r="X256" i="2"/>
  <c r="AG255" i="2"/>
  <c r="AF255" i="2"/>
  <c r="AE255" i="2"/>
  <c r="AB255" i="2"/>
  <c r="AA255" i="2"/>
  <c r="X255" i="2"/>
  <c r="AG254" i="2"/>
  <c r="AF254" i="2"/>
  <c r="AE254" i="2"/>
  <c r="AB254" i="2"/>
  <c r="AA254" i="2"/>
  <c r="X254" i="2"/>
  <c r="AG253" i="2"/>
  <c r="AF253" i="2"/>
  <c r="AE253" i="2"/>
  <c r="AB253" i="2"/>
  <c r="AA253" i="2"/>
  <c r="X253" i="2"/>
  <c r="AG252" i="2"/>
  <c r="AF252" i="2"/>
  <c r="AE252" i="2"/>
  <c r="AB252" i="2"/>
  <c r="AA252" i="2"/>
  <c r="X252" i="2"/>
  <c r="AG251" i="2"/>
  <c r="AF251" i="2"/>
  <c r="AE251" i="2"/>
  <c r="AB251" i="2"/>
  <c r="AA251" i="2"/>
  <c r="X251" i="2"/>
  <c r="AG250" i="2"/>
  <c r="AF250" i="2"/>
  <c r="AE250" i="2"/>
  <c r="AB250" i="2"/>
  <c r="AA250" i="2"/>
  <c r="X250" i="2"/>
  <c r="AG249" i="2"/>
  <c r="AF249" i="2"/>
  <c r="AE249" i="2"/>
  <c r="AB249" i="2"/>
  <c r="AA249" i="2"/>
  <c r="X249" i="2"/>
  <c r="AG248" i="2"/>
  <c r="AF248" i="2"/>
  <c r="AE248" i="2"/>
  <c r="AB248" i="2"/>
  <c r="AA248" i="2"/>
  <c r="X248" i="2"/>
  <c r="AG247" i="2"/>
  <c r="AF247" i="2"/>
  <c r="AE247" i="2"/>
  <c r="AG246" i="2"/>
  <c r="AF246" i="2"/>
  <c r="AE246" i="2"/>
  <c r="AB246" i="2"/>
  <c r="AA246" i="2"/>
  <c r="X246" i="2"/>
  <c r="AG245" i="2"/>
  <c r="AF245" i="2"/>
  <c r="AE245" i="2"/>
  <c r="AB245" i="2"/>
  <c r="AA245" i="2"/>
  <c r="X245" i="2"/>
  <c r="AG244" i="2"/>
  <c r="AF244" i="2"/>
  <c r="AE244" i="2"/>
  <c r="AB244" i="2"/>
  <c r="AA244" i="2"/>
  <c r="X244" i="2"/>
  <c r="AG243" i="2"/>
  <c r="AE243" i="2"/>
  <c r="AF243" i="2" s="1"/>
  <c r="AB243" i="2"/>
  <c r="AA243" i="2"/>
  <c r="X243" i="2"/>
  <c r="AG242" i="2"/>
  <c r="AF242" i="2"/>
  <c r="AE242" i="2"/>
  <c r="AB242" i="2"/>
  <c r="AA242" i="2"/>
  <c r="X242" i="2"/>
  <c r="AG241" i="2"/>
  <c r="AE241" i="2"/>
  <c r="AF241" i="2" s="1"/>
  <c r="AB241" i="2"/>
  <c r="AA241" i="2"/>
  <c r="X241" i="2"/>
  <c r="AG240" i="2"/>
  <c r="AF240" i="2"/>
  <c r="AE240" i="2"/>
  <c r="AB240" i="2"/>
  <c r="AA240" i="2"/>
  <c r="X240" i="2"/>
  <c r="AG239" i="2"/>
  <c r="AF239" i="2"/>
  <c r="AE239" i="2"/>
  <c r="AB239" i="2"/>
  <c r="AA239" i="2"/>
  <c r="X239" i="2"/>
  <c r="AG238" i="2"/>
  <c r="AF238" i="2"/>
  <c r="AE238" i="2"/>
  <c r="AB238" i="2"/>
  <c r="AA238" i="2"/>
  <c r="X238" i="2"/>
  <c r="AG237" i="2"/>
  <c r="AF237" i="2"/>
  <c r="AE237" i="2"/>
  <c r="AB237" i="2"/>
  <c r="AA237" i="2"/>
  <c r="X237" i="2"/>
  <c r="AG236" i="2"/>
  <c r="AF236" i="2"/>
  <c r="AE236" i="2"/>
  <c r="AB236" i="2"/>
  <c r="AA236" i="2"/>
  <c r="X236" i="2"/>
  <c r="AG235" i="2"/>
  <c r="AF235" i="2"/>
  <c r="AE235" i="2"/>
  <c r="AB235" i="2"/>
  <c r="AA235" i="2"/>
  <c r="X235" i="2"/>
  <c r="AG234" i="2"/>
  <c r="AF234" i="2"/>
  <c r="AE234" i="2"/>
  <c r="AB234" i="2"/>
  <c r="AA234" i="2"/>
  <c r="X234" i="2"/>
  <c r="AG233" i="2"/>
  <c r="AF233" i="2"/>
  <c r="AE233" i="2"/>
  <c r="AB233" i="2"/>
  <c r="AA233" i="2"/>
  <c r="X233" i="2"/>
  <c r="AG232" i="2"/>
  <c r="AF232" i="2"/>
  <c r="AE232" i="2"/>
  <c r="AB232" i="2"/>
  <c r="AA232" i="2"/>
  <c r="X232" i="2"/>
  <c r="AG231" i="2"/>
  <c r="AF231" i="2"/>
  <c r="AE231" i="2"/>
  <c r="AB231" i="2"/>
  <c r="AA231" i="2"/>
  <c r="X231" i="2"/>
  <c r="AG230" i="2"/>
  <c r="AF230" i="2"/>
  <c r="AE230" i="2"/>
  <c r="AB230" i="2"/>
  <c r="AA230" i="2"/>
  <c r="X230" i="2"/>
  <c r="AG229" i="2"/>
  <c r="AF229" i="2"/>
  <c r="AE229" i="2"/>
  <c r="AB229" i="2"/>
  <c r="AA229" i="2"/>
  <c r="X229" i="2"/>
  <c r="AG228" i="2"/>
  <c r="AF228" i="2"/>
  <c r="AE228" i="2"/>
  <c r="AB228" i="2"/>
  <c r="AA228" i="2"/>
  <c r="X228" i="2"/>
  <c r="AG227" i="2"/>
  <c r="AF227" i="2"/>
  <c r="AE227" i="2"/>
  <c r="AB227" i="2"/>
  <c r="AA227" i="2"/>
  <c r="X227" i="2"/>
  <c r="AG226" i="2"/>
  <c r="AF226" i="2"/>
  <c r="AE226" i="2"/>
  <c r="AB226" i="2"/>
  <c r="AA226" i="2"/>
  <c r="X226" i="2"/>
  <c r="AG225" i="2"/>
  <c r="AF225" i="2"/>
  <c r="AE225" i="2"/>
  <c r="AB225" i="2"/>
  <c r="AA225" i="2"/>
  <c r="X225" i="2"/>
  <c r="AG224" i="2"/>
  <c r="AF224" i="2"/>
  <c r="AE224" i="2"/>
  <c r="AB224" i="2"/>
  <c r="AA224" i="2"/>
  <c r="X224" i="2"/>
  <c r="AG223" i="2"/>
  <c r="AF223" i="2"/>
  <c r="AE223" i="2"/>
  <c r="AB223" i="2"/>
  <c r="AA223" i="2"/>
  <c r="X223" i="2"/>
  <c r="AG222" i="2"/>
  <c r="AF222" i="2"/>
  <c r="AE222" i="2"/>
  <c r="AB222" i="2"/>
  <c r="AA222" i="2"/>
  <c r="X222" i="2"/>
  <c r="AG221" i="2"/>
  <c r="AF221" i="2"/>
  <c r="AE221" i="2"/>
  <c r="AG220" i="2"/>
  <c r="AF220" i="2"/>
  <c r="AE220" i="2"/>
  <c r="AB220" i="2"/>
  <c r="AA220" i="2"/>
  <c r="X220" i="2"/>
  <c r="AG219" i="2"/>
  <c r="AF219" i="2"/>
  <c r="AE219" i="2"/>
  <c r="AB219" i="2"/>
  <c r="AA219" i="2"/>
  <c r="X219" i="2"/>
  <c r="AG218" i="2"/>
  <c r="AF218" i="2"/>
  <c r="AE218" i="2"/>
  <c r="AB218" i="2"/>
  <c r="AA218" i="2"/>
  <c r="X218" i="2"/>
  <c r="AG217" i="2"/>
  <c r="AF217" i="2"/>
  <c r="AE217" i="2"/>
  <c r="AB217" i="2"/>
  <c r="AA217" i="2"/>
  <c r="X217" i="2"/>
  <c r="AG216" i="2"/>
  <c r="AF216" i="2"/>
  <c r="AE216" i="2"/>
  <c r="AB216" i="2"/>
  <c r="AA216" i="2"/>
  <c r="X216" i="2"/>
  <c r="AG215" i="2"/>
  <c r="AF215" i="2"/>
  <c r="AE215" i="2"/>
  <c r="AB215" i="2"/>
  <c r="AA215" i="2"/>
  <c r="X215" i="2"/>
  <c r="AG214" i="2"/>
  <c r="AF214" i="2"/>
  <c r="AE214" i="2"/>
  <c r="AB214" i="2"/>
  <c r="AA214" i="2"/>
  <c r="X214" i="2"/>
  <c r="AG213" i="2"/>
  <c r="AF213" i="2"/>
  <c r="AE213" i="2"/>
  <c r="AB213" i="2"/>
  <c r="AA213" i="2"/>
  <c r="X213" i="2"/>
  <c r="AG212" i="2"/>
  <c r="AF212" i="2"/>
  <c r="AE212" i="2"/>
  <c r="AB212" i="2"/>
  <c r="AA212" i="2"/>
  <c r="X212" i="2"/>
  <c r="AG211" i="2"/>
  <c r="AF211" i="2"/>
  <c r="AE211" i="2"/>
  <c r="AB211" i="2"/>
  <c r="AA211" i="2"/>
  <c r="X211" i="2"/>
  <c r="AG210" i="2"/>
  <c r="AF210" i="2"/>
  <c r="AE210" i="2"/>
  <c r="AB210" i="2"/>
  <c r="AA210" i="2"/>
  <c r="X210" i="2"/>
  <c r="AG209" i="2"/>
  <c r="AF209" i="2"/>
  <c r="AE209" i="2"/>
  <c r="AB209" i="2"/>
  <c r="AA209" i="2"/>
  <c r="X209" i="2"/>
  <c r="AG208" i="2"/>
  <c r="AF208" i="2"/>
  <c r="AE208" i="2"/>
  <c r="AB208" i="2"/>
  <c r="AA208" i="2"/>
  <c r="X208" i="2"/>
  <c r="AG207" i="2"/>
  <c r="AF207" i="2"/>
  <c r="AE207" i="2"/>
  <c r="AB207" i="2"/>
  <c r="AA207" i="2"/>
  <c r="X207" i="2"/>
  <c r="AG206" i="2"/>
  <c r="AF206" i="2"/>
  <c r="AE206" i="2"/>
  <c r="AB206" i="2"/>
  <c r="AA206" i="2"/>
  <c r="X206" i="2"/>
  <c r="AG205" i="2"/>
  <c r="AF205" i="2"/>
  <c r="AE205" i="2"/>
  <c r="AB205" i="2"/>
  <c r="AA205" i="2"/>
  <c r="X205" i="2"/>
  <c r="AG204" i="2"/>
  <c r="AF204" i="2"/>
  <c r="AE204" i="2"/>
  <c r="AB204" i="2"/>
  <c r="AA204" i="2"/>
  <c r="X204" i="2"/>
  <c r="AG203" i="2"/>
  <c r="AF203" i="2"/>
  <c r="AE203" i="2"/>
  <c r="AB203" i="2"/>
  <c r="AA203" i="2"/>
  <c r="X203" i="2"/>
  <c r="AG202" i="2"/>
  <c r="AF202" i="2"/>
  <c r="AE202" i="2"/>
  <c r="AB202" i="2"/>
  <c r="AA202" i="2"/>
  <c r="X202" i="2"/>
  <c r="AG201" i="2"/>
  <c r="AF201" i="2"/>
  <c r="AE201" i="2"/>
  <c r="AB201" i="2"/>
  <c r="AA201" i="2"/>
  <c r="X201" i="2"/>
  <c r="AG200" i="2"/>
  <c r="AF200" i="2"/>
  <c r="AE200" i="2"/>
  <c r="AB200" i="2"/>
  <c r="AA200" i="2"/>
  <c r="X200" i="2"/>
  <c r="AG199" i="2"/>
  <c r="AF199" i="2"/>
  <c r="AE199" i="2"/>
  <c r="AB199" i="2"/>
  <c r="AA199" i="2"/>
  <c r="X199" i="2"/>
  <c r="AG198" i="2"/>
  <c r="AF198" i="2"/>
  <c r="AE198" i="2"/>
  <c r="AB198" i="2"/>
  <c r="AA198" i="2"/>
  <c r="X198" i="2"/>
  <c r="AG197" i="2"/>
  <c r="AF197" i="2"/>
  <c r="AE197" i="2"/>
  <c r="AB197" i="2"/>
  <c r="AA197" i="2"/>
  <c r="X197" i="2"/>
  <c r="AG196" i="2"/>
  <c r="AF196" i="2"/>
  <c r="AE196" i="2"/>
  <c r="AB196" i="2"/>
  <c r="AA196" i="2"/>
  <c r="X196" i="2"/>
  <c r="AG195" i="2"/>
  <c r="AF195" i="2"/>
  <c r="AE195" i="2"/>
  <c r="AB195" i="2"/>
  <c r="AA195" i="2"/>
  <c r="X195" i="2"/>
  <c r="AG194" i="2"/>
  <c r="AE194" i="2"/>
  <c r="AF194" i="2" s="1"/>
  <c r="AB194" i="2"/>
  <c r="AA194" i="2"/>
  <c r="X194" i="2"/>
  <c r="AG193" i="2"/>
  <c r="AE193" i="2"/>
  <c r="AF193" i="2" s="1"/>
  <c r="AB193" i="2"/>
  <c r="AA193" i="2"/>
  <c r="X193" i="2"/>
  <c r="AG192" i="2"/>
  <c r="AE192" i="2"/>
  <c r="AF192" i="2" s="1"/>
  <c r="AB192" i="2"/>
  <c r="AA192" i="2"/>
  <c r="X192" i="2"/>
  <c r="AG191" i="2"/>
  <c r="AE191" i="2"/>
  <c r="AF191" i="2" s="1"/>
  <c r="AB191" i="2"/>
  <c r="AA191" i="2"/>
  <c r="X191" i="2"/>
  <c r="AG190" i="2"/>
  <c r="AE190" i="2"/>
  <c r="AF190" i="2" s="1"/>
  <c r="AB190" i="2"/>
  <c r="AA190" i="2"/>
  <c r="X190" i="2"/>
  <c r="AG189" i="2"/>
  <c r="AE189" i="2"/>
  <c r="AF189" i="2" s="1"/>
  <c r="AB189" i="2"/>
  <c r="AA189" i="2"/>
  <c r="X189" i="2"/>
  <c r="AG188" i="2"/>
  <c r="AE188" i="2"/>
  <c r="AF188" i="2" s="1"/>
  <c r="AB188" i="2"/>
  <c r="AA188" i="2"/>
  <c r="X188" i="2"/>
  <c r="AG187" i="2"/>
  <c r="AE187" i="2"/>
  <c r="AF187" i="2" s="1"/>
  <c r="AB187" i="2"/>
  <c r="AA187" i="2"/>
  <c r="X187" i="2"/>
  <c r="AG186" i="2"/>
  <c r="AE186" i="2"/>
  <c r="AF186" i="2" s="1"/>
  <c r="AB186" i="2"/>
  <c r="AA186" i="2"/>
  <c r="X186" i="2"/>
  <c r="AU185" i="2"/>
  <c r="AG185" i="2"/>
  <c r="AE185" i="2"/>
  <c r="AF185" i="2" s="1"/>
  <c r="AB185" i="2"/>
  <c r="AA185" i="2"/>
  <c r="X185" i="2"/>
  <c r="AG184" i="2"/>
  <c r="AE184" i="2"/>
  <c r="AF184" i="2" s="1"/>
  <c r="AB184" i="2"/>
  <c r="AA184" i="2"/>
  <c r="X184" i="2"/>
  <c r="AG183" i="2"/>
  <c r="AE183" i="2"/>
  <c r="AF183" i="2" s="1"/>
  <c r="AB183" i="2"/>
  <c r="AA183" i="2"/>
  <c r="X183" i="2"/>
  <c r="AG182" i="2"/>
  <c r="AE182" i="2"/>
  <c r="AF182" i="2" s="1"/>
  <c r="AB182" i="2"/>
  <c r="AA182" i="2"/>
  <c r="X182" i="2"/>
  <c r="AG181" i="2"/>
  <c r="AE181" i="2"/>
  <c r="AF181" i="2" s="1"/>
  <c r="AB181" i="2"/>
  <c r="AA181" i="2"/>
  <c r="X181" i="2"/>
  <c r="AG180" i="2"/>
  <c r="AE180" i="2"/>
  <c r="AF180" i="2" s="1"/>
  <c r="AB180" i="2"/>
  <c r="AA180" i="2"/>
  <c r="X180" i="2"/>
  <c r="AG179" i="2"/>
  <c r="AF179" i="2"/>
  <c r="AE179" i="2"/>
  <c r="AB179" i="2"/>
  <c r="AA179" i="2"/>
  <c r="X179" i="2"/>
  <c r="AG178" i="2"/>
  <c r="AF178" i="2"/>
  <c r="AE178" i="2"/>
  <c r="AB178" i="2"/>
  <c r="AA178" i="2"/>
  <c r="X178" i="2"/>
  <c r="AG177" i="2"/>
  <c r="AE177" i="2"/>
  <c r="AF177" i="2" s="1"/>
  <c r="AB177" i="2"/>
  <c r="AA177" i="2"/>
  <c r="X177" i="2"/>
  <c r="AG176" i="2"/>
  <c r="AE176" i="2"/>
  <c r="AF176" i="2" s="1"/>
  <c r="AB176" i="2"/>
  <c r="AA176" i="2"/>
  <c r="X176" i="2"/>
  <c r="AG175" i="2"/>
  <c r="AE175" i="2"/>
  <c r="AF175" i="2" s="1"/>
  <c r="AB175" i="2"/>
  <c r="AA175" i="2"/>
  <c r="X175" i="2"/>
  <c r="AG174" i="2"/>
  <c r="AE174" i="2"/>
  <c r="AF174" i="2" s="1"/>
  <c r="AB174" i="2"/>
  <c r="AA174" i="2"/>
  <c r="X174" i="2"/>
  <c r="AG173" i="2"/>
  <c r="AE173" i="2"/>
  <c r="AF173" i="2" s="1"/>
  <c r="AB173" i="2"/>
  <c r="AA173" i="2"/>
  <c r="X173" i="2"/>
  <c r="AG172" i="2"/>
  <c r="AE172" i="2"/>
  <c r="AF172" i="2" s="1"/>
  <c r="AB172" i="2"/>
  <c r="AA172" i="2"/>
  <c r="X172" i="2"/>
  <c r="AG171" i="2"/>
  <c r="AE171" i="2"/>
  <c r="AF171" i="2" s="1"/>
  <c r="AB171" i="2"/>
  <c r="AA171" i="2"/>
  <c r="X171" i="2"/>
  <c r="AG170" i="2"/>
  <c r="AE170" i="2"/>
  <c r="AF170" i="2" s="1"/>
  <c r="AB170" i="2"/>
  <c r="AA170" i="2"/>
  <c r="X170" i="2"/>
  <c r="AG169" i="2"/>
  <c r="AE169" i="2"/>
  <c r="AF169" i="2" s="1"/>
  <c r="AB169" i="2"/>
  <c r="AA169" i="2"/>
  <c r="X169" i="2"/>
  <c r="AG168" i="2"/>
  <c r="AE168" i="2"/>
  <c r="AF168" i="2" s="1"/>
  <c r="AB168" i="2"/>
  <c r="AA168" i="2"/>
  <c r="X168" i="2"/>
  <c r="AG167" i="2"/>
  <c r="AE167" i="2"/>
  <c r="AF167" i="2" s="1"/>
  <c r="AB167" i="2"/>
  <c r="AA167" i="2"/>
  <c r="X167" i="2"/>
  <c r="AG166" i="2"/>
  <c r="AE166" i="2"/>
  <c r="AF166" i="2" s="1"/>
  <c r="AB166" i="2"/>
  <c r="AA166" i="2"/>
  <c r="X166" i="2"/>
  <c r="AG165" i="2"/>
  <c r="AE165" i="2"/>
  <c r="AF165" i="2" s="1"/>
  <c r="AB165" i="2"/>
  <c r="AA165" i="2"/>
  <c r="X165" i="2"/>
  <c r="AG164" i="2"/>
  <c r="AE164" i="2"/>
  <c r="AF164" i="2" s="1"/>
  <c r="AB164" i="2"/>
  <c r="AA164" i="2"/>
  <c r="X164" i="2"/>
  <c r="AG163" i="2"/>
  <c r="AE163" i="2"/>
  <c r="AF163" i="2" s="1"/>
  <c r="AB163" i="2"/>
  <c r="AA163" i="2"/>
  <c r="X163" i="2"/>
  <c r="AG162" i="2"/>
  <c r="AE162" i="2"/>
  <c r="AF162" i="2" s="1"/>
  <c r="AB162" i="2"/>
  <c r="AA162" i="2"/>
  <c r="X162" i="2"/>
  <c r="AG161" i="2"/>
  <c r="AE161" i="2"/>
  <c r="AF161" i="2" s="1"/>
  <c r="AB161" i="2"/>
  <c r="AA161" i="2"/>
  <c r="X161" i="2"/>
  <c r="AG160" i="2"/>
  <c r="AE160" i="2"/>
  <c r="AF160" i="2" s="1"/>
  <c r="AB160" i="2"/>
  <c r="AA160" i="2"/>
  <c r="X160" i="2"/>
  <c r="AG159" i="2"/>
  <c r="AE159" i="2"/>
  <c r="AF159" i="2" s="1"/>
  <c r="AB159" i="2"/>
  <c r="AA159" i="2"/>
  <c r="X159" i="2"/>
  <c r="AG158" i="2"/>
  <c r="AE158" i="2"/>
  <c r="AF158" i="2" s="1"/>
  <c r="AB158" i="2"/>
  <c r="AA158" i="2"/>
  <c r="X158" i="2"/>
  <c r="AG157" i="2"/>
  <c r="AE157" i="2"/>
  <c r="AF157" i="2" s="1"/>
  <c r="AB157" i="2"/>
  <c r="AA157" i="2"/>
  <c r="X157" i="2"/>
  <c r="AG156" i="2"/>
  <c r="AE156" i="2"/>
  <c r="AF156" i="2" s="1"/>
  <c r="AB156" i="2"/>
  <c r="AA156" i="2"/>
  <c r="X156" i="2"/>
  <c r="AG155" i="2"/>
  <c r="AE155" i="2"/>
  <c r="AF155" i="2" s="1"/>
  <c r="AB155" i="2"/>
  <c r="AA155" i="2"/>
  <c r="X155" i="2"/>
  <c r="AG154" i="2"/>
  <c r="AE154" i="2"/>
  <c r="AF154" i="2" s="1"/>
  <c r="AB154" i="2"/>
  <c r="AA154" i="2"/>
  <c r="X154" i="2"/>
  <c r="AY153" i="2"/>
  <c r="AG153" i="2"/>
  <c r="AE153" i="2"/>
  <c r="AF153" i="2" s="1"/>
  <c r="AB153" i="2"/>
  <c r="AA153" i="2"/>
  <c r="X153" i="2"/>
  <c r="AG152" i="2"/>
  <c r="AE152" i="2"/>
  <c r="AF152" i="2" s="1"/>
  <c r="AB152" i="2"/>
  <c r="AA152" i="2"/>
  <c r="X152" i="2"/>
  <c r="AG151" i="2"/>
  <c r="AE151" i="2"/>
  <c r="AF151" i="2" s="1"/>
  <c r="AB151" i="2"/>
  <c r="AA151" i="2"/>
  <c r="X151" i="2"/>
  <c r="AG150" i="2"/>
  <c r="AE150" i="2"/>
  <c r="AF150" i="2" s="1"/>
  <c r="AB150" i="2"/>
  <c r="AA150" i="2"/>
  <c r="X150" i="2"/>
  <c r="AY149" i="2"/>
  <c r="AG149" i="2"/>
  <c r="AE149" i="2"/>
  <c r="AF149" i="2" s="1"/>
  <c r="AB149" i="2"/>
  <c r="AA149" i="2"/>
  <c r="X149" i="2"/>
  <c r="AG148" i="2"/>
  <c r="AE148" i="2"/>
  <c r="AF148" i="2" s="1"/>
  <c r="AB148" i="2"/>
  <c r="AA148" i="2"/>
  <c r="X148" i="2"/>
  <c r="AG147" i="2"/>
  <c r="AE147" i="2"/>
  <c r="AF147" i="2" s="1"/>
  <c r="AB147" i="2"/>
  <c r="AA147" i="2"/>
  <c r="X147" i="2"/>
  <c r="AG146" i="2"/>
  <c r="AE146" i="2"/>
  <c r="AF146" i="2" s="1"/>
  <c r="AB146" i="2"/>
  <c r="AA146" i="2"/>
  <c r="X146" i="2"/>
  <c r="AG145" i="2"/>
  <c r="AE145" i="2"/>
  <c r="AF145" i="2" s="1"/>
  <c r="AB145" i="2"/>
  <c r="AA145" i="2"/>
  <c r="X145" i="2"/>
  <c r="AG144" i="2"/>
  <c r="AE144" i="2"/>
  <c r="AF144" i="2" s="1"/>
  <c r="AB144" i="2"/>
  <c r="AA144" i="2"/>
  <c r="X144" i="2"/>
  <c r="AG143" i="2"/>
  <c r="AE143" i="2"/>
  <c r="AF143" i="2" s="1"/>
  <c r="AB143" i="2"/>
  <c r="AA143" i="2"/>
  <c r="X143" i="2"/>
  <c r="AG142" i="2"/>
  <c r="AE142" i="2"/>
  <c r="AF142" i="2" s="1"/>
  <c r="AB142" i="2"/>
  <c r="AA142" i="2"/>
  <c r="X142" i="2"/>
  <c r="AG141" i="2"/>
  <c r="AE141" i="2"/>
  <c r="AF141" i="2" s="1"/>
  <c r="AB141" i="2"/>
  <c r="AA141" i="2"/>
  <c r="X141" i="2"/>
  <c r="AG140" i="2"/>
  <c r="AE140" i="2"/>
  <c r="AF140" i="2" s="1"/>
  <c r="AB140" i="2"/>
  <c r="AA140" i="2"/>
  <c r="X140" i="2"/>
  <c r="AG139" i="2"/>
  <c r="AE139" i="2"/>
  <c r="AF139" i="2" s="1"/>
  <c r="AB139" i="2"/>
  <c r="AA139" i="2"/>
  <c r="X139" i="2"/>
  <c r="AG138" i="2"/>
  <c r="AE138" i="2"/>
  <c r="AF138" i="2" s="1"/>
  <c r="AB138" i="2"/>
  <c r="AA138" i="2"/>
  <c r="X138" i="2"/>
  <c r="AG137" i="2"/>
  <c r="AE137" i="2"/>
  <c r="AF137" i="2" s="1"/>
  <c r="AB137" i="2"/>
  <c r="AA137" i="2"/>
  <c r="X137" i="2"/>
  <c r="AG136" i="2"/>
  <c r="AE136" i="2"/>
  <c r="AF136" i="2" s="1"/>
  <c r="AB136" i="2"/>
  <c r="AA136" i="2"/>
  <c r="X136" i="2"/>
  <c r="AG135" i="2"/>
  <c r="AE135" i="2"/>
  <c r="AF135" i="2" s="1"/>
  <c r="AB135" i="2"/>
  <c r="AA135" i="2"/>
  <c r="X135" i="2"/>
  <c r="AG134" i="2"/>
  <c r="AE134" i="2"/>
  <c r="AF134" i="2" s="1"/>
  <c r="AB134" i="2"/>
  <c r="AA134" i="2"/>
  <c r="X134" i="2"/>
  <c r="AG133" i="2"/>
  <c r="AE133" i="2"/>
  <c r="AF133" i="2" s="1"/>
  <c r="AB133" i="2"/>
  <c r="AA133" i="2"/>
  <c r="X133" i="2"/>
  <c r="AG132" i="2"/>
  <c r="AE132" i="2"/>
  <c r="AF132" i="2" s="1"/>
  <c r="AB132" i="2"/>
  <c r="AA132" i="2"/>
  <c r="X132" i="2"/>
  <c r="AG131" i="2"/>
  <c r="AE131" i="2"/>
  <c r="AF131" i="2" s="1"/>
  <c r="AB131" i="2"/>
  <c r="AA131" i="2"/>
  <c r="X131" i="2"/>
  <c r="AG130" i="2"/>
  <c r="AE130" i="2"/>
  <c r="AF130" i="2" s="1"/>
  <c r="AB130" i="2"/>
  <c r="AA130" i="2"/>
  <c r="X130" i="2"/>
  <c r="AS129" i="2"/>
  <c r="AG129" i="2"/>
  <c r="AE129" i="2"/>
  <c r="AF129" i="2" s="1"/>
  <c r="AB129" i="2"/>
  <c r="AA129" i="2"/>
  <c r="X129" i="2"/>
  <c r="AG128" i="2"/>
  <c r="AE128" i="2"/>
  <c r="AF128" i="2" s="1"/>
  <c r="AB128" i="2"/>
  <c r="AA128" i="2"/>
  <c r="X128" i="2"/>
  <c r="AG127" i="2"/>
  <c r="AE127" i="2"/>
  <c r="AF127" i="2" s="1"/>
  <c r="AB127" i="2"/>
  <c r="AA127" i="2"/>
  <c r="X127" i="2"/>
  <c r="AG126" i="2"/>
  <c r="AE126" i="2"/>
  <c r="AF126" i="2" s="1"/>
  <c r="AB126" i="2"/>
  <c r="AA126" i="2"/>
  <c r="X126" i="2"/>
  <c r="AG125" i="2"/>
  <c r="AE125" i="2"/>
  <c r="AF125" i="2" s="1"/>
  <c r="AB125" i="2"/>
  <c r="AA125" i="2"/>
  <c r="X125" i="2"/>
  <c r="AG124" i="2"/>
  <c r="AE124" i="2"/>
  <c r="AF124" i="2" s="1"/>
  <c r="AB124" i="2"/>
  <c r="AA124" i="2"/>
  <c r="X124" i="2"/>
  <c r="AG123" i="2"/>
  <c r="AF123" i="2"/>
  <c r="AE123" i="2"/>
  <c r="AB123" i="2"/>
  <c r="CS6" i="2" s="1"/>
  <c r="AA123" i="2"/>
  <c r="X123" i="2"/>
  <c r="AV122" i="2"/>
  <c r="AG122" i="2"/>
  <c r="AE122" i="2"/>
  <c r="AF122" i="2" s="1"/>
  <c r="AB122" i="2"/>
  <c r="AA122" i="2"/>
  <c r="X122" i="2"/>
  <c r="AG121" i="2"/>
  <c r="AE121" i="2"/>
  <c r="AF121" i="2" s="1"/>
  <c r="AB121" i="2"/>
  <c r="AA121" i="2"/>
  <c r="X121" i="2"/>
  <c r="AG120" i="2"/>
  <c r="AE120" i="2"/>
  <c r="AF120" i="2" s="1"/>
  <c r="AB120" i="2"/>
  <c r="AA120" i="2"/>
  <c r="X120" i="2"/>
  <c r="AV119" i="2"/>
  <c r="AG119" i="2"/>
  <c r="AE119" i="2"/>
  <c r="AF119" i="2" s="1"/>
  <c r="AB119" i="2"/>
  <c r="AA119" i="2"/>
  <c r="X119" i="2"/>
  <c r="AG118" i="2"/>
  <c r="AE118" i="2"/>
  <c r="AF118" i="2" s="1"/>
  <c r="AB118" i="2"/>
  <c r="AA118" i="2"/>
  <c r="X118" i="2"/>
  <c r="AG117" i="2"/>
  <c r="AE117" i="2"/>
  <c r="AF117" i="2" s="1"/>
  <c r="AB117" i="2"/>
  <c r="AA117" i="2"/>
  <c r="X117" i="2"/>
  <c r="AG116" i="2"/>
  <c r="AE116" i="2"/>
  <c r="AF116" i="2" s="1"/>
  <c r="AB116" i="2"/>
  <c r="AA116" i="2"/>
  <c r="X116" i="2"/>
  <c r="AG115" i="2"/>
  <c r="AE115" i="2"/>
  <c r="AF115" i="2" s="1"/>
  <c r="AB115" i="2"/>
  <c r="AA115" i="2"/>
  <c r="X115" i="2"/>
  <c r="AV114" i="2"/>
  <c r="AG114" i="2"/>
  <c r="AE114" i="2"/>
  <c r="AF114" i="2" s="1"/>
  <c r="AB114" i="2"/>
  <c r="AA114" i="2"/>
  <c r="X114" i="2"/>
  <c r="AG113" i="2"/>
  <c r="AE113" i="2"/>
  <c r="AF113" i="2" s="1"/>
  <c r="AB113" i="2"/>
  <c r="AA113" i="2"/>
  <c r="X113" i="2"/>
  <c r="AG112" i="2"/>
  <c r="AE112" i="2"/>
  <c r="AF112" i="2" s="1"/>
  <c r="AB112" i="2"/>
  <c r="AA112" i="2"/>
  <c r="X112" i="2"/>
  <c r="AV111" i="2"/>
  <c r="AG111" i="2"/>
  <c r="AE111" i="2"/>
  <c r="AF111" i="2" s="1"/>
  <c r="AB111" i="2"/>
  <c r="AA111" i="2"/>
  <c r="X111" i="2"/>
  <c r="AG110" i="2"/>
  <c r="AE110" i="2"/>
  <c r="AF110" i="2" s="1"/>
  <c r="AB110" i="2"/>
  <c r="AA110" i="2"/>
  <c r="X110" i="2"/>
  <c r="AG109" i="2"/>
  <c r="AE109" i="2"/>
  <c r="AF109" i="2" s="1"/>
  <c r="AB109" i="2"/>
  <c r="AA109" i="2"/>
  <c r="X109" i="2"/>
  <c r="AG108" i="2"/>
  <c r="AE108" i="2"/>
  <c r="AF108" i="2" s="1"/>
  <c r="AB108" i="2"/>
  <c r="AA108" i="2"/>
  <c r="X108" i="2"/>
  <c r="AG107" i="2"/>
  <c r="AE107" i="2"/>
  <c r="AF107" i="2" s="1"/>
  <c r="AB107" i="2"/>
  <c r="AA107" i="2"/>
  <c r="X107" i="2"/>
  <c r="AV106" i="2"/>
  <c r="AG106" i="2"/>
  <c r="AE106" i="2"/>
  <c r="AF106" i="2" s="1"/>
  <c r="AB106" i="2"/>
  <c r="AA106" i="2"/>
  <c r="X106" i="2"/>
  <c r="AG105" i="2"/>
  <c r="AE105" i="2"/>
  <c r="AF105" i="2" s="1"/>
  <c r="AB105" i="2"/>
  <c r="AA105" i="2"/>
  <c r="X105" i="2"/>
  <c r="AG104" i="2"/>
  <c r="AE104" i="2"/>
  <c r="AF104" i="2" s="1"/>
  <c r="AB104" i="2"/>
  <c r="AA104" i="2"/>
  <c r="X104" i="2"/>
  <c r="AV103" i="2"/>
  <c r="AG103" i="2"/>
  <c r="AE103" i="2"/>
  <c r="AF103" i="2" s="1"/>
  <c r="AB103" i="2"/>
  <c r="AA103" i="2"/>
  <c r="X103" i="2"/>
  <c r="AG102" i="2"/>
  <c r="AE102" i="2"/>
  <c r="AF102" i="2" s="1"/>
  <c r="AB102" i="2"/>
  <c r="AA102" i="2"/>
  <c r="X102" i="2"/>
  <c r="AG101" i="2"/>
  <c r="AE101" i="2"/>
  <c r="AF101" i="2" s="1"/>
  <c r="AB101" i="2"/>
  <c r="AA101" i="2"/>
  <c r="X101" i="2"/>
  <c r="AG100" i="2"/>
  <c r="AE100" i="2"/>
  <c r="AF100" i="2" s="1"/>
  <c r="AB100" i="2"/>
  <c r="AA100" i="2"/>
  <c r="X100" i="2"/>
  <c r="AG99" i="2"/>
  <c r="AE99" i="2"/>
  <c r="AF99" i="2" s="1"/>
  <c r="AB99" i="2"/>
  <c r="AA99" i="2"/>
  <c r="X99" i="2"/>
  <c r="AV98" i="2"/>
  <c r="AG98" i="2"/>
  <c r="AE98" i="2"/>
  <c r="AF98" i="2" s="1"/>
  <c r="AB98" i="2"/>
  <c r="AA98" i="2"/>
  <c r="X98" i="2"/>
  <c r="AG97" i="2"/>
  <c r="AE97" i="2"/>
  <c r="AF97" i="2" s="1"/>
  <c r="AB97" i="2"/>
  <c r="AA97" i="2"/>
  <c r="X97" i="2"/>
  <c r="AG96" i="2"/>
  <c r="AE96" i="2"/>
  <c r="AF96" i="2" s="1"/>
  <c r="AB96" i="2"/>
  <c r="AA96" i="2"/>
  <c r="X96" i="2"/>
  <c r="AV95" i="2"/>
  <c r="AG95" i="2"/>
  <c r="AE95" i="2"/>
  <c r="AF95" i="2" s="1"/>
  <c r="AB95" i="2"/>
  <c r="AA95" i="2"/>
  <c r="X95" i="2"/>
  <c r="AG94" i="2"/>
  <c r="AE94" i="2"/>
  <c r="AF94" i="2" s="1"/>
  <c r="AB94" i="2"/>
  <c r="AA94" i="2"/>
  <c r="X94" i="2"/>
  <c r="AG93" i="2"/>
  <c r="AE93" i="2"/>
  <c r="AF93" i="2" s="1"/>
  <c r="AB93" i="2"/>
  <c r="AA93" i="2"/>
  <c r="X93" i="2"/>
  <c r="AG92" i="2"/>
  <c r="AE92" i="2"/>
  <c r="AF92" i="2" s="1"/>
  <c r="AB92" i="2"/>
  <c r="AA92" i="2"/>
  <c r="X92" i="2"/>
  <c r="AG91" i="2"/>
  <c r="AE91" i="2"/>
  <c r="AF91" i="2" s="1"/>
  <c r="AB91" i="2"/>
  <c r="AA91" i="2"/>
  <c r="X91" i="2"/>
  <c r="AV90" i="2"/>
  <c r="AG90" i="2"/>
  <c r="AE90" i="2"/>
  <c r="AF90" i="2" s="1"/>
  <c r="AB90" i="2"/>
  <c r="AA90" i="2"/>
  <c r="X90" i="2"/>
  <c r="AG89" i="2"/>
  <c r="AE89" i="2"/>
  <c r="AF89" i="2" s="1"/>
  <c r="AB89" i="2"/>
  <c r="AA89" i="2"/>
  <c r="X89" i="2"/>
  <c r="AG88" i="2"/>
  <c r="AE88" i="2"/>
  <c r="AF88" i="2" s="1"/>
  <c r="AB88" i="2"/>
  <c r="AA88" i="2"/>
  <c r="X88" i="2"/>
  <c r="AV87" i="2"/>
  <c r="AG87" i="2"/>
  <c r="AE87" i="2"/>
  <c r="AF87" i="2" s="1"/>
  <c r="AB87" i="2"/>
  <c r="AA87" i="2"/>
  <c r="X87" i="2"/>
  <c r="AG86" i="2"/>
  <c r="AE86" i="2"/>
  <c r="AF86" i="2" s="1"/>
  <c r="AB86" i="2"/>
  <c r="AA86" i="2"/>
  <c r="X86" i="2"/>
  <c r="AG85" i="2"/>
  <c r="AE85" i="2"/>
  <c r="AF85" i="2" s="1"/>
  <c r="AB85" i="2"/>
  <c r="AA85" i="2"/>
  <c r="X85" i="2"/>
  <c r="AV84" i="2"/>
  <c r="AG84" i="2"/>
  <c r="AE84" i="2"/>
  <c r="AF84" i="2" s="1"/>
  <c r="AB84" i="2"/>
  <c r="AA84" i="2"/>
  <c r="X84" i="2"/>
  <c r="AR83" i="2"/>
  <c r="AG83" i="2"/>
  <c r="AE83" i="2"/>
  <c r="AF83" i="2" s="1"/>
  <c r="AB83" i="2"/>
  <c r="AA83" i="2"/>
  <c r="X83" i="2"/>
  <c r="X2" i="2" s="1"/>
  <c r="X11" i="2" s="1"/>
  <c r="BC82" i="2"/>
  <c r="AG82" i="2"/>
  <c r="AE82" i="2"/>
  <c r="AF82" i="2" s="1"/>
  <c r="AB82" i="2"/>
  <c r="AA82" i="2"/>
  <c r="X82" i="2"/>
  <c r="AZ81" i="2"/>
  <c r="AG81" i="2"/>
  <c r="AE81" i="2"/>
  <c r="AF81" i="2" s="1"/>
  <c r="AB81" i="2"/>
  <c r="AA81" i="2"/>
  <c r="X81" i="2"/>
  <c r="AZ80" i="2"/>
  <c r="AG80" i="2"/>
  <c r="AE80" i="2"/>
  <c r="AF80" i="2" s="1"/>
  <c r="AB80" i="2"/>
  <c r="AA80" i="2"/>
  <c r="X80" i="2"/>
  <c r="BC79" i="2"/>
  <c r="AG79" i="2"/>
  <c r="AE79" i="2"/>
  <c r="AF79" i="2" s="1"/>
  <c r="AB79" i="2"/>
  <c r="AA79" i="2"/>
  <c r="X79" i="2"/>
  <c r="AS78" i="2"/>
  <c r="AR78" i="2"/>
  <c r="AG78" i="2"/>
  <c r="AE78" i="2"/>
  <c r="AF78" i="2" s="1"/>
  <c r="AB78" i="2"/>
  <c r="AA78" i="2"/>
  <c r="X78" i="2"/>
  <c r="AV77" i="2"/>
  <c r="AU77" i="2"/>
  <c r="AG77" i="2"/>
  <c r="AE77" i="2"/>
  <c r="AF77" i="2" s="1"/>
  <c r="AB77" i="2"/>
  <c r="AA77" i="2"/>
  <c r="X77" i="2"/>
  <c r="AZ76" i="2"/>
  <c r="AG76" i="2"/>
  <c r="AE76" i="2"/>
  <c r="AF76" i="2" s="1"/>
  <c r="AB76" i="2"/>
  <c r="AA76" i="2"/>
  <c r="X76" i="2"/>
  <c r="BC75" i="2"/>
  <c r="AG75" i="2"/>
  <c r="AE75" i="2"/>
  <c r="AF75" i="2" s="1"/>
  <c r="AB75" i="2"/>
  <c r="AA75" i="2"/>
  <c r="X75" i="2"/>
  <c r="AS74" i="2"/>
  <c r="AR74" i="2"/>
  <c r="AG74" i="2"/>
  <c r="AE74" i="2"/>
  <c r="AF74" i="2" s="1"/>
  <c r="AB74" i="2"/>
  <c r="AA74" i="2"/>
  <c r="X74" i="2"/>
  <c r="AV73" i="2"/>
  <c r="AU73" i="2"/>
  <c r="AG73" i="2"/>
  <c r="AE73" i="2"/>
  <c r="AF73" i="2" s="1"/>
  <c r="AB73" i="2"/>
  <c r="AA73" i="2"/>
  <c r="X73" i="2"/>
  <c r="AZ72" i="2"/>
  <c r="AG72" i="2"/>
  <c r="AE72" i="2"/>
  <c r="AF72" i="2" s="1"/>
  <c r="AB72" i="2"/>
  <c r="AA72" i="2"/>
  <c r="X72" i="2"/>
  <c r="BC71" i="2"/>
  <c r="AG71" i="2"/>
  <c r="AE71" i="2"/>
  <c r="AF71" i="2" s="1"/>
  <c r="AB71" i="2"/>
  <c r="AA71" i="2"/>
  <c r="X71" i="2"/>
  <c r="AS70" i="2"/>
  <c r="AR70" i="2"/>
  <c r="AG70" i="2"/>
  <c r="AE70" i="2"/>
  <c r="AF70" i="2" s="1"/>
  <c r="AB70" i="2"/>
  <c r="AA70" i="2"/>
  <c r="X70" i="2"/>
  <c r="AV69" i="2"/>
  <c r="AU69" i="2"/>
  <c r="AG69" i="2"/>
  <c r="AE69" i="2"/>
  <c r="AF69" i="2" s="1"/>
  <c r="AB69" i="2"/>
  <c r="AA69" i="2"/>
  <c r="X69" i="2"/>
  <c r="AZ68" i="2"/>
  <c r="AG68" i="2"/>
  <c r="AG7" i="2" s="1"/>
  <c r="AE68" i="2"/>
  <c r="AF68" i="2" s="1"/>
  <c r="AB68" i="2"/>
  <c r="AA68" i="2"/>
  <c r="X68" i="2"/>
  <c r="BC67" i="2"/>
  <c r="AG67" i="2"/>
  <c r="AE67" i="2"/>
  <c r="AF67" i="2" s="1"/>
  <c r="AB67" i="2"/>
  <c r="AA67" i="2"/>
  <c r="X67" i="2"/>
  <c r="AU66" i="2"/>
  <c r="AT66" i="2"/>
  <c r="AG66" i="2"/>
  <c r="AE66" i="2"/>
  <c r="AF66" i="2" s="1"/>
  <c r="AB66" i="2"/>
  <c r="AA66" i="2"/>
  <c r="X66" i="2"/>
  <c r="BC65" i="2"/>
  <c r="AT65" i="2"/>
  <c r="AG65" i="2"/>
  <c r="AE65" i="2"/>
  <c r="AF65" i="2" s="1"/>
  <c r="AB65" i="2"/>
  <c r="AA65" i="2"/>
  <c r="X65" i="2"/>
  <c r="BC64" i="2"/>
  <c r="BB64" i="2"/>
  <c r="AS64" i="2"/>
  <c r="AR64" i="2"/>
  <c r="AG64" i="2"/>
  <c r="AF64" i="2"/>
  <c r="AE64" i="2"/>
  <c r="AB64" i="2"/>
  <c r="AA64" i="2"/>
  <c r="X64" i="2"/>
  <c r="BB63" i="2"/>
  <c r="AR63" i="2"/>
  <c r="AG63" i="2"/>
  <c r="AE63" i="2"/>
  <c r="AF63" i="2" s="1"/>
  <c r="AB63" i="2"/>
  <c r="AA63" i="2"/>
  <c r="X63" i="2"/>
  <c r="AZ62" i="2"/>
  <c r="AG62" i="2"/>
  <c r="AE62" i="2"/>
  <c r="AF62" i="2" s="1"/>
  <c r="AB62" i="2"/>
  <c r="AA62" i="2"/>
  <c r="CQ5" i="2" s="1"/>
  <c r="X62" i="2"/>
  <c r="X5" i="2" s="1"/>
  <c r="BC61" i="2"/>
  <c r="BB61" i="2"/>
  <c r="AT61" i="2"/>
  <c r="AG61" i="2"/>
  <c r="AE61" i="2"/>
  <c r="AF61" i="2" s="1"/>
  <c r="AB61" i="2"/>
  <c r="AA61" i="2"/>
  <c r="X61" i="2"/>
  <c r="AZ60" i="2"/>
  <c r="AS60" i="2"/>
  <c r="AR60" i="2"/>
  <c r="AG60" i="2"/>
  <c r="AE60" i="2"/>
  <c r="AF60" i="2" s="1"/>
  <c r="AB60" i="2"/>
  <c r="AA60" i="2"/>
  <c r="X60" i="2"/>
  <c r="AZ59" i="2"/>
  <c r="AS59" i="2"/>
  <c r="AR59" i="2"/>
  <c r="AG59" i="2"/>
  <c r="AE59" i="2"/>
  <c r="AF59" i="2" s="1"/>
  <c r="AB59" i="2"/>
  <c r="AA59" i="2"/>
  <c r="X59" i="2"/>
  <c r="AZ58" i="2"/>
  <c r="AS58" i="2"/>
  <c r="AR58" i="2"/>
  <c r="AG58" i="2"/>
  <c r="AE58" i="2"/>
  <c r="AF58" i="2" s="1"/>
  <c r="AB58" i="2"/>
  <c r="AA58" i="2"/>
  <c r="X58" i="2"/>
  <c r="AZ57" i="2"/>
  <c r="AS57" i="2"/>
  <c r="AR57" i="2"/>
  <c r="AG57" i="2"/>
  <c r="AE57" i="2"/>
  <c r="AF57" i="2" s="1"/>
  <c r="AB57" i="2"/>
  <c r="AA57" i="2"/>
  <c r="X57" i="2"/>
  <c r="AZ56" i="2"/>
  <c r="AS56" i="2"/>
  <c r="AR56" i="2"/>
  <c r="AG56" i="2"/>
  <c r="AE56" i="2"/>
  <c r="AF56" i="2" s="1"/>
  <c r="AB56" i="2"/>
  <c r="AA56" i="2"/>
  <c r="X56" i="2"/>
  <c r="AZ55" i="2"/>
  <c r="AS55" i="2"/>
  <c r="AR55" i="2"/>
  <c r="AG55" i="2"/>
  <c r="AE55" i="2"/>
  <c r="AF55" i="2" s="1"/>
  <c r="AB55" i="2"/>
  <c r="AA55" i="2"/>
  <c r="X55" i="2"/>
  <c r="AZ54" i="2"/>
  <c r="AS54" i="2"/>
  <c r="AR54" i="2"/>
  <c r="AG54" i="2"/>
  <c r="AE54" i="2"/>
  <c r="AF54" i="2" s="1"/>
  <c r="AB54" i="2"/>
  <c r="AA54" i="2"/>
  <c r="X54" i="2"/>
  <c r="AZ53" i="2"/>
  <c r="AS53" i="2"/>
  <c r="AR53" i="2"/>
  <c r="AG53" i="2"/>
  <c r="AE53" i="2"/>
  <c r="AF53" i="2" s="1"/>
  <c r="AB53" i="2"/>
  <c r="AA53" i="2"/>
  <c r="X53" i="2"/>
  <c r="AZ52" i="2"/>
  <c r="AS52" i="2"/>
  <c r="AR52" i="2"/>
  <c r="AG52" i="2"/>
  <c r="AE52" i="2"/>
  <c r="AF52" i="2" s="1"/>
  <c r="AB52" i="2"/>
  <c r="AA52" i="2"/>
  <c r="X52" i="2"/>
  <c r="AZ51" i="2"/>
  <c r="AS51" i="2"/>
  <c r="AR51" i="2"/>
  <c r="AG51" i="2"/>
  <c r="AE51" i="2"/>
  <c r="AF51" i="2" s="1"/>
  <c r="AB51" i="2"/>
  <c r="AA51" i="2"/>
  <c r="X51" i="2"/>
  <c r="AZ50" i="2"/>
  <c r="AS50" i="2"/>
  <c r="AR50" i="2"/>
  <c r="AG50" i="2"/>
  <c r="AE50" i="2"/>
  <c r="AF50" i="2" s="1"/>
  <c r="AB50" i="2"/>
  <c r="AA50" i="2"/>
  <c r="X50" i="2"/>
  <c r="AZ49" i="2"/>
  <c r="AS49" i="2"/>
  <c r="AR49" i="2"/>
  <c r="AG49" i="2"/>
  <c r="AE49" i="2"/>
  <c r="AF49" i="2" s="1"/>
  <c r="AB49" i="2"/>
  <c r="AA49" i="2"/>
  <c r="X49" i="2"/>
  <c r="AZ48" i="2"/>
  <c r="AS48" i="2"/>
  <c r="AR48" i="2"/>
  <c r="AG48" i="2"/>
  <c r="AE48" i="2"/>
  <c r="AF48" i="2" s="1"/>
  <c r="AB48" i="2"/>
  <c r="AA48" i="2"/>
  <c r="X48" i="2"/>
  <c r="AZ47" i="2"/>
  <c r="AS47" i="2"/>
  <c r="AR47" i="2"/>
  <c r="AG47" i="2"/>
  <c r="AE47" i="2"/>
  <c r="AF47" i="2" s="1"/>
  <c r="AB47" i="2"/>
  <c r="AA47" i="2"/>
  <c r="X47" i="2"/>
  <c r="AZ46" i="2"/>
  <c r="AS46" i="2"/>
  <c r="AR46" i="2"/>
  <c r="AG46" i="2"/>
  <c r="AE46" i="2"/>
  <c r="AF46" i="2" s="1"/>
  <c r="AB46" i="2"/>
  <c r="AA46" i="2"/>
  <c r="X46" i="2"/>
  <c r="AZ45" i="2"/>
  <c r="AS45" i="2"/>
  <c r="AR45" i="2"/>
  <c r="AG45" i="2"/>
  <c r="AE45" i="2"/>
  <c r="AF45" i="2" s="1"/>
  <c r="AB45" i="2"/>
  <c r="AA45" i="2"/>
  <c r="X45" i="2"/>
  <c r="AZ44" i="2"/>
  <c r="AS44" i="2"/>
  <c r="AR44" i="2"/>
  <c r="AG44" i="2"/>
  <c r="AE44" i="2"/>
  <c r="AF44" i="2" s="1"/>
  <c r="AB44" i="2"/>
  <c r="AA44" i="2"/>
  <c r="X44" i="2"/>
  <c r="AZ43" i="2"/>
  <c r="AS43" i="2"/>
  <c r="AR43" i="2"/>
  <c r="AG43" i="2"/>
  <c r="AE43" i="2"/>
  <c r="AF43" i="2" s="1"/>
  <c r="AB43" i="2"/>
  <c r="AA43" i="2"/>
  <c r="X43" i="2"/>
  <c r="AZ42" i="2"/>
  <c r="AS42" i="2"/>
  <c r="AR42" i="2"/>
  <c r="AG42" i="2"/>
  <c r="AE42" i="2"/>
  <c r="AF42" i="2" s="1"/>
  <c r="AB42" i="2"/>
  <c r="AA42" i="2"/>
  <c r="X42" i="2"/>
  <c r="AZ41" i="2"/>
  <c r="AS41" i="2"/>
  <c r="AR41" i="2"/>
  <c r="AG41" i="2"/>
  <c r="AE41" i="2"/>
  <c r="AF41" i="2" s="1"/>
  <c r="AB41" i="2"/>
  <c r="AA41" i="2"/>
  <c r="X41" i="2"/>
  <c r="AZ40" i="2"/>
  <c r="AS40" i="2"/>
  <c r="AR40" i="2"/>
  <c r="AG40" i="2"/>
  <c r="AE40" i="2"/>
  <c r="AF40" i="2" s="1"/>
  <c r="AB40" i="2"/>
  <c r="AA40" i="2"/>
  <c r="X40" i="2"/>
  <c r="AZ39" i="2"/>
  <c r="AS39" i="2"/>
  <c r="AR39" i="2"/>
  <c r="AG39" i="2"/>
  <c r="AE39" i="2"/>
  <c r="AF39" i="2" s="1"/>
  <c r="AB39" i="2"/>
  <c r="AA39" i="2"/>
  <c r="X39" i="2"/>
  <c r="AZ38" i="2"/>
  <c r="AS38" i="2"/>
  <c r="AR38" i="2"/>
  <c r="AG38" i="2"/>
  <c r="AE38" i="2"/>
  <c r="AF38" i="2" s="1"/>
  <c r="AB38" i="2"/>
  <c r="AA38" i="2"/>
  <c r="X38" i="2"/>
  <c r="AZ37" i="2"/>
  <c r="AS37" i="2"/>
  <c r="AR37" i="2"/>
  <c r="AG37" i="2"/>
  <c r="AE37" i="2"/>
  <c r="AF37" i="2" s="1"/>
  <c r="AB37" i="2"/>
  <c r="AA37" i="2"/>
  <c r="X37" i="2"/>
  <c r="AZ36" i="2"/>
  <c r="AS36" i="2"/>
  <c r="AR36" i="2"/>
  <c r="AG36" i="2"/>
  <c r="AE36" i="2"/>
  <c r="AF36" i="2" s="1"/>
  <c r="AB36" i="2"/>
  <c r="AA36" i="2"/>
  <c r="X36" i="2"/>
  <c r="AZ35" i="2"/>
  <c r="AS35" i="2"/>
  <c r="AR35" i="2"/>
  <c r="AG35" i="2"/>
  <c r="AE35" i="2"/>
  <c r="AF35" i="2" s="1"/>
  <c r="AB35" i="2"/>
  <c r="AA35" i="2"/>
  <c r="X35" i="2"/>
  <c r="AZ34" i="2"/>
  <c r="AS34" i="2"/>
  <c r="AR34" i="2"/>
  <c r="AG34" i="2"/>
  <c r="AE34" i="2"/>
  <c r="AF34" i="2" s="1"/>
  <c r="AB34" i="2"/>
  <c r="AA34" i="2"/>
  <c r="X34" i="2"/>
  <c r="AZ33" i="2"/>
  <c r="AS33" i="2"/>
  <c r="AR33" i="2"/>
  <c r="AG33" i="2"/>
  <c r="AE33" i="2"/>
  <c r="AF33" i="2" s="1"/>
  <c r="AB33" i="2"/>
  <c r="AA33" i="2"/>
  <c r="X33" i="2"/>
  <c r="AZ32" i="2"/>
  <c r="AS32" i="2"/>
  <c r="AR32" i="2"/>
  <c r="AG32" i="2"/>
  <c r="AE32" i="2"/>
  <c r="AF32" i="2" s="1"/>
  <c r="AB32" i="2"/>
  <c r="AA32" i="2"/>
  <c r="X32" i="2"/>
  <c r="AZ31" i="2"/>
  <c r="AS31" i="2"/>
  <c r="AR31" i="2"/>
  <c r="AG31" i="2"/>
  <c r="AE31" i="2"/>
  <c r="AF31" i="2" s="1"/>
  <c r="AB31" i="2"/>
  <c r="AA31" i="2"/>
  <c r="X31" i="2"/>
  <c r="AZ30" i="2"/>
  <c r="AS30" i="2"/>
  <c r="AR30" i="2"/>
  <c r="AG30" i="2"/>
  <c r="AE30" i="2"/>
  <c r="AF30" i="2" s="1"/>
  <c r="AB30" i="2"/>
  <c r="AA30" i="2"/>
  <c r="X30" i="2"/>
  <c r="AZ29" i="2"/>
  <c r="AS29" i="2"/>
  <c r="AR29" i="2"/>
  <c r="AG29" i="2"/>
  <c r="AE29" i="2"/>
  <c r="AF29" i="2" s="1"/>
  <c r="AB29" i="2"/>
  <c r="AA29" i="2"/>
  <c r="X29" i="2"/>
  <c r="AZ28" i="2"/>
  <c r="AS28" i="2"/>
  <c r="AR28" i="2"/>
  <c r="AG28" i="2"/>
  <c r="AE28" i="2"/>
  <c r="AF28" i="2" s="1"/>
  <c r="AB28" i="2"/>
  <c r="AA28" i="2"/>
  <c r="X28" i="2"/>
  <c r="AZ27" i="2"/>
  <c r="AS27" i="2"/>
  <c r="AR27" i="2"/>
  <c r="AG27" i="2"/>
  <c r="AE27" i="2"/>
  <c r="AF27" i="2" s="1"/>
  <c r="AB27" i="2"/>
  <c r="AA27" i="2"/>
  <c r="X27" i="2"/>
  <c r="AZ26" i="2"/>
  <c r="AS26" i="2"/>
  <c r="AR26" i="2"/>
  <c r="AG26" i="2"/>
  <c r="AE26" i="2"/>
  <c r="AF26" i="2" s="1"/>
  <c r="AB26" i="2"/>
  <c r="AA26" i="2"/>
  <c r="X26" i="2"/>
  <c r="AZ25" i="2"/>
  <c r="AS25" i="2"/>
  <c r="AR25" i="2"/>
  <c r="AG25" i="2"/>
  <c r="AE25" i="2"/>
  <c r="AF25" i="2" s="1"/>
  <c r="AB25" i="2"/>
  <c r="AA25" i="2"/>
  <c r="X25" i="2"/>
  <c r="AZ24" i="2"/>
  <c r="AS24" i="2"/>
  <c r="AR24" i="2"/>
  <c r="AG24" i="2"/>
  <c r="AE24" i="2"/>
  <c r="AF24" i="2" s="1"/>
  <c r="AB24" i="2"/>
  <c r="AA24" i="2"/>
  <c r="X24" i="2"/>
  <c r="AZ23" i="2"/>
  <c r="AS23" i="2"/>
  <c r="AR23" i="2"/>
  <c r="AG23" i="2"/>
  <c r="AE23" i="2"/>
  <c r="AF23" i="2" s="1"/>
  <c r="AB23" i="2"/>
  <c r="AA23" i="2"/>
  <c r="X23" i="2"/>
  <c r="AZ22" i="2"/>
  <c r="AS22" i="2"/>
  <c r="AR22" i="2"/>
  <c r="AG22" i="2"/>
  <c r="AE22" i="2"/>
  <c r="AF22" i="2" s="1"/>
  <c r="AB22" i="2"/>
  <c r="AA22" i="2"/>
  <c r="X22" i="2"/>
  <c r="AZ21" i="2"/>
  <c r="AS21" i="2"/>
  <c r="AR21" i="2"/>
  <c r="AG21" i="2"/>
  <c r="AE21" i="2"/>
  <c r="AF21" i="2" s="1"/>
  <c r="AB21" i="2"/>
  <c r="AA21" i="2"/>
  <c r="X21" i="2"/>
  <c r="AZ20" i="2"/>
  <c r="AS20" i="2"/>
  <c r="AR20" i="2"/>
  <c r="AG20" i="2"/>
  <c r="AE20" i="2"/>
  <c r="AB20" i="2"/>
  <c r="AA20" i="2"/>
  <c r="X20" i="2"/>
  <c r="AL15" i="2" a="1"/>
  <c r="AL15" i="2" s="1"/>
  <c r="AK15" i="2"/>
  <c r="AK15" i="2" a="1"/>
  <c r="CV14" i="2"/>
  <c r="CU14" i="2"/>
  <c r="AL14" i="2" a="1"/>
  <c r="AL14" i="2" s="1"/>
  <c r="AK14" i="2"/>
  <c r="AK14" i="2" a="1"/>
  <c r="AL13" i="2" a="1"/>
  <c r="AL13" i="2" s="1"/>
  <c r="AK13" i="2"/>
  <c r="AK13" i="2" a="1"/>
  <c r="AM12" i="2"/>
  <c r="AL12" i="2"/>
  <c r="AK12" i="2"/>
  <c r="AD11" i="2"/>
  <c r="AD10" i="2" s="1"/>
  <c r="W11" i="2"/>
  <c r="V11" i="2"/>
  <c r="O11" i="2"/>
  <c r="N11" i="2"/>
  <c r="CS10" i="2"/>
  <c r="CP10" i="2"/>
  <c r="AL10" i="2"/>
  <c r="AK10" i="2"/>
  <c r="CS9" i="2"/>
  <c r="CP9" i="2"/>
  <c r="AG8" i="2"/>
  <c r="Z8" i="2"/>
  <c r="Y8" i="2"/>
  <c r="W8" i="2"/>
  <c r="V8" i="2"/>
  <c r="U8" i="2"/>
  <c r="T8" i="2"/>
  <c r="S8" i="2"/>
  <c r="R8" i="2"/>
  <c r="Q8" i="2"/>
  <c r="P8" i="2"/>
  <c r="O8" i="2"/>
  <c r="Z7" i="2"/>
  <c r="Y7" i="2"/>
  <c r="X7" i="2"/>
  <c r="W7" i="2"/>
  <c r="V7" i="2"/>
  <c r="U7" i="2"/>
  <c r="T7" i="2"/>
  <c r="S7" i="2"/>
  <c r="R7" i="2"/>
  <c r="Q7" i="2"/>
  <c r="P7" i="2"/>
  <c r="O7" i="2"/>
  <c r="AB6" i="2"/>
  <c r="BE118" i="2" s="1"/>
  <c r="Z6" i="2"/>
  <c r="BC77" i="2" s="1"/>
  <c r="Y6" i="2"/>
  <c r="BB62" i="2" s="1"/>
  <c r="W6" i="2"/>
  <c r="AZ84" i="2" s="1"/>
  <c r="V6" i="2"/>
  <c r="U6" i="2"/>
  <c r="T6" i="2"/>
  <c r="AW120" i="2" s="1"/>
  <c r="S6" i="2"/>
  <c r="AV120" i="2" s="1"/>
  <c r="R6" i="2"/>
  <c r="AU62" i="2" s="1"/>
  <c r="Q6" i="2"/>
  <c r="AT62" i="2" s="1"/>
  <c r="P6" i="2"/>
  <c r="AS79" i="2" s="1"/>
  <c r="O6" i="2"/>
  <c r="AR79" i="2" s="1"/>
  <c r="CR5" i="2"/>
  <c r="Z5" i="2"/>
  <c r="Y5" i="2"/>
  <c r="W5" i="2"/>
  <c r="V5" i="2"/>
  <c r="U5" i="2"/>
  <c r="T5" i="2"/>
  <c r="S5" i="2"/>
  <c r="R5" i="2"/>
  <c r="Q5" i="2"/>
  <c r="P5" i="2"/>
  <c r="O5" i="2"/>
  <c r="CQ4" i="2"/>
  <c r="CP4" i="2"/>
  <c r="AG4" i="2"/>
  <c r="Z4" i="2"/>
  <c r="Y4" i="2"/>
  <c r="W4" i="2"/>
  <c r="V4" i="2"/>
  <c r="U4" i="2"/>
  <c r="T4" i="2"/>
  <c r="S4" i="2"/>
  <c r="R4" i="2"/>
  <c r="Q4" i="2"/>
  <c r="P4" i="2"/>
  <c r="O4" i="2"/>
  <c r="CS3" i="2"/>
  <c r="CQ3" i="2"/>
  <c r="CP3" i="2"/>
  <c r="AB3" i="2"/>
  <c r="AA3" i="2"/>
  <c r="Z3" i="2"/>
  <c r="Y3" i="2"/>
  <c r="W3" i="2"/>
  <c r="V3" i="2"/>
  <c r="U3" i="2"/>
  <c r="T3" i="2"/>
  <c r="S3" i="2"/>
  <c r="R3" i="2"/>
  <c r="Q3" i="2"/>
  <c r="P3" i="2"/>
  <c r="O3" i="2"/>
  <c r="AB2" i="2"/>
  <c r="Z2" i="2"/>
  <c r="Z11" i="2" s="1"/>
  <c r="CS14" i="2" s="1"/>
  <c r="Y2" i="2"/>
  <c r="Y11" i="2" s="1"/>
  <c r="W2" i="2"/>
  <c r="V2" i="2"/>
  <c r="U2" i="2"/>
  <c r="U11" i="2" s="1"/>
  <c r="T2" i="2"/>
  <c r="S2" i="2"/>
  <c r="S11" i="2" s="1"/>
  <c r="R2" i="2"/>
  <c r="R11" i="2" s="1"/>
  <c r="R10" i="2" s="1"/>
  <c r="Q2" i="2"/>
  <c r="Q11" i="2" s="1"/>
  <c r="Q10" i="2" s="1"/>
  <c r="P2" i="2"/>
  <c r="AS65" i="2" s="1"/>
  <c r="O2" i="2"/>
  <c r="AF187" i="3" l="1"/>
  <c r="AF191" i="3"/>
  <c r="AG2" i="3"/>
  <c r="AG11" i="3" s="1"/>
  <c r="AF24" i="3"/>
  <c r="AF32" i="3"/>
  <c r="AF52" i="3"/>
  <c r="AF56" i="3"/>
  <c r="AF64" i="3"/>
  <c r="AF68" i="3"/>
  <c r="AF72" i="3"/>
  <c r="AF76" i="3"/>
  <c r="AF80" i="3"/>
  <c r="AF86" i="3"/>
  <c r="AF108" i="3"/>
  <c r="AF156" i="3"/>
  <c r="AF23" i="3"/>
  <c r="AF27" i="3"/>
  <c r="AF35" i="3"/>
  <c r="AF43" i="3"/>
  <c r="AF51" i="3"/>
  <c r="AF111" i="3"/>
  <c r="AF115" i="3"/>
  <c r="AF127" i="3"/>
  <c r="AF131" i="3"/>
  <c r="AF143" i="3"/>
  <c r="AF151" i="3"/>
  <c r="AF155" i="3"/>
  <c r="AF159" i="3"/>
  <c r="AF175" i="3"/>
  <c r="AF183" i="3"/>
  <c r="AG4" i="3"/>
  <c r="AF147" i="3"/>
  <c r="AY35" i="3"/>
  <c r="AM15" i="3" a="1"/>
  <c r="AM15" i="3" s="1"/>
  <c r="AM22" i="3" s="1"/>
  <c r="AB8" i="3"/>
  <c r="AF26" i="3"/>
  <c r="AF34" i="3"/>
  <c r="AF42" i="3"/>
  <c r="AF46" i="3"/>
  <c r="AF50" i="3"/>
  <c r="AF74" i="3"/>
  <c r="AF78" i="3"/>
  <c r="AF82" i="3"/>
  <c r="AF85" i="3"/>
  <c r="AF94" i="3"/>
  <c r="AF110" i="3"/>
  <c r="AF132" i="3"/>
  <c r="AF176" i="3"/>
  <c r="Y5" i="3"/>
  <c r="AF87" i="3"/>
  <c r="AF118" i="3"/>
  <c r="AF122" i="3"/>
  <c r="AF125" i="3"/>
  <c r="AF130" i="3"/>
  <c r="AF134" i="3"/>
  <c r="AF138" i="3"/>
  <c r="AF142" i="3"/>
  <c r="AF146" i="3"/>
  <c r="AF150" i="3"/>
  <c r="AF154" i="3"/>
  <c r="AF170" i="3"/>
  <c r="AF174" i="3"/>
  <c r="AF178" i="3"/>
  <c r="AF186" i="3"/>
  <c r="AF190" i="3"/>
  <c r="AF21" i="3"/>
  <c r="AF25" i="3"/>
  <c r="AF29" i="3"/>
  <c r="AF33" i="3"/>
  <c r="AF37" i="3"/>
  <c r="AF41" i="3"/>
  <c r="AF45" i="3"/>
  <c r="AF65" i="3"/>
  <c r="AF69" i="3"/>
  <c r="AF73" i="3"/>
  <c r="AF77" i="3"/>
  <c r="AF81" i="3"/>
  <c r="AF84" i="3"/>
  <c r="AF97" i="3"/>
  <c r="AF113" i="3"/>
  <c r="AF119" i="3"/>
  <c r="AU35" i="3"/>
  <c r="AF117" i="3"/>
  <c r="AF121" i="3"/>
  <c r="AF129" i="3"/>
  <c r="AF133" i="3"/>
  <c r="AF137" i="3"/>
  <c r="AF141" i="3"/>
  <c r="AF145" i="3"/>
  <c r="AF149" i="3"/>
  <c r="AF189" i="3"/>
  <c r="AX43" i="3"/>
  <c r="AB2" i="3"/>
  <c r="AB11" i="3" s="1"/>
  <c r="CQ14" i="3" s="1"/>
  <c r="AF124" i="3"/>
  <c r="AF128" i="3"/>
  <c r="AX35" i="3"/>
  <c r="AF123" i="3"/>
  <c r="AF172" i="3"/>
  <c r="AZ104" i="3"/>
  <c r="AS34" i="3"/>
  <c r="BA49" i="3"/>
  <c r="AF152" i="3"/>
  <c r="AT35" i="3"/>
  <c r="AG10" i="3"/>
  <c r="AG15" i="3" s="1"/>
  <c r="AF89" i="3"/>
  <c r="AF114" i="3"/>
  <c r="AV47" i="3"/>
  <c r="AF67" i="3"/>
  <c r="AF105" i="3"/>
  <c r="AF112" i="3"/>
  <c r="AF171" i="3"/>
  <c r="AA3" i="3"/>
  <c r="AX27" i="3"/>
  <c r="AF92" i="3"/>
  <c r="AF99" i="3"/>
  <c r="AF103" i="3"/>
  <c r="AF116" i="3"/>
  <c r="AF126" i="3"/>
  <c r="AF158" i="3"/>
  <c r="AF161" i="3"/>
  <c r="AF165" i="3"/>
  <c r="AF169" i="3"/>
  <c r="AF173" i="3"/>
  <c r="AF177" i="3"/>
  <c r="AF185" i="3"/>
  <c r="AF44" i="3"/>
  <c r="AF49" i="3"/>
  <c r="AS52" i="3"/>
  <c r="AF54" i="3"/>
  <c r="AF58" i="3"/>
  <c r="AF62" i="3"/>
  <c r="AF88" i="3"/>
  <c r="AF101" i="3"/>
  <c r="AF107" i="3"/>
  <c r="AF167" i="3"/>
  <c r="AV94" i="3"/>
  <c r="CS6" i="3"/>
  <c r="AF30" i="3"/>
  <c r="AF38" i="3"/>
  <c r="AS46" i="3"/>
  <c r="AF66" i="3"/>
  <c r="AF71" i="3"/>
  <c r="AF75" i="3"/>
  <c r="AF79" i="3"/>
  <c r="AF83" i="3"/>
  <c r="AF96" i="3"/>
  <c r="AF109" i="3"/>
  <c r="AF120" i="3"/>
  <c r="AF136" i="3"/>
  <c r="AF140" i="3"/>
  <c r="AF144" i="3"/>
  <c r="AF148" i="3"/>
  <c r="AF180" i="3"/>
  <c r="AF188" i="3"/>
  <c r="AW76" i="3"/>
  <c r="AF31" i="3"/>
  <c r="AF39" i="3"/>
  <c r="AU44" i="3"/>
  <c r="AF48" i="3"/>
  <c r="AF53" i="3"/>
  <c r="AF57" i="3"/>
  <c r="AV68" i="3"/>
  <c r="AF70" i="3"/>
  <c r="AF91" i="3"/>
  <c r="AF100" i="3"/>
  <c r="AF104" i="3"/>
  <c r="AF106" i="3"/>
  <c r="AU129" i="3"/>
  <c r="AF166" i="3"/>
  <c r="AG3" i="3"/>
  <c r="AG5" i="3"/>
  <c r="AX36" i="3"/>
  <c r="AG7" i="3"/>
  <c r="AF22" i="3"/>
  <c r="AE8" i="3"/>
  <c r="AF36" i="3"/>
  <c r="AS40" i="3"/>
  <c r="AU42" i="3"/>
  <c r="AY43" i="3"/>
  <c r="AV44" i="3"/>
  <c r="AS63" i="3"/>
  <c r="CS3" i="3"/>
  <c r="CQ5" i="3"/>
  <c r="AY24" i="3"/>
  <c r="AT31" i="3"/>
  <c r="AY32" i="3"/>
  <c r="AV39" i="3"/>
  <c r="AT40" i="3"/>
  <c r="BA24" i="3"/>
  <c r="AV25" i="3"/>
  <c r="AS26" i="3"/>
  <c r="AU28" i="3"/>
  <c r="AU31" i="3"/>
  <c r="BA32" i="3"/>
  <c r="AV33" i="3"/>
  <c r="AU36" i="3"/>
  <c r="Q10" i="3"/>
  <c r="BI186" i="3" s="1"/>
  <c r="AS57" i="3"/>
  <c r="BA38" i="3"/>
  <c r="AG8" i="3"/>
  <c r="AK15" i="3" a="1"/>
  <c r="AK15" i="3" s="1"/>
  <c r="AK30" i="3" s="1"/>
  <c r="AT26" i="3"/>
  <c r="AY27" i="3"/>
  <c r="AV28" i="3"/>
  <c r="AS29" i="3"/>
  <c r="AT34" i="3"/>
  <c r="AV36" i="3"/>
  <c r="AS37" i="3"/>
  <c r="AF40" i="3"/>
  <c r="AF55" i="3"/>
  <c r="AF59" i="3"/>
  <c r="AF93" i="3"/>
  <c r="AF95" i="3"/>
  <c r="AF102" i="3"/>
  <c r="AF157" i="3"/>
  <c r="AF160" i="3"/>
  <c r="AF164" i="3"/>
  <c r="AF168" i="3"/>
  <c r="AF179" i="3"/>
  <c r="R10" i="3"/>
  <c r="BJ184" i="3" s="1"/>
  <c r="AB6" i="3"/>
  <c r="BE187" i="3" s="1"/>
  <c r="CS10" i="3"/>
  <c r="AK14" i="3" a="1"/>
  <c r="AK14" i="3" s="1"/>
  <c r="BA29" i="3"/>
  <c r="BA37" i="3"/>
  <c r="AX70" i="3"/>
  <c r="AF90" i="3"/>
  <c r="BI175" i="3"/>
  <c r="BI171" i="3"/>
  <c r="BI159" i="3"/>
  <c r="BI131" i="3"/>
  <c r="BI130" i="3"/>
  <c r="BI120" i="3"/>
  <c r="BI110" i="3"/>
  <c r="BI109" i="3"/>
  <c r="BI98" i="3"/>
  <c r="BI86" i="3"/>
  <c r="BI84" i="3"/>
  <c r="BI77" i="3"/>
  <c r="BI93" i="3"/>
  <c r="BI58" i="3"/>
  <c r="BI63" i="3"/>
  <c r="BI56" i="3"/>
  <c r="BI51" i="3"/>
  <c r="BI48" i="3"/>
  <c r="BI71" i="3"/>
  <c r="BI59" i="3"/>
  <c r="BI35" i="3"/>
  <c r="BI27" i="3"/>
  <c r="BI25" i="3"/>
  <c r="BI22" i="3"/>
  <c r="AM170" i="3"/>
  <c r="AM134" i="3"/>
  <c r="AM116" i="3"/>
  <c r="AM67" i="3"/>
  <c r="AM73" i="3"/>
  <c r="AM35" i="3"/>
  <c r="BJ183" i="3"/>
  <c r="BJ176" i="3"/>
  <c r="BJ174" i="3"/>
  <c r="BJ157" i="3"/>
  <c r="BJ138" i="3"/>
  <c r="BJ155" i="3"/>
  <c r="BJ125" i="3"/>
  <c r="BJ120" i="3"/>
  <c r="BJ109" i="3"/>
  <c r="BJ170" i="3"/>
  <c r="BJ96" i="3"/>
  <c r="BJ91" i="3"/>
  <c r="BJ81" i="3"/>
  <c r="BJ76" i="3"/>
  <c r="BJ66" i="3"/>
  <c r="BJ69" i="3"/>
  <c r="BJ48" i="3"/>
  <c r="BJ29" i="3"/>
  <c r="BJ56" i="3"/>
  <c r="BJ36" i="3"/>
  <c r="BJ38" i="3"/>
  <c r="BJ61" i="3"/>
  <c r="BE189" i="3"/>
  <c r="BE190" i="3"/>
  <c r="BE184" i="3"/>
  <c r="BE188" i="3"/>
  <c r="BE170" i="3"/>
  <c r="BE167" i="3"/>
  <c r="BE168" i="3"/>
  <c r="BE171" i="3"/>
  <c r="BE159" i="3"/>
  <c r="BE154" i="3"/>
  <c r="BE151" i="3"/>
  <c r="BE150" i="3"/>
  <c r="BE176" i="3"/>
  <c r="BE148" i="3"/>
  <c r="BE147" i="3"/>
  <c r="BE161" i="3"/>
  <c r="BE142" i="3"/>
  <c r="BE135" i="3"/>
  <c r="BE134" i="3"/>
  <c r="BE129" i="3"/>
  <c r="BE128" i="3"/>
  <c r="BE115" i="3"/>
  <c r="BE104" i="3"/>
  <c r="BE125" i="3"/>
  <c r="BE110" i="3"/>
  <c r="BE117" i="3"/>
  <c r="BE113" i="3"/>
  <c r="BE127" i="3"/>
  <c r="BE88" i="3"/>
  <c r="BE131" i="3"/>
  <c r="BE99" i="3"/>
  <c r="BE120" i="3"/>
  <c r="BE98" i="3"/>
  <c r="BE83" i="3"/>
  <c r="BE62" i="3"/>
  <c r="BE112" i="3"/>
  <c r="BE59" i="3"/>
  <c r="BE76" i="3"/>
  <c r="BE94" i="3"/>
  <c r="BE58" i="3"/>
  <c r="BE65" i="3"/>
  <c r="BE63" i="3"/>
  <c r="BE55" i="3"/>
  <c r="BE51" i="3"/>
  <c r="BE47" i="3"/>
  <c r="BE50" i="3"/>
  <c r="BE49" i="3"/>
  <c r="AW20" i="3"/>
  <c r="AL13" i="3" a="1"/>
  <c r="AL13" i="3" s="1"/>
  <c r="AX21" i="3"/>
  <c r="AX22" i="3"/>
  <c r="AX23" i="3"/>
  <c r="AW25" i="3"/>
  <c r="AW33" i="3"/>
  <c r="BE40" i="3"/>
  <c r="AE3" i="3"/>
  <c r="CP4" i="3"/>
  <c r="AA5" i="3"/>
  <c r="CS5" i="3"/>
  <c r="AY191" i="3"/>
  <c r="AY182" i="3"/>
  <c r="AY189" i="3"/>
  <c r="AY180" i="3"/>
  <c r="AY179" i="3"/>
  <c r="AY187" i="3"/>
  <c r="AY176" i="3"/>
  <c r="AY190" i="3"/>
  <c r="AY174" i="3"/>
  <c r="AY173" i="3"/>
  <c r="AY183" i="3"/>
  <c r="AY169" i="3"/>
  <c r="AY178" i="3"/>
  <c r="AY171" i="3"/>
  <c r="AY181" i="3"/>
  <c r="AY188" i="3"/>
  <c r="AY177" i="3"/>
  <c r="AY167" i="3"/>
  <c r="AY166" i="3"/>
  <c r="AY159" i="3"/>
  <c r="AY158" i="3"/>
  <c r="AY157" i="3"/>
  <c r="AY156" i="3"/>
  <c r="AY155" i="3"/>
  <c r="AY154" i="3"/>
  <c r="AY153" i="3"/>
  <c r="AY152" i="3"/>
  <c r="AY151" i="3"/>
  <c r="AY161" i="3"/>
  <c r="AY184" i="3"/>
  <c r="AY172" i="3"/>
  <c r="AY170" i="3"/>
  <c r="AY165" i="3"/>
  <c r="AY186" i="3"/>
  <c r="AY185" i="3"/>
  <c r="AY168" i="3"/>
  <c r="AY162" i="3"/>
  <c r="AY164" i="3"/>
  <c r="AY160" i="3"/>
  <c r="AY149" i="3"/>
  <c r="AY148" i="3"/>
  <c r="AY145" i="3"/>
  <c r="AY141" i="3"/>
  <c r="AY150" i="3"/>
  <c r="AY175" i="3"/>
  <c r="AY144" i="3"/>
  <c r="AY140" i="3"/>
  <c r="AY147" i="3"/>
  <c r="AY143" i="3"/>
  <c r="AY138" i="3"/>
  <c r="AY163" i="3"/>
  <c r="AY142" i="3"/>
  <c r="AY136" i="3"/>
  <c r="AY132" i="3"/>
  <c r="AY133" i="3"/>
  <c r="AY146" i="3"/>
  <c r="AY137" i="3"/>
  <c r="AY135" i="3"/>
  <c r="AY129" i="3"/>
  <c r="AY128" i="3"/>
  <c r="AY127" i="3"/>
  <c r="AY126" i="3"/>
  <c r="AY125" i="3"/>
  <c r="AY124" i="3"/>
  <c r="AY131" i="3"/>
  <c r="AY139" i="3"/>
  <c r="AY120" i="3"/>
  <c r="AY116" i="3"/>
  <c r="AY112" i="3"/>
  <c r="AY106" i="3"/>
  <c r="AY134" i="3"/>
  <c r="AY130" i="3"/>
  <c r="AY122" i="3"/>
  <c r="AY118" i="3"/>
  <c r="AY114" i="3"/>
  <c r="AY110" i="3"/>
  <c r="AY108" i="3"/>
  <c r="AY98" i="3"/>
  <c r="AY90" i="3"/>
  <c r="AY119" i="3"/>
  <c r="AY109" i="3"/>
  <c r="AY95" i="3"/>
  <c r="AY87" i="3"/>
  <c r="AY92" i="3"/>
  <c r="AY123" i="3"/>
  <c r="AY113" i="3"/>
  <c r="AY97" i="3"/>
  <c r="AY89" i="3"/>
  <c r="AY94" i="3"/>
  <c r="AY86" i="3"/>
  <c r="AY117" i="3"/>
  <c r="AY111" i="3"/>
  <c r="AY91" i="3"/>
  <c r="AY115" i="3"/>
  <c r="AY104" i="3"/>
  <c r="AY77" i="3"/>
  <c r="AY73" i="3"/>
  <c r="AY64" i="3"/>
  <c r="AY61" i="3"/>
  <c r="AY83" i="3"/>
  <c r="AY80" i="3"/>
  <c r="AY65" i="3"/>
  <c r="AY58" i="3"/>
  <c r="AY107" i="3"/>
  <c r="AY96" i="3"/>
  <c r="AY75" i="3"/>
  <c r="AY72" i="3"/>
  <c r="AY66" i="3"/>
  <c r="AY63" i="3"/>
  <c r="AY103" i="3"/>
  <c r="AY101" i="3"/>
  <c r="AY99" i="3"/>
  <c r="AY93" i="3"/>
  <c r="AY82" i="3"/>
  <c r="AY78" i="3"/>
  <c r="AY67" i="3"/>
  <c r="AY88" i="3"/>
  <c r="AY71" i="3"/>
  <c r="AY68" i="3"/>
  <c r="AY105" i="3"/>
  <c r="AY81" i="3"/>
  <c r="AY76" i="3"/>
  <c r="AY69" i="3"/>
  <c r="AY62" i="3"/>
  <c r="AY53" i="3"/>
  <c r="AY49" i="3"/>
  <c r="AY45" i="3"/>
  <c r="AY121" i="3"/>
  <c r="AY79" i="3"/>
  <c r="AY54" i="3"/>
  <c r="AY46" i="3"/>
  <c r="AY42" i="3"/>
  <c r="AY41" i="3"/>
  <c r="AY40" i="3"/>
  <c r="AY39" i="3"/>
  <c r="AY100" i="3"/>
  <c r="AY85" i="3"/>
  <c r="AY84" i="3"/>
  <c r="AY74" i="3"/>
  <c r="AY60" i="3"/>
  <c r="AY55" i="3"/>
  <c r="AY52" i="3"/>
  <c r="AY48" i="3"/>
  <c r="AY59" i="3"/>
  <c r="AY56" i="3"/>
  <c r="AY44" i="3"/>
  <c r="AY102" i="3"/>
  <c r="AY57" i="3"/>
  <c r="AY51" i="3"/>
  <c r="AY47" i="3"/>
  <c r="AY70" i="3"/>
  <c r="Y7" i="3"/>
  <c r="CP9" i="3"/>
  <c r="S10" i="3"/>
  <c r="AN12" i="3"/>
  <c r="AY20" i="3"/>
  <c r="AY21" i="3"/>
  <c r="AY22" i="3"/>
  <c r="AY23" i="3"/>
  <c r="AS24" i="3"/>
  <c r="AX25" i="3"/>
  <c r="AU26" i="3"/>
  <c r="BA27" i="3"/>
  <c r="AW28" i="3"/>
  <c r="AT29" i="3"/>
  <c r="AY30" i="3"/>
  <c r="AV31" i="3"/>
  <c r="BE31" i="3"/>
  <c r="AS32" i="3"/>
  <c r="AX33" i="3"/>
  <c r="AU34" i="3"/>
  <c r="BA35" i="3"/>
  <c r="AW36" i="3"/>
  <c r="AT37" i="3"/>
  <c r="AY38" i="3"/>
  <c r="BA39" i="3"/>
  <c r="AU40" i="3"/>
  <c r="AS41" i="3"/>
  <c r="BA43" i="3"/>
  <c r="AW44" i="3"/>
  <c r="AS45" i="3"/>
  <c r="AT46" i="3"/>
  <c r="AX47" i="3"/>
  <c r="AX50" i="3"/>
  <c r="AS56" i="3"/>
  <c r="AW22" i="3"/>
  <c r="BE22" i="3"/>
  <c r="AM12" i="3"/>
  <c r="BE36" i="3"/>
  <c r="AW47" i="3"/>
  <c r="Y4" i="3"/>
  <c r="CQ4" i="3"/>
  <c r="AB5" i="3"/>
  <c r="AR191" i="3"/>
  <c r="AR190" i="3"/>
  <c r="AR189" i="3"/>
  <c r="AR188" i="3"/>
  <c r="AR187" i="3"/>
  <c r="AR186" i="3"/>
  <c r="AR185" i="3"/>
  <c r="AR184" i="3"/>
  <c r="AR183" i="3"/>
  <c r="AR182" i="3"/>
  <c r="AR181" i="3"/>
  <c r="AR180" i="3"/>
  <c r="AR179" i="3"/>
  <c r="AR178" i="3"/>
  <c r="AR177" i="3"/>
  <c r="AR176" i="3"/>
  <c r="AR175" i="3"/>
  <c r="AR174" i="3"/>
  <c r="AR173" i="3"/>
  <c r="AR172" i="3"/>
  <c r="AR171" i="3"/>
  <c r="AR170" i="3"/>
  <c r="AR169" i="3"/>
  <c r="AR168" i="3"/>
  <c r="AR167" i="3"/>
  <c r="AR162" i="3"/>
  <c r="AR163" i="3"/>
  <c r="AR152" i="3"/>
  <c r="AR166" i="3"/>
  <c r="AR159" i="3"/>
  <c r="AR165" i="3"/>
  <c r="AR161" i="3"/>
  <c r="AR158" i="3"/>
  <c r="AR156" i="3"/>
  <c r="AR151" i="3"/>
  <c r="AR150" i="3"/>
  <c r="AR147" i="3"/>
  <c r="AR143" i="3"/>
  <c r="AR164" i="3"/>
  <c r="AR149" i="3"/>
  <c r="AR138" i="3"/>
  <c r="AR154" i="3"/>
  <c r="AR153" i="3"/>
  <c r="AR146" i="3"/>
  <c r="AR142" i="3"/>
  <c r="AR160" i="3"/>
  <c r="AR157" i="3"/>
  <c r="AR145" i="3"/>
  <c r="AR141" i="3"/>
  <c r="AR136" i="3"/>
  <c r="AR132" i="3"/>
  <c r="AR131" i="3"/>
  <c r="AR130" i="3"/>
  <c r="AR139" i="3"/>
  <c r="AR135" i="3"/>
  <c r="AR148" i="3"/>
  <c r="AR129" i="3"/>
  <c r="AR128" i="3"/>
  <c r="AR127" i="3"/>
  <c r="AR126" i="3"/>
  <c r="AR125" i="3"/>
  <c r="AR124" i="3"/>
  <c r="AR123" i="3"/>
  <c r="AR122" i="3"/>
  <c r="AR121" i="3"/>
  <c r="AR120" i="3"/>
  <c r="AR119" i="3"/>
  <c r="AR118" i="3"/>
  <c r="AR117" i="3"/>
  <c r="AR116" i="3"/>
  <c r="AR115" i="3"/>
  <c r="AR114" i="3"/>
  <c r="AR113" i="3"/>
  <c r="AR112" i="3"/>
  <c r="AR111" i="3"/>
  <c r="AR110" i="3"/>
  <c r="AR109" i="3"/>
  <c r="AR108" i="3"/>
  <c r="AR107" i="3"/>
  <c r="AR106" i="3"/>
  <c r="AR134" i="3"/>
  <c r="AR144" i="3"/>
  <c r="AR137" i="3"/>
  <c r="AR92" i="3"/>
  <c r="AR155" i="3"/>
  <c r="AR140" i="3"/>
  <c r="AR97" i="3"/>
  <c r="AR89" i="3"/>
  <c r="AR105" i="3"/>
  <c r="AR94" i="3"/>
  <c r="AR86" i="3"/>
  <c r="AR104" i="3"/>
  <c r="AR103" i="3"/>
  <c r="AR102" i="3"/>
  <c r="AR101" i="3"/>
  <c r="AR100" i="3"/>
  <c r="AR99" i="3"/>
  <c r="AR91" i="3"/>
  <c r="AR96" i="3"/>
  <c r="AR88" i="3"/>
  <c r="AR84" i="3"/>
  <c r="AR83" i="3"/>
  <c r="AR82" i="3"/>
  <c r="AR81" i="3"/>
  <c r="AR80" i="3"/>
  <c r="AR79" i="3"/>
  <c r="AR78" i="3"/>
  <c r="AR77" i="3"/>
  <c r="AR76" i="3"/>
  <c r="AR75" i="3"/>
  <c r="AR74" i="3"/>
  <c r="AR93" i="3"/>
  <c r="AR85" i="3"/>
  <c r="AR71" i="3"/>
  <c r="AR67" i="3"/>
  <c r="AR63" i="3"/>
  <c r="AR98" i="3"/>
  <c r="AR95" i="3"/>
  <c r="AR68" i="3"/>
  <c r="AR60" i="3"/>
  <c r="AR69" i="3"/>
  <c r="AR133" i="3"/>
  <c r="AR90" i="3"/>
  <c r="AR87" i="3"/>
  <c r="AR70" i="3"/>
  <c r="AR62" i="3"/>
  <c r="AR73" i="3"/>
  <c r="AR59" i="3"/>
  <c r="AR57" i="3"/>
  <c r="AR56" i="3"/>
  <c r="AR55" i="3"/>
  <c r="AR54" i="3"/>
  <c r="AR53" i="3"/>
  <c r="AR52" i="3"/>
  <c r="AR51" i="3"/>
  <c r="AR50" i="3"/>
  <c r="AR49" i="3"/>
  <c r="AR48" i="3"/>
  <c r="AR47" i="3"/>
  <c r="AR46" i="3"/>
  <c r="AR45" i="3"/>
  <c r="AR44" i="3"/>
  <c r="AR43" i="3"/>
  <c r="AR64" i="3"/>
  <c r="AR72" i="3"/>
  <c r="AR42" i="3"/>
  <c r="AR41" i="3"/>
  <c r="AR40" i="3"/>
  <c r="AR39" i="3"/>
  <c r="AR38" i="3"/>
  <c r="AR37" i="3"/>
  <c r="AR36" i="3"/>
  <c r="AR35" i="3"/>
  <c r="AR34" i="3"/>
  <c r="AR33" i="3"/>
  <c r="AR32" i="3"/>
  <c r="AR31" i="3"/>
  <c r="AR30" i="3"/>
  <c r="AR29" i="3"/>
  <c r="AR28" i="3"/>
  <c r="AR27" i="3"/>
  <c r="AR26" i="3"/>
  <c r="AR25" i="3"/>
  <c r="AR24" i="3"/>
  <c r="AR66" i="3"/>
  <c r="AR58" i="3"/>
  <c r="AR61" i="3"/>
  <c r="AR65" i="3"/>
  <c r="AZ191" i="3"/>
  <c r="AZ190" i="3"/>
  <c r="AZ189" i="3"/>
  <c r="AZ188" i="3"/>
  <c r="AZ187" i="3"/>
  <c r="AZ186" i="3"/>
  <c r="AZ185" i="3"/>
  <c r="AZ184" i="3"/>
  <c r="AZ183" i="3"/>
  <c r="AZ182" i="3"/>
  <c r="AZ181" i="3"/>
  <c r="AZ180" i="3"/>
  <c r="AZ179" i="3"/>
  <c r="AZ178" i="3"/>
  <c r="AZ177" i="3"/>
  <c r="AZ176" i="3"/>
  <c r="AZ175" i="3"/>
  <c r="AZ174" i="3"/>
  <c r="AZ173" i="3"/>
  <c r="AZ172" i="3"/>
  <c r="AZ171" i="3"/>
  <c r="AZ170" i="3"/>
  <c r="AZ169" i="3"/>
  <c r="AZ168" i="3"/>
  <c r="AZ167" i="3"/>
  <c r="AZ161" i="3"/>
  <c r="AZ165" i="3"/>
  <c r="AZ162" i="3"/>
  <c r="AZ166" i="3"/>
  <c r="AZ156" i="3"/>
  <c r="AZ164" i="3"/>
  <c r="AZ160" i="3"/>
  <c r="AZ155" i="3"/>
  <c r="AZ163" i="3"/>
  <c r="AZ154" i="3"/>
  <c r="AZ152" i="3"/>
  <c r="AZ151" i="3"/>
  <c r="AZ150" i="3"/>
  <c r="AZ159" i="3"/>
  <c r="AZ144" i="3"/>
  <c r="AZ140" i="3"/>
  <c r="AZ137" i="3"/>
  <c r="AZ149" i="3"/>
  <c r="AZ146" i="3"/>
  <c r="AZ142" i="3"/>
  <c r="AZ139" i="3"/>
  <c r="AZ135" i="3"/>
  <c r="AZ132" i="3"/>
  <c r="AZ131" i="3"/>
  <c r="AZ130" i="3"/>
  <c r="AZ148" i="3"/>
  <c r="AZ145" i="3"/>
  <c r="AZ136" i="3"/>
  <c r="AZ158" i="3"/>
  <c r="AZ133" i="3"/>
  <c r="AZ143" i="3"/>
  <c r="AZ129" i="3"/>
  <c r="AZ128" i="3"/>
  <c r="AZ127" i="3"/>
  <c r="AZ126" i="3"/>
  <c r="AZ125" i="3"/>
  <c r="AZ124" i="3"/>
  <c r="AZ123" i="3"/>
  <c r="AZ122" i="3"/>
  <c r="AZ121" i="3"/>
  <c r="AZ120" i="3"/>
  <c r="AZ119" i="3"/>
  <c r="AZ118" i="3"/>
  <c r="AZ117" i="3"/>
  <c r="AZ116" i="3"/>
  <c r="AZ115" i="3"/>
  <c r="AZ114" i="3"/>
  <c r="AZ113" i="3"/>
  <c r="AZ112" i="3"/>
  <c r="AZ111" i="3"/>
  <c r="AZ110" i="3"/>
  <c r="AZ109" i="3"/>
  <c r="AZ108" i="3"/>
  <c r="AZ107" i="3"/>
  <c r="AZ106" i="3"/>
  <c r="AZ157" i="3"/>
  <c r="AZ153" i="3"/>
  <c r="AZ147" i="3"/>
  <c r="AZ134" i="3"/>
  <c r="AZ141" i="3"/>
  <c r="AZ95" i="3"/>
  <c r="AZ87" i="3"/>
  <c r="AZ138" i="3"/>
  <c r="AZ92" i="3"/>
  <c r="AZ97" i="3"/>
  <c r="AZ89" i="3"/>
  <c r="AZ94" i="3"/>
  <c r="AZ86" i="3"/>
  <c r="AZ91" i="3"/>
  <c r="AZ84" i="3"/>
  <c r="AZ83" i="3"/>
  <c r="AZ82" i="3"/>
  <c r="AZ81" i="3"/>
  <c r="AZ80" i="3"/>
  <c r="AZ79" i="3"/>
  <c r="AZ78" i="3"/>
  <c r="AZ77" i="3"/>
  <c r="AZ76" i="3"/>
  <c r="AZ75" i="3"/>
  <c r="AZ74" i="3"/>
  <c r="AZ103" i="3"/>
  <c r="AZ102" i="3"/>
  <c r="AZ101" i="3"/>
  <c r="AZ100" i="3"/>
  <c r="AZ99" i="3"/>
  <c r="AZ96" i="3"/>
  <c r="AZ88" i="3"/>
  <c r="AZ98" i="3"/>
  <c r="AZ65" i="3"/>
  <c r="AZ58" i="3"/>
  <c r="AZ72" i="3"/>
  <c r="AZ66" i="3"/>
  <c r="AZ63" i="3"/>
  <c r="AZ93" i="3"/>
  <c r="AZ90" i="3"/>
  <c r="AZ67" i="3"/>
  <c r="AZ60" i="3"/>
  <c r="AZ71" i="3"/>
  <c r="AZ68" i="3"/>
  <c r="AZ105" i="3"/>
  <c r="AZ69" i="3"/>
  <c r="AZ62" i="3"/>
  <c r="AZ57" i="3"/>
  <c r="AZ56" i="3"/>
  <c r="AZ55" i="3"/>
  <c r="AZ54" i="3"/>
  <c r="AZ53" i="3"/>
  <c r="AZ52" i="3"/>
  <c r="AZ51" i="3"/>
  <c r="AZ50" i="3"/>
  <c r="AZ49" i="3"/>
  <c r="AZ48" i="3"/>
  <c r="AZ47" i="3"/>
  <c r="AZ46" i="3"/>
  <c r="AZ45" i="3"/>
  <c r="AZ44" i="3"/>
  <c r="AZ43" i="3"/>
  <c r="AZ42" i="3"/>
  <c r="AZ70" i="3"/>
  <c r="AZ59" i="3"/>
  <c r="AZ64" i="3"/>
  <c r="AZ41" i="3"/>
  <c r="AZ40" i="3"/>
  <c r="AZ39" i="3"/>
  <c r="AZ38" i="3"/>
  <c r="AZ37" i="3"/>
  <c r="AZ36" i="3"/>
  <c r="AZ35" i="3"/>
  <c r="AZ34" i="3"/>
  <c r="AZ33" i="3"/>
  <c r="AZ32" i="3"/>
  <c r="AZ31" i="3"/>
  <c r="AZ30" i="3"/>
  <c r="AZ29" i="3"/>
  <c r="AZ28" i="3"/>
  <c r="AZ27" i="3"/>
  <c r="AZ26" i="3"/>
  <c r="AZ25" i="3"/>
  <c r="AZ24" i="3"/>
  <c r="AZ85" i="3"/>
  <c r="AZ61" i="3"/>
  <c r="AZ73" i="3"/>
  <c r="Z7" i="3"/>
  <c r="Y8" i="3"/>
  <c r="CQ9" i="3"/>
  <c r="T10" i="3"/>
  <c r="AB10" i="3"/>
  <c r="AN10" i="3"/>
  <c r="CP11" i="3"/>
  <c r="CP12" i="3"/>
  <c r="AM13" i="3" a="1"/>
  <c r="AM13" i="3" s="1"/>
  <c r="AM14" i="3" a="1"/>
  <c r="AM14" i="3" s="1"/>
  <c r="AR20" i="3"/>
  <c r="AZ20" i="3"/>
  <c r="AR21" i="3"/>
  <c r="AZ21" i="3"/>
  <c r="AR22" i="3"/>
  <c r="AZ22" i="3"/>
  <c r="AR23" i="3"/>
  <c r="AZ23" i="3"/>
  <c r="AT24" i="3"/>
  <c r="AY25" i="3"/>
  <c r="AV26" i="3"/>
  <c r="BE26" i="3"/>
  <c r="AS27" i="3"/>
  <c r="AX28" i="3"/>
  <c r="AU29" i="3"/>
  <c r="BA30" i="3"/>
  <c r="AW31" i="3"/>
  <c r="AT32" i="3"/>
  <c r="AY33" i="3"/>
  <c r="AV34" i="3"/>
  <c r="BE34" i="3"/>
  <c r="AS35" i="3"/>
  <c r="AU37" i="3"/>
  <c r="AV40" i="3"/>
  <c r="AT41" i="3"/>
  <c r="AM45" i="3"/>
  <c r="AT45" i="3"/>
  <c r="AY50" i="3"/>
  <c r="AM52" i="3"/>
  <c r="AW185" i="3"/>
  <c r="AW184" i="3"/>
  <c r="AW188" i="3"/>
  <c r="AW182" i="3"/>
  <c r="AW186" i="3"/>
  <c r="AW181" i="3"/>
  <c r="AW191" i="3"/>
  <c r="AW189" i="3"/>
  <c r="AW180" i="3"/>
  <c r="AW179" i="3"/>
  <c r="AW173" i="3"/>
  <c r="AW167" i="3"/>
  <c r="AW183" i="3"/>
  <c r="AW172" i="3"/>
  <c r="AW190" i="3"/>
  <c r="AW169" i="3"/>
  <c r="AW177" i="3"/>
  <c r="AW171" i="3"/>
  <c r="AW178" i="3"/>
  <c r="AW164" i="3"/>
  <c r="AW160" i="3"/>
  <c r="AW166" i="3"/>
  <c r="AW159" i="3"/>
  <c r="AW158" i="3"/>
  <c r="AW157" i="3"/>
  <c r="AW156" i="3"/>
  <c r="AW155" i="3"/>
  <c r="AW154" i="3"/>
  <c r="AW153" i="3"/>
  <c r="AW152" i="3"/>
  <c r="AW151" i="3"/>
  <c r="AW161" i="3"/>
  <c r="AW187" i="3"/>
  <c r="AW165" i="3"/>
  <c r="AW176" i="3"/>
  <c r="AW146" i="3"/>
  <c r="AW142" i="3"/>
  <c r="AW170" i="3"/>
  <c r="AW174" i="3"/>
  <c r="AW150" i="3"/>
  <c r="AW145" i="3"/>
  <c r="AW141" i="3"/>
  <c r="AW144" i="3"/>
  <c r="AW140" i="3"/>
  <c r="AW137" i="3"/>
  <c r="AW148" i="3"/>
  <c r="AW138" i="3"/>
  <c r="AW134" i="3"/>
  <c r="AW130" i="3"/>
  <c r="AW168" i="3"/>
  <c r="AW163" i="3"/>
  <c r="AW162" i="3"/>
  <c r="AW143" i="3"/>
  <c r="AW136" i="3"/>
  <c r="AW132" i="3"/>
  <c r="AW149" i="3"/>
  <c r="AW133" i="3"/>
  <c r="AW147" i="3"/>
  <c r="AW135" i="3"/>
  <c r="AW129" i="3"/>
  <c r="AW128" i="3"/>
  <c r="AW126" i="3"/>
  <c r="AW121" i="3"/>
  <c r="AW117" i="3"/>
  <c r="AW113" i="3"/>
  <c r="AW109" i="3"/>
  <c r="AW105" i="3"/>
  <c r="AW104" i="3"/>
  <c r="AW127" i="3"/>
  <c r="AW124" i="3"/>
  <c r="AW123" i="3"/>
  <c r="AW119" i="3"/>
  <c r="AW115" i="3"/>
  <c r="AW111" i="3"/>
  <c r="AW107" i="3"/>
  <c r="AW118" i="3"/>
  <c r="AW106" i="3"/>
  <c r="AW103" i="3"/>
  <c r="AW102" i="3"/>
  <c r="AW101" i="3"/>
  <c r="AW100" i="3"/>
  <c r="AW99" i="3"/>
  <c r="AW96" i="3"/>
  <c r="AW88" i="3"/>
  <c r="AW175" i="3"/>
  <c r="AW139" i="3"/>
  <c r="AW112" i="3"/>
  <c r="AW108" i="3"/>
  <c r="AW93" i="3"/>
  <c r="AW85" i="3"/>
  <c r="AW122" i="3"/>
  <c r="AW98" i="3"/>
  <c r="AW90" i="3"/>
  <c r="AW131" i="3"/>
  <c r="AW125" i="3"/>
  <c r="AW116" i="3"/>
  <c r="AW95" i="3"/>
  <c r="AW87" i="3"/>
  <c r="AW110" i="3"/>
  <c r="AW92" i="3"/>
  <c r="AW120" i="3"/>
  <c r="AW97" i="3"/>
  <c r="AW89" i="3"/>
  <c r="AW114" i="3"/>
  <c r="AW79" i="3"/>
  <c r="AW70" i="3"/>
  <c r="AW59" i="3"/>
  <c r="AW84" i="3"/>
  <c r="AW74" i="3"/>
  <c r="AW77" i="3"/>
  <c r="AW73" i="3"/>
  <c r="AW64" i="3"/>
  <c r="AW61" i="3"/>
  <c r="AW83" i="3"/>
  <c r="AW80" i="3"/>
  <c r="AW65" i="3"/>
  <c r="AW75" i="3"/>
  <c r="AW72" i="3"/>
  <c r="AW66" i="3"/>
  <c r="AW63" i="3"/>
  <c r="AW94" i="3"/>
  <c r="AW82" i="3"/>
  <c r="AW78" i="3"/>
  <c r="AW67" i="3"/>
  <c r="AW60" i="3"/>
  <c r="AW50" i="3"/>
  <c r="AW43" i="3"/>
  <c r="AW86" i="3"/>
  <c r="AW71" i="3"/>
  <c r="AW69" i="3"/>
  <c r="AW53" i="3"/>
  <c r="AW49" i="3"/>
  <c r="AW45" i="3"/>
  <c r="AW54" i="3"/>
  <c r="AW46" i="3"/>
  <c r="AW42" i="3"/>
  <c r="AW41" i="3"/>
  <c r="AW62" i="3"/>
  <c r="AW55" i="3"/>
  <c r="AW52" i="3"/>
  <c r="AW48" i="3"/>
  <c r="AW68" i="3"/>
  <c r="AW56" i="3"/>
  <c r="AW23" i="3"/>
  <c r="BE23" i="3"/>
  <c r="BE33" i="3"/>
  <c r="AX191" i="3"/>
  <c r="AX188" i="3"/>
  <c r="AX183" i="3"/>
  <c r="AX186" i="3"/>
  <c r="AX181" i="3"/>
  <c r="AX177" i="3"/>
  <c r="AX189" i="3"/>
  <c r="AX180" i="3"/>
  <c r="AX179" i="3"/>
  <c r="AX187" i="3"/>
  <c r="AX176" i="3"/>
  <c r="AX185" i="3"/>
  <c r="AX172" i="3"/>
  <c r="AX190" i="3"/>
  <c r="AX169" i="3"/>
  <c r="AX178" i="3"/>
  <c r="AX184" i="3"/>
  <c r="AX175" i="3"/>
  <c r="AX174" i="3"/>
  <c r="AX168" i="3"/>
  <c r="AX164" i="3"/>
  <c r="AX160" i="3"/>
  <c r="AX167" i="3"/>
  <c r="AX166" i="3"/>
  <c r="AX159" i="3"/>
  <c r="AX158" i="3"/>
  <c r="AX157" i="3"/>
  <c r="AX156" i="3"/>
  <c r="AX155" i="3"/>
  <c r="AX154" i="3"/>
  <c r="AX153" i="3"/>
  <c r="AX152" i="3"/>
  <c r="AX151" i="3"/>
  <c r="AX150" i="3"/>
  <c r="AX161" i="3"/>
  <c r="AX182" i="3"/>
  <c r="AX170" i="3"/>
  <c r="AX165" i="3"/>
  <c r="AX171" i="3"/>
  <c r="AX173" i="3"/>
  <c r="AX163" i="3"/>
  <c r="AX145" i="3"/>
  <c r="AX141" i="3"/>
  <c r="AX162" i="3"/>
  <c r="AX148" i="3"/>
  <c r="AX147" i="3"/>
  <c r="AX143" i="3"/>
  <c r="AX138" i="3"/>
  <c r="AX134" i="3"/>
  <c r="AX130" i="3"/>
  <c r="AX142" i="3"/>
  <c r="AX136" i="3"/>
  <c r="AX132" i="3"/>
  <c r="AX149" i="3"/>
  <c r="AX133" i="3"/>
  <c r="AX146" i="3"/>
  <c r="AX137" i="3"/>
  <c r="AX135" i="3"/>
  <c r="AX129" i="3"/>
  <c r="AX128" i="3"/>
  <c r="AX131" i="3"/>
  <c r="AX121" i="3"/>
  <c r="AX117" i="3"/>
  <c r="AX113" i="3"/>
  <c r="AX109" i="3"/>
  <c r="AX105" i="3"/>
  <c r="AX127" i="3"/>
  <c r="AX120" i="3"/>
  <c r="AX116" i="3"/>
  <c r="AX112" i="3"/>
  <c r="AX106" i="3"/>
  <c r="AX123" i="3"/>
  <c r="AX119" i="3"/>
  <c r="AX115" i="3"/>
  <c r="AX111" i="3"/>
  <c r="AX107" i="3"/>
  <c r="AX125" i="3"/>
  <c r="AX140" i="3"/>
  <c r="AX139" i="3"/>
  <c r="AX108" i="3"/>
  <c r="AX104" i="3"/>
  <c r="AX93" i="3"/>
  <c r="AX85" i="3"/>
  <c r="AX122" i="3"/>
  <c r="AX98" i="3"/>
  <c r="AX90" i="3"/>
  <c r="AX144" i="3"/>
  <c r="AX95" i="3"/>
  <c r="AX87" i="3"/>
  <c r="AX110" i="3"/>
  <c r="AX92" i="3"/>
  <c r="AX97" i="3"/>
  <c r="AX89" i="3"/>
  <c r="AX114" i="3"/>
  <c r="AX94" i="3"/>
  <c r="AX86" i="3"/>
  <c r="AX102" i="3"/>
  <c r="AX100" i="3"/>
  <c r="AX84" i="3"/>
  <c r="AX74" i="3"/>
  <c r="AX77" i="3"/>
  <c r="AX73" i="3"/>
  <c r="AX64" i="3"/>
  <c r="AX61" i="3"/>
  <c r="AX83" i="3"/>
  <c r="AX80" i="3"/>
  <c r="AX65" i="3"/>
  <c r="AX58" i="3"/>
  <c r="AX96" i="3"/>
  <c r="AX75" i="3"/>
  <c r="AX72" i="3"/>
  <c r="AX66" i="3"/>
  <c r="AX63" i="3"/>
  <c r="AX103" i="3"/>
  <c r="AX101" i="3"/>
  <c r="AX99" i="3"/>
  <c r="AX82" i="3"/>
  <c r="AX78" i="3"/>
  <c r="AX67" i="3"/>
  <c r="AX60" i="3"/>
  <c r="AX91" i="3"/>
  <c r="AX88" i="3"/>
  <c r="AX71" i="3"/>
  <c r="AX68" i="3"/>
  <c r="AX118" i="3"/>
  <c r="AX69" i="3"/>
  <c r="AX53" i="3"/>
  <c r="AX49" i="3"/>
  <c r="AX45" i="3"/>
  <c r="AX79" i="3"/>
  <c r="AX54" i="3"/>
  <c r="AX46" i="3"/>
  <c r="AX42" i="3"/>
  <c r="AX41" i="3"/>
  <c r="AX40" i="3"/>
  <c r="AX39" i="3"/>
  <c r="AX62" i="3"/>
  <c r="AX55" i="3"/>
  <c r="AX52" i="3"/>
  <c r="AX48" i="3"/>
  <c r="AX124" i="3"/>
  <c r="AX59" i="3"/>
  <c r="AX56" i="3"/>
  <c r="AX44" i="3"/>
  <c r="AX126" i="3"/>
  <c r="AX81" i="3"/>
  <c r="AX57" i="3"/>
  <c r="AX51" i="3"/>
  <c r="AE6" i="3"/>
  <c r="AR14" i="3"/>
  <c r="AF28" i="3"/>
  <c r="Z4" i="3"/>
  <c r="CR4" i="3"/>
  <c r="AE5" i="3"/>
  <c r="AS191" i="3"/>
  <c r="AS190" i="3"/>
  <c r="AS189" i="3"/>
  <c r="AS188" i="3"/>
  <c r="AS187" i="3"/>
  <c r="AS186" i="3"/>
  <c r="AS185" i="3"/>
  <c r="AS184" i="3"/>
  <c r="AS183" i="3"/>
  <c r="AS182" i="3"/>
  <c r="AS181" i="3"/>
  <c r="AS180" i="3"/>
  <c r="AS176" i="3"/>
  <c r="AS178" i="3"/>
  <c r="AS175" i="3"/>
  <c r="AS174" i="3"/>
  <c r="AS171" i="3"/>
  <c r="AS168" i="3"/>
  <c r="AS166" i="3"/>
  <c r="AS165" i="3"/>
  <c r="AS164" i="3"/>
  <c r="AS163" i="3"/>
  <c r="AS162" i="3"/>
  <c r="AS161" i="3"/>
  <c r="AS160" i="3"/>
  <c r="AS167" i="3"/>
  <c r="AS173" i="3"/>
  <c r="AS169" i="3"/>
  <c r="AS177" i="3"/>
  <c r="AS172" i="3"/>
  <c r="AS179" i="3"/>
  <c r="AS170" i="3"/>
  <c r="AS159" i="3"/>
  <c r="AS158" i="3"/>
  <c r="AS157" i="3"/>
  <c r="AS149" i="3"/>
  <c r="AS148" i="3"/>
  <c r="AS147" i="3"/>
  <c r="AS146" i="3"/>
  <c r="AS145" i="3"/>
  <c r="AS144" i="3"/>
  <c r="AS143" i="3"/>
  <c r="AS142" i="3"/>
  <c r="AS141" i="3"/>
  <c r="AS140" i="3"/>
  <c r="AS139" i="3"/>
  <c r="AS138" i="3"/>
  <c r="AS137" i="3"/>
  <c r="AS136" i="3"/>
  <c r="AS135" i="3"/>
  <c r="AS134" i="3"/>
  <c r="AS133" i="3"/>
  <c r="AS155" i="3"/>
  <c r="AS154" i="3"/>
  <c r="AS153" i="3"/>
  <c r="AS152" i="3"/>
  <c r="AS151" i="3"/>
  <c r="AS156" i="3"/>
  <c r="AS150" i="3"/>
  <c r="AS129" i="3"/>
  <c r="AS128" i="3"/>
  <c r="AS127" i="3"/>
  <c r="AS126" i="3"/>
  <c r="AS125" i="3"/>
  <c r="AS124" i="3"/>
  <c r="AS123" i="3"/>
  <c r="AS122" i="3"/>
  <c r="AS121" i="3"/>
  <c r="AS120" i="3"/>
  <c r="AS119" i="3"/>
  <c r="AS118" i="3"/>
  <c r="AS117" i="3"/>
  <c r="AS116" i="3"/>
  <c r="AS115" i="3"/>
  <c r="AS114" i="3"/>
  <c r="AS113" i="3"/>
  <c r="AS112" i="3"/>
  <c r="AS111" i="3"/>
  <c r="AS110" i="3"/>
  <c r="AS109" i="3"/>
  <c r="AS108" i="3"/>
  <c r="AS107" i="3"/>
  <c r="AS106" i="3"/>
  <c r="AS131" i="3"/>
  <c r="AS130" i="3"/>
  <c r="AS105" i="3"/>
  <c r="AS104" i="3"/>
  <c r="AS103" i="3"/>
  <c r="AS102" i="3"/>
  <c r="AS101" i="3"/>
  <c r="AS100" i="3"/>
  <c r="AS99" i="3"/>
  <c r="AS98" i="3"/>
  <c r="AS97" i="3"/>
  <c r="AS96" i="3"/>
  <c r="AS95" i="3"/>
  <c r="AS94" i="3"/>
  <c r="AS93" i="3"/>
  <c r="AS92" i="3"/>
  <c r="AS91" i="3"/>
  <c r="AS90" i="3"/>
  <c r="AS89" i="3"/>
  <c r="AS88" i="3"/>
  <c r="AS87" i="3"/>
  <c r="AS86" i="3"/>
  <c r="AS85" i="3"/>
  <c r="AS132" i="3"/>
  <c r="AS84" i="3"/>
  <c r="AS83" i="3"/>
  <c r="AS82" i="3"/>
  <c r="AS81" i="3"/>
  <c r="AS80" i="3"/>
  <c r="AS79" i="3"/>
  <c r="AS78" i="3"/>
  <c r="AS77" i="3"/>
  <c r="AS76" i="3"/>
  <c r="AS75" i="3"/>
  <c r="AS74" i="3"/>
  <c r="AS73" i="3"/>
  <c r="AS72" i="3"/>
  <c r="AS71" i="3"/>
  <c r="AS68" i="3"/>
  <c r="AS60" i="3"/>
  <c r="AS69" i="3"/>
  <c r="AS70" i="3"/>
  <c r="AS62" i="3"/>
  <c r="AS64" i="3"/>
  <c r="AS65" i="3"/>
  <c r="AS61" i="3"/>
  <c r="AS66" i="3"/>
  <c r="AS51" i="3"/>
  <c r="AS47" i="3"/>
  <c r="AS58" i="3"/>
  <c r="AS44" i="3"/>
  <c r="AS50" i="3"/>
  <c r="AS67" i="3"/>
  <c r="AS54" i="3"/>
  <c r="AS53" i="3"/>
  <c r="AS49" i="3"/>
  <c r="AS43" i="3"/>
  <c r="AS59" i="3"/>
  <c r="AS55" i="3"/>
  <c r="BA191" i="3"/>
  <c r="BA190" i="3"/>
  <c r="BA189" i="3"/>
  <c r="BA188" i="3"/>
  <c r="BA187" i="3"/>
  <c r="BA186" i="3"/>
  <c r="BA185" i="3"/>
  <c r="BA184" i="3"/>
  <c r="BA183" i="3"/>
  <c r="BA182" i="3"/>
  <c r="BA181" i="3"/>
  <c r="BA180" i="3"/>
  <c r="BA179" i="3"/>
  <c r="BA178" i="3"/>
  <c r="BA171" i="3"/>
  <c r="BA177" i="3"/>
  <c r="BA176" i="3"/>
  <c r="BA175" i="3"/>
  <c r="BA168" i="3"/>
  <c r="BA166" i="3"/>
  <c r="BA165" i="3"/>
  <c r="BA164" i="3"/>
  <c r="BA163" i="3"/>
  <c r="BA162" i="3"/>
  <c r="BA161" i="3"/>
  <c r="BA160" i="3"/>
  <c r="BA170" i="3"/>
  <c r="BA172" i="3"/>
  <c r="BA174" i="3"/>
  <c r="BA155" i="3"/>
  <c r="BA173" i="3"/>
  <c r="BA167" i="3"/>
  <c r="BA154" i="3"/>
  <c r="BA153" i="3"/>
  <c r="BA149" i="3"/>
  <c r="BA148" i="3"/>
  <c r="BA147" i="3"/>
  <c r="BA146" i="3"/>
  <c r="BA145" i="3"/>
  <c r="BA144" i="3"/>
  <c r="BA143" i="3"/>
  <c r="BA142" i="3"/>
  <c r="BA141" i="3"/>
  <c r="BA140" i="3"/>
  <c r="BA139" i="3"/>
  <c r="BA138" i="3"/>
  <c r="BA137" i="3"/>
  <c r="BA136" i="3"/>
  <c r="BA135" i="3"/>
  <c r="BA134" i="3"/>
  <c r="BA133" i="3"/>
  <c r="BA159" i="3"/>
  <c r="BA150" i="3"/>
  <c r="BA169" i="3"/>
  <c r="BA158" i="3"/>
  <c r="BA157" i="3"/>
  <c r="BA132" i="3"/>
  <c r="BA129" i="3"/>
  <c r="BA128" i="3"/>
  <c r="BA127" i="3"/>
  <c r="BA126" i="3"/>
  <c r="BA125" i="3"/>
  <c r="BA124" i="3"/>
  <c r="BA123" i="3"/>
  <c r="BA122" i="3"/>
  <c r="BA121" i="3"/>
  <c r="BA120" i="3"/>
  <c r="BA119" i="3"/>
  <c r="BA118" i="3"/>
  <c r="BA117" i="3"/>
  <c r="BA116" i="3"/>
  <c r="BA115" i="3"/>
  <c r="BA114" i="3"/>
  <c r="BA113" i="3"/>
  <c r="BA112" i="3"/>
  <c r="BA111" i="3"/>
  <c r="BA110" i="3"/>
  <c r="BA109" i="3"/>
  <c r="BA108" i="3"/>
  <c r="BA107" i="3"/>
  <c r="BA106" i="3"/>
  <c r="BA131" i="3"/>
  <c r="BA152" i="3"/>
  <c r="BA156" i="3"/>
  <c r="BA151" i="3"/>
  <c r="BA130" i="3"/>
  <c r="BA105" i="3"/>
  <c r="BA104" i="3"/>
  <c r="BA103" i="3"/>
  <c r="BA102" i="3"/>
  <c r="BA101" i="3"/>
  <c r="BA100" i="3"/>
  <c r="BA99" i="3"/>
  <c r="BA98" i="3"/>
  <c r="BA97" i="3"/>
  <c r="BA96" i="3"/>
  <c r="BA95" i="3"/>
  <c r="BA94" i="3"/>
  <c r="BA93" i="3"/>
  <c r="BA92" i="3"/>
  <c r="BA91" i="3"/>
  <c r="BA90" i="3"/>
  <c r="BA89" i="3"/>
  <c r="BA88" i="3"/>
  <c r="BA87" i="3"/>
  <c r="BA86" i="3"/>
  <c r="BA85" i="3"/>
  <c r="BA84" i="3"/>
  <c r="BA83" i="3"/>
  <c r="BA82" i="3"/>
  <c r="BA81" i="3"/>
  <c r="BA80" i="3"/>
  <c r="BA79" i="3"/>
  <c r="BA78" i="3"/>
  <c r="BA77" i="3"/>
  <c r="BA76" i="3"/>
  <c r="BA75" i="3"/>
  <c r="BA74" i="3"/>
  <c r="BA73" i="3"/>
  <c r="BA72" i="3"/>
  <c r="BA71" i="3"/>
  <c r="BA70" i="3"/>
  <c r="BA66" i="3"/>
  <c r="BA63" i="3"/>
  <c r="BA67" i="3"/>
  <c r="BA60" i="3"/>
  <c r="BA68" i="3"/>
  <c r="BA69" i="3"/>
  <c r="BA62" i="3"/>
  <c r="BA59" i="3"/>
  <c r="BA54" i="3"/>
  <c r="BA46" i="3"/>
  <c r="BA42" i="3"/>
  <c r="BA61" i="3"/>
  <c r="BA55" i="3"/>
  <c r="BA52" i="3"/>
  <c r="BA48" i="3"/>
  <c r="BA56" i="3"/>
  <c r="BA44" i="3"/>
  <c r="BA57" i="3"/>
  <c r="BA51" i="3"/>
  <c r="BA47" i="3"/>
  <c r="BA65" i="3"/>
  <c r="BA50" i="3"/>
  <c r="CP6" i="3"/>
  <c r="AA7" i="3"/>
  <c r="Z8" i="3"/>
  <c r="CR9" i="3"/>
  <c r="U10" i="3"/>
  <c r="CP10" i="3"/>
  <c r="CQ11" i="3"/>
  <c r="CQ12" i="3"/>
  <c r="AS20" i="3"/>
  <c r="BA20" i="3"/>
  <c r="AS21" i="3"/>
  <c r="BA21" i="3"/>
  <c r="AS22" i="3"/>
  <c r="BA22" i="3"/>
  <c r="AS23" i="3"/>
  <c r="BA23" i="3"/>
  <c r="AU24" i="3"/>
  <c r="BA25" i="3"/>
  <c r="AW26" i="3"/>
  <c r="AT27" i="3"/>
  <c r="AY28" i="3"/>
  <c r="AV29" i="3"/>
  <c r="BE29" i="3"/>
  <c r="AS30" i="3"/>
  <c r="AX31" i="3"/>
  <c r="AU32" i="3"/>
  <c r="BA33" i="3"/>
  <c r="AW34" i="3"/>
  <c r="AY36" i="3"/>
  <c r="AV37" i="3"/>
  <c r="BE37" i="3"/>
  <c r="AS38" i="3"/>
  <c r="AW40" i="3"/>
  <c r="AU41" i="3"/>
  <c r="BE44" i="3"/>
  <c r="BA45" i="3"/>
  <c r="AS48" i="3"/>
  <c r="BA53" i="3"/>
  <c r="AW57" i="3"/>
  <c r="AX76" i="3"/>
  <c r="AU97" i="3"/>
  <c r="AL12" i="3"/>
  <c r="BE25" i="3"/>
  <c r="AK27" i="3"/>
  <c r="AW30" i="3"/>
  <c r="AW38" i="3"/>
  <c r="AW91" i="3"/>
  <c r="AE2" i="3"/>
  <c r="AE11" i="3" s="1"/>
  <c r="AB3" i="3"/>
  <c r="AL14" i="3" a="1"/>
  <c r="AL14" i="3" s="1"/>
  <c r="AX30" i="3"/>
  <c r="BE52" i="3"/>
  <c r="Y2" i="3"/>
  <c r="Y11" i="3" s="1"/>
  <c r="CP14" i="3" s="1"/>
  <c r="CP3" i="3"/>
  <c r="AA4" i="3"/>
  <c r="CS4" i="3"/>
  <c r="AT191" i="3"/>
  <c r="AT190" i="3"/>
  <c r="AT189" i="3"/>
  <c r="AT188" i="3"/>
  <c r="AT187" i="3"/>
  <c r="AT186" i="3"/>
  <c r="AT185" i="3"/>
  <c r="AT184" i="3"/>
  <c r="AT174" i="3"/>
  <c r="AT173" i="3"/>
  <c r="AT183" i="3"/>
  <c r="AT182" i="3"/>
  <c r="AT175" i="3"/>
  <c r="AT181" i="3"/>
  <c r="AT168" i="3"/>
  <c r="AT166" i="3"/>
  <c r="AT165" i="3"/>
  <c r="AT170" i="3"/>
  <c r="AT172" i="3"/>
  <c r="AT180" i="3"/>
  <c r="AT171" i="3"/>
  <c r="AT169" i="3"/>
  <c r="AT177" i="3"/>
  <c r="AT176" i="3"/>
  <c r="AT163" i="3"/>
  <c r="AT178" i="3"/>
  <c r="AT167" i="3"/>
  <c r="AT164" i="3"/>
  <c r="AT160" i="3"/>
  <c r="AT179" i="3"/>
  <c r="AT162" i="3"/>
  <c r="AT158" i="3"/>
  <c r="AT161" i="3"/>
  <c r="AT157" i="3"/>
  <c r="AT149" i="3"/>
  <c r="AT148" i="3"/>
  <c r="AT147" i="3"/>
  <c r="AT146" i="3"/>
  <c r="AT145" i="3"/>
  <c r="AT144" i="3"/>
  <c r="AT143" i="3"/>
  <c r="AT142" i="3"/>
  <c r="AT141" i="3"/>
  <c r="AT140" i="3"/>
  <c r="AT156" i="3"/>
  <c r="AT151" i="3"/>
  <c r="AT150" i="3"/>
  <c r="AT154" i="3"/>
  <c r="AT153" i="3"/>
  <c r="AT152" i="3"/>
  <c r="AT155" i="3"/>
  <c r="AT139" i="3"/>
  <c r="AT136" i="3"/>
  <c r="AT129" i="3"/>
  <c r="AT128" i="3"/>
  <c r="AT127" i="3"/>
  <c r="AT126" i="3"/>
  <c r="AT125" i="3"/>
  <c r="AT124" i="3"/>
  <c r="AT123" i="3"/>
  <c r="AT122" i="3"/>
  <c r="AT121" i="3"/>
  <c r="AT120" i="3"/>
  <c r="AT119" i="3"/>
  <c r="AT118" i="3"/>
  <c r="AT117" i="3"/>
  <c r="AT116" i="3"/>
  <c r="AT115" i="3"/>
  <c r="AT114" i="3"/>
  <c r="AT113" i="3"/>
  <c r="AT112" i="3"/>
  <c r="AT111" i="3"/>
  <c r="AT110" i="3"/>
  <c r="AT131" i="3"/>
  <c r="AT138" i="3"/>
  <c r="AT134" i="3"/>
  <c r="AT130" i="3"/>
  <c r="AT137" i="3"/>
  <c r="AT133" i="3"/>
  <c r="AT135" i="3"/>
  <c r="AT107" i="3"/>
  <c r="AT159" i="3"/>
  <c r="AT132" i="3"/>
  <c r="AT108" i="3"/>
  <c r="AT109" i="3"/>
  <c r="AT97" i="3"/>
  <c r="AT89" i="3"/>
  <c r="AT105" i="3"/>
  <c r="AT94" i="3"/>
  <c r="AT86" i="3"/>
  <c r="AT106" i="3"/>
  <c r="AT104" i="3"/>
  <c r="AT103" i="3"/>
  <c r="AT102" i="3"/>
  <c r="AT101" i="3"/>
  <c r="AT100" i="3"/>
  <c r="AT99" i="3"/>
  <c r="AT91" i="3"/>
  <c r="AT84" i="3"/>
  <c r="AT83" i="3"/>
  <c r="AT82" i="3"/>
  <c r="AT81" i="3"/>
  <c r="AT80" i="3"/>
  <c r="AT79" i="3"/>
  <c r="AT78" i="3"/>
  <c r="AT77" i="3"/>
  <c r="AT76" i="3"/>
  <c r="AT75" i="3"/>
  <c r="AT74" i="3"/>
  <c r="AT73" i="3"/>
  <c r="AT72" i="3"/>
  <c r="AT71" i="3"/>
  <c r="AT70" i="3"/>
  <c r="AT69" i="3"/>
  <c r="AT68" i="3"/>
  <c r="AT67" i="3"/>
  <c r="AT66" i="3"/>
  <c r="AT65" i="3"/>
  <c r="AT64" i="3"/>
  <c r="AT96" i="3"/>
  <c r="AT88" i="3"/>
  <c r="AT93" i="3"/>
  <c r="AT85" i="3"/>
  <c r="AT98" i="3"/>
  <c r="AT90" i="3"/>
  <c r="AT95" i="3"/>
  <c r="AT92" i="3"/>
  <c r="AT62" i="3"/>
  <c r="AT87" i="3"/>
  <c r="AT59" i="3"/>
  <c r="AT57" i="3"/>
  <c r="AT56" i="3"/>
  <c r="AT55" i="3"/>
  <c r="AT54" i="3"/>
  <c r="AT53" i="3"/>
  <c r="AT52" i="3"/>
  <c r="AT51" i="3"/>
  <c r="AT50" i="3"/>
  <c r="AT49" i="3"/>
  <c r="AT48" i="3"/>
  <c r="AT47" i="3"/>
  <c r="AT61" i="3"/>
  <c r="AT58" i="3"/>
  <c r="AT44" i="3"/>
  <c r="AT43" i="3"/>
  <c r="AT60" i="3"/>
  <c r="AT63" i="3"/>
  <c r="Y6" i="3"/>
  <c r="CQ6" i="3"/>
  <c r="AB7" i="3"/>
  <c r="AA8" i="3"/>
  <c r="CS9" i="3"/>
  <c r="V10" i="3"/>
  <c r="CQ10" i="3"/>
  <c r="CR11" i="3"/>
  <c r="CR12" i="3"/>
  <c r="AN13" i="3" a="1"/>
  <c r="AN13" i="3" s="1"/>
  <c r="AN14" i="3" a="1"/>
  <c r="AN14" i="3" s="1"/>
  <c r="AL15" i="3" a="1"/>
  <c r="AL15" i="3" s="1"/>
  <c r="AT20" i="3"/>
  <c r="AT21" i="3"/>
  <c r="AT22" i="3"/>
  <c r="AT23" i="3"/>
  <c r="AV24" i="3"/>
  <c r="BE24" i="3"/>
  <c r="AS25" i="3"/>
  <c r="AX26" i="3"/>
  <c r="AU27" i="3"/>
  <c r="BA28" i="3"/>
  <c r="AW29" i="3"/>
  <c r="AT30" i="3"/>
  <c r="AY31" i="3"/>
  <c r="AV32" i="3"/>
  <c r="BE32" i="3"/>
  <c r="AS33" i="3"/>
  <c r="AX34" i="3"/>
  <c r="BA36" i="3"/>
  <c r="AW37" i="3"/>
  <c r="AT38" i="3"/>
  <c r="AS39" i="3"/>
  <c r="BA40" i="3"/>
  <c r="BA41" i="3"/>
  <c r="BE46" i="3"/>
  <c r="BE48" i="3"/>
  <c r="AV51" i="3"/>
  <c r="BE53" i="3"/>
  <c r="AK75" i="3"/>
  <c r="CR5" i="3"/>
  <c r="AX20" i="3"/>
  <c r="AX38" i="3"/>
  <c r="Z2" i="3"/>
  <c r="Z11" i="3" s="1"/>
  <c r="CS14" i="3" s="1"/>
  <c r="Y3" i="3"/>
  <c r="CQ3" i="3"/>
  <c r="AB4" i="3"/>
  <c r="AU191" i="3"/>
  <c r="AU190" i="3"/>
  <c r="AU189" i="3"/>
  <c r="AU188" i="3"/>
  <c r="AU187" i="3"/>
  <c r="AU186" i="3"/>
  <c r="AU185" i="3"/>
  <c r="AU184" i="3"/>
  <c r="AU183" i="3"/>
  <c r="AU182" i="3"/>
  <c r="AU181" i="3"/>
  <c r="AU178" i="3"/>
  <c r="AU177" i="3"/>
  <c r="AU166" i="3"/>
  <c r="AU165" i="3"/>
  <c r="AU164" i="3"/>
  <c r="AU163" i="3"/>
  <c r="AU162" i="3"/>
  <c r="AU161" i="3"/>
  <c r="AU160" i="3"/>
  <c r="AU170" i="3"/>
  <c r="AU180" i="3"/>
  <c r="AU173" i="3"/>
  <c r="AU167" i="3"/>
  <c r="AU179" i="3"/>
  <c r="AU169" i="3"/>
  <c r="AU176" i="3"/>
  <c r="AU175" i="3"/>
  <c r="AU172" i="3"/>
  <c r="AU174" i="3"/>
  <c r="AU157" i="3"/>
  <c r="AU149" i="3"/>
  <c r="AU148" i="3"/>
  <c r="AU147" i="3"/>
  <c r="AU146" i="3"/>
  <c r="AU145" i="3"/>
  <c r="AU144" i="3"/>
  <c r="AU143" i="3"/>
  <c r="AU142" i="3"/>
  <c r="AU141" i="3"/>
  <c r="AU140" i="3"/>
  <c r="AU139" i="3"/>
  <c r="AU138" i="3"/>
  <c r="AU137" i="3"/>
  <c r="AU136" i="3"/>
  <c r="AU135" i="3"/>
  <c r="AU134" i="3"/>
  <c r="AU133" i="3"/>
  <c r="AU156" i="3"/>
  <c r="AU151" i="3"/>
  <c r="AU150" i="3"/>
  <c r="AU155" i="3"/>
  <c r="AU153" i="3"/>
  <c r="AU154" i="3"/>
  <c r="AU159" i="3"/>
  <c r="AU168" i="3"/>
  <c r="AU158" i="3"/>
  <c r="AU131" i="3"/>
  <c r="AU130" i="3"/>
  <c r="AU171" i="3"/>
  <c r="AU152" i="3"/>
  <c r="AU132" i="3"/>
  <c r="AU125" i="3"/>
  <c r="AU128" i="3"/>
  <c r="AU122" i="3"/>
  <c r="AU118" i="3"/>
  <c r="AU114" i="3"/>
  <c r="AU110" i="3"/>
  <c r="AU108" i="3"/>
  <c r="AU126" i="3"/>
  <c r="AU127" i="3"/>
  <c r="AU120" i="3"/>
  <c r="AU116" i="3"/>
  <c r="AU112" i="3"/>
  <c r="AU106" i="3"/>
  <c r="AU124" i="3"/>
  <c r="AU121" i="3"/>
  <c r="AU105" i="3"/>
  <c r="AU94" i="3"/>
  <c r="AU86" i="3"/>
  <c r="AU115" i="3"/>
  <c r="AU107" i="3"/>
  <c r="AU104" i="3"/>
  <c r="AU103" i="3"/>
  <c r="AU102" i="3"/>
  <c r="AU101" i="3"/>
  <c r="AU100" i="3"/>
  <c r="AU99" i="3"/>
  <c r="AU91" i="3"/>
  <c r="AU84" i="3"/>
  <c r="AU83" i="3"/>
  <c r="AU82" i="3"/>
  <c r="AU81" i="3"/>
  <c r="AU80" i="3"/>
  <c r="AU79" i="3"/>
  <c r="AU78" i="3"/>
  <c r="AU77" i="3"/>
  <c r="AU76" i="3"/>
  <c r="AU75" i="3"/>
  <c r="AU74" i="3"/>
  <c r="AU73" i="3"/>
  <c r="AU72" i="3"/>
  <c r="AU71" i="3"/>
  <c r="AU70" i="3"/>
  <c r="AU69" i="3"/>
  <c r="AU68" i="3"/>
  <c r="AU67" i="3"/>
  <c r="AU66" i="3"/>
  <c r="AU65" i="3"/>
  <c r="AU64" i="3"/>
  <c r="AU63" i="3"/>
  <c r="AU62" i="3"/>
  <c r="AU61" i="3"/>
  <c r="AU60" i="3"/>
  <c r="AU59" i="3"/>
  <c r="AU58" i="3"/>
  <c r="AU109" i="3"/>
  <c r="AU96" i="3"/>
  <c r="AU88" i="3"/>
  <c r="AU119" i="3"/>
  <c r="AU93" i="3"/>
  <c r="AU85" i="3"/>
  <c r="AU113" i="3"/>
  <c r="AU98" i="3"/>
  <c r="AU90" i="3"/>
  <c r="AU123" i="3"/>
  <c r="AU95" i="3"/>
  <c r="AU87" i="3"/>
  <c r="AU92" i="3"/>
  <c r="AU89" i="3"/>
  <c r="AU111" i="3"/>
  <c r="AU57" i="3"/>
  <c r="AU56" i="3"/>
  <c r="AU55" i="3"/>
  <c r="AU54" i="3"/>
  <c r="AU53" i="3"/>
  <c r="AU52" i="3"/>
  <c r="AU51" i="3"/>
  <c r="AU50" i="3"/>
  <c r="AU49" i="3"/>
  <c r="AU48" i="3"/>
  <c r="AU47" i="3"/>
  <c r="AU46" i="3"/>
  <c r="AU117" i="3"/>
  <c r="AU43" i="3"/>
  <c r="AU45" i="3"/>
  <c r="Z6" i="3"/>
  <c r="CR6" i="3"/>
  <c r="AE7" i="3"/>
  <c r="O10" i="3"/>
  <c r="W10" i="3"/>
  <c r="CR10" i="3"/>
  <c r="CS11" i="3"/>
  <c r="CS12" i="3"/>
  <c r="AF20" i="3"/>
  <c r="AU20" i="3"/>
  <c r="AU21" i="3"/>
  <c r="AU22" i="3"/>
  <c r="AU23" i="3"/>
  <c r="AW24" i="3"/>
  <c r="AT25" i="3"/>
  <c r="AY26" i="3"/>
  <c r="AV27" i="3"/>
  <c r="BE27" i="3"/>
  <c r="AS28" i="3"/>
  <c r="AX29" i="3"/>
  <c r="AU30" i="3"/>
  <c r="BA31" i="3"/>
  <c r="AW32" i="3"/>
  <c r="AT33" i="3"/>
  <c r="AY34" i="3"/>
  <c r="AV35" i="3"/>
  <c r="BE35" i="3"/>
  <c r="AS36" i="3"/>
  <c r="AX37" i="3"/>
  <c r="AU38" i="3"/>
  <c r="AM39" i="3"/>
  <c r="AT39" i="3"/>
  <c r="BE39" i="3"/>
  <c r="AS42" i="3"/>
  <c r="AW51" i="3"/>
  <c r="AW58" i="3"/>
  <c r="BE72" i="3"/>
  <c r="AW81" i="3"/>
  <c r="BE20" i="3"/>
  <c r="AW21" i="3"/>
  <c r="BE21" i="3"/>
  <c r="AM51" i="3"/>
  <c r="Z5" i="3"/>
  <c r="AN15" i="3" a="1"/>
  <c r="AN15" i="3" s="1"/>
  <c r="AN20" i="3" s="1"/>
  <c r="BE28" i="3"/>
  <c r="AW39" i="3"/>
  <c r="AM40" i="3"/>
  <c r="AA2" i="3"/>
  <c r="AA11" i="3" s="1"/>
  <c r="CR14" i="3" s="1"/>
  <c r="Z3" i="3"/>
  <c r="CR3" i="3"/>
  <c r="AE4" i="3"/>
  <c r="CP5" i="3"/>
  <c r="AV190" i="3"/>
  <c r="AV188" i="3"/>
  <c r="AV183" i="3"/>
  <c r="AV175" i="3"/>
  <c r="AV182" i="3"/>
  <c r="AV186" i="3"/>
  <c r="AV181" i="3"/>
  <c r="AV177" i="3"/>
  <c r="AV191" i="3"/>
  <c r="AV189" i="3"/>
  <c r="AV180" i="3"/>
  <c r="AV187" i="3"/>
  <c r="AV170" i="3"/>
  <c r="AV185" i="3"/>
  <c r="AV173" i="3"/>
  <c r="AV167" i="3"/>
  <c r="AV172" i="3"/>
  <c r="AV178" i="3"/>
  <c r="AV176" i="3"/>
  <c r="AV184" i="3"/>
  <c r="AV163" i="3"/>
  <c r="AV164" i="3"/>
  <c r="AV160" i="3"/>
  <c r="AV179" i="3"/>
  <c r="AV166" i="3"/>
  <c r="AV159" i="3"/>
  <c r="AV158" i="3"/>
  <c r="AV157" i="3"/>
  <c r="AV156" i="3"/>
  <c r="AV155" i="3"/>
  <c r="AV154" i="3"/>
  <c r="AV153" i="3"/>
  <c r="AV152" i="3"/>
  <c r="AV161" i="3"/>
  <c r="AV151" i="3"/>
  <c r="AV150" i="3"/>
  <c r="AV165" i="3"/>
  <c r="AV171" i="3"/>
  <c r="AV168" i="3"/>
  <c r="AV149" i="3"/>
  <c r="AV146" i="3"/>
  <c r="AV142" i="3"/>
  <c r="AV139" i="3"/>
  <c r="AV169" i="3"/>
  <c r="AV162" i="3"/>
  <c r="AV144" i="3"/>
  <c r="AV140" i="3"/>
  <c r="AV137" i="3"/>
  <c r="AV133" i="3"/>
  <c r="AV148" i="3"/>
  <c r="AV145" i="3"/>
  <c r="AV138" i="3"/>
  <c r="AV134" i="3"/>
  <c r="AV130" i="3"/>
  <c r="AV143" i="3"/>
  <c r="AV136" i="3"/>
  <c r="AV132" i="3"/>
  <c r="AV174" i="3"/>
  <c r="AV147" i="3"/>
  <c r="AV131" i="3"/>
  <c r="AV128" i="3"/>
  <c r="AV122" i="3"/>
  <c r="AV118" i="3"/>
  <c r="AV114" i="3"/>
  <c r="AV110" i="3"/>
  <c r="AV108" i="3"/>
  <c r="AV126" i="3"/>
  <c r="AV129" i="3"/>
  <c r="AV121" i="3"/>
  <c r="AV117" i="3"/>
  <c r="AV113" i="3"/>
  <c r="AV109" i="3"/>
  <c r="AV105" i="3"/>
  <c r="AV104" i="3"/>
  <c r="AV103" i="3"/>
  <c r="AV102" i="3"/>
  <c r="AV101" i="3"/>
  <c r="AV100" i="3"/>
  <c r="AV99" i="3"/>
  <c r="AV120" i="3"/>
  <c r="AV116" i="3"/>
  <c r="AV112" i="3"/>
  <c r="AV124" i="3"/>
  <c r="AV115" i="3"/>
  <c r="AV107" i="3"/>
  <c r="AV91" i="3"/>
  <c r="AV84" i="3"/>
  <c r="AV83" i="3"/>
  <c r="AV82" i="3"/>
  <c r="AV81" i="3"/>
  <c r="AV141" i="3"/>
  <c r="AV106" i="3"/>
  <c r="AV96" i="3"/>
  <c r="AV88" i="3"/>
  <c r="AV119" i="3"/>
  <c r="AV93" i="3"/>
  <c r="AV85" i="3"/>
  <c r="AV127" i="3"/>
  <c r="AV98" i="3"/>
  <c r="AV90" i="3"/>
  <c r="AV125" i="3"/>
  <c r="AV123" i="3"/>
  <c r="AV95" i="3"/>
  <c r="AV87" i="3"/>
  <c r="AV92" i="3"/>
  <c r="AV111" i="3"/>
  <c r="AV86" i="3"/>
  <c r="AV76" i="3"/>
  <c r="AV69" i="3"/>
  <c r="AV62" i="3"/>
  <c r="AV57" i="3"/>
  <c r="AV56" i="3"/>
  <c r="AV55" i="3"/>
  <c r="AV54" i="3"/>
  <c r="AV79" i="3"/>
  <c r="AV70" i="3"/>
  <c r="AV59" i="3"/>
  <c r="AV74" i="3"/>
  <c r="AV135" i="3"/>
  <c r="AV77" i="3"/>
  <c r="AV73" i="3"/>
  <c r="AV64" i="3"/>
  <c r="AV80" i="3"/>
  <c r="AV65" i="3"/>
  <c r="AV58" i="3"/>
  <c r="AV97" i="3"/>
  <c r="AV75" i="3"/>
  <c r="AV72" i="3"/>
  <c r="AV66" i="3"/>
  <c r="AV63" i="3"/>
  <c r="AV89" i="3"/>
  <c r="AV50" i="3"/>
  <c r="AV43" i="3"/>
  <c r="AV67" i="3"/>
  <c r="AV78" i="3"/>
  <c r="AV71" i="3"/>
  <c r="AV61" i="3"/>
  <c r="AV60" i="3"/>
  <c r="AV53" i="3"/>
  <c r="AV49" i="3"/>
  <c r="AV45" i="3"/>
  <c r="AV46" i="3"/>
  <c r="AV42" i="3"/>
  <c r="AV41" i="3"/>
  <c r="AV52" i="3"/>
  <c r="AV48" i="3"/>
  <c r="AA6" i="3"/>
  <c r="P10" i="3"/>
  <c r="X10" i="3"/>
  <c r="AK12" i="3"/>
  <c r="AK13" i="3" a="1"/>
  <c r="AK13" i="3" s="1"/>
  <c r="AV20" i="3"/>
  <c r="AV21" i="3"/>
  <c r="AV22" i="3"/>
  <c r="AV23" i="3"/>
  <c r="AX24" i="3"/>
  <c r="AU25" i="3"/>
  <c r="BA26" i="3"/>
  <c r="AW27" i="3"/>
  <c r="AT28" i="3"/>
  <c r="AY29" i="3"/>
  <c r="AV30" i="3"/>
  <c r="BE30" i="3"/>
  <c r="AS31" i="3"/>
  <c r="AX32" i="3"/>
  <c r="AU33" i="3"/>
  <c r="BA34" i="3"/>
  <c r="AW35" i="3"/>
  <c r="AT36" i="3"/>
  <c r="AY37" i="3"/>
  <c r="AV38" i="3"/>
  <c r="BE38" i="3"/>
  <c r="AU39" i="3"/>
  <c r="AT42" i="3"/>
  <c r="BE54" i="3"/>
  <c r="AM57" i="3"/>
  <c r="BA58" i="3"/>
  <c r="BA64" i="3"/>
  <c r="BE66" i="3"/>
  <c r="BE80" i="3"/>
  <c r="AM107" i="3"/>
  <c r="AM63" i="3"/>
  <c r="AM92" i="3"/>
  <c r="AM95" i="3"/>
  <c r="AF60" i="3"/>
  <c r="AM76" i="3"/>
  <c r="AM65" i="3"/>
  <c r="AF47" i="3"/>
  <c r="AM61" i="3"/>
  <c r="AM78" i="3"/>
  <c r="AK86" i="3"/>
  <c r="AM115" i="3"/>
  <c r="AF63" i="3"/>
  <c r="AF61" i="3"/>
  <c r="AM90" i="3"/>
  <c r="AM121" i="3"/>
  <c r="AM128" i="3"/>
  <c r="AM111" i="3"/>
  <c r="AM133" i="3"/>
  <c r="AM117" i="3"/>
  <c r="AK122" i="3"/>
  <c r="AM123" i="3"/>
  <c r="AM105" i="3"/>
  <c r="AM106" i="3"/>
  <c r="AM125" i="3"/>
  <c r="AM119" i="3"/>
  <c r="AM127" i="3"/>
  <c r="AM135" i="3"/>
  <c r="AK128" i="3"/>
  <c r="AM129" i="3"/>
  <c r="AM137" i="3"/>
  <c r="AM144" i="3"/>
  <c r="AM147" i="3"/>
  <c r="AM143" i="3"/>
  <c r="AM149" i="3"/>
  <c r="AM175" i="3"/>
  <c r="AM152" i="3"/>
  <c r="AM173" i="3"/>
  <c r="AF135" i="3"/>
  <c r="AF139" i="3"/>
  <c r="AM150" i="3"/>
  <c r="AM156" i="3"/>
  <c r="AK151" i="3"/>
  <c r="AM154" i="3"/>
  <c r="AM174" i="3"/>
  <c r="AM155" i="3"/>
  <c r="AM157" i="3"/>
  <c r="AM176" i="3"/>
  <c r="AM159" i="3"/>
  <c r="AM161" i="3"/>
  <c r="AM165" i="3"/>
  <c r="AF163" i="3"/>
  <c r="AM190" i="3"/>
  <c r="AF162" i="3"/>
  <c r="AK185" i="3"/>
  <c r="AM169" i="3"/>
  <c r="AM177" i="3"/>
  <c r="AM187" i="3"/>
  <c r="AM188" i="3"/>
  <c r="AF181" i="3"/>
  <c r="AF182" i="3"/>
  <c r="AF184" i="3"/>
  <c r="AM191" i="3"/>
  <c r="BJ527" i="2"/>
  <c r="BJ519" i="2"/>
  <c r="BJ533" i="2"/>
  <c r="BJ526" i="2"/>
  <c r="BJ518" i="2"/>
  <c r="BJ523" i="2"/>
  <c r="BJ515" i="2"/>
  <c r="BJ531" i="2"/>
  <c r="BJ530" i="2"/>
  <c r="BJ522" i="2"/>
  <c r="BJ508" i="2"/>
  <c r="BJ520" i="2"/>
  <c r="BJ528" i="2"/>
  <c r="BJ525" i="2"/>
  <c r="BJ521" i="2"/>
  <c r="BJ514" i="2"/>
  <c r="BJ506" i="2"/>
  <c r="BJ513" i="2"/>
  <c r="BJ532" i="2"/>
  <c r="BJ512" i="2"/>
  <c r="BJ517" i="2"/>
  <c r="BJ510" i="2"/>
  <c r="BJ505" i="2"/>
  <c r="BJ504" i="2"/>
  <c r="BJ502" i="2"/>
  <c r="BJ494" i="2"/>
  <c r="BJ511" i="2"/>
  <c r="BJ501" i="2"/>
  <c r="BJ493" i="2"/>
  <c r="BJ524" i="2"/>
  <c r="BJ499" i="2"/>
  <c r="BJ498" i="2"/>
  <c r="BJ503" i="2"/>
  <c r="BJ488" i="2"/>
  <c r="BJ495" i="2"/>
  <c r="BJ487" i="2"/>
  <c r="BJ516" i="2"/>
  <c r="BJ497" i="2"/>
  <c r="BJ496" i="2"/>
  <c r="BJ486" i="2"/>
  <c r="BJ500" i="2"/>
  <c r="BJ492" i="2"/>
  <c r="BJ529" i="2"/>
  <c r="BJ509" i="2"/>
  <c r="BJ491" i="2"/>
  <c r="BJ484" i="2"/>
  <c r="BJ490" i="2"/>
  <c r="BJ475" i="2"/>
  <c r="BJ482" i="2"/>
  <c r="BJ474" i="2"/>
  <c r="BJ485" i="2"/>
  <c r="BJ489" i="2"/>
  <c r="BJ480" i="2"/>
  <c r="BJ507" i="2"/>
  <c r="BJ479" i="2"/>
  <c r="BJ481" i="2"/>
  <c r="BJ473" i="2"/>
  <c r="BJ467" i="2"/>
  <c r="BJ466" i="2"/>
  <c r="BJ465" i="2"/>
  <c r="BJ472" i="2"/>
  <c r="BJ464" i="2"/>
  <c r="BJ471" i="2"/>
  <c r="BJ463" i="2"/>
  <c r="BJ476" i="2"/>
  <c r="BJ470" i="2"/>
  <c r="BJ478" i="2"/>
  <c r="BJ477" i="2"/>
  <c r="BJ469" i="2"/>
  <c r="BJ461" i="2"/>
  <c r="BJ483" i="2"/>
  <c r="BJ459" i="2"/>
  <c r="BJ457" i="2"/>
  <c r="BJ449" i="2"/>
  <c r="BJ441" i="2"/>
  <c r="BJ433" i="2"/>
  <c r="BJ456" i="2"/>
  <c r="BJ448" i="2"/>
  <c r="BJ440" i="2"/>
  <c r="BJ432" i="2"/>
  <c r="BJ455" i="2"/>
  <c r="BJ447" i="2"/>
  <c r="BJ439" i="2"/>
  <c r="BJ431" i="2"/>
  <c r="BJ454" i="2"/>
  <c r="BJ453" i="2"/>
  <c r="BJ445" i="2"/>
  <c r="BJ437" i="2"/>
  <c r="BJ460" i="2"/>
  <c r="BJ452" i="2"/>
  <c r="BJ444" i="2"/>
  <c r="BJ436" i="2"/>
  <c r="BJ435" i="2"/>
  <c r="BJ424" i="2"/>
  <c r="BJ416" i="2"/>
  <c r="BJ462" i="2"/>
  <c r="BJ428" i="2"/>
  <c r="BJ426" i="2"/>
  <c r="BJ423" i="2"/>
  <c r="BJ415" i="2"/>
  <c r="BJ458" i="2"/>
  <c r="BJ446" i="2"/>
  <c r="BJ443" i="2"/>
  <c r="BJ434" i="2"/>
  <c r="BJ430" i="2"/>
  <c r="BJ421" i="2"/>
  <c r="BJ413" i="2"/>
  <c r="BJ468" i="2"/>
  <c r="BJ429" i="2"/>
  <c r="BJ420" i="2"/>
  <c r="BJ412" i="2"/>
  <c r="BJ450" i="2"/>
  <c r="BJ442" i="2"/>
  <c r="BJ427" i="2"/>
  <c r="BJ451" i="2"/>
  <c r="BJ425" i="2"/>
  <c r="BJ405" i="2"/>
  <c r="BJ438" i="2"/>
  <c r="BJ417" i="2"/>
  <c r="BJ422" i="2"/>
  <c r="BJ409" i="2"/>
  <c r="BJ404" i="2"/>
  <c r="BJ400" i="2"/>
  <c r="BJ407" i="2"/>
  <c r="BJ406" i="2"/>
  <c r="BJ403" i="2"/>
  <c r="BJ397" i="2"/>
  <c r="BJ389" i="2"/>
  <c r="BJ419" i="2"/>
  <c r="BJ414" i="2"/>
  <c r="BJ411" i="2"/>
  <c r="BJ408" i="2"/>
  <c r="BJ402" i="2"/>
  <c r="BJ394" i="2"/>
  <c r="BJ386" i="2"/>
  <c r="BJ399" i="2"/>
  <c r="BJ418" i="2"/>
  <c r="BJ396" i="2"/>
  <c r="BJ388" i="2"/>
  <c r="BJ401" i="2"/>
  <c r="BJ393" i="2"/>
  <c r="BJ384" i="2"/>
  <c r="BJ376" i="2"/>
  <c r="BJ370" i="2"/>
  <c r="BJ379" i="2"/>
  <c r="BJ398" i="2"/>
  <c r="BJ395" i="2"/>
  <c r="BJ391" i="2"/>
  <c r="BJ390" i="2"/>
  <c r="BJ387" i="2"/>
  <c r="BJ382" i="2"/>
  <c r="BJ374" i="2"/>
  <c r="BJ371" i="2"/>
  <c r="BJ392" i="2"/>
  <c r="BJ377" i="2"/>
  <c r="BJ385" i="2"/>
  <c r="BJ380" i="2"/>
  <c r="BJ372" i="2"/>
  <c r="BJ383" i="2"/>
  <c r="BJ375" i="2"/>
  <c r="BJ378" i="2"/>
  <c r="BJ368" i="2"/>
  <c r="BJ367" i="2"/>
  <c r="BJ366" i="2"/>
  <c r="BJ365" i="2"/>
  <c r="BJ364" i="2"/>
  <c r="BJ363" i="2"/>
  <c r="BJ362" i="2"/>
  <c r="BJ361" i="2"/>
  <c r="BJ360" i="2"/>
  <c r="BJ359" i="2"/>
  <c r="BJ358" i="2"/>
  <c r="BJ357" i="2"/>
  <c r="BJ356" i="2"/>
  <c r="BJ355" i="2"/>
  <c r="BJ354" i="2"/>
  <c r="BJ353" i="2"/>
  <c r="BJ352" i="2"/>
  <c r="BJ351" i="2"/>
  <c r="BJ350" i="2"/>
  <c r="BJ349" i="2"/>
  <c r="BJ348" i="2"/>
  <c r="BJ381" i="2"/>
  <c r="BJ373" i="2"/>
  <c r="BJ410" i="2"/>
  <c r="BJ343" i="2"/>
  <c r="BJ345" i="2"/>
  <c r="BJ344" i="2"/>
  <c r="BJ341" i="2"/>
  <c r="BJ340" i="2"/>
  <c r="BJ339" i="2"/>
  <c r="BJ338" i="2"/>
  <c r="BJ337" i="2"/>
  <c r="BJ336" i="2"/>
  <c r="BJ335" i="2"/>
  <c r="BJ334" i="2"/>
  <c r="BJ333" i="2"/>
  <c r="BJ332" i="2"/>
  <c r="BJ331" i="2"/>
  <c r="BJ330" i="2"/>
  <c r="BJ329" i="2"/>
  <c r="BJ328" i="2"/>
  <c r="BJ327" i="2"/>
  <c r="BJ346" i="2"/>
  <c r="BJ347" i="2"/>
  <c r="BJ325" i="2"/>
  <c r="BJ315" i="2"/>
  <c r="BJ307" i="2"/>
  <c r="BJ299" i="2"/>
  <c r="BJ288" i="2"/>
  <c r="BJ320" i="2"/>
  <c r="BJ314" i="2"/>
  <c r="BJ306" i="2"/>
  <c r="BJ298" i="2"/>
  <c r="BJ293" i="2"/>
  <c r="BJ285" i="2"/>
  <c r="BJ369" i="2"/>
  <c r="BJ323" i="2"/>
  <c r="BJ313" i="2"/>
  <c r="BJ305" i="2"/>
  <c r="BJ297" i="2"/>
  <c r="BJ290" i="2"/>
  <c r="BJ326" i="2"/>
  <c r="BJ312" i="2"/>
  <c r="BJ304" i="2"/>
  <c r="BJ296" i="2"/>
  <c r="BJ287" i="2"/>
  <c r="BJ283" i="2"/>
  <c r="BJ282" i="2"/>
  <c r="BJ281" i="2"/>
  <c r="BJ280" i="2"/>
  <c r="BJ279" i="2"/>
  <c r="BJ278" i="2"/>
  <c r="BJ321" i="2"/>
  <c r="BJ311" i="2"/>
  <c r="BJ303" i="2"/>
  <c r="BJ295" i="2"/>
  <c r="BJ292" i="2"/>
  <c r="BJ284" i="2"/>
  <c r="BJ324" i="2"/>
  <c r="BJ318" i="2"/>
  <c r="BJ310" i="2"/>
  <c r="BJ302" i="2"/>
  <c r="BJ294" i="2"/>
  <c r="BJ289" i="2"/>
  <c r="BJ319" i="2"/>
  <c r="BJ317" i="2"/>
  <c r="BJ309" i="2"/>
  <c r="BJ301" i="2"/>
  <c r="BJ286" i="2"/>
  <c r="BJ277" i="2"/>
  <c r="BJ274" i="2"/>
  <c r="BJ270" i="2"/>
  <c r="BJ269" i="2"/>
  <c r="BJ268" i="2"/>
  <c r="BJ267" i="2"/>
  <c r="BJ266" i="2"/>
  <c r="BJ265" i="2"/>
  <c r="BJ264" i="2"/>
  <c r="BJ263" i="2"/>
  <c r="BJ262" i="2"/>
  <c r="BJ261" i="2"/>
  <c r="BJ260" i="2"/>
  <c r="BJ259" i="2"/>
  <c r="BJ258" i="2"/>
  <c r="BJ257" i="2"/>
  <c r="BJ256" i="2"/>
  <c r="BJ255" i="2"/>
  <c r="BJ254" i="2"/>
  <c r="BJ253" i="2"/>
  <c r="BJ252" i="2"/>
  <c r="BJ251" i="2"/>
  <c r="BJ250" i="2"/>
  <c r="BJ249" i="2"/>
  <c r="BJ248" i="2"/>
  <c r="BJ247" i="2"/>
  <c r="BJ271" i="2"/>
  <c r="BJ308" i="2"/>
  <c r="BJ276" i="2"/>
  <c r="BJ275" i="2"/>
  <c r="BJ342" i="2"/>
  <c r="BJ322" i="2"/>
  <c r="BJ273" i="2"/>
  <c r="BJ291" i="2"/>
  <c r="BJ246" i="2"/>
  <c r="BJ245" i="2"/>
  <c r="BJ242" i="2"/>
  <c r="BJ240" i="2"/>
  <c r="BJ272" i="2"/>
  <c r="BJ220" i="2"/>
  <c r="BJ219" i="2"/>
  <c r="BJ218" i="2"/>
  <c r="BJ217" i="2"/>
  <c r="BJ216" i="2"/>
  <c r="BJ215" i="2"/>
  <c r="BJ214" i="2"/>
  <c r="BJ213" i="2"/>
  <c r="BJ212" i="2"/>
  <c r="BJ211" i="2"/>
  <c r="BJ210" i="2"/>
  <c r="BJ209" i="2"/>
  <c r="BJ208" i="2"/>
  <c r="BJ207" i="2"/>
  <c r="BJ206" i="2"/>
  <c r="BJ205" i="2"/>
  <c r="BJ204" i="2"/>
  <c r="BJ203" i="2"/>
  <c r="BJ202" i="2"/>
  <c r="BJ201" i="2"/>
  <c r="BJ200" i="2"/>
  <c r="BJ199" i="2"/>
  <c r="BJ198" i="2"/>
  <c r="BJ197" i="2"/>
  <c r="BJ196" i="2"/>
  <c r="BJ195" i="2"/>
  <c r="BJ194" i="2"/>
  <c r="BJ193" i="2"/>
  <c r="BJ192" i="2"/>
  <c r="BJ191" i="2"/>
  <c r="BJ190" i="2"/>
  <c r="BJ189" i="2"/>
  <c r="BJ188" i="2"/>
  <c r="BJ187" i="2"/>
  <c r="BJ186" i="2"/>
  <c r="BJ185" i="2"/>
  <c r="BJ184" i="2"/>
  <c r="BJ316" i="2"/>
  <c r="BJ244" i="2"/>
  <c r="BJ243" i="2"/>
  <c r="BJ241" i="2"/>
  <c r="BJ239" i="2"/>
  <c r="BJ238" i="2"/>
  <c r="BJ237" i="2"/>
  <c r="BJ236" i="2"/>
  <c r="BJ235" i="2"/>
  <c r="BJ234" i="2"/>
  <c r="BJ233" i="2"/>
  <c r="BJ232" i="2"/>
  <c r="BJ231" i="2"/>
  <c r="BJ230" i="2"/>
  <c r="BJ229" i="2"/>
  <c r="BJ228" i="2"/>
  <c r="BJ227" i="2"/>
  <c r="BJ226" i="2"/>
  <c r="BJ225" i="2"/>
  <c r="BJ224" i="2"/>
  <c r="BJ223" i="2"/>
  <c r="BJ222" i="2"/>
  <c r="BJ221" i="2"/>
  <c r="BJ300" i="2"/>
  <c r="BJ175" i="2"/>
  <c r="BJ183" i="2"/>
  <c r="BJ180" i="2"/>
  <c r="BJ182" i="2"/>
  <c r="BJ181" i="2"/>
  <c r="BJ178" i="2"/>
  <c r="BJ176" i="2"/>
  <c r="BJ174" i="2"/>
  <c r="BJ173" i="2"/>
  <c r="BJ172" i="2"/>
  <c r="BJ171" i="2"/>
  <c r="BJ170" i="2"/>
  <c r="BJ169" i="2"/>
  <c r="BJ168" i="2"/>
  <c r="BJ167" i="2"/>
  <c r="BJ166" i="2"/>
  <c r="BJ165" i="2"/>
  <c r="BJ164" i="2"/>
  <c r="BJ163" i="2"/>
  <c r="BJ162" i="2"/>
  <c r="BJ161" i="2"/>
  <c r="BJ160" i="2"/>
  <c r="BJ159" i="2"/>
  <c r="BJ158" i="2"/>
  <c r="BJ157" i="2"/>
  <c r="BJ156" i="2"/>
  <c r="BJ155" i="2"/>
  <c r="BJ154" i="2"/>
  <c r="BJ153" i="2"/>
  <c r="BJ152" i="2"/>
  <c r="BJ151" i="2"/>
  <c r="BJ150" i="2"/>
  <c r="BJ149" i="2"/>
  <c r="BJ148" i="2"/>
  <c r="BJ147" i="2"/>
  <c r="BJ146" i="2"/>
  <c r="BJ145" i="2"/>
  <c r="BJ144" i="2"/>
  <c r="BJ143" i="2"/>
  <c r="BJ142" i="2"/>
  <c r="BJ141" i="2"/>
  <c r="BJ140" i="2"/>
  <c r="BJ139" i="2"/>
  <c r="BJ138" i="2"/>
  <c r="BJ137" i="2"/>
  <c r="BJ136" i="2"/>
  <c r="BJ135" i="2"/>
  <c r="BJ134" i="2"/>
  <c r="BJ133" i="2"/>
  <c r="BJ177" i="2"/>
  <c r="BJ179" i="2"/>
  <c r="BJ132" i="2"/>
  <c r="BJ128" i="2"/>
  <c r="BJ124" i="2"/>
  <c r="BJ123" i="2"/>
  <c r="BJ129" i="2"/>
  <c r="BJ125" i="2"/>
  <c r="BJ121" i="2"/>
  <c r="BJ120" i="2"/>
  <c r="BJ119" i="2"/>
  <c r="BJ118" i="2"/>
  <c r="BJ117" i="2"/>
  <c r="BJ116" i="2"/>
  <c r="BJ115" i="2"/>
  <c r="BJ114" i="2"/>
  <c r="BJ113" i="2"/>
  <c r="BJ112" i="2"/>
  <c r="BJ111" i="2"/>
  <c r="BJ110" i="2"/>
  <c r="BJ109" i="2"/>
  <c r="BJ108" i="2"/>
  <c r="BJ107" i="2"/>
  <c r="BJ106" i="2"/>
  <c r="BJ105" i="2"/>
  <c r="BJ104" i="2"/>
  <c r="BJ103" i="2"/>
  <c r="BJ102" i="2"/>
  <c r="BJ101" i="2"/>
  <c r="BJ100" i="2"/>
  <c r="BJ99" i="2"/>
  <c r="BJ98" i="2"/>
  <c r="BJ97" i="2"/>
  <c r="BJ96" i="2"/>
  <c r="BJ95" i="2"/>
  <c r="BJ94" i="2"/>
  <c r="BJ93" i="2"/>
  <c r="BJ92" i="2"/>
  <c r="BJ91" i="2"/>
  <c r="BJ90" i="2"/>
  <c r="BJ89" i="2"/>
  <c r="BJ88" i="2"/>
  <c r="BJ87" i="2"/>
  <c r="BJ86" i="2"/>
  <c r="BJ85" i="2"/>
  <c r="BJ84" i="2"/>
  <c r="BJ83" i="2"/>
  <c r="BJ82" i="2"/>
  <c r="BJ81" i="2"/>
  <c r="BJ122" i="2"/>
  <c r="BJ130" i="2"/>
  <c r="BJ126" i="2"/>
  <c r="BJ131" i="2"/>
  <c r="R15" i="2"/>
  <c r="BJ80" i="2"/>
  <c r="BJ76" i="2"/>
  <c r="BJ72" i="2"/>
  <c r="BJ68" i="2"/>
  <c r="BJ62" i="2"/>
  <c r="BJ73" i="2"/>
  <c r="BJ53" i="2"/>
  <c r="BJ52" i="2"/>
  <c r="BJ46" i="2"/>
  <c r="BJ45" i="2"/>
  <c r="BJ43" i="2"/>
  <c r="BJ42" i="2"/>
  <c r="BJ40" i="2"/>
  <c r="BJ35" i="2"/>
  <c r="BJ30" i="2"/>
  <c r="BJ24" i="2"/>
  <c r="BJ63" i="2"/>
  <c r="BJ61" i="2"/>
  <c r="BJ55" i="2"/>
  <c r="BJ48" i="2"/>
  <c r="BJ28" i="2"/>
  <c r="BJ27" i="2"/>
  <c r="BJ25" i="2"/>
  <c r="BJ79" i="2"/>
  <c r="BJ75" i="2"/>
  <c r="BJ71" i="2"/>
  <c r="BJ67" i="2"/>
  <c r="BJ64" i="2"/>
  <c r="R16" i="2"/>
  <c r="BJ77" i="2"/>
  <c r="BJ60" i="2"/>
  <c r="BJ57" i="2"/>
  <c r="BJ49" i="2"/>
  <c r="BJ47" i="2"/>
  <c r="BJ37" i="2"/>
  <c r="BJ36" i="2"/>
  <c r="BJ34" i="2"/>
  <c r="BJ33" i="2"/>
  <c r="BJ26" i="2"/>
  <c r="BJ65" i="2"/>
  <c r="BJ59" i="2"/>
  <c r="BJ54" i="2"/>
  <c r="BJ50" i="2"/>
  <c r="BJ39" i="2"/>
  <c r="BJ127" i="2"/>
  <c r="BJ78" i="2"/>
  <c r="BJ74" i="2"/>
  <c r="BJ70" i="2"/>
  <c r="BJ66" i="2"/>
  <c r="BJ56" i="2"/>
  <c r="BJ41" i="2"/>
  <c r="BJ31" i="2"/>
  <c r="BJ69" i="2"/>
  <c r="BJ58" i="2"/>
  <c r="BJ51" i="2"/>
  <c r="BJ44" i="2"/>
  <c r="BJ38" i="2"/>
  <c r="BJ32" i="2"/>
  <c r="BJ29" i="2"/>
  <c r="BJ23" i="2"/>
  <c r="BJ21" i="2"/>
  <c r="BJ20" i="2"/>
  <c r="BJ22" i="2"/>
  <c r="AX531" i="2"/>
  <c r="AX530" i="2"/>
  <c r="AX522" i="2"/>
  <c r="AX529" i="2"/>
  <c r="AX521" i="2"/>
  <c r="AX527" i="2"/>
  <c r="AX533" i="2"/>
  <c r="AX526" i="2"/>
  <c r="AX518" i="2"/>
  <c r="AX525" i="2"/>
  <c r="AX517" i="2"/>
  <c r="AX532" i="2"/>
  <c r="AX511" i="2"/>
  <c r="AX524" i="2"/>
  <c r="AX523" i="2"/>
  <c r="AX516" i="2"/>
  <c r="AX509" i="2"/>
  <c r="AX508" i="2"/>
  <c r="AX515" i="2"/>
  <c r="AX507" i="2"/>
  <c r="AX528" i="2"/>
  <c r="AX520" i="2"/>
  <c r="AX519" i="2"/>
  <c r="AX513" i="2"/>
  <c r="AX505" i="2"/>
  <c r="AX497" i="2"/>
  <c r="AX510" i="2"/>
  <c r="AX496" i="2"/>
  <c r="AX502" i="2"/>
  <c r="AX494" i="2"/>
  <c r="AX514" i="2"/>
  <c r="AX506" i="2"/>
  <c r="AX501" i="2"/>
  <c r="AX491" i="2"/>
  <c r="AX483" i="2"/>
  <c r="AX512" i="2"/>
  <c r="AX500" i="2"/>
  <c r="AX499" i="2"/>
  <c r="AX498" i="2"/>
  <c r="AX490" i="2"/>
  <c r="AX489" i="2"/>
  <c r="AX487" i="2"/>
  <c r="AX503" i="2"/>
  <c r="AX486" i="2"/>
  <c r="AX492" i="2"/>
  <c r="AX484" i="2"/>
  <c r="AX478" i="2"/>
  <c r="AX488" i="2"/>
  <c r="AX477" i="2"/>
  <c r="AX485" i="2"/>
  <c r="AX475" i="2"/>
  <c r="AX495" i="2"/>
  <c r="AX493" i="2"/>
  <c r="AX482" i="2"/>
  <c r="AX474" i="2"/>
  <c r="AX470" i="2"/>
  <c r="AX462" i="2"/>
  <c r="AX504" i="2"/>
  <c r="AX469" i="2"/>
  <c r="AX461" i="2"/>
  <c r="AX476" i="2"/>
  <c r="AX468" i="2"/>
  <c r="AX467" i="2"/>
  <c r="AX459" i="2"/>
  <c r="AX466" i="2"/>
  <c r="AX481" i="2"/>
  <c r="AX480" i="2"/>
  <c r="AX479" i="2"/>
  <c r="AX473" i="2"/>
  <c r="AX465" i="2"/>
  <c r="AX472" i="2"/>
  <c r="AX464" i="2"/>
  <c r="AX452" i="2"/>
  <c r="AX444" i="2"/>
  <c r="AX436" i="2"/>
  <c r="AX428" i="2"/>
  <c r="AX471" i="2"/>
  <c r="AX451" i="2"/>
  <c r="AX443" i="2"/>
  <c r="AX435" i="2"/>
  <c r="AX458" i="2"/>
  <c r="AX450" i="2"/>
  <c r="AX442" i="2"/>
  <c r="AX434" i="2"/>
  <c r="AX463" i="2"/>
  <c r="AX457" i="2"/>
  <c r="AX456" i="2"/>
  <c r="AX448" i="2"/>
  <c r="AX440" i="2"/>
  <c r="AX432" i="2"/>
  <c r="AX455" i="2"/>
  <c r="AX447" i="2"/>
  <c r="AX439" i="2"/>
  <c r="AX431" i="2"/>
  <c r="AX449" i="2"/>
  <c r="AX430" i="2"/>
  <c r="AX419" i="2"/>
  <c r="AX411" i="2"/>
  <c r="AX460" i="2"/>
  <c r="AX433" i="2"/>
  <c r="AX418" i="2"/>
  <c r="AX445" i="2"/>
  <c r="AX438" i="2"/>
  <c r="AX424" i="2"/>
  <c r="AX416" i="2"/>
  <c r="AX454" i="2"/>
  <c r="AX453" i="2"/>
  <c r="AX441" i="2"/>
  <c r="AX423" i="2"/>
  <c r="AX415" i="2"/>
  <c r="AX425" i="2"/>
  <c r="AX429" i="2"/>
  <c r="AX417" i="2"/>
  <c r="AX426" i="2"/>
  <c r="AX422" i="2"/>
  <c r="AX421" i="2"/>
  <c r="AX420" i="2"/>
  <c r="AX414" i="2"/>
  <c r="AX413" i="2"/>
  <c r="AX405" i="2"/>
  <c r="AX427" i="2"/>
  <c r="AX409" i="2"/>
  <c r="AX407" i="2"/>
  <c r="AX446" i="2"/>
  <c r="AX400" i="2"/>
  <c r="AX397" i="2"/>
  <c r="AX389" i="2"/>
  <c r="AX385" i="2"/>
  <c r="AX437" i="2"/>
  <c r="AX402" i="2"/>
  <c r="AX394" i="2"/>
  <c r="AX386" i="2"/>
  <c r="AX399" i="2"/>
  <c r="AX412" i="2"/>
  <c r="AX410" i="2"/>
  <c r="AX396" i="2"/>
  <c r="AX388" i="2"/>
  <c r="AX401" i="2"/>
  <c r="AX393" i="2"/>
  <c r="AX406" i="2"/>
  <c r="AX377" i="2"/>
  <c r="AX370" i="2"/>
  <c r="AX380" i="2"/>
  <c r="AX372" i="2"/>
  <c r="AX371" i="2"/>
  <c r="AX367" i="2"/>
  <c r="AX366" i="2"/>
  <c r="AX365" i="2"/>
  <c r="AX364" i="2"/>
  <c r="AX363" i="2"/>
  <c r="AX404" i="2"/>
  <c r="AX383" i="2"/>
  <c r="AX375" i="2"/>
  <c r="AX378" i="2"/>
  <c r="AX408" i="2"/>
  <c r="AX381" i="2"/>
  <c r="AX373" i="2"/>
  <c r="AX403" i="2"/>
  <c r="AX384" i="2"/>
  <c r="AX376" i="2"/>
  <c r="AX398" i="2"/>
  <c r="AX395" i="2"/>
  <c r="AX391" i="2"/>
  <c r="AX390" i="2"/>
  <c r="AX387" i="2"/>
  <c r="AX379" i="2"/>
  <c r="AX368" i="2"/>
  <c r="AX369" i="2"/>
  <c r="AX362" i="2"/>
  <c r="AX361" i="2"/>
  <c r="AX353" i="2"/>
  <c r="AX358" i="2"/>
  <c r="AX350" i="2"/>
  <c r="AX342" i="2"/>
  <c r="AX392" i="2"/>
  <c r="AX382" i="2"/>
  <c r="AX374" i="2"/>
  <c r="AX355" i="2"/>
  <c r="AX360" i="2"/>
  <c r="AX352" i="2"/>
  <c r="AX345" i="2"/>
  <c r="AX357" i="2"/>
  <c r="AX349" i="2"/>
  <c r="AX346" i="2"/>
  <c r="AX344" i="2"/>
  <c r="AX354" i="2"/>
  <c r="AX347" i="2"/>
  <c r="AX343" i="2"/>
  <c r="AX359" i="2"/>
  <c r="AX351" i="2"/>
  <c r="AX334" i="2"/>
  <c r="AX326" i="2"/>
  <c r="AX313" i="2"/>
  <c r="AX305" i="2"/>
  <c r="AX297" i="2"/>
  <c r="AX291" i="2"/>
  <c r="AX341" i="2"/>
  <c r="AX333" i="2"/>
  <c r="AX321" i="2"/>
  <c r="AX312" i="2"/>
  <c r="AX304" i="2"/>
  <c r="AX296" i="2"/>
  <c r="AX288" i="2"/>
  <c r="AX348" i="2"/>
  <c r="AX340" i="2"/>
  <c r="AX332" i="2"/>
  <c r="AX324" i="2"/>
  <c r="AX311" i="2"/>
  <c r="AX303" i="2"/>
  <c r="AX295" i="2"/>
  <c r="AX293" i="2"/>
  <c r="AX285" i="2"/>
  <c r="AX339" i="2"/>
  <c r="AX331" i="2"/>
  <c r="AX328" i="2"/>
  <c r="AX319" i="2"/>
  <c r="AX318" i="2"/>
  <c r="AX310" i="2"/>
  <c r="AX302" i="2"/>
  <c r="AX294" i="2"/>
  <c r="AX290" i="2"/>
  <c r="AX356" i="2"/>
  <c r="AX338" i="2"/>
  <c r="AX329" i="2"/>
  <c r="AX327" i="2"/>
  <c r="AX322" i="2"/>
  <c r="AX317" i="2"/>
  <c r="AX309" i="2"/>
  <c r="AX301" i="2"/>
  <c r="AX287" i="2"/>
  <c r="AX337" i="2"/>
  <c r="AX325" i="2"/>
  <c r="AX316" i="2"/>
  <c r="AX308" i="2"/>
  <c r="AX300" i="2"/>
  <c r="AX292" i="2"/>
  <c r="AX336" i="2"/>
  <c r="AX320" i="2"/>
  <c r="AX315" i="2"/>
  <c r="AX307" i="2"/>
  <c r="AX299" i="2"/>
  <c r="AX289" i="2"/>
  <c r="AX284" i="2"/>
  <c r="AX283" i="2"/>
  <c r="AX282" i="2"/>
  <c r="AX281" i="2"/>
  <c r="AX280" i="2"/>
  <c r="AX279" i="2"/>
  <c r="AX278" i="2"/>
  <c r="AX277" i="2"/>
  <c r="AX276" i="2"/>
  <c r="AX272" i="2"/>
  <c r="AX335" i="2"/>
  <c r="AX306" i="2"/>
  <c r="AX275" i="2"/>
  <c r="AX274" i="2"/>
  <c r="AX286" i="2"/>
  <c r="AX271" i="2"/>
  <c r="AX270" i="2"/>
  <c r="AX269" i="2"/>
  <c r="AX268" i="2"/>
  <c r="AX267" i="2"/>
  <c r="AX266" i="2"/>
  <c r="AX265" i="2"/>
  <c r="AX264" i="2"/>
  <c r="AX263" i="2"/>
  <c r="AX262" i="2"/>
  <c r="AX261" i="2"/>
  <c r="AX260" i="2"/>
  <c r="AX259" i="2"/>
  <c r="AX258" i="2"/>
  <c r="AX257" i="2"/>
  <c r="AX256" i="2"/>
  <c r="AX255" i="2"/>
  <c r="AX254" i="2"/>
  <c r="AX253" i="2"/>
  <c r="AX252" i="2"/>
  <c r="AX251" i="2"/>
  <c r="AX250" i="2"/>
  <c r="AX249" i="2"/>
  <c r="AX248" i="2"/>
  <c r="AX247" i="2"/>
  <c r="AX273" i="2"/>
  <c r="AX330" i="2"/>
  <c r="AX323" i="2"/>
  <c r="AX314" i="2"/>
  <c r="AX298" i="2"/>
  <c r="AX246" i="2"/>
  <c r="AX242" i="2"/>
  <c r="AX240" i="2"/>
  <c r="AX244" i="2"/>
  <c r="AX220" i="2"/>
  <c r="AX219" i="2"/>
  <c r="AX218" i="2"/>
  <c r="AX217" i="2"/>
  <c r="AX216" i="2"/>
  <c r="AX215" i="2"/>
  <c r="AX214" i="2"/>
  <c r="AX213" i="2"/>
  <c r="AX212" i="2"/>
  <c r="AX211" i="2"/>
  <c r="AX210" i="2"/>
  <c r="AX209" i="2"/>
  <c r="AX208" i="2"/>
  <c r="AX207" i="2"/>
  <c r="AX206" i="2"/>
  <c r="AX205" i="2"/>
  <c r="AX204" i="2"/>
  <c r="AX203" i="2"/>
  <c r="AX202" i="2"/>
  <c r="AX201" i="2"/>
  <c r="AX200" i="2"/>
  <c r="AX199" i="2"/>
  <c r="AX198" i="2"/>
  <c r="AX197" i="2"/>
  <c r="AX196" i="2"/>
  <c r="AX195" i="2"/>
  <c r="AX194" i="2"/>
  <c r="AX193" i="2"/>
  <c r="AX192" i="2"/>
  <c r="AX191" i="2"/>
  <c r="AX190" i="2"/>
  <c r="AX189" i="2"/>
  <c r="AX188" i="2"/>
  <c r="AX187" i="2"/>
  <c r="AX186" i="2"/>
  <c r="AX185" i="2"/>
  <c r="AX184" i="2"/>
  <c r="AX183" i="2"/>
  <c r="AX182" i="2"/>
  <c r="AX181" i="2"/>
  <c r="AX180" i="2"/>
  <c r="AX179" i="2"/>
  <c r="AX178" i="2"/>
  <c r="AX177" i="2"/>
  <c r="AX245" i="2"/>
  <c r="AX243" i="2"/>
  <c r="AX241" i="2"/>
  <c r="AX239" i="2"/>
  <c r="AX238" i="2"/>
  <c r="AX237" i="2"/>
  <c r="AX236" i="2"/>
  <c r="AX228" i="2"/>
  <c r="AX174" i="2"/>
  <c r="AX173" i="2"/>
  <c r="AX172" i="2"/>
  <c r="AX171" i="2"/>
  <c r="AX170" i="2"/>
  <c r="AX169" i="2"/>
  <c r="AX168" i="2"/>
  <c r="AX167" i="2"/>
  <c r="AX166" i="2"/>
  <c r="AX165" i="2"/>
  <c r="AX164" i="2"/>
  <c r="AX163" i="2"/>
  <c r="AX162" i="2"/>
  <c r="AX161" i="2"/>
  <c r="AX160" i="2"/>
  <c r="AX159" i="2"/>
  <c r="AX158" i="2"/>
  <c r="AX157" i="2"/>
  <c r="AX156" i="2"/>
  <c r="AX155" i="2"/>
  <c r="AX154" i="2"/>
  <c r="AX153" i="2"/>
  <c r="AX152" i="2"/>
  <c r="AX151" i="2"/>
  <c r="AX150" i="2"/>
  <c r="AX149" i="2"/>
  <c r="AX148" i="2"/>
  <c r="AX147" i="2"/>
  <c r="AX146" i="2"/>
  <c r="AX145" i="2"/>
  <c r="AX144" i="2"/>
  <c r="AX143" i="2"/>
  <c r="AX142" i="2"/>
  <c r="AX141" i="2"/>
  <c r="AX140" i="2"/>
  <c r="AX139" i="2"/>
  <c r="AX138" i="2"/>
  <c r="AX137" i="2"/>
  <c r="AX136" i="2"/>
  <c r="AX135" i="2"/>
  <c r="AX134" i="2"/>
  <c r="AX133" i="2"/>
  <c r="AX132" i="2"/>
  <c r="AX131" i="2"/>
  <c r="AX130" i="2"/>
  <c r="AX129" i="2"/>
  <c r="AX128" i="2"/>
  <c r="AX127" i="2"/>
  <c r="AX126" i="2"/>
  <c r="AX125" i="2"/>
  <c r="AX229" i="2"/>
  <c r="AX221" i="2"/>
  <c r="AX230" i="2"/>
  <c r="AX222" i="2"/>
  <c r="AX175" i="2"/>
  <c r="AX231" i="2"/>
  <c r="AX223" i="2"/>
  <c r="AX232" i="2"/>
  <c r="AX224" i="2"/>
  <c r="AX233" i="2"/>
  <c r="AX225" i="2"/>
  <c r="AX234" i="2"/>
  <c r="AX226" i="2"/>
  <c r="AX176" i="2"/>
  <c r="AX123" i="2"/>
  <c r="AX235" i="2"/>
  <c r="AX227" i="2"/>
  <c r="AX122" i="2"/>
  <c r="AX121" i="2"/>
  <c r="AX120" i="2"/>
  <c r="AX119" i="2"/>
  <c r="AX118" i="2"/>
  <c r="AX117" i="2"/>
  <c r="AX116" i="2"/>
  <c r="AX115" i="2"/>
  <c r="AX114" i="2"/>
  <c r="AX113" i="2"/>
  <c r="AX112" i="2"/>
  <c r="AX111" i="2"/>
  <c r="AX110" i="2"/>
  <c r="AX109" i="2"/>
  <c r="AX108" i="2"/>
  <c r="AX107" i="2"/>
  <c r="AX106" i="2"/>
  <c r="AX105" i="2"/>
  <c r="AX104" i="2"/>
  <c r="AX103" i="2"/>
  <c r="AX102" i="2"/>
  <c r="AX101" i="2"/>
  <c r="AX100" i="2"/>
  <c r="AX99" i="2"/>
  <c r="AX98" i="2"/>
  <c r="AX97" i="2"/>
  <c r="AX96" i="2"/>
  <c r="AX95" i="2"/>
  <c r="AX94" i="2"/>
  <c r="AX93" i="2"/>
  <c r="AX92" i="2"/>
  <c r="AX91" i="2"/>
  <c r="AX90" i="2"/>
  <c r="AX89" i="2"/>
  <c r="AX88" i="2"/>
  <c r="AX87" i="2"/>
  <c r="AX86" i="2"/>
  <c r="AX85" i="2"/>
  <c r="AX84" i="2"/>
  <c r="AX83" i="2"/>
  <c r="AX82" i="2"/>
  <c r="AX81" i="2"/>
  <c r="AX80" i="2"/>
  <c r="AX79" i="2"/>
  <c r="AX78" i="2"/>
  <c r="AX77" i="2"/>
  <c r="AX76" i="2"/>
  <c r="AX75" i="2"/>
  <c r="AX74" i="2"/>
  <c r="AX73" i="2"/>
  <c r="AX72" i="2"/>
  <c r="AX71" i="2"/>
  <c r="AX70" i="2"/>
  <c r="AX69" i="2"/>
  <c r="AX68" i="2"/>
  <c r="AX67" i="2"/>
  <c r="AX66" i="2"/>
  <c r="AX65" i="2"/>
  <c r="AX64" i="2"/>
  <c r="AX63" i="2"/>
  <c r="AX62" i="2"/>
  <c r="AX61" i="2"/>
  <c r="AX60" i="2"/>
  <c r="AX59" i="2"/>
  <c r="AX58" i="2"/>
  <c r="AX57" i="2"/>
  <c r="AX56" i="2"/>
  <c r="AX55" i="2"/>
  <c r="AX54" i="2"/>
  <c r="AX53" i="2"/>
  <c r="AX52" i="2"/>
  <c r="AX51" i="2"/>
  <c r="AX50" i="2"/>
  <c r="AX49" i="2"/>
  <c r="AX48" i="2"/>
  <c r="AX47" i="2"/>
  <c r="AX46" i="2"/>
  <c r="AX45" i="2"/>
  <c r="AX44" i="2"/>
  <c r="AX43" i="2"/>
  <c r="AX42" i="2"/>
  <c r="AX41" i="2"/>
  <c r="AX40" i="2"/>
  <c r="AX39" i="2"/>
  <c r="AX38" i="2"/>
  <c r="AX37" i="2"/>
  <c r="AX36" i="2"/>
  <c r="AX35" i="2"/>
  <c r="AX34" i="2"/>
  <c r="AX33" i="2"/>
  <c r="AX32" i="2"/>
  <c r="AX31" i="2"/>
  <c r="AX30" i="2"/>
  <c r="AX29" i="2"/>
  <c r="AX28" i="2"/>
  <c r="AX27" i="2"/>
  <c r="AX26" i="2"/>
  <c r="AX25" i="2"/>
  <c r="AX24" i="2"/>
  <c r="AX23" i="2"/>
  <c r="AX22" i="2"/>
  <c r="AX21" i="2"/>
  <c r="AX20" i="2"/>
  <c r="U10" i="2"/>
  <c r="AX124" i="2"/>
  <c r="Y10" i="2"/>
  <c r="CP14" i="2"/>
  <c r="BI532" i="2"/>
  <c r="BI528" i="2"/>
  <c r="BI520" i="2"/>
  <c r="BI527" i="2"/>
  <c r="BI519" i="2"/>
  <c r="BI525" i="2"/>
  <c r="BI524" i="2"/>
  <c r="BI516" i="2"/>
  <c r="BI523" i="2"/>
  <c r="BI515" i="2"/>
  <c r="BI529" i="2"/>
  <c r="BI526" i="2"/>
  <c r="BI518" i="2"/>
  <c r="BI509" i="2"/>
  <c r="BI507" i="2"/>
  <c r="BI521" i="2"/>
  <c r="BI514" i="2"/>
  <c r="BI533" i="2"/>
  <c r="BI531" i="2"/>
  <c r="BI522" i="2"/>
  <c r="BI513" i="2"/>
  <c r="BI505" i="2"/>
  <c r="BI511" i="2"/>
  <c r="BI503" i="2"/>
  <c r="BI495" i="2"/>
  <c r="BI504" i="2"/>
  <c r="BI502" i="2"/>
  <c r="BI494" i="2"/>
  <c r="BI530" i="2"/>
  <c r="BI508" i="2"/>
  <c r="BI500" i="2"/>
  <c r="BI517" i="2"/>
  <c r="BI499" i="2"/>
  <c r="BI512" i="2"/>
  <c r="BI489" i="2"/>
  <c r="BI510" i="2"/>
  <c r="BI488" i="2"/>
  <c r="BI487" i="2"/>
  <c r="BI492" i="2"/>
  <c r="BI483" i="2"/>
  <c r="BI484" i="2"/>
  <c r="BI476" i="2"/>
  <c r="BI501" i="2"/>
  <c r="BI497" i="2"/>
  <c r="BI493" i="2"/>
  <c r="BI490" i="2"/>
  <c r="BI475" i="2"/>
  <c r="BI486" i="2"/>
  <c r="BI485" i="2"/>
  <c r="BI481" i="2"/>
  <c r="BI473" i="2"/>
  <c r="BI498" i="2"/>
  <c r="BI480" i="2"/>
  <c r="BI468" i="2"/>
  <c r="BI506" i="2"/>
  <c r="BI467" i="2"/>
  <c r="BI466" i="2"/>
  <c r="BI474" i="2"/>
  <c r="BI465" i="2"/>
  <c r="BI496" i="2"/>
  <c r="BI482" i="2"/>
  <c r="BI472" i="2"/>
  <c r="BI464" i="2"/>
  <c r="BI471" i="2"/>
  <c r="BI470" i="2"/>
  <c r="BI462" i="2"/>
  <c r="BI463" i="2"/>
  <c r="BI458" i="2"/>
  <c r="BI450" i="2"/>
  <c r="BI442" i="2"/>
  <c r="BI434" i="2"/>
  <c r="BI426" i="2"/>
  <c r="BI459" i="2"/>
  <c r="BI457" i="2"/>
  <c r="BI449" i="2"/>
  <c r="BI441" i="2"/>
  <c r="BI433" i="2"/>
  <c r="BI456" i="2"/>
  <c r="BI448" i="2"/>
  <c r="BI440" i="2"/>
  <c r="BI432" i="2"/>
  <c r="BI455" i="2"/>
  <c r="BI479" i="2"/>
  <c r="BI478" i="2"/>
  <c r="BI477" i="2"/>
  <c r="BI461" i="2"/>
  <c r="BI454" i="2"/>
  <c r="BI446" i="2"/>
  <c r="BI438" i="2"/>
  <c r="BI430" i="2"/>
  <c r="BI491" i="2"/>
  <c r="BI469" i="2"/>
  <c r="BI453" i="2"/>
  <c r="BI445" i="2"/>
  <c r="BI437" i="2"/>
  <c r="BI460" i="2"/>
  <c r="BI451" i="2"/>
  <c r="BI452" i="2"/>
  <c r="BI425" i="2"/>
  <c r="BI417" i="2"/>
  <c r="BI447" i="2"/>
  <c r="BI444" i="2"/>
  <c r="BI435" i="2"/>
  <c r="BI424" i="2"/>
  <c r="BI416" i="2"/>
  <c r="BI431" i="2"/>
  <c r="BI422" i="2"/>
  <c r="BI414" i="2"/>
  <c r="BI443" i="2"/>
  <c r="BI421" i="2"/>
  <c r="BI413" i="2"/>
  <c r="BI423" i="2"/>
  <c r="BI436" i="2"/>
  <c r="BI427" i="2"/>
  <c r="BI439" i="2"/>
  <c r="BI405" i="2"/>
  <c r="BI429" i="2"/>
  <c r="BI428" i="2"/>
  <c r="BI420" i="2"/>
  <c r="BI419" i="2"/>
  <c r="BI418" i="2"/>
  <c r="BI408" i="2"/>
  <c r="BI407" i="2"/>
  <c r="BI412" i="2"/>
  <c r="BI410" i="2"/>
  <c r="BI404" i="2"/>
  <c r="BI400" i="2"/>
  <c r="BI392" i="2"/>
  <c r="BI406" i="2"/>
  <c r="BI403" i="2"/>
  <c r="BI397" i="2"/>
  <c r="BI389" i="2"/>
  <c r="BI411" i="2"/>
  <c r="BI402" i="2"/>
  <c r="BI399" i="2"/>
  <c r="BI391" i="2"/>
  <c r="BI384" i="2"/>
  <c r="BI383" i="2"/>
  <c r="BI382" i="2"/>
  <c r="BI381" i="2"/>
  <c r="BI380" i="2"/>
  <c r="BI379" i="2"/>
  <c r="BI378" i="2"/>
  <c r="BI377" i="2"/>
  <c r="BI376" i="2"/>
  <c r="BI375" i="2"/>
  <c r="BI374" i="2"/>
  <c r="BI373" i="2"/>
  <c r="BI372" i="2"/>
  <c r="BI371" i="2"/>
  <c r="BI409" i="2"/>
  <c r="BI396" i="2"/>
  <c r="BI388" i="2"/>
  <c r="BI401" i="2"/>
  <c r="BI369" i="2"/>
  <c r="BI370" i="2"/>
  <c r="BI398" i="2"/>
  <c r="BI395" i="2"/>
  <c r="BI394" i="2"/>
  <c r="BI393" i="2"/>
  <c r="BI390" i="2"/>
  <c r="BI387" i="2"/>
  <c r="BI386" i="2"/>
  <c r="BI385" i="2"/>
  <c r="BI415" i="2"/>
  <c r="BI354" i="2"/>
  <c r="BI342" i="2"/>
  <c r="BI368" i="2"/>
  <c r="BI367" i="2"/>
  <c r="BI364" i="2"/>
  <c r="BI359" i="2"/>
  <c r="BI351" i="2"/>
  <c r="BI356" i="2"/>
  <c r="BI348" i="2"/>
  <c r="BI363" i="2"/>
  <c r="BI361" i="2"/>
  <c r="BI353" i="2"/>
  <c r="BI366" i="2"/>
  <c r="BI358" i="2"/>
  <c r="BI350" i="2"/>
  <c r="BI343" i="2"/>
  <c r="BI362" i="2"/>
  <c r="BI355" i="2"/>
  <c r="BI345" i="2"/>
  <c r="BI344" i="2"/>
  <c r="BI341" i="2"/>
  <c r="BI340" i="2"/>
  <c r="BI339" i="2"/>
  <c r="BI338" i="2"/>
  <c r="BI337" i="2"/>
  <c r="BI336" i="2"/>
  <c r="BI335" i="2"/>
  <c r="BI334" i="2"/>
  <c r="BI333" i="2"/>
  <c r="BI332" i="2"/>
  <c r="BI331" i="2"/>
  <c r="BI330" i="2"/>
  <c r="BI329" i="2"/>
  <c r="BI328" i="2"/>
  <c r="BI327" i="2"/>
  <c r="BI326" i="2"/>
  <c r="BI325" i="2"/>
  <c r="BI324" i="2"/>
  <c r="BI323" i="2"/>
  <c r="BI322" i="2"/>
  <c r="BI321" i="2"/>
  <c r="BI320" i="2"/>
  <c r="BI319" i="2"/>
  <c r="BI318" i="2"/>
  <c r="BI317" i="2"/>
  <c r="BI316" i="2"/>
  <c r="BI315" i="2"/>
  <c r="BI314" i="2"/>
  <c r="BI313" i="2"/>
  <c r="BI312" i="2"/>
  <c r="BI311" i="2"/>
  <c r="BI310" i="2"/>
  <c r="BI309" i="2"/>
  <c r="BI308" i="2"/>
  <c r="BI307" i="2"/>
  <c r="BI306" i="2"/>
  <c r="BI305" i="2"/>
  <c r="BI304" i="2"/>
  <c r="BI303" i="2"/>
  <c r="BI302" i="2"/>
  <c r="BI301" i="2"/>
  <c r="BI300" i="2"/>
  <c r="BI299" i="2"/>
  <c r="BI298" i="2"/>
  <c r="BI297" i="2"/>
  <c r="BI296" i="2"/>
  <c r="BI295" i="2"/>
  <c r="BI294" i="2"/>
  <c r="BI360" i="2"/>
  <c r="BI352" i="2"/>
  <c r="BI346" i="2"/>
  <c r="BI347" i="2"/>
  <c r="BI291" i="2"/>
  <c r="BI288" i="2"/>
  <c r="BI349" i="2"/>
  <c r="BI293" i="2"/>
  <c r="BI285" i="2"/>
  <c r="BI365" i="2"/>
  <c r="BI290" i="2"/>
  <c r="BI357" i="2"/>
  <c r="BI287" i="2"/>
  <c r="BI283" i="2"/>
  <c r="BI282" i="2"/>
  <c r="BI281" i="2"/>
  <c r="BI292" i="2"/>
  <c r="BI284" i="2"/>
  <c r="BI289" i="2"/>
  <c r="BI272" i="2"/>
  <c r="BI278" i="2"/>
  <c r="BI277" i="2"/>
  <c r="BI274" i="2"/>
  <c r="BI270" i="2"/>
  <c r="BI269" i="2"/>
  <c r="BI268" i="2"/>
  <c r="BI267" i="2"/>
  <c r="BI266" i="2"/>
  <c r="BI265" i="2"/>
  <c r="BI264" i="2"/>
  <c r="BI263" i="2"/>
  <c r="BI262" i="2"/>
  <c r="BI261" i="2"/>
  <c r="BI260" i="2"/>
  <c r="BI259" i="2"/>
  <c r="BI258" i="2"/>
  <c r="BI257" i="2"/>
  <c r="BI256" i="2"/>
  <c r="BI255" i="2"/>
  <c r="BI254" i="2"/>
  <c r="BI253" i="2"/>
  <c r="BI252" i="2"/>
  <c r="BI251" i="2"/>
  <c r="BI250" i="2"/>
  <c r="BI249" i="2"/>
  <c r="BI248" i="2"/>
  <c r="BI286" i="2"/>
  <c r="BI271" i="2"/>
  <c r="BI279" i="2"/>
  <c r="BI276" i="2"/>
  <c r="BI275" i="2"/>
  <c r="BI273" i="2"/>
  <c r="BI280" i="2"/>
  <c r="BI247" i="2"/>
  <c r="BI242" i="2"/>
  <c r="BI240" i="2"/>
  <c r="BI220" i="2"/>
  <c r="BI219" i="2"/>
  <c r="BI218" i="2"/>
  <c r="BI217" i="2"/>
  <c r="BI216" i="2"/>
  <c r="BI215" i="2"/>
  <c r="BI214" i="2"/>
  <c r="BI213" i="2"/>
  <c r="BI212" i="2"/>
  <c r="BI211" i="2"/>
  <c r="BI210" i="2"/>
  <c r="BI209" i="2"/>
  <c r="BI208" i="2"/>
  <c r="BI207" i="2"/>
  <c r="BI206" i="2"/>
  <c r="BI205" i="2"/>
  <c r="BI204" i="2"/>
  <c r="BI203" i="2"/>
  <c r="BI202" i="2"/>
  <c r="BI201" i="2"/>
  <c r="BI200" i="2"/>
  <c r="BI199" i="2"/>
  <c r="BI198" i="2"/>
  <c r="BI197" i="2"/>
  <c r="BI196" i="2"/>
  <c r="BI195" i="2"/>
  <c r="BI194" i="2"/>
  <c r="BI193" i="2"/>
  <c r="BI192" i="2"/>
  <c r="BI191" i="2"/>
  <c r="BI190" i="2"/>
  <c r="BI189" i="2"/>
  <c r="BI188" i="2"/>
  <c r="BI187" i="2"/>
  <c r="BI186" i="2"/>
  <c r="BI185" i="2"/>
  <c r="BI184" i="2"/>
  <c r="BI183" i="2"/>
  <c r="BI182" i="2"/>
  <c r="BI181" i="2"/>
  <c r="BI180" i="2"/>
  <c r="BI179" i="2"/>
  <c r="BI178" i="2"/>
  <c r="BI177" i="2"/>
  <c r="BI246" i="2"/>
  <c r="BI244" i="2"/>
  <c r="BI245" i="2"/>
  <c r="BI236" i="2"/>
  <c r="BI231" i="2"/>
  <c r="BI223" i="2"/>
  <c r="BI232" i="2"/>
  <c r="BI224" i="2"/>
  <c r="BI175" i="2"/>
  <c r="BI238" i="2"/>
  <c r="BI233" i="2"/>
  <c r="BI225" i="2"/>
  <c r="BI243" i="2"/>
  <c r="BI234" i="2"/>
  <c r="BI226" i="2"/>
  <c r="BI235" i="2"/>
  <c r="BI227" i="2"/>
  <c r="BI241" i="2"/>
  <c r="BI237" i="2"/>
  <c r="BI228" i="2"/>
  <c r="BI229" i="2"/>
  <c r="BI221" i="2"/>
  <c r="BI176" i="2"/>
  <c r="BI174" i="2"/>
  <c r="BI173" i="2"/>
  <c r="BI172" i="2"/>
  <c r="BI171" i="2"/>
  <c r="BI170" i="2"/>
  <c r="BI169" i="2"/>
  <c r="BI168" i="2"/>
  <c r="BI167" i="2"/>
  <c r="BI166" i="2"/>
  <c r="BI165" i="2"/>
  <c r="BI164" i="2"/>
  <c r="BI163" i="2"/>
  <c r="BI162" i="2"/>
  <c r="BI161" i="2"/>
  <c r="BI160" i="2"/>
  <c r="BI159" i="2"/>
  <c r="BI158" i="2"/>
  <c r="BI157" i="2"/>
  <c r="BI156" i="2"/>
  <c r="BI155" i="2"/>
  <c r="BI154" i="2"/>
  <c r="BI153" i="2"/>
  <c r="BI152" i="2"/>
  <c r="BI151" i="2"/>
  <c r="BI150" i="2"/>
  <c r="BI149" i="2"/>
  <c r="BI148" i="2"/>
  <c r="BI147" i="2"/>
  <c r="BI146" i="2"/>
  <c r="BI145" i="2"/>
  <c r="BI144" i="2"/>
  <c r="BI143" i="2"/>
  <c r="BI142" i="2"/>
  <c r="BI141" i="2"/>
  <c r="BI140" i="2"/>
  <c r="BI139" i="2"/>
  <c r="BI138" i="2"/>
  <c r="BI137" i="2"/>
  <c r="BI136" i="2"/>
  <c r="BI135" i="2"/>
  <c r="BI134" i="2"/>
  <c r="BI133" i="2"/>
  <c r="BI132" i="2"/>
  <c r="BI131" i="2"/>
  <c r="BI130" i="2"/>
  <c r="BI129" i="2"/>
  <c r="BI128" i="2"/>
  <c r="BI127" i="2"/>
  <c r="BI126" i="2"/>
  <c r="BI125" i="2"/>
  <c r="BI239" i="2"/>
  <c r="BI124" i="2"/>
  <c r="BI123" i="2"/>
  <c r="BI121" i="2"/>
  <c r="BI120" i="2"/>
  <c r="BI119" i="2"/>
  <c r="BI118" i="2"/>
  <c r="BI117" i="2"/>
  <c r="BI116" i="2"/>
  <c r="BI115" i="2"/>
  <c r="BI114" i="2"/>
  <c r="BI113" i="2"/>
  <c r="BI112" i="2"/>
  <c r="BI111" i="2"/>
  <c r="BI110" i="2"/>
  <c r="BI109" i="2"/>
  <c r="BI108" i="2"/>
  <c r="BI107" i="2"/>
  <c r="BI106" i="2"/>
  <c r="BI105" i="2"/>
  <c r="BI104" i="2"/>
  <c r="BI103" i="2"/>
  <c r="BI102" i="2"/>
  <c r="BI101" i="2"/>
  <c r="BI100" i="2"/>
  <c r="BI99" i="2"/>
  <c r="BI98" i="2"/>
  <c r="BI97" i="2"/>
  <c r="BI96" i="2"/>
  <c r="BI95" i="2"/>
  <c r="BI94" i="2"/>
  <c r="BI93" i="2"/>
  <c r="BI92" i="2"/>
  <c r="BI91" i="2"/>
  <c r="BI90" i="2"/>
  <c r="BI89" i="2"/>
  <c r="BI88" i="2"/>
  <c r="BI87" i="2"/>
  <c r="BI86" i="2"/>
  <c r="BI85" i="2"/>
  <c r="BI122" i="2"/>
  <c r="BI77" i="2"/>
  <c r="BI73" i="2"/>
  <c r="BI69" i="2"/>
  <c r="BI60" i="2"/>
  <c r="BI59" i="2"/>
  <c r="BI58" i="2"/>
  <c r="BI57" i="2"/>
  <c r="BI56" i="2"/>
  <c r="BI55" i="2"/>
  <c r="BI54" i="2"/>
  <c r="BI53" i="2"/>
  <c r="BI52" i="2"/>
  <c r="BI51" i="2"/>
  <c r="BI50" i="2"/>
  <c r="BI49" i="2"/>
  <c r="BI48" i="2"/>
  <c r="BI47" i="2"/>
  <c r="BI46" i="2"/>
  <c r="BI45" i="2"/>
  <c r="BI44" i="2"/>
  <c r="BI43" i="2"/>
  <c r="BI42" i="2"/>
  <c r="BI41" i="2"/>
  <c r="BI40" i="2"/>
  <c r="BI39" i="2"/>
  <c r="BI38" i="2"/>
  <c r="BI37" i="2"/>
  <c r="BI36" i="2"/>
  <c r="BI35" i="2"/>
  <c r="BI34" i="2"/>
  <c r="BI33" i="2"/>
  <c r="BI32" i="2"/>
  <c r="BI31" i="2"/>
  <c r="BI30" i="2"/>
  <c r="BI29" i="2"/>
  <c r="BI28" i="2"/>
  <c r="BI27" i="2"/>
  <c r="BI26" i="2"/>
  <c r="BI25" i="2"/>
  <c r="BI24" i="2"/>
  <c r="BI23" i="2"/>
  <c r="BI22" i="2"/>
  <c r="BI21" i="2"/>
  <c r="BI20" i="2"/>
  <c r="Q15" i="2"/>
  <c r="BI83" i="2"/>
  <c r="BI230" i="2"/>
  <c r="BI80" i="2"/>
  <c r="BI76" i="2"/>
  <c r="BI72" i="2"/>
  <c r="BI68" i="2"/>
  <c r="BI62" i="2"/>
  <c r="BI222" i="2"/>
  <c r="BI84" i="2"/>
  <c r="BI81" i="2"/>
  <c r="BI63" i="2"/>
  <c r="BI61" i="2"/>
  <c r="BI79" i="2"/>
  <c r="BI75" i="2"/>
  <c r="BI71" i="2"/>
  <c r="BI67" i="2"/>
  <c r="BI64" i="2"/>
  <c r="Q16" i="2"/>
  <c r="BI82" i="2"/>
  <c r="BI65" i="2"/>
  <c r="BI78" i="2"/>
  <c r="BI74" i="2"/>
  <c r="BI70" i="2"/>
  <c r="BI66" i="2"/>
  <c r="Z10" i="2"/>
  <c r="BE120" i="2"/>
  <c r="BE78" i="2"/>
  <c r="BE66" i="2"/>
  <c r="AB11" i="2"/>
  <c r="CQ14" i="2" s="1"/>
  <c r="BE88" i="2"/>
  <c r="BE74" i="2"/>
  <c r="BE70" i="2"/>
  <c r="BE112" i="2"/>
  <c r="BE104" i="2"/>
  <c r="BE96" i="2"/>
  <c r="AE2" i="2"/>
  <c r="AE11" i="2" s="1"/>
  <c r="AK525" i="2"/>
  <c r="AK517" i="2"/>
  <c r="AK524" i="2"/>
  <c r="AK516" i="2"/>
  <c r="AK531" i="2"/>
  <c r="AK530" i="2"/>
  <c r="AK529" i="2"/>
  <c r="AK521" i="2"/>
  <c r="AK532" i="2"/>
  <c r="AK528" i="2"/>
  <c r="AK520" i="2"/>
  <c r="AK514" i="2"/>
  <c r="AK506" i="2"/>
  <c r="AK526" i="2"/>
  <c r="AK512" i="2"/>
  <c r="AK519" i="2"/>
  <c r="AK518" i="2"/>
  <c r="AK511" i="2"/>
  <c r="AK510" i="2"/>
  <c r="AK507" i="2"/>
  <c r="AK505" i="2"/>
  <c r="AK500" i="2"/>
  <c r="AK523" i="2"/>
  <c r="AK499" i="2"/>
  <c r="AK533" i="2"/>
  <c r="AK527" i="2"/>
  <c r="AK522" i="2"/>
  <c r="AK513" i="2"/>
  <c r="AK497" i="2"/>
  <c r="AK504" i="2"/>
  <c r="AK496" i="2"/>
  <c r="AK486" i="2"/>
  <c r="AK509" i="2"/>
  <c r="AK493" i="2"/>
  <c r="AK485" i="2"/>
  <c r="AK503" i="2"/>
  <c r="AK502" i="2"/>
  <c r="AK501" i="2"/>
  <c r="AK492" i="2"/>
  <c r="AK490" i="2"/>
  <c r="AK489" i="2"/>
  <c r="AK483" i="2"/>
  <c r="AK515" i="2"/>
  <c r="AK481" i="2"/>
  <c r="AK473" i="2"/>
  <c r="AK498" i="2"/>
  <c r="AK487" i="2"/>
  <c r="AK480" i="2"/>
  <c r="AK478" i="2"/>
  <c r="AK477" i="2"/>
  <c r="AK465" i="2"/>
  <c r="AK491" i="2"/>
  <c r="AK472" i="2"/>
  <c r="AK464" i="2"/>
  <c r="AK508" i="2"/>
  <c r="AK479" i="2"/>
  <c r="AK471" i="2"/>
  <c r="AK463" i="2"/>
  <c r="AK495" i="2"/>
  <c r="AK488" i="2"/>
  <c r="AK470" i="2"/>
  <c r="AK462" i="2"/>
  <c r="AK494" i="2"/>
  <c r="AK469" i="2"/>
  <c r="AK468" i="2"/>
  <c r="AK484" i="2"/>
  <c r="AK482" i="2"/>
  <c r="AK474" i="2"/>
  <c r="AK467" i="2"/>
  <c r="AK475" i="2"/>
  <c r="AK455" i="2"/>
  <c r="AK447" i="2"/>
  <c r="AK439" i="2"/>
  <c r="AK431" i="2"/>
  <c r="AK454" i="2"/>
  <c r="AK446" i="2"/>
  <c r="AK438" i="2"/>
  <c r="AK430" i="2"/>
  <c r="AK453" i="2"/>
  <c r="AK445" i="2"/>
  <c r="AK437" i="2"/>
  <c r="AK452" i="2"/>
  <c r="AK459" i="2"/>
  <c r="AK451" i="2"/>
  <c r="AK443" i="2"/>
  <c r="AK435" i="2"/>
  <c r="AK458" i="2"/>
  <c r="AK450" i="2"/>
  <c r="AK442" i="2"/>
  <c r="AK434" i="2"/>
  <c r="AK461" i="2"/>
  <c r="AK429" i="2"/>
  <c r="AK441" i="2"/>
  <c r="AK432" i="2"/>
  <c r="AK427" i="2"/>
  <c r="AK422" i="2"/>
  <c r="AK414" i="2"/>
  <c r="AK444" i="2"/>
  <c r="AK421" i="2"/>
  <c r="AK413" i="2"/>
  <c r="AK476" i="2"/>
  <c r="AK466" i="2"/>
  <c r="AK449" i="2"/>
  <c r="AK440" i="2"/>
  <c r="AK419" i="2"/>
  <c r="AK460" i="2"/>
  <c r="AK456" i="2"/>
  <c r="AK428" i="2"/>
  <c r="AK426" i="2"/>
  <c r="AK418" i="2"/>
  <c r="AK420" i="2"/>
  <c r="AK436" i="2"/>
  <c r="AK423" i="2"/>
  <c r="AK403" i="2"/>
  <c r="AK402" i="2"/>
  <c r="AK401" i="2"/>
  <c r="AK400" i="2"/>
  <c r="AK399" i="2"/>
  <c r="AK398" i="2"/>
  <c r="AK397" i="2"/>
  <c r="AK396" i="2"/>
  <c r="AK395" i="2"/>
  <c r="AK394" i="2"/>
  <c r="AK393" i="2"/>
  <c r="AK392" i="2"/>
  <c r="AK391" i="2"/>
  <c r="AK390" i="2"/>
  <c r="AK389" i="2"/>
  <c r="AK388" i="2"/>
  <c r="AK387" i="2"/>
  <c r="AK386" i="2"/>
  <c r="AK433" i="2"/>
  <c r="AK417" i="2"/>
  <c r="AK416" i="2"/>
  <c r="AK409" i="2"/>
  <c r="AK412" i="2"/>
  <c r="AK410" i="2"/>
  <c r="AK385" i="2"/>
  <c r="AK448" i="2"/>
  <c r="AK424" i="2"/>
  <c r="AK415" i="2"/>
  <c r="AK405" i="2"/>
  <c r="AK457" i="2"/>
  <c r="AK411" i="2"/>
  <c r="AK408" i="2"/>
  <c r="AK407" i="2"/>
  <c r="AK404" i="2"/>
  <c r="AK406" i="2"/>
  <c r="AK383" i="2"/>
  <c r="AK375" i="2"/>
  <c r="AK370" i="2"/>
  <c r="AK378" i="2"/>
  <c r="AK371" i="2"/>
  <c r="AK381" i="2"/>
  <c r="AK373" i="2"/>
  <c r="AK384" i="2"/>
  <c r="AK376" i="2"/>
  <c r="AK367" i="2"/>
  <c r="AK366" i="2"/>
  <c r="AK365" i="2"/>
  <c r="AK364" i="2"/>
  <c r="AK363" i="2"/>
  <c r="AK362" i="2"/>
  <c r="AK361" i="2"/>
  <c r="AK360" i="2"/>
  <c r="AK359" i="2"/>
  <c r="AK358" i="2"/>
  <c r="AK357" i="2"/>
  <c r="AK356" i="2"/>
  <c r="AK355" i="2"/>
  <c r="AK354" i="2"/>
  <c r="AK353" i="2"/>
  <c r="AK352" i="2"/>
  <c r="AK351" i="2"/>
  <c r="AK350" i="2"/>
  <c r="AK349" i="2"/>
  <c r="AK348" i="2"/>
  <c r="AK347" i="2"/>
  <c r="AK346" i="2"/>
  <c r="AK345" i="2"/>
  <c r="AK344" i="2"/>
  <c r="AK343" i="2"/>
  <c r="AK342" i="2"/>
  <c r="AK379" i="2"/>
  <c r="AK382" i="2"/>
  <c r="AK374" i="2"/>
  <c r="AK377" i="2"/>
  <c r="AK368" i="2"/>
  <c r="AK380" i="2"/>
  <c r="AK372" i="2"/>
  <c r="AK369" i="2"/>
  <c r="AK341" i="2"/>
  <c r="AK340" i="2"/>
  <c r="AK339" i="2"/>
  <c r="AK338" i="2"/>
  <c r="AK337" i="2"/>
  <c r="AK336" i="2"/>
  <c r="AK335" i="2"/>
  <c r="AK334" i="2"/>
  <c r="AK333" i="2"/>
  <c r="AK332" i="2"/>
  <c r="AK331" i="2"/>
  <c r="AK330" i="2"/>
  <c r="AK329" i="2"/>
  <c r="AK425" i="2"/>
  <c r="AK327" i="2"/>
  <c r="AK312" i="2"/>
  <c r="AK304" i="2"/>
  <c r="AK296" i="2"/>
  <c r="AK286" i="2"/>
  <c r="AK284" i="2"/>
  <c r="AK283" i="2"/>
  <c r="AK282" i="2"/>
  <c r="AK281" i="2"/>
  <c r="AK280" i="2"/>
  <c r="AK279" i="2"/>
  <c r="AK278" i="2"/>
  <c r="AK277" i="2"/>
  <c r="AK276" i="2"/>
  <c r="AK275" i="2"/>
  <c r="AK322" i="2"/>
  <c r="AK319" i="2"/>
  <c r="AK311" i="2"/>
  <c r="AK303" i="2"/>
  <c r="AK295" i="2"/>
  <c r="AK291" i="2"/>
  <c r="AK325" i="2"/>
  <c r="AK318" i="2"/>
  <c r="AK310" i="2"/>
  <c r="AK302" i="2"/>
  <c r="AK294" i="2"/>
  <c r="AK288" i="2"/>
  <c r="AK320" i="2"/>
  <c r="AK317" i="2"/>
  <c r="AK309" i="2"/>
  <c r="AK301" i="2"/>
  <c r="AK293" i="2"/>
  <c r="AK285" i="2"/>
  <c r="AK323" i="2"/>
  <c r="AK316" i="2"/>
  <c r="AK308" i="2"/>
  <c r="AK300" i="2"/>
  <c r="AK290" i="2"/>
  <c r="AK326" i="2"/>
  <c r="AK315" i="2"/>
  <c r="AK307" i="2"/>
  <c r="AK299" i="2"/>
  <c r="AK287" i="2"/>
  <c r="AK321" i="2"/>
  <c r="AK314" i="2"/>
  <c r="AK306" i="2"/>
  <c r="AK298" i="2"/>
  <c r="AK292" i="2"/>
  <c r="AK272" i="2"/>
  <c r="AK305" i="2"/>
  <c r="AK289" i="2"/>
  <c r="AK328" i="2"/>
  <c r="AK274" i="2"/>
  <c r="AK246" i="2"/>
  <c r="AK245" i="2"/>
  <c r="AK244" i="2"/>
  <c r="AK313" i="2"/>
  <c r="AK297" i="2"/>
  <c r="AK273" i="2"/>
  <c r="AK271" i="2"/>
  <c r="AK270" i="2"/>
  <c r="AK269" i="2"/>
  <c r="AK268" i="2"/>
  <c r="AK267" i="2"/>
  <c r="AK266" i="2"/>
  <c r="AK265" i="2"/>
  <c r="AK264" i="2"/>
  <c r="AK263" i="2"/>
  <c r="AK262" i="2"/>
  <c r="AK261" i="2"/>
  <c r="AK260" i="2"/>
  <c r="AK259" i="2"/>
  <c r="AK258" i="2"/>
  <c r="AK257" i="2"/>
  <c r="AK256" i="2"/>
  <c r="AK255" i="2"/>
  <c r="AK254" i="2"/>
  <c r="AK253" i="2"/>
  <c r="AK252" i="2"/>
  <c r="AK251" i="2"/>
  <c r="AK250" i="2"/>
  <c r="AK249" i="2"/>
  <c r="AK248" i="2"/>
  <c r="AK247" i="2"/>
  <c r="AK239" i="2"/>
  <c r="AK238" i="2"/>
  <c r="AK237" i="2"/>
  <c r="AK236" i="2"/>
  <c r="AK235" i="2"/>
  <c r="AK234" i="2"/>
  <c r="AK233" i="2"/>
  <c r="AK232" i="2"/>
  <c r="AK231" i="2"/>
  <c r="AK230" i="2"/>
  <c r="AK229" i="2"/>
  <c r="AK228" i="2"/>
  <c r="AK227" i="2"/>
  <c r="AK226" i="2"/>
  <c r="AK225" i="2"/>
  <c r="AK224" i="2"/>
  <c r="AK223" i="2"/>
  <c r="AK222" i="2"/>
  <c r="AK221" i="2"/>
  <c r="AK324" i="2"/>
  <c r="AK242" i="2"/>
  <c r="AK240" i="2"/>
  <c r="AK220" i="2"/>
  <c r="AK219" i="2"/>
  <c r="AK218" i="2"/>
  <c r="AK217" i="2"/>
  <c r="AK216" i="2"/>
  <c r="AK215" i="2"/>
  <c r="AK214" i="2"/>
  <c r="AK213" i="2"/>
  <c r="AK212" i="2"/>
  <c r="AK211" i="2"/>
  <c r="AK210" i="2"/>
  <c r="AK209" i="2"/>
  <c r="AK208" i="2"/>
  <c r="AK207" i="2"/>
  <c r="AK206" i="2"/>
  <c r="AK205" i="2"/>
  <c r="AK204" i="2"/>
  <c r="AK203" i="2"/>
  <c r="AK202" i="2"/>
  <c r="AK201" i="2"/>
  <c r="AK200" i="2"/>
  <c r="AK199" i="2"/>
  <c r="AK198" i="2"/>
  <c r="AK197" i="2"/>
  <c r="AK196" i="2"/>
  <c r="AK195" i="2"/>
  <c r="AK194" i="2"/>
  <c r="AK193" i="2"/>
  <c r="AK192" i="2"/>
  <c r="AK191" i="2"/>
  <c r="AK190" i="2"/>
  <c r="AK189" i="2"/>
  <c r="AK188" i="2"/>
  <c r="AK187" i="2"/>
  <c r="AK186" i="2"/>
  <c r="AK185" i="2"/>
  <c r="AK184" i="2"/>
  <c r="AK183" i="2"/>
  <c r="AK182" i="2"/>
  <c r="AK181" i="2"/>
  <c r="AK180" i="2"/>
  <c r="AK179" i="2"/>
  <c r="AK178" i="2"/>
  <c r="AK177" i="2"/>
  <c r="AK176" i="2"/>
  <c r="AK175" i="2"/>
  <c r="AK243" i="2"/>
  <c r="AK241" i="2"/>
  <c r="AK174" i="2"/>
  <c r="AK173" i="2"/>
  <c r="AK172" i="2"/>
  <c r="AK171" i="2"/>
  <c r="AK170" i="2"/>
  <c r="AK169" i="2"/>
  <c r="AK168" i="2"/>
  <c r="AK167" i="2"/>
  <c r="AK166" i="2"/>
  <c r="AK165" i="2"/>
  <c r="AK164" i="2"/>
  <c r="AK163" i="2"/>
  <c r="AK162" i="2"/>
  <c r="AK161" i="2"/>
  <c r="AK160" i="2"/>
  <c r="AK159" i="2"/>
  <c r="AK158" i="2"/>
  <c r="AK157" i="2"/>
  <c r="AK156" i="2"/>
  <c r="AK155" i="2"/>
  <c r="AK154" i="2"/>
  <c r="AK153" i="2"/>
  <c r="AK152" i="2"/>
  <c r="AK151" i="2"/>
  <c r="AK150" i="2"/>
  <c r="AK149" i="2"/>
  <c r="AK148" i="2"/>
  <c r="AK147" i="2"/>
  <c r="AK146" i="2"/>
  <c r="AK145" i="2"/>
  <c r="AK144" i="2"/>
  <c r="AK143" i="2"/>
  <c r="AK142" i="2"/>
  <c r="AK141" i="2"/>
  <c r="AK140" i="2"/>
  <c r="AK139" i="2"/>
  <c r="AK138" i="2"/>
  <c r="AK137" i="2"/>
  <c r="AK136" i="2"/>
  <c r="AK135" i="2"/>
  <c r="AK134" i="2"/>
  <c r="AK133" i="2"/>
  <c r="AK132" i="2"/>
  <c r="AK131" i="2"/>
  <c r="AK130" i="2"/>
  <c r="AK129" i="2"/>
  <c r="AK128" i="2"/>
  <c r="AK127" i="2"/>
  <c r="AK126" i="2"/>
  <c r="AK125" i="2"/>
  <c r="AK124" i="2"/>
  <c r="AK123" i="2"/>
  <c r="AK116" i="2"/>
  <c r="AK108" i="2"/>
  <c r="AK100" i="2"/>
  <c r="AK92" i="2"/>
  <c r="AK79" i="2"/>
  <c r="AK75" i="2"/>
  <c r="AK71" i="2"/>
  <c r="AK67" i="2"/>
  <c r="AK62" i="2"/>
  <c r="AK119" i="2"/>
  <c r="AK111" i="2"/>
  <c r="AK103" i="2"/>
  <c r="AK95" i="2"/>
  <c r="AK87" i="2"/>
  <c r="AK83" i="2"/>
  <c r="AK63" i="2"/>
  <c r="AK113" i="2"/>
  <c r="AK97" i="2"/>
  <c r="AK82" i="2"/>
  <c r="AK122" i="2"/>
  <c r="AK114" i="2"/>
  <c r="AK106" i="2"/>
  <c r="AK98" i="2"/>
  <c r="AK90" i="2"/>
  <c r="AK78" i="2"/>
  <c r="AK74" i="2"/>
  <c r="AK70" i="2"/>
  <c r="AK64" i="2"/>
  <c r="AK105" i="2"/>
  <c r="AK117" i="2"/>
  <c r="AK109" i="2"/>
  <c r="AK101" i="2"/>
  <c r="AK93" i="2"/>
  <c r="AK85" i="2"/>
  <c r="AK84" i="2"/>
  <c r="AK65" i="2"/>
  <c r="AK120" i="2"/>
  <c r="AK112" i="2"/>
  <c r="AK104" i="2"/>
  <c r="AK96" i="2"/>
  <c r="AK88" i="2"/>
  <c r="AK77" i="2"/>
  <c r="AK73" i="2"/>
  <c r="AK69" i="2"/>
  <c r="AK66" i="2"/>
  <c r="AK61" i="2"/>
  <c r="AK60" i="2"/>
  <c r="AK59" i="2"/>
  <c r="AK58" i="2"/>
  <c r="AK57" i="2"/>
  <c r="AK56" i="2"/>
  <c r="AK55" i="2"/>
  <c r="AK54" i="2"/>
  <c r="AK53" i="2"/>
  <c r="AK52" i="2"/>
  <c r="AK51" i="2"/>
  <c r="AK50" i="2"/>
  <c r="AK49" i="2"/>
  <c r="AK48" i="2"/>
  <c r="AK47" i="2"/>
  <c r="AK46" i="2"/>
  <c r="AK45" i="2"/>
  <c r="AK44" i="2"/>
  <c r="AK43" i="2"/>
  <c r="AK42" i="2"/>
  <c r="AK41" i="2"/>
  <c r="AK40" i="2"/>
  <c r="AK39" i="2"/>
  <c r="AK38" i="2"/>
  <c r="AK37" i="2"/>
  <c r="AK36" i="2"/>
  <c r="AK35" i="2"/>
  <c r="AK34" i="2"/>
  <c r="AK33" i="2"/>
  <c r="AK32" i="2"/>
  <c r="AK31" i="2"/>
  <c r="AK30" i="2"/>
  <c r="AK29" i="2"/>
  <c r="AK28" i="2"/>
  <c r="AK27" i="2"/>
  <c r="AK26" i="2"/>
  <c r="AK25" i="2"/>
  <c r="AK24" i="2"/>
  <c r="AK23" i="2"/>
  <c r="AK22" i="2"/>
  <c r="AK21" i="2"/>
  <c r="AK20" i="2"/>
  <c r="AK89" i="2"/>
  <c r="AK115" i="2"/>
  <c r="AK107" i="2"/>
  <c r="AK99" i="2"/>
  <c r="AK91" i="2"/>
  <c r="AK81" i="2"/>
  <c r="AK121" i="2"/>
  <c r="AK118" i="2"/>
  <c r="AK110" i="2"/>
  <c r="AK102" i="2"/>
  <c r="AK94" i="2"/>
  <c r="AK86" i="2"/>
  <c r="AK80" i="2"/>
  <c r="AK76" i="2"/>
  <c r="AK72" i="2"/>
  <c r="AK68" i="2"/>
  <c r="AE8" i="2"/>
  <c r="AE4" i="2"/>
  <c r="AE7" i="2"/>
  <c r="AE5" i="2"/>
  <c r="AF20" i="2"/>
  <c r="AE3" i="2"/>
  <c r="AL524" i="2"/>
  <c r="AL516" i="2"/>
  <c r="AL523" i="2"/>
  <c r="AL529" i="2"/>
  <c r="AL532" i="2"/>
  <c r="AL528" i="2"/>
  <c r="AL520" i="2"/>
  <c r="AL527" i="2"/>
  <c r="AL519" i="2"/>
  <c r="AL526" i="2"/>
  <c r="AL513" i="2"/>
  <c r="AL505" i="2"/>
  <c r="AL517" i="2"/>
  <c r="AL525" i="2"/>
  <c r="AL518" i="2"/>
  <c r="AL511" i="2"/>
  <c r="AL510" i="2"/>
  <c r="AL533" i="2"/>
  <c r="AL531" i="2"/>
  <c r="AL509" i="2"/>
  <c r="AL522" i="2"/>
  <c r="AL515" i="2"/>
  <c r="AL514" i="2"/>
  <c r="AL499" i="2"/>
  <c r="AL498" i="2"/>
  <c r="AL506" i="2"/>
  <c r="AL504" i="2"/>
  <c r="AL496" i="2"/>
  <c r="AL521" i="2"/>
  <c r="AL508" i="2"/>
  <c r="AL503" i="2"/>
  <c r="AL495" i="2"/>
  <c r="AL530" i="2"/>
  <c r="AL493" i="2"/>
  <c r="AL485" i="2"/>
  <c r="AL502" i="2"/>
  <c r="AL501" i="2"/>
  <c r="AL492" i="2"/>
  <c r="AL484" i="2"/>
  <c r="AL491" i="2"/>
  <c r="AL512" i="2"/>
  <c r="AL489" i="2"/>
  <c r="AL497" i="2"/>
  <c r="AL488" i="2"/>
  <c r="AL500" i="2"/>
  <c r="AL490" i="2"/>
  <c r="AL487" i="2"/>
  <c r="AL480" i="2"/>
  <c r="AL479" i="2"/>
  <c r="AL477" i="2"/>
  <c r="AL476" i="2"/>
  <c r="AL472" i="2"/>
  <c r="AL464" i="2"/>
  <c r="AL507" i="2"/>
  <c r="AL478" i="2"/>
  <c r="AL471" i="2"/>
  <c r="AL463" i="2"/>
  <c r="AL470" i="2"/>
  <c r="AL462" i="2"/>
  <c r="AL494" i="2"/>
  <c r="AL483" i="2"/>
  <c r="AL481" i="2"/>
  <c r="AL473" i="2"/>
  <c r="AL469" i="2"/>
  <c r="AL461" i="2"/>
  <c r="AL468" i="2"/>
  <c r="AL482" i="2"/>
  <c r="AL474" i="2"/>
  <c r="AL467" i="2"/>
  <c r="AL486" i="2"/>
  <c r="AL475" i="2"/>
  <c r="AL466" i="2"/>
  <c r="AL454" i="2"/>
  <c r="AL446" i="2"/>
  <c r="AL438" i="2"/>
  <c r="AL430" i="2"/>
  <c r="AL453" i="2"/>
  <c r="AL445" i="2"/>
  <c r="AL437" i="2"/>
  <c r="AL465" i="2"/>
  <c r="AL452" i="2"/>
  <c r="AL444" i="2"/>
  <c r="AL436" i="2"/>
  <c r="AL459" i="2"/>
  <c r="AL451" i="2"/>
  <c r="AL458" i="2"/>
  <c r="AL450" i="2"/>
  <c r="AL442" i="2"/>
  <c r="AL434" i="2"/>
  <c r="AL460" i="2"/>
  <c r="AL457" i="2"/>
  <c r="AL449" i="2"/>
  <c r="AL441" i="2"/>
  <c r="AL433" i="2"/>
  <c r="AL432" i="2"/>
  <c r="AL435" i="2"/>
  <c r="AL421" i="2"/>
  <c r="AL413" i="2"/>
  <c r="AL447" i="2"/>
  <c r="AL420" i="2"/>
  <c r="AL412" i="2"/>
  <c r="AL455" i="2"/>
  <c r="AL440" i="2"/>
  <c r="AL431" i="2"/>
  <c r="AL456" i="2"/>
  <c r="AL443" i="2"/>
  <c r="AL428" i="2"/>
  <c r="AL426" i="2"/>
  <c r="AL418" i="2"/>
  <c r="AL425" i="2"/>
  <c r="AL417" i="2"/>
  <c r="AL419" i="2"/>
  <c r="AL422" i="2"/>
  <c r="AL427" i="2"/>
  <c r="AL423" i="2"/>
  <c r="AL403" i="2"/>
  <c r="AL402" i="2"/>
  <c r="AL401" i="2"/>
  <c r="AL400" i="2"/>
  <c r="AL399" i="2"/>
  <c r="AL398" i="2"/>
  <c r="AL397" i="2"/>
  <c r="AL396" i="2"/>
  <c r="AL395" i="2"/>
  <c r="AL394" i="2"/>
  <c r="AL393" i="2"/>
  <c r="AL392" i="2"/>
  <c r="AL391" i="2"/>
  <c r="AL390" i="2"/>
  <c r="AL389" i="2"/>
  <c r="AL388" i="2"/>
  <c r="AL387" i="2"/>
  <c r="AL386" i="2"/>
  <c r="AL448" i="2"/>
  <c r="AL429" i="2"/>
  <c r="AL424" i="2"/>
  <c r="AL415" i="2"/>
  <c r="AL408" i="2"/>
  <c r="AL405" i="2"/>
  <c r="AL410" i="2"/>
  <c r="AL407" i="2"/>
  <c r="AL385" i="2"/>
  <c r="AL411" i="2"/>
  <c r="AL404" i="2"/>
  <c r="AL439" i="2"/>
  <c r="AL406" i="2"/>
  <c r="AL378" i="2"/>
  <c r="AL371" i="2"/>
  <c r="AL381" i="2"/>
  <c r="AL373" i="2"/>
  <c r="AL409" i="2"/>
  <c r="AL384" i="2"/>
  <c r="AL376" i="2"/>
  <c r="AL367" i="2"/>
  <c r="AL366" i="2"/>
  <c r="AL365" i="2"/>
  <c r="AL364" i="2"/>
  <c r="AL363" i="2"/>
  <c r="AL362" i="2"/>
  <c r="AL361" i="2"/>
  <c r="AL360" i="2"/>
  <c r="AL359" i="2"/>
  <c r="AL358" i="2"/>
  <c r="AL357" i="2"/>
  <c r="AL356" i="2"/>
  <c r="AL355" i="2"/>
  <c r="AL354" i="2"/>
  <c r="AL353" i="2"/>
  <c r="AL352" i="2"/>
  <c r="AL351" i="2"/>
  <c r="AL350" i="2"/>
  <c r="AL349" i="2"/>
  <c r="AL348" i="2"/>
  <c r="AL347" i="2"/>
  <c r="AL346" i="2"/>
  <c r="AL345" i="2"/>
  <c r="AL379" i="2"/>
  <c r="AL414" i="2"/>
  <c r="AL382" i="2"/>
  <c r="AL374" i="2"/>
  <c r="AL377" i="2"/>
  <c r="AL368" i="2"/>
  <c r="AL380" i="2"/>
  <c r="AL372" i="2"/>
  <c r="AL369" i="2"/>
  <c r="AL370" i="2"/>
  <c r="AL341" i="2"/>
  <c r="AL340" i="2"/>
  <c r="AL339" i="2"/>
  <c r="AL338" i="2"/>
  <c r="AL337" i="2"/>
  <c r="AL336" i="2"/>
  <c r="AL335" i="2"/>
  <c r="AL334" i="2"/>
  <c r="AL333" i="2"/>
  <c r="AL332" i="2"/>
  <c r="AL331" i="2"/>
  <c r="AL330" i="2"/>
  <c r="AL329" i="2"/>
  <c r="AL328" i="2"/>
  <c r="AL327" i="2"/>
  <c r="AL326" i="2"/>
  <c r="AL325" i="2"/>
  <c r="AL324" i="2"/>
  <c r="AL323" i="2"/>
  <c r="AL322" i="2"/>
  <c r="AL321" i="2"/>
  <c r="AL320" i="2"/>
  <c r="AL342" i="2"/>
  <c r="AL344" i="2"/>
  <c r="AL383" i="2"/>
  <c r="AL375" i="2"/>
  <c r="AL416" i="2"/>
  <c r="AL343" i="2"/>
  <c r="AL319" i="2"/>
  <c r="AL311" i="2"/>
  <c r="AL303" i="2"/>
  <c r="AL295" i="2"/>
  <c r="AL291" i="2"/>
  <c r="AL318" i="2"/>
  <c r="AL310" i="2"/>
  <c r="AL302" i="2"/>
  <c r="AL294" i="2"/>
  <c r="AL288" i="2"/>
  <c r="AL317" i="2"/>
  <c r="AL309" i="2"/>
  <c r="AL301" i="2"/>
  <c r="AL293" i="2"/>
  <c r="AL285" i="2"/>
  <c r="AL316" i="2"/>
  <c r="AL308" i="2"/>
  <c r="AL300" i="2"/>
  <c r="AL290" i="2"/>
  <c r="AL315" i="2"/>
  <c r="AL307" i="2"/>
  <c r="AL299" i="2"/>
  <c r="AL287" i="2"/>
  <c r="AL314" i="2"/>
  <c r="AL306" i="2"/>
  <c r="AL298" i="2"/>
  <c r="AL292" i="2"/>
  <c r="AL313" i="2"/>
  <c r="AL305" i="2"/>
  <c r="AL297" i="2"/>
  <c r="AL289" i="2"/>
  <c r="AL284" i="2"/>
  <c r="AL275" i="2"/>
  <c r="AL272" i="2"/>
  <c r="AL283" i="2"/>
  <c r="AL279" i="2"/>
  <c r="AL277" i="2"/>
  <c r="AL304" i="2"/>
  <c r="AL282" i="2"/>
  <c r="AL274" i="2"/>
  <c r="AL280" i="2"/>
  <c r="AL286" i="2"/>
  <c r="AL281" i="2"/>
  <c r="AL276" i="2"/>
  <c r="AL273" i="2"/>
  <c r="AL271" i="2"/>
  <c r="AL270" i="2"/>
  <c r="AL269" i="2"/>
  <c r="AL268" i="2"/>
  <c r="AL267" i="2"/>
  <c r="AL266" i="2"/>
  <c r="AL265" i="2"/>
  <c r="AL264" i="2"/>
  <c r="AL263" i="2"/>
  <c r="AL262" i="2"/>
  <c r="AL261" i="2"/>
  <c r="AL260" i="2"/>
  <c r="AL312" i="2"/>
  <c r="AL296" i="2"/>
  <c r="AL246" i="2"/>
  <c r="AL239" i="2"/>
  <c r="AL238" i="2"/>
  <c r="AL237" i="2"/>
  <c r="AL236" i="2"/>
  <c r="AL235" i="2"/>
  <c r="AL234" i="2"/>
  <c r="AL233" i="2"/>
  <c r="AL232" i="2"/>
  <c r="AL231" i="2"/>
  <c r="AL230" i="2"/>
  <c r="AL229" i="2"/>
  <c r="AL228" i="2"/>
  <c r="AL227" i="2"/>
  <c r="AL226" i="2"/>
  <c r="AL225" i="2"/>
  <c r="AL224" i="2"/>
  <c r="AL223" i="2"/>
  <c r="AL222" i="2"/>
  <c r="AL221" i="2"/>
  <c r="AL278" i="2"/>
  <c r="AL257" i="2"/>
  <c r="AL253" i="2"/>
  <c r="AL249" i="2"/>
  <c r="AL247" i="2"/>
  <c r="AL242" i="2"/>
  <c r="AL240" i="2"/>
  <c r="AL258" i="2"/>
  <c r="AL252" i="2"/>
  <c r="AL248" i="2"/>
  <c r="AL244" i="2"/>
  <c r="AL245" i="2"/>
  <c r="AL243" i="2"/>
  <c r="AL241" i="2"/>
  <c r="AL256" i="2"/>
  <c r="AL254" i="2"/>
  <c r="AL250" i="2"/>
  <c r="AL193" i="2"/>
  <c r="AL185" i="2"/>
  <c r="AL183" i="2"/>
  <c r="AL179" i="2"/>
  <c r="AL217" i="2"/>
  <c r="AL213" i="2"/>
  <c r="AL209" i="2"/>
  <c r="AL205" i="2"/>
  <c r="AL201" i="2"/>
  <c r="AL197" i="2"/>
  <c r="AL188" i="2"/>
  <c r="AL182" i="2"/>
  <c r="AL174" i="2"/>
  <c r="AL173" i="2"/>
  <c r="AL172" i="2"/>
  <c r="AL171" i="2"/>
  <c r="AL170" i="2"/>
  <c r="AL169" i="2"/>
  <c r="AL168" i="2"/>
  <c r="AL167" i="2"/>
  <c r="AL166" i="2"/>
  <c r="AL165" i="2"/>
  <c r="AL164" i="2"/>
  <c r="AL163" i="2"/>
  <c r="AL162" i="2"/>
  <c r="AL161" i="2"/>
  <c r="AL160" i="2"/>
  <c r="AL159" i="2"/>
  <c r="AL158" i="2"/>
  <c r="AL157" i="2"/>
  <c r="AL156" i="2"/>
  <c r="AL155" i="2"/>
  <c r="AL154" i="2"/>
  <c r="AL153" i="2"/>
  <c r="AL152" i="2"/>
  <c r="AL151" i="2"/>
  <c r="AL150" i="2"/>
  <c r="AL149" i="2"/>
  <c r="AL148" i="2"/>
  <c r="AL147" i="2"/>
  <c r="AL146" i="2"/>
  <c r="AL145" i="2"/>
  <c r="AL144" i="2"/>
  <c r="AL143" i="2"/>
  <c r="AL142" i="2"/>
  <c r="AL141" i="2"/>
  <c r="AL140" i="2"/>
  <c r="AL139" i="2"/>
  <c r="AL138" i="2"/>
  <c r="AL137" i="2"/>
  <c r="AL136" i="2"/>
  <c r="AL135" i="2"/>
  <c r="AL134" i="2"/>
  <c r="AL133" i="2"/>
  <c r="AL132" i="2"/>
  <c r="AL131" i="2"/>
  <c r="AL130" i="2"/>
  <c r="AL129" i="2"/>
  <c r="AL128" i="2"/>
  <c r="AL127" i="2"/>
  <c r="AL126" i="2"/>
  <c r="AL125" i="2"/>
  <c r="AL124" i="2"/>
  <c r="AL191" i="2"/>
  <c r="AL180" i="2"/>
  <c r="AL175" i="2"/>
  <c r="AL259" i="2"/>
  <c r="AL218" i="2"/>
  <c r="AL214" i="2"/>
  <c r="AL210" i="2"/>
  <c r="AL206" i="2"/>
  <c r="AL202" i="2"/>
  <c r="AL198" i="2"/>
  <c r="AL194" i="2"/>
  <c r="AL186" i="2"/>
  <c r="AL189" i="2"/>
  <c r="AL181" i="2"/>
  <c r="AL177" i="2"/>
  <c r="AL251" i="2"/>
  <c r="AL219" i="2"/>
  <c r="AL215" i="2"/>
  <c r="AL211" i="2"/>
  <c r="AL207" i="2"/>
  <c r="AL203" i="2"/>
  <c r="AL199" i="2"/>
  <c r="AL195" i="2"/>
  <c r="AL192" i="2"/>
  <c r="AL187" i="2"/>
  <c r="AL176" i="2"/>
  <c r="AL255" i="2"/>
  <c r="AL190" i="2"/>
  <c r="AL123" i="2"/>
  <c r="AL178" i="2"/>
  <c r="AL220" i="2"/>
  <c r="AL212" i="2"/>
  <c r="AL204" i="2"/>
  <c r="AL196" i="2"/>
  <c r="AL208" i="2"/>
  <c r="AL119" i="2"/>
  <c r="AL111" i="2"/>
  <c r="AL103" i="2"/>
  <c r="AL95" i="2"/>
  <c r="AL87" i="2"/>
  <c r="AL83" i="2"/>
  <c r="AL63" i="2"/>
  <c r="AL122" i="2"/>
  <c r="AL114" i="2"/>
  <c r="AL106" i="2"/>
  <c r="AL98" i="2"/>
  <c r="AL90" i="2"/>
  <c r="AL78" i="2"/>
  <c r="AL74" i="2"/>
  <c r="AL70" i="2"/>
  <c r="AL64" i="2"/>
  <c r="AL116" i="2"/>
  <c r="AL79" i="2"/>
  <c r="AL200" i="2"/>
  <c r="AL117" i="2"/>
  <c r="AL109" i="2"/>
  <c r="AL101" i="2"/>
  <c r="AL93" i="2"/>
  <c r="AL85" i="2"/>
  <c r="AL84" i="2"/>
  <c r="AL65" i="2"/>
  <c r="AL120" i="2"/>
  <c r="AL112" i="2"/>
  <c r="AL104" i="2"/>
  <c r="AL96" i="2"/>
  <c r="AL88" i="2"/>
  <c r="AL77" i="2"/>
  <c r="AL73" i="2"/>
  <c r="AL69" i="2"/>
  <c r="AL66" i="2"/>
  <c r="AL61" i="2"/>
  <c r="AL60" i="2"/>
  <c r="AL59" i="2"/>
  <c r="AL58" i="2"/>
  <c r="AL57" i="2"/>
  <c r="AL56" i="2"/>
  <c r="AL55" i="2"/>
  <c r="AL54" i="2"/>
  <c r="AL53" i="2"/>
  <c r="AL52" i="2"/>
  <c r="AL51" i="2"/>
  <c r="AL50" i="2"/>
  <c r="AL49" i="2"/>
  <c r="AL48" i="2"/>
  <c r="AL47" i="2"/>
  <c r="AL46" i="2"/>
  <c r="AL45" i="2"/>
  <c r="AL44" i="2"/>
  <c r="AL43" i="2"/>
  <c r="AL42" i="2"/>
  <c r="AL41" i="2"/>
  <c r="AL40" i="2"/>
  <c r="AL39" i="2"/>
  <c r="AL38" i="2"/>
  <c r="AL37" i="2"/>
  <c r="AL36" i="2"/>
  <c r="AL35" i="2"/>
  <c r="AL34" i="2"/>
  <c r="AL33" i="2"/>
  <c r="AL32" i="2"/>
  <c r="AL31" i="2"/>
  <c r="AL30" i="2"/>
  <c r="AL29" i="2"/>
  <c r="AL28" i="2"/>
  <c r="AL27" i="2"/>
  <c r="AL26" i="2"/>
  <c r="AL25" i="2"/>
  <c r="AL24" i="2"/>
  <c r="AL23" i="2"/>
  <c r="AL22" i="2"/>
  <c r="AL21" i="2"/>
  <c r="AL20" i="2"/>
  <c r="AL92" i="2"/>
  <c r="AL71" i="2"/>
  <c r="AL67" i="2"/>
  <c r="AL115" i="2"/>
  <c r="AL107" i="2"/>
  <c r="AL99" i="2"/>
  <c r="AL91" i="2"/>
  <c r="AL81" i="2"/>
  <c r="AL100" i="2"/>
  <c r="AL62" i="2"/>
  <c r="AL184" i="2"/>
  <c r="AL118" i="2"/>
  <c r="AL110" i="2"/>
  <c r="AL102" i="2"/>
  <c r="AL94" i="2"/>
  <c r="AL86" i="2"/>
  <c r="AL80" i="2"/>
  <c r="AL76" i="2"/>
  <c r="AL72" i="2"/>
  <c r="AL68" i="2"/>
  <c r="AL108" i="2"/>
  <c r="AL216" i="2"/>
  <c r="AL121" i="2"/>
  <c r="AL113" i="2"/>
  <c r="AL105" i="2"/>
  <c r="AL97" i="2"/>
  <c r="AL89" i="2"/>
  <c r="AL82" i="2"/>
  <c r="AL75" i="2"/>
  <c r="AW122" i="2"/>
  <c r="T11" i="2"/>
  <c r="AW106" i="2"/>
  <c r="AW84" i="2"/>
  <c r="AW114" i="2"/>
  <c r="AW98" i="2"/>
  <c r="AW90" i="2"/>
  <c r="AE6" i="2"/>
  <c r="AE10" i="2" s="1"/>
  <c r="AE15" i="2" s="1"/>
  <c r="X4" i="2"/>
  <c r="AA5" i="2"/>
  <c r="CS5" i="2"/>
  <c r="AY529" i="2"/>
  <c r="AY521" i="2"/>
  <c r="AY532" i="2"/>
  <c r="AY528" i="2"/>
  <c r="AY520" i="2"/>
  <c r="AY533" i="2"/>
  <c r="AY526" i="2"/>
  <c r="AY525" i="2"/>
  <c r="AY517" i="2"/>
  <c r="AY524" i="2"/>
  <c r="AY516" i="2"/>
  <c r="AY531" i="2"/>
  <c r="AY510" i="2"/>
  <c r="AY530" i="2"/>
  <c r="AY527" i="2"/>
  <c r="AY523" i="2"/>
  <c r="AY522" i="2"/>
  <c r="AY508" i="2"/>
  <c r="AY515" i="2"/>
  <c r="AY514" i="2"/>
  <c r="AY506" i="2"/>
  <c r="AY512" i="2"/>
  <c r="AY519" i="2"/>
  <c r="AY507" i="2"/>
  <c r="AY496" i="2"/>
  <c r="AY504" i="2"/>
  <c r="AY503" i="2"/>
  <c r="AY495" i="2"/>
  <c r="AY518" i="2"/>
  <c r="AY509" i="2"/>
  <c r="AY501" i="2"/>
  <c r="AY500" i="2"/>
  <c r="AY499" i="2"/>
  <c r="AY498" i="2"/>
  <c r="AY497" i="2"/>
  <c r="AY490" i="2"/>
  <c r="AY489" i="2"/>
  <c r="AY488" i="2"/>
  <c r="AY513" i="2"/>
  <c r="AY502" i="2"/>
  <c r="AY505" i="2"/>
  <c r="AY486" i="2"/>
  <c r="AY477" i="2"/>
  <c r="AY485" i="2"/>
  <c r="AY476" i="2"/>
  <c r="AY491" i="2"/>
  <c r="AY494" i="2"/>
  <c r="AY493" i="2"/>
  <c r="AY482" i="2"/>
  <c r="AY474" i="2"/>
  <c r="AY511" i="2"/>
  <c r="AY487" i="2"/>
  <c r="AY481" i="2"/>
  <c r="AY473" i="2"/>
  <c r="AY469" i="2"/>
  <c r="AY483" i="2"/>
  <c r="AY475" i="2"/>
  <c r="AY468" i="2"/>
  <c r="AY467" i="2"/>
  <c r="AY466" i="2"/>
  <c r="AY484" i="2"/>
  <c r="AY480" i="2"/>
  <c r="AY479" i="2"/>
  <c r="AY478" i="2"/>
  <c r="AY465" i="2"/>
  <c r="AY492" i="2"/>
  <c r="AY472" i="2"/>
  <c r="AY471" i="2"/>
  <c r="AY463" i="2"/>
  <c r="AY451" i="2"/>
  <c r="AY443" i="2"/>
  <c r="AY435" i="2"/>
  <c r="AY427" i="2"/>
  <c r="AY462" i="2"/>
  <c r="AY461" i="2"/>
  <c r="AY459" i="2"/>
  <c r="AY458" i="2"/>
  <c r="AY450" i="2"/>
  <c r="AY442" i="2"/>
  <c r="AY434" i="2"/>
  <c r="AY457" i="2"/>
  <c r="AY449" i="2"/>
  <c r="AY441" i="2"/>
  <c r="AY433" i="2"/>
  <c r="AY470" i="2"/>
  <c r="AY456" i="2"/>
  <c r="AY464" i="2"/>
  <c r="AY455" i="2"/>
  <c r="AY447" i="2"/>
  <c r="AY439" i="2"/>
  <c r="AY431" i="2"/>
  <c r="AY460" i="2"/>
  <c r="AY454" i="2"/>
  <c r="AY446" i="2"/>
  <c r="AY438" i="2"/>
  <c r="AY430" i="2"/>
  <c r="AY418" i="2"/>
  <c r="AY410" i="2"/>
  <c r="AY409" i="2"/>
  <c r="AY408" i="2"/>
  <c r="AY407" i="2"/>
  <c r="AY406" i="2"/>
  <c r="AY405" i="2"/>
  <c r="AY404" i="2"/>
  <c r="AY403" i="2"/>
  <c r="AY448" i="2"/>
  <c r="AY445" i="2"/>
  <c r="AY426" i="2"/>
  <c r="AY425" i="2"/>
  <c r="AY417" i="2"/>
  <c r="AY436" i="2"/>
  <c r="AY453" i="2"/>
  <c r="AY452" i="2"/>
  <c r="AY432" i="2"/>
  <c r="AY423" i="2"/>
  <c r="AY415" i="2"/>
  <c r="AY422" i="2"/>
  <c r="AY414" i="2"/>
  <c r="AY444" i="2"/>
  <c r="AY429" i="2"/>
  <c r="AY416" i="2"/>
  <c r="AY428" i="2"/>
  <c r="AY421" i="2"/>
  <c r="AY440" i="2"/>
  <c r="AY420" i="2"/>
  <c r="AY419" i="2"/>
  <c r="AY413" i="2"/>
  <c r="AY412" i="2"/>
  <c r="AY437" i="2"/>
  <c r="AY424" i="2"/>
  <c r="AY402" i="2"/>
  <c r="AY394" i="2"/>
  <c r="AY386" i="2"/>
  <c r="AY399" i="2"/>
  <c r="AY391" i="2"/>
  <c r="AY401" i="2"/>
  <c r="AY393" i="2"/>
  <c r="AY398" i="2"/>
  <c r="AY390" i="2"/>
  <c r="AY384" i="2"/>
  <c r="AY383" i="2"/>
  <c r="AY382" i="2"/>
  <c r="AY381" i="2"/>
  <c r="AY380" i="2"/>
  <c r="AY379" i="2"/>
  <c r="AY378" i="2"/>
  <c r="AY377" i="2"/>
  <c r="AY376" i="2"/>
  <c r="AY375" i="2"/>
  <c r="AY374" i="2"/>
  <c r="AY373" i="2"/>
  <c r="AY372" i="2"/>
  <c r="AY371" i="2"/>
  <c r="AY370" i="2"/>
  <c r="AY369" i="2"/>
  <c r="AY368" i="2"/>
  <c r="AY397" i="2"/>
  <c r="AY389" i="2"/>
  <c r="AY367" i="2"/>
  <c r="AY366" i="2"/>
  <c r="AY365" i="2"/>
  <c r="AY364" i="2"/>
  <c r="AY363" i="2"/>
  <c r="AY362" i="2"/>
  <c r="AY385" i="2"/>
  <c r="AY400" i="2"/>
  <c r="AY395" i="2"/>
  <c r="AY387" i="2"/>
  <c r="AY411" i="2"/>
  <c r="AY392" i="2"/>
  <c r="AY358" i="2"/>
  <c r="AY350" i="2"/>
  <c r="AY342" i="2"/>
  <c r="AY355" i="2"/>
  <c r="AY396" i="2"/>
  <c r="AY360" i="2"/>
  <c r="AY352" i="2"/>
  <c r="AY345" i="2"/>
  <c r="AY388" i="2"/>
  <c r="AY357" i="2"/>
  <c r="AY349" i="2"/>
  <c r="AY346" i="2"/>
  <c r="AY344" i="2"/>
  <c r="AY354" i="2"/>
  <c r="AY347" i="2"/>
  <c r="AY343" i="2"/>
  <c r="AY359" i="2"/>
  <c r="AY351" i="2"/>
  <c r="AY356" i="2"/>
  <c r="AY348" i="2"/>
  <c r="AY341" i="2"/>
  <c r="AY340" i="2"/>
  <c r="AY339" i="2"/>
  <c r="AY338" i="2"/>
  <c r="AY337" i="2"/>
  <c r="AY336" i="2"/>
  <c r="AY335" i="2"/>
  <c r="AY334" i="2"/>
  <c r="AY333" i="2"/>
  <c r="AY332" i="2"/>
  <c r="AY331" i="2"/>
  <c r="AY330" i="2"/>
  <c r="AY329" i="2"/>
  <c r="AY328" i="2"/>
  <c r="AY327" i="2"/>
  <c r="AY326" i="2"/>
  <c r="AY325" i="2"/>
  <c r="AY324" i="2"/>
  <c r="AY323" i="2"/>
  <c r="AY322" i="2"/>
  <c r="AY321" i="2"/>
  <c r="AY320" i="2"/>
  <c r="AY319" i="2"/>
  <c r="AY318" i="2"/>
  <c r="AY317" i="2"/>
  <c r="AY316" i="2"/>
  <c r="AY315" i="2"/>
  <c r="AY314" i="2"/>
  <c r="AY313" i="2"/>
  <c r="AY312" i="2"/>
  <c r="AY311" i="2"/>
  <c r="AY310" i="2"/>
  <c r="AY309" i="2"/>
  <c r="AY308" i="2"/>
  <c r="AY307" i="2"/>
  <c r="AY306" i="2"/>
  <c r="AY305" i="2"/>
  <c r="AY304" i="2"/>
  <c r="AY303" i="2"/>
  <c r="AY302" i="2"/>
  <c r="AY301" i="2"/>
  <c r="AY300" i="2"/>
  <c r="AY299" i="2"/>
  <c r="AY298" i="2"/>
  <c r="AY297" i="2"/>
  <c r="AY296" i="2"/>
  <c r="AY295" i="2"/>
  <c r="AY294" i="2"/>
  <c r="AY293" i="2"/>
  <c r="AY292" i="2"/>
  <c r="AY291" i="2"/>
  <c r="AY290" i="2"/>
  <c r="AY289" i="2"/>
  <c r="AY288" i="2"/>
  <c r="AY287" i="2"/>
  <c r="AY286" i="2"/>
  <c r="AY285" i="2"/>
  <c r="AY361" i="2"/>
  <c r="AY284" i="2"/>
  <c r="AY283" i="2"/>
  <c r="AY282" i="2"/>
  <c r="AY281" i="2"/>
  <c r="AY280" i="2"/>
  <c r="AY279" i="2"/>
  <c r="AY278" i="2"/>
  <c r="AY277" i="2"/>
  <c r="AY276" i="2"/>
  <c r="AY275" i="2"/>
  <c r="AY274" i="2"/>
  <c r="AY273" i="2"/>
  <c r="AY272" i="2"/>
  <c r="AY271" i="2"/>
  <c r="AY270" i="2"/>
  <c r="AY269" i="2"/>
  <c r="AY268" i="2"/>
  <c r="AY267" i="2"/>
  <c r="AY266" i="2"/>
  <c r="AY265" i="2"/>
  <c r="AY264" i="2"/>
  <c r="AY263" i="2"/>
  <c r="AY262" i="2"/>
  <c r="AY261" i="2"/>
  <c r="AY260" i="2"/>
  <c r="AY259" i="2"/>
  <c r="AY258" i="2"/>
  <c r="AY257" i="2"/>
  <c r="AY256" i="2"/>
  <c r="AY255" i="2"/>
  <c r="AY254" i="2"/>
  <c r="AY253" i="2"/>
  <c r="AY252" i="2"/>
  <c r="AY251" i="2"/>
  <c r="AY250" i="2"/>
  <c r="AY249" i="2"/>
  <c r="AY248" i="2"/>
  <c r="AY247" i="2"/>
  <c r="AY246" i="2"/>
  <c r="AY242" i="2"/>
  <c r="AY240" i="2"/>
  <c r="AY244" i="2"/>
  <c r="AY220" i="2"/>
  <c r="AY219" i="2"/>
  <c r="AY218" i="2"/>
  <c r="AY217" i="2"/>
  <c r="AY216" i="2"/>
  <c r="AY215" i="2"/>
  <c r="AY214" i="2"/>
  <c r="AY213" i="2"/>
  <c r="AY212" i="2"/>
  <c r="AY211" i="2"/>
  <c r="AY210" i="2"/>
  <c r="AY209" i="2"/>
  <c r="AY208" i="2"/>
  <c r="AY207" i="2"/>
  <c r="AY206" i="2"/>
  <c r="AY205" i="2"/>
  <c r="AY204" i="2"/>
  <c r="AY203" i="2"/>
  <c r="AY202" i="2"/>
  <c r="AY201" i="2"/>
  <c r="AY200" i="2"/>
  <c r="AY199" i="2"/>
  <c r="AY198" i="2"/>
  <c r="AY197" i="2"/>
  <c r="AY196" i="2"/>
  <c r="AY195" i="2"/>
  <c r="AY194" i="2"/>
  <c r="AY193" i="2"/>
  <c r="AY192" i="2"/>
  <c r="AY191" i="2"/>
  <c r="AY190" i="2"/>
  <c r="AY189" i="2"/>
  <c r="AY188" i="2"/>
  <c r="AY187" i="2"/>
  <c r="AY186" i="2"/>
  <c r="AY185" i="2"/>
  <c r="AY184" i="2"/>
  <c r="AY183" i="2"/>
  <c r="AY182" i="2"/>
  <c r="AY181" i="2"/>
  <c r="AY180" i="2"/>
  <c r="AY179" i="2"/>
  <c r="AY178" i="2"/>
  <c r="AY239" i="2"/>
  <c r="AY238" i="2"/>
  <c r="AY237" i="2"/>
  <c r="AY236" i="2"/>
  <c r="AY235" i="2"/>
  <c r="AY234" i="2"/>
  <c r="AY233" i="2"/>
  <c r="AY232" i="2"/>
  <c r="AY231" i="2"/>
  <c r="AY230" i="2"/>
  <c r="AY229" i="2"/>
  <c r="AY228" i="2"/>
  <c r="AY227" i="2"/>
  <c r="AY226" i="2"/>
  <c r="AY225" i="2"/>
  <c r="AY224" i="2"/>
  <c r="AY223" i="2"/>
  <c r="AY222" i="2"/>
  <c r="AY221" i="2"/>
  <c r="AY175" i="2"/>
  <c r="AY245" i="2"/>
  <c r="AY243" i="2"/>
  <c r="AY353" i="2"/>
  <c r="AY177" i="2"/>
  <c r="AY176" i="2"/>
  <c r="AY241" i="2"/>
  <c r="AY123" i="2"/>
  <c r="AY172" i="2"/>
  <c r="AY168" i="2"/>
  <c r="AY164" i="2"/>
  <c r="AY160" i="2"/>
  <c r="AY156" i="2"/>
  <c r="AY152" i="2"/>
  <c r="AY148" i="2"/>
  <c r="AY144" i="2"/>
  <c r="AY140" i="2"/>
  <c r="AY136" i="2"/>
  <c r="AY131" i="2"/>
  <c r="AY127" i="2"/>
  <c r="AY171" i="2"/>
  <c r="AY167" i="2"/>
  <c r="AY163" i="2"/>
  <c r="AY159" i="2"/>
  <c r="AY155" i="2"/>
  <c r="AY151" i="2"/>
  <c r="AY147" i="2"/>
  <c r="AY143" i="2"/>
  <c r="AY139" i="2"/>
  <c r="AY135" i="2"/>
  <c r="AY132" i="2"/>
  <c r="AY128" i="2"/>
  <c r="AY122" i="2"/>
  <c r="AY121" i="2"/>
  <c r="AY120" i="2"/>
  <c r="AY119" i="2"/>
  <c r="AY118" i="2"/>
  <c r="AY117" i="2"/>
  <c r="AY116" i="2"/>
  <c r="AY115" i="2"/>
  <c r="AY114" i="2"/>
  <c r="AY113" i="2"/>
  <c r="AY112" i="2"/>
  <c r="AY111" i="2"/>
  <c r="AY110" i="2"/>
  <c r="AY109" i="2"/>
  <c r="AY108" i="2"/>
  <c r="AY107" i="2"/>
  <c r="AY106" i="2"/>
  <c r="AY105" i="2"/>
  <c r="AY104" i="2"/>
  <c r="AY103" i="2"/>
  <c r="AY102" i="2"/>
  <c r="AY101" i="2"/>
  <c r="AY100" i="2"/>
  <c r="AY99" i="2"/>
  <c r="AY98" i="2"/>
  <c r="AY97" i="2"/>
  <c r="AY96" i="2"/>
  <c r="AY95" i="2"/>
  <c r="AY94" i="2"/>
  <c r="AY93" i="2"/>
  <c r="AY92" i="2"/>
  <c r="AY91" i="2"/>
  <c r="AY90" i="2"/>
  <c r="AY89" i="2"/>
  <c r="AY88" i="2"/>
  <c r="AY87" i="2"/>
  <c r="AY86" i="2"/>
  <c r="AY85" i="2"/>
  <c r="AY84" i="2"/>
  <c r="AY83" i="2"/>
  <c r="AY82" i="2"/>
  <c r="AY81" i="2"/>
  <c r="AY80" i="2"/>
  <c r="AY79" i="2"/>
  <c r="AY78" i="2"/>
  <c r="AY77" i="2"/>
  <c r="AY76" i="2"/>
  <c r="AY75" i="2"/>
  <c r="AY74" i="2"/>
  <c r="AY73" i="2"/>
  <c r="AY72" i="2"/>
  <c r="AY71" i="2"/>
  <c r="AY70" i="2"/>
  <c r="AY69" i="2"/>
  <c r="AY68" i="2"/>
  <c r="AY67" i="2"/>
  <c r="AY66" i="2"/>
  <c r="AY65" i="2"/>
  <c r="AY64" i="2"/>
  <c r="AY63" i="2"/>
  <c r="AY62" i="2"/>
  <c r="AY174" i="2"/>
  <c r="AY170" i="2"/>
  <c r="AY166" i="2"/>
  <c r="AY162" i="2"/>
  <c r="AY158" i="2"/>
  <c r="AY154" i="2"/>
  <c r="AY150" i="2"/>
  <c r="AY146" i="2"/>
  <c r="AY142" i="2"/>
  <c r="AY138" i="2"/>
  <c r="AY134" i="2"/>
  <c r="AY129" i="2"/>
  <c r="AY125" i="2"/>
  <c r="X8" i="2"/>
  <c r="S10" i="2"/>
  <c r="P11" i="2"/>
  <c r="AN12" i="2"/>
  <c r="AT20" i="2"/>
  <c r="BB20" i="2"/>
  <c r="AT21" i="2"/>
  <c r="BB21" i="2"/>
  <c r="AT22" i="2"/>
  <c r="BB22" i="2"/>
  <c r="AT23" i="2"/>
  <c r="BB23" i="2"/>
  <c r="AT24" i="2"/>
  <c r="BB24" i="2"/>
  <c r="AT25" i="2"/>
  <c r="BB25" i="2"/>
  <c r="AT26" i="2"/>
  <c r="BB26" i="2"/>
  <c r="AT27" i="2"/>
  <c r="BB27" i="2"/>
  <c r="AT28" i="2"/>
  <c r="BB28" i="2"/>
  <c r="AT29" i="2"/>
  <c r="BB29" i="2"/>
  <c r="AT30" i="2"/>
  <c r="BB30" i="2"/>
  <c r="AT31" i="2"/>
  <c r="BB31" i="2"/>
  <c r="AT32" i="2"/>
  <c r="BB32" i="2"/>
  <c r="AT33" i="2"/>
  <c r="BB33" i="2"/>
  <c r="AT34" i="2"/>
  <c r="BB34" i="2"/>
  <c r="AT35" i="2"/>
  <c r="BB35" i="2"/>
  <c r="AT36" i="2"/>
  <c r="BB36" i="2"/>
  <c r="AT37" i="2"/>
  <c r="BB37" i="2"/>
  <c r="AT38" i="2"/>
  <c r="BB38" i="2"/>
  <c r="AT39" i="2"/>
  <c r="BB39" i="2"/>
  <c r="AT40" i="2"/>
  <c r="BB40" i="2"/>
  <c r="AT41" i="2"/>
  <c r="BB41" i="2"/>
  <c r="AT42" i="2"/>
  <c r="BB42" i="2"/>
  <c r="AT43" i="2"/>
  <c r="BB43" i="2"/>
  <c r="AT44" i="2"/>
  <c r="BB44" i="2"/>
  <c r="AT45" i="2"/>
  <c r="BB45" i="2"/>
  <c r="AT46" i="2"/>
  <c r="BB46" i="2"/>
  <c r="AT47" i="2"/>
  <c r="BB47" i="2"/>
  <c r="AT48" i="2"/>
  <c r="BB48" i="2"/>
  <c r="AT49" i="2"/>
  <c r="BB49" i="2"/>
  <c r="AT50" i="2"/>
  <c r="BB50" i="2"/>
  <c r="AT51" i="2"/>
  <c r="BB51" i="2"/>
  <c r="AT52" i="2"/>
  <c r="BB52" i="2"/>
  <c r="AT53" i="2"/>
  <c r="BB53" i="2"/>
  <c r="AT54" i="2"/>
  <c r="BB54" i="2"/>
  <c r="AT55" i="2"/>
  <c r="BB55" i="2"/>
  <c r="AT56" i="2"/>
  <c r="BB56" i="2"/>
  <c r="AT57" i="2"/>
  <c r="BB57" i="2"/>
  <c r="AT58" i="2"/>
  <c r="BB58" i="2"/>
  <c r="AT59" i="2"/>
  <c r="BB59" i="2"/>
  <c r="AT60" i="2"/>
  <c r="BB60" i="2"/>
  <c r="AU61" i="2"/>
  <c r="AR62" i="2"/>
  <c r="AS63" i="2"/>
  <c r="BC63" i="2"/>
  <c r="AT64" i="2"/>
  <c r="AU65" i="2"/>
  <c r="BE65" i="2"/>
  <c r="AV66" i="2"/>
  <c r="AR67" i="2"/>
  <c r="AW69" i="2"/>
  <c r="AU70" i="2"/>
  <c r="AR71" i="2"/>
  <c r="AW73" i="2"/>
  <c r="AU74" i="2"/>
  <c r="AR75" i="2"/>
  <c r="AW77" i="2"/>
  <c r="AU78" i="2"/>
  <c r="BC81" i="2"/>
  <c r="BE82" i="2"/>
  <c r="AU83" i="2"/>
  <c r="BE85" i="2"/>
  <c r="AW87" i="2"/>
  <c r="AV92" i="2"/>
  <c r="BE93" i="2"/>
  <c r="AW95" i="2"/>
  <c r="AV100" i="2"/>
  <c r="BE101" i="2"/>
  <c r="AW103" i="2"/>
  <c r="AV108" i="2"/>
  <c r="BE109" i="2"/>
  <c r="AW111" i="2"/>
  <c r="AV116" i="2"/>
  <c r="BE117" i="2"/>
  <c r="AW119" i="2"/>
  <c r="BE122" i="2"/>
  <c r="AY126" i="2"/>
  <c r="AY157" i="2"/>
  <c r="AG2" i="2"/>
  <c r="AG11" i="2" s="1"/>
  <c r="AB5" i="2"/>
  <c r="AR532" i="2"/>
  <c r="AR528" i="2"/>
  <c r="AR520" i="2"/>
  <c r="AR527" i="2"/>
  <c r="AR519" i="2"/>
  <c r="AR525" i="2"/>
  <c r="AR524" i="2"/>
  <c r="AR516" i="2"/>
  <c r="AR523" i="2"/>
  <c r="AR518" i="2"/>
  <c r="AR509" i="2"/>
  <c r="AR533" i="2"/>
  <c r="AR531" i="2"/>
  <c r="AR515" i="2"/>
  <c r="AR507" i="2"/>
  <c r="AR530" i="2"/>
  <c r="AR521" i="2"/>
  <c r="AR514" i="2"/>
  <c r="AR522" i="2"/>
  <c r="AR513" i="2"/>
  <c r="AR529" i="2"/>
  <c r="AR526" i="2"/>
  <c r="AR511" i="2"/>
  <c r="AR506" i="2"/>
  <c r="AR503" i="2"/>
  <c r="AR495" i="2"/>
  <c r="AR502" i="2"/>
  <c r="AR494" i="2"/>
  <c r="AR510" i="2"/>
  <c r="AR508" i="2"/>
  <c r="AR500" i="2"/>
  <c r="AR512" i="2"/>
  <c r="AR505" i="2"/>
  <c r="AR499" i="2"/>
  <c r="AR489" i="2"/>
  <c r="AR488" i="2"/>
  <c r="AR504" i="2"/>
  <c r="AR487" i="2"/>
  <c r="AR517" i="2"/>
  <c r="AR493" i="2"/>
  <c r="AR492" i="2"/>
  <c r="AR498" i="2"/>
  <c r="AR490" i="2"/>
  <c r="AR476" i="2"/>
  <c r="AR496" i="2"/>
  <c r="AR475" i="2"/>
  <c r="AR486" i="2"/>
  <c r="AR484" i="2"/>
  <c r="AR483" i="2"/>
  <c r="AR481" i="2"/>
  <c r="AR473" i="2"/>
  <c r="AR501" i="2"/>
  <c r="AR497" i="2"/>
  <c r="AR491" i="2"/>
  <c r="AR480" i="2"/>
  <c r="AR485" i="2"/>
  <c r="AR468" i="2"/>
  <c r="AR467" i="2"/>
  <c r="AR466" i="2"/>
  <c r="AR482" i="2"/>
  <c r="AR474" i="2"/>
  <c r="AR465" i="2"/>
  <c r="AR472" i="2"/>
  <c r="AR464" i="2"/>
  <c r="AR471" i="2"/>
  <c r="AR470" i="2"/>
  <c r="AR462" i="2"/>
  <c r="AR458" i="2"/>
  <c r="AR450" i="2"/>
  <c r="AR442" i="2"/>
  <c r="AR434" i="2"/>
  <c r="AR426" i="2"/>
  <c r="AR457" i="2"/>
  <c r="AR449" i="2"/>
  <c r="AR441" i="2"/>
  <c r="AR433" i="2"/>
  <c r="AR460" i="2"/>
  <c r="AR456" i="2"/>
  <c r="AR448" i="2"/>
  <c r="AR440" i="2"/>
  <c r="AR432" i="2"/>
  <c r="AR455" i="2"/>
  <c r="AR463" i="2"/>
  <c r="AR461" i="2"/>
  <c r="AR454" i="2"/>
  <c r="AR446" i="2"/>
  <c r="AR438" i="2"/>
  <c r="AR430" i="2"/>
  <c r="AR479" i="2"/>
  <c r="AR478" i="2"/>
  <c r="AR477" i="2"/>
  <c r="AR453" i="2"/>
  <c r="AR445" i="2"/>
  <c r="AR437" i="2"/>
  <c r="AR447" i="2"/>
  <c r="AR444" i="2"/>
  <c r="AR435" i="2"/>
  <c r="AR459" i="2"/>
  <c r="AR431" i="2"/>
  <c r="AR428" i="2"/>
  <c r="AR425" i="2"/>
  <c r="AR417" i="2"/>
  <c r="AR424" i="2"/>
  <c r="AR416" i="2"/>
  <c r="AR443" i="2"/>
  <c r="AR451" i="2"/>
  <c r="AR439" i="2"/>
  <c r="AR429" i="2"/>
  <c r="AR422" i="2"/>
  <c r="AR414" i="2"/>
  <c r="AR469" i="2"/>
  <c r="AR452" i="2"/>
  <c r="AR436" i="2"/>
  <c r="AR427" i="2"/>
  <c r="AR421" i="2"/>
  <c r="AR413" i="2"/>
  <c r="AR423" i="2"/>
  <c r="AR409" i="2"/>
  <c r="AR411" i="2"/>
  <c r="AR410" i="2"/>
  <c r="AR407" i="2"/>
  <c r="AR420" i="2"/>
  <c r="AR419" i="2"/>
  <c r="AR418" i="2"/>
  <c r="AR401" i="2"/>
  <c r="AR398" i="2"/>
  <c r="AR390" i="2"/>
  <c r="AR415" i="2"/>
  <c r="AR406" i="2"/>
  <c r="AR405" i="2"/>
  <c r="AR404" i="2"/>
  <c r="AR403" i="2"/>
  <c r="AR395" i="2"/>
  <c r="AR387" i="2"/>
  <c r="AR408" i="2"/>
  <c r="AR400" i="2"/>
  <c r="AR397" i="2"/>
  <c r="AR389" i="2"/>
  <c r="AR384" i="2"/>
  <c r="AR383" i="2"/>
  <c r="AR382" i="2"/>
  <c r="AR381" i="2"/>
  <c r="AR380" i="2"/>
  <c r="AR379" i="2"/>
  <c r="AR378" i="2"/>
  <c r="AR377" i="2"/>
  <c r="AR376" i="2"/>
  <c r="AR375" i="2"/>
  <c r="AR374" i="2"/>
  <c r="AR373" i="2"/>
  <c r="AR372" i="2"/>
  <c r="AR412" i="2"/>
  <c r="AR402" i="2"/>
  <c r="AR394" i="2"/>
  <c r="AR386" i="2"/>
  <c r="AR399" i="2"/>
  <c r="AR392" i="2"/>
  <c r="AR396" i="2"/>
  <c r="AR393" i="2"/>
  <c r="AR388" i="2"/>
  <c r="AR385" i="2"/>
  <c r="AR368" i="2"/>
  <c r="AR369" i="2"/>
  <c r="AR370" i="2"/>
  <c r="AR371" i="2"/>
  <c r="AR356" i="2"/>
  <c r="AR348" i="2"/>
  <c r="AR391" i="2"/>
  <c r="AR365" i="2"/>
  <c r="AR362" i="2"/>
  <c r="AR361" i="2"/>
  <c r="AR353" i="2"/>
  <c r="AR358" i="2"/>
  <c r="AR350" i="2"/>
  <c r="AR343" i="2"/>
  <c r="AR367" i="2"/>
  <c r="AR364" i="2"/>
  <c r="AR355" i="2"/>
  <c r="AR360" i="2"/>
  <c r="AR352" i="2"/>
  <c r="AR363" i="2"/>
  <c r="AR357" i="2"/>
  <c r="AR349" i="2"/>
  <c r="AR345" i="2"/>
  <c r="AR341" i="2"/>
  <c r="AR340" i="2"/>
  <c r="AR339" i="2"/>
  <c r="AR338" i="2"/>
  <c r="AR337" i="2"/>
  <c r="AR336" i="2"/>
  <c r="AR335" i="2"/>
  <c r="AR334" i="2"/>
  <c r="AR333" i="2"/>
  <c r="AR332" i="2"/>
  <c r="AR331" i="2"/>
  <c r="AR330" i="2"/>
  <c r="AR329" i="2"/>
  <c r="AR328" i="2"/>
  <c r="AR327" i="2"/>
  <c r="AR326" i="2"/>
  <c r="AR325" i="2"/>
  <c r="AR324" i="2"/>
  <c r="AR323" i="2"/>
  <c r="AR322" i="2"/>
  <c r="AR321" i="2"/>
  <c r="AR320" i="2"/>
  <c r="AR319" i="2"/>
  <c r="AR318" i="2"/>
  <c r="AR317" i="2"/>
  <c r="AR316" i="2"/>
  <c r="AR315" i="2"/>
  <c r="AR314" i="2"/>
  <c r="AR313" i="2"/>
  <c r="AR312" i="2"/>
  <c r="AR311" i="2"/>
  <c r="AR310" i="2"/>
  <c r="AR309" i="2"/>
  <c r="AR308" i="2"/>
  <c r="AR307" i="2"/>
  <c r="AR306" i="2"/>
  <c r="AR305" i="2"/>
  <c r="AR304" i="2"/>
  <c r="AR303" i="2"/>
  <c r="AR302" i="2"/>
  <c r="AR301" i="2"/>
  <c r="AR300" i="2"/>
  <c r="AR299" i="2"/>
  <c r="AR298" i="2"/>
  <c r="AR297" i="2"/>
  <c r="AR296" i="2"/>
  <c r="AR295" i="2"/>
  <c r="AR294" i="2"/>
  <c r="AR366" i="2"/>
  <c r="AR354" i="2"/>
  <c r="AR346" i="2"/>
  <c r="AR342" i="2"/>
  <c r="AR293" i="2"/>
  <c r="AR285" i="2"/>
  <c r="AR347" i="2"/>
  <c r="AR290" i="2"/>
  <c r="AR287" i="2"/>
  <c r="AR292" i="2"/>
  <c r="AR289" i="2"/>
  <c r="AR284" i="2"/>
  <c r="AR283" i="2"/>
  <c r="AR282" i="2"/>
  <c r="AR351" i="2"/>
  <c r="AR286" i="2"/>
  <c r="AR291" i="2"/>
  <c r="AR359" i="2"/>
  <c r="AR279" i="2"/>
  <c r="AR277" i="2"/>
  <c r="AR274" i="2"/>
  <c r="AR280" i="2"/>
  <c r="AR271" i="2"/>
  <c r="AR270" i="2"/>
  <c r="AR269" i="2"/>
  <c r="AR268" i="2"/>
  <c r="AR267" i="2"/>
  <c r="AR266" i="2"/>
  <c r="AR265" i="2"/>
  <c r="AR264" i="2"/>
  <c r="AR263" i="2"/>
  <c r="AR262" i="2"/>
  <c r="AR261" i="2"/>
  <c r="AR260" i="2"/>
  <c r="AR259" i="2"/>
  <c r="AR258" i="2"/>
  <c r="AR257" i="2"/>
  <c r="AR256" i="2"/>
  <c r="AR255" i="2"/>
  <c r="AR254" i="2"/>
  <c r="AR253" i="2"/>
  <c r="AR252" i="2"/>
  <c r="AR251" i="2"/>
  <c r="AR250" i="2"/>
  <c r="AR249" i="2"/>
  <c r="AR248" i="2"/>
  <c r="AR288" i="2"/>
  <c r="AR276" i="2"/>
  <c r="AR273" i="2"/>
  <c r="AR281" i="2"/>
  <c r="AR278" i="2"/>
  <c r="AR275" i="2"/>
  <c r="AR272" i="2"/>
  <c r="AR247" i="2"/>
  <c r="AR244" i="2"/>
  <c r="AR245" i="2"/>
  <c r="AR220" i="2"/>
  <c r="AR219" i="2"/>
  <c r="AR218" i="2"/>
  <c r="AR217" i="2"/>
  <c r="AR216" i="2"/>
  <c r="AR215" i="2"/>
  <c r="AR214" i="2"/>
  <c r="AR213" i="2"/>
  <c r="AR212" i="2"/>
  <c r="AR211" i="2"/>
  <c r="AR210" i="2"/>
  <c r="AR209" i="2"/>
  <c r="AR208" i="2"/>
  <c r="AR207" i="2"/>
  <c r="AR206" i="2"/>
  <c r="AR205" i="2"/>
  <c r="AR204" i="2"/>
  <c r="AR203" i="2"/>
  <c r="AR202" i="2"/>
  <c r="AR201" i="2"/>
  <c r="AR200" i="2"/>
  <c r="AR199" i="2"/>
  <c r="AR198" i="2"/>
  <c r="AR197" i="2"/>
  <c r="AR196" i="2"/>
  <c r="AR195" i="2"/>
  <c r="AR194" i="2"/>
  <c r="AR193" i="2"/>
  <c r="AR192" i="2"/>
  <c r="AR191" i="2"/>
  <c r="AR190" i="2"/>
  <c r="AR189" i="2"/>
  <c r="AR188" i="2"/>
  <c r="AR187" i="2"/>
  <c r="AR186" i="2"/>
  <c r="AR185" i="2"/>
  <c r="AR184" i="2"/>
  <c r="AR183" i="2"/>
  <c r="AR182" i="2"/>
  <c r="AR181" i="2"/>
  <c r="AR180" i="2"/>
  <c r="AR179" i="2"/>
  <c r="AR178" i="2"/>
  <c r="AR344" i="2"/>
  <c r="AR243" i="2"/>
  <c r="AR241" i="2"/>
  <c r="AR242" i="2"/>
  <c r="AR240" i="2"/>
  <c r="AR235" i="2"/>
  <c r="AR227" i="2"/>
  <c r="AR246" i="2"/>
  <c r="AR239" i="2"/>
  <c r="AR228" i="2"/>
  <c r="AR236" i="2"/>
  <c r="AR229" i="2"/>
  <c r="AR221" i="2"/>
  <c r="AR177" i="2"/>
  <c r="AR230" i="2"/>
  <c r="AR222" i="2"/>
  <c r="AR176" i="2"/>
  <c r="AR238" i="2"/>
  <c r="AR231" i="2"/>
  <c r="AR223" i="2"/>
  <c r="AR232" i="2"/>
  <c r="AR224" i="2"/>
  <c r="AR233" i="2"/>
  <c r="AR225" i="2"/>
  <c r="AR174" i="2"/>
  <c r="AR173" i="2"/>
  <c r="AR172" i="2"/>
  <c r="AR171" i="2"/>
  <c r="AR170" i="2"/>
  <c r="AR169" i="2"/>
  <c r="AR168" i="2"/>
  <c r="AR167" i="2"/>
  <c r="AR166" i="2"/>
  <c r="AR165" i="2"/>
  <c r="AR164" i="2"/>
  <c r="AR163" i="2"/>
  <c r="AR162" i="2"/>
  <c r="AR161" i="2"/>
  <c r="AR160" i="2"/>
  <c r="AR159" i="2"/>
  <c r="AR158" i="2"/>
  <c r="AR157" i="2"/>
  <c r="AR156" i="2"/>
  <c r="AR155" i="2"/>
  <c r="AR154" i="2"/>
  <c r="AR153" i="2"/>
  <c r="AR152" i="2"/>
  <c r="AR151" i="2"/>
  <c r="AR150" i="2"/>
  <c r="AR149" i="2"/>
  <c r="AR148" i="2"/>
  <c r="AR147" i="2"/>
  <c r="AR146" i="2"/>
  <c r="AR145" i="2"/>
  <c r="AR144" i="2"/>
  <c r="AR143" i="2"/>
  <c r="AR142" i="2"/>
  <c r="AR141" i="2"/>
  <c r="AR140" i="2"/>
  <c r="AR139" i="2"/>
  <c r="AR138" i="2"/>
  <c r="AR137" i="2"/>
  <c r="AR136" i="2"/>
  <c r="AR135" i="2"/>
  <c r="AR134" i="2"/>
  <c r="AR133" i="2"/>
  <c r="AR132" i="2"/>
  <c r="AR131" i="2"/>
  <c r="AR130" i="2"/>
  <c r="AR129" i="2"/>
  <c r="AR128" i="2"/>
  <c r="AR127" i="2"/>
  <c r="AR126" i="2"/>
  <c r="AR125" i="2"/>
  <c r="AR124" i="2"/>
  <c r="AR234" i="2"/>
  <c r="AR226" i="2"/>
  <c r="AR122" i="2"/>
  <c r="AR121" i="2"/>
  <c r="AR120" i="2"/>
  <c r="AR119" i="2"/>
  <c r="AR118" i="2"/>
  <c r="AR117" i="2"/>
  <c r="AR116" i="2"/>
  <c r="AR115" i="2"/>
  <c r="AR114" i="2"/>
  <c r="AR113" i="2"/>
  <c r="AR112" i="2"/>
  <c r="AR111" i="2"/>
  <c r="AR110" i="2"/>
  <c r="AR109" i="2"/>
  <c r="AR108" i="2"/>
  <c r="AR107" i="2"/>
  <c r="AR106" i="2"/>
  <c r="AR105" i="2"/>
  <c r="AR104" i="2"/>
  <c r="AR103" i="2"/>
  <c r="AR102" i="2"/>
  <c r="AR101" i="2"/>
  <c r="AR100" i="2"/>
  <c r="AR99" i="2"/>
  <c r="AR98" i="2"/>
  <c r="AR97" i="2"/>
  <c r="AR96" i="2"/>
  <c r="AR95" i="2"/>
  <c r="AR94" i="2"/>
  <c r="AR93" i="2"/>
  <c r="AR92" i="2"/>
  <c r="AR91" i="2"/>
  <c r="AR90" i="2"/>
  <c r="AR89" i="2"/>
  <c r="AR88" i="2"/>
  <c r="AR87" i="2"/>
  <c r="AR86" i="2"/>
  <c r="AR85" i="2"/>
  <c r="AR175" i="2"/>
  <c r="AR237" i="2"/>
  <c r="AZ532" i="2"/>
  <c r="AZ528" i="2"/>
  <c r="AZ520" i="2"/>
  <c r="AZ527" i="2"/>
  <c r="AZ519" i="2"/>
  <c r="AZ525" i="2"/>
  <c r="AZ524" i="2"/>
  <c r="AZ516" i="2"/>
  <c r="AZ523" i="2"/>
  <c r="AZ515" i="2"/>
  <c r="AZ530" i="2"/>
  <c r="AZ522" i="2"/>
  <c r="AZ509" i="2"/>
  <c r="AZ507" i="2"/>
  <c r="AZ529" i="2"/>
  <c r="AZ526" i="2"/>
  <c r="AZ517" i="2"/>
  <c r="AZ514" i="2"/>
  <c r="AZ518" i="2"/>
  <c r="AZ513" i="2"/>
  <c r="AZ511" i="2"/>
  <c r="AZ533" i="2"/>
  <c r="AZ510" i="2"/>
  <c r="AZ504" i="2"/>
  <c r="AZ503" i="2"/>
  <c r="AZ495" i="2"/>
  <c r="AZ512" i="2"/>
  <c r="AZ502" i="2"/>
  <c r="AZ494" i="2"/>
  <c r="AZ521" i="2"/>
  <c r="AZ506" i="2"/>
  <c r="AZ500" i="2"/>
  <c r="AZ531" i="2"/>
  <c r="AZ499" i="2"/>
  <c r="AZ489" i="2"/>
  <c r="AZ488" i="2"/>
  <c r="AZ505" i="2"/>
  <c r="AZ487" i="2"/>
  <c r="AZ508" i="2"/>
  <c r="AZ493" i="2"/>
  <c r="AZ492" i="2"/>
  <c r="AZ496" i="2"/>
  <c r="AZ485" i="2"/>
  <c r="AZ476" i="2"/>
  <c r="AZ491" i="2"/>
  <c r="AZ475" i="2"/>
  <c r="AZ501" i="2"/>
  <c r="AZ497" i="2"/>
  <c r="AZ481" i="2"/>
  <c r="AZ473" i="2"/>
  <c r="AZ490" i="2"/>
  <c r="AZ480" i="2"/>
  <c r="AZ483" i="2"/>
  <c r="AZ468" i="2"/>
  <c r="AZ467" i="2"/>
  <c r="AZ466" i="2"/>
  <c r="AZ484" i="2"/>
  <c r="AZ479" i="2"/>
  <c r="AZ478" i="2"/>
  <c r="AZ477" i="2"/>
  <c r="AZ465" i="2"/>
  <c r="AZ472" i="2"/>
  <c r="AZ464" i="2"/>
  <c r="AZ498" i="2"/>
  <c r="AZ486" i="2"/>
  <c r="AZ471" i="2"/>
  <c r="AZ470" i="2"/>
  <c r="AZ462" i="2"/>
  <c r="AZ461" i="2"/>
  <c r="AZ459" i="2"/>
  <c r="AZ458" i="2"/>
  <c r="AZ450" i="2"/>
  <c r="AZ442" i="2"/>
  <c r="AZ434" i="2"/>
  <c r="AZ426" i="2"/>
  <c r="AZ457" i="2"/>
  <c r="AZ449" i="2"/>
  <c r="AZ441" i="2"/>
  <c r="AZ433" i="2"/>
  <c r="AZ463" i="2"/>
  <c r="AZ456" i="2"/>
  <c r="AZ448" i="2"/>
  <c r="AZ440" i="2"/>
  <c r="AZ432" i="2"/>
  <c r="AZ455" i="2"/>
  <c r="AZ460" i="2"/>
  <c r="AZ454" i="2"/>
  <c r="AZ446" i="2"/>
  <c r="AZ438" i="2"/>
  <c r="AZ430" i="2"/>
  <c r="AZ453" i="2"/>
  <c r="AZ445" i="2"/>
  <c r="AZ437" i="2"/>
  <c r="AZ482" i="2"/>
  <c r="AZ443" i="2"/>
  <c r="AZ439" i="2"/>
  <c r="AZ425" i="2"/>
  <c r="AZ417" i="2"/>
  <c r="AZ451" i="2"/>
  <c r="AZ436" i="2"/>
  <c r="AZ428" i="2"/>
  <c r="AZ424" i="2"/>
  <c r="AZ416" i="2"/>
  <c r="AZ474" i="2"/>
  <c r="AZ452" i="2"/>
  <c r="AZ469" i="2"/>
  <c r="AZ422" i="2"/>
  <c r="AZ414" i="2"/>
  <c r="AZ447" i="2"/>
  <c r="AZ444" i="2"/>
  <c r="AZ435" i="2"/>
  <c r="AZ429" i="2"/>
  <c r="AZ421" i="2"/>
  <c r="AZ413" i="2"/>
  <c r="AZ420" i="2"/>
  <c r="AZ419" i="2"/>
  <c r="AZ418" i="2"/>
  <c r="AZ412" i="2"/>
  <c r="AZ405" i="2"/>
  <c r="AZ408" i="2"/>
  <c r="AZ415" i="2"/>
  <c r="AZ411" i="2"/>
  <c r="AZ410" i="2"/>
  <c r="AZ404" i="2"/>
  <c r="AZ402" i="2"/>
  <c r="AZ409" i="2"/>
  <c r="AZ399" i="2"/>
  <c r="AZ391" i="2"/>
  <c r="AZ396" i="2"/>
  <c r="AZ388" i="2"/>
  <c r="AZ427" i="2"/>
  <c r="AZ423" i="2"/>
  <c r="AZ401" i="2"/>
  <c r="AZ431" i="2"/>
  <c r="AZ398" i="2"/>
  <c r="AZ390" i="2"/>
  <c r="AZ384" i="2"/>
  <c r="AZ383" i="2"/>
  <c r="AZ382" i="2"/>
  <c r="AZ381" i="2"/>
  <c r="AZ380" i="2"/>
  <c r="AZ379" i="2"/>
  <c r="AZ378" i="2"/>
  <c r="AZ377" i="2"/>
  <c r="AZ376" i="2"/>
  <c r="AZ375" i="2"/>
  <c r="AZ374" i="2"/>
  <c r="AZ373" i="2"/>
  <c r="AZ372" i="2"/>
  <c r="AZ395" i="2"/>
  <c r="AZ387" i="2"/>
  <c r="AZ385" i="2"/>
  <c r="AZ371" i="2"/>
  <c r="AZ403" i="2"/>
  <c r="AZ400" i="2"/>
  <c r="AZ407" i="2"/>
  <c r="AZ392" i="2"/>
  <c r="AZ368" i="2"/>
  <c r="AZ394" i="2"/>
  <c r="AZ393" i="2"/>
  <c r="AZ386" i="2"/>
  <c r="AZ369" i="2"/>
  <c r="AZ406" i="2"/>
  <c r="AZ365" i="2"/>
  <c r="AZ355" i="2"/>
  <c r="AZ360" i="2"/>
  <c r="AZ352" i="2"/>
  <c r="AZ345" i="2"/>
  <c r="AZ367" i="2"/>
  <c r="AZ364" i="2"/>
  <c r="AZ357" i="2"/>
  <c r="AZ349" i="2"/>
  <c r="AZ346" i="2"/>
  <c r="AZ344" i="2"/>
  <c r="AZ354" i="2"/>
  <c r="AZ347" i="2"/>
  <c r="AZ343" i="2"/>
  <c r="AZ397" i="2"/>
  <c r="AZ363" i="2"/>
  <c r="AZ359" i="2"/>
  <c r="AZ351" i="2"/>
  <c r="AZ389" i="2"/>
  <c r="AZ366" i="2"/>
  <c r="AZ356" i="2"/>
  <c r="AZ348" i="2"/>
  <c r="AZ341" i="2"/>
  <c r="AZ340" i="2"/>
  <c r="AZ339" i="2"/>
  <c r="AZ338" i="2"/>
  <c r="AZ337" i="2"/>
  <c r="AZ336" i="2"/>
  <c r="AZ335" i="2"/>
  <c r="AZ334" i="2"/>
  <c r="AZ333" i="2"/>
  <c r="AZ332" i="2"/>
  <c r="AZ331" i="2"/>
  <c r="AZ330" i="2"/>
  <c r="AZ329" i="2"/>
  <c r="AZ328" i="2"/>
  <c r="AZ327" i="2"/>
  <c r="AZ326" i="2"/>
  <c r="AZ325" i="2"/>
  <c r="AZ324" i="2"/>
  <c r="AZ323" i="2"/>
  <c r="AZ322" i="2"/>
  <c r="AZ321" i="2"/>
  <c r="AZ320" i="2"/>
  <c r="AZ319" i="2"/>
  <c r="AZ318" i="2"/>
  <c r="AZ317" i="2"/>
  <c r="AZ316" i="2"/>
  <c r="AZ315" i="2"/>
  <c r="AZ314" i="2"/>
  <c r="AZ313" i="2"/>
  <c r="AZ312" i="2"/>
  <c r="AZ311" i="2"/>
  <c r="AZ310" i="2"/>
  <c r="AZ309" i="2"/>
  <c r="AZ308" i="2"/>
  <c r="AZ307" i="2"/>
  <c r="AZ306" i="2"/>
  <c r="AZ305" i="2"/>
  <c r="AZ304" i="2"/>
  <c r="AZ303" i="2"/>
  <c r="AZ302" i="2"/>
  <c r="AZ301" i="2"/>
  <c r="AZ300" i="2"/>
  <c r="AZ299" i="2"/>
  <c r="AZ298" i="2"/>
  <c r="AZ297" i="2"/>
  <c r="AZ296" i="2"/>
  <c r="AZ295" i="2"/>
  <c r="AZ294" i="2"/>
  <c r="AZ361" i="2"/>
  <c r="AZ353" i="2"/>
  <c r="AZ342" i="2"/>
  <c r="AZ288" i="2"/>
  <c r="AZ293" i="2"/>
  <c r="AZ285" i="2"/>
  <c r="AZ290" i="2"/>
  <c r="AZ370" i="2"/>
  <c r="AZ362" i="2"/>
  <c r="AZ350" i="2"/>
  <c r="AZ287" i="2"/>
  <c r="AZ292" i="2"/>
  <c r="AZ284" i="2"/>
  <c r="AZ283" i="2"/>
  <c r="AZ282" i="2"/>
  <c r="AZ358" i="2"/>
  <c r="AZ289" i="2"/>
  <c r="AZ286" i="2"/>
  <c r="AZ280" i="2"/>
  <c r="AZ275" i="2"/>
  <c r="AZ274" i="2"/>
  <c r="AZ281" i="2"/>
  <c r="AZ271" i="2"/>
  <c r="AZ270" i="2"/>
  <c r="AZ269" i="2"/>
  <c r="AZ268" i="2"/>
  <c r="AZ267" i="2"/>
  <c r="AZ266" i="2"/>
  <c r="AZ265" i="2"/>
  <c r="AZ264" i="2"/>
  <c r="AZ263" i="2"/>
  <c r="AZ262" i="2"/>
  <c r="AZ261" i="2"/>
  <c r="AZ260" i="2"/>
  <c r="AZ259" i="2"/>
  <c r="AZ258" i="2"/>
  <c r="AZ257" i="2"/>
  <c r="AZ256" i="2"/>
  <c r="AZ255" i="2"/>
  <c r="AZ254" i="2"/>
  <c r="AZ253" i="2"/>
  <c r="AZ252" i="2"/>
  <c r="AZ251" i="2"/>
  <c r="AZ250" i="2"/>
  <c r="AZ249" i="2"/>
  <c r="AZ248" i="2"/>
  <c r="AZ278" i="2"/>
  <c r="AZ273" i="2"/>
  <c r="AZ277" i="2"/>
  <c r="AZ279" i="2"/>
  <c r="AZ246" i="2"/>
  <c r="AZ242" i="2"/>
  <c r="AZ240" i="2"/>
  <c r="AZ272" i="2"/>
  <c r="AZ244" i="2"/>
  <c r="AZ220" i="2"/>
  <c r="AZ219" i="2"/>
  <c r="AZ218" i="2"/>
  <c r="AZ217" i="2"/>
  <c r="AZ216" i="2"/>
  <c r="AZ215" i="2"/>
  <c r="AZ214" i="2"/>
  <c r="AZ213" i="2"/>
  <c r="AZ212" i="2"/>
  <c r="AZ211" i="2"/>
  <c r="AZ210" i="2"/>
  <c r="AZ209" i="2"/>
  <c r="AZ208" i="2"/>
  <c r="AZ207" i="2"/>
  <c r="AZ206" i="2"/>
  <c r="AZ205" i="2"/>
  <c r="AZ204" i="2"/>
  <c r="AZ203" i="2"/>
  <c r="AZ202" i="2"/>
  <c r="AZ201" i="2"/>
  <c r="AZ200" i="2"/>
  <c r="AZ199" i="2"/>
  <c r="AZ198" i="2"/>
  <c r="AZ197" i="2"/>
  <c r="AZ196" i="2"/>
  <c r="AZ195" i="2"/>
  <c r="AZ194" i="2"/>
  <c r="AZ193" i="2"/>
  <c r="AZ192" i="2"/>
  <c r="AZ191" i="2"/>
  <c r="AZ190" i="2"/>
  <c r="AZ189" i="2"/>
  <c r="AZ188" i="2"/>
  <c r="AZ187" i="2"/>
  <c r="AZ186" i="2"/>
  <c r="AZ185" i="2"/>
  <c r="AZ184" i="2"/>
  <c r="AZ183" i="2"/>
  <c r="AZ182" i="2"/>
  <c r="AZ181" i="2"/>
  <c r="AZ180" i="2"/>
  <c r="AZ179" i="2"/>
  <c r="AZ178" i="2"/>
  <c r="AZ247" i="2"/>
  <c r="AZ245" i="2"/>
  <c r="AZ243" i="2"/>
  <c r="AZ241" i="2"/>
  <c r="AZ276" i="2"/>
  <c r="AZ239" i="2"/>
  <c r="AZ229" i="2"/>
  <c r="AZ221" i="2"/>
  <c r="AZ175" i="2"/>
  <c r="AZ236" i="2"/>
  <c r="AZ230" i="2"/>
  <c r="AZ222" i="2"/>
  <c r="AZ231" i="2"/>
  <c r="AZ223" i="2"/>
  <c r="AZ238" i="2"/>
  <c r="AZ232" i="2"/>
  <c r="AZ224" i="2"/>
  <c r="AZ233" i="2"/>
  <c r="AZ225" i="2"/>
  <c r="AZ177" i="2"/>
  <c r="AZ176" i="2"/>
  <c r="AZ234" i="2"/>
  <c r="AZ226" i="2"/>
  <c r="AZ291" i="2"/>
  <c r="AZ237" i="2"/>
  <c r="AZ235" i="2"/>
  <c r="AZ227" i="2"/>
  <c r="AZ174" i="2"/>
  <c r="AZ173" i="2"/>
  <c r="AZ172" i="2"/>
  <c r="AZ171" i="2"/>
  <c r="AZ170" i="2"/>
  <c r="AZ169" i="2"/>
  <c r="AZ168" i="2"/>
  <c r="AZ167" i="2"/>
  <c r="AZ166" i="2"/>
  <c r="AZ165" i="2"/>
  <c r="AZ164" i="2"/>
  <c r="AZ163" i="2"/>
  <c r="AZ162" i="2"/>
  <c r="AZ161" i="2"/>
  <c r="AZ160" i="2"/>
  <c r="AZ159" i="2"/>
  <c r="AZ158" i="2"/>
  <c r="AZ157" i="2"/>
  <c r="AZ156" i="2"/>
  <c r="AZ155" i="2"/>
  <c r="AZ154" i="2"/>
  <c r="AZ153" i="2"/>
  <c r="AZ152" i="2"/>
  <c r="AZ151" i="2"/>
  <c r="AZ150" i="2"/>
  <c r="AZ149" i="2"/>
  <c r="AZ148" i="2"/>
  <c r="AZ147" i="2"/>
  <c r="AZ146" i="2"/>
  <c r="AZ145" i="2"/>
  <c r="AZ144" i="2"/>
  <c r="AZ143" i="2"/>
  <c r="AZ142" i="2"/>
  <c r="AZ141" i="2"/>
  <c r="AZ140" i="2"/>
  <c r="AZ139" i="2"/>
  <c r="AZ138" i="2"/>
  <c r="AZ137" i="2"/>
  <c r="AZ136" i="2"/>
  <c r="AZ135" i="2"/>
  <c r="AZ134" i="2"/>
  <c r="AZ133" i="2"/>
  <c r="AZ132" i="2"/>
  <c r="AZ131" i="2"/>
  <c r="AZ130" i="2"/>
  <c r="AZ129" i="2"/>
  <c r="AZ128" i="2"/>
  <c r="AZ127" i="2"/>
  <c r="AZ126" i="2"/>
  <c r="AZ125" i="2"/>
  <c r="AZ122" i="2"/>
  <c r="AZ121" i="2"/>
  <c r="AZ120" i="2"/>
  <c r="AZ119" i="2"/>
  <c r="AZ118" i="2"/>
  <c r="AZ117" i="2"/>
  <c r="AZ116" i="2"/>
  <c r="AZ115" i="2"/>
  <c r="AZ114" i="2"/>
  <c r="AZ113" i="2"/>
  <c r="AZ112" i="2"/>
  <c r="AZ111" i="2"/>
  <c r="AZ110" i="2"/>
  <c r="AZ109" i="2"/>
  <c r="AZ108" i="2"/>
  <c r="AZ107" i="2"/>
  <c r="AZ106" i="2"/>
  <c r="AZ105" i="2"/>
  <c r="AZ104" i="2"/>
  <c r="AZ103" i="2"/>
  <c r="AZ102" i="2"/>
  <c r="AZ101" i="2"/>
  <c r="AZ100" i="2"/>
  <c r="AZ99" i="2"/>
  <c r="AZ98" i="2"/>
  <c r="AZ97" i="2"/>
  <c r="AZ96" i="2"/>
  <c r="AZ95" i="2"/>
  <c r="AZ94" i="2"/>
  <c r="AZ93" i="2"/>
  <c r="AZ92" i="2"/>
  <c r="AZ91" i="2"/>
  <c r="AZ90" i="2"/>
  <c r="AZ89" i="2"/>
  <c r="AZ88" i="2"/>
  <c r="AZ87" i="2"/>
  <c r="AZ86" i="2"/>
  <c r="AZ85" i="2"/>
  <c r="AZ228" i="2"/>
  <c r="AZ124" i="2"/>
  <c r="AG6" i="2"/>
  <c r="AG10" i="2" s="1"/>
  <c r="AG15" i="2" s="1"/>
  <c r="CQ9" i="2"/>
  <c r="T10" i="2"/>
  <c r="AB10" i="2"/>
  <c r="AN10" i="2"/>
  <c r="CP11" i="2"/>
  <c r="CP12" i="2"/>
  <c r="AM13" i="2" a="1"/>
  <c r="AM13" i="2" s="1"/>
  <c r="AM14" i="2" a="1"/>
  <c r="AM14" i="2" s="1"/>
  <c r="AU20" i="2"/>
  <c r="BC20" i="2"/>
  <c r="AU21" i="2"/>
  <c r="BC21" i="2"/>
  <c r="AU22" i="2"/>
  <c r="BC22" i="2"/>
  <c r="AU23" i="2"/>
  <c r="BC23" i="2"/>
  <c r="AU24" i="2"/>
  <c r="BC24" i="2"/>
  <c r="AU25" i="2"/>
  <c r="BC25" i="2"/>
  <c r="AU26" i="2"/>
  <c r="BC26" i="2"/>
  <c r="AU27" i="2"/>
  <c r="BC27" i="2"/>
  <c r="AU28" i="2"/>
  <c r="BC28" i="2"/>
  <c r="AU29" i="2"/>
  <c r="BC29" i="2"/>
  <c r="AU30" i="2"/>
  <c r="BC30" i="2"/>
  <c r="AU31" i="2"/>
  <c r="BC31" i="2"/>
  <c r="AU32" i="2"/>
  <c r="BC32" i="2"/>
  <c r="AU33" i="2"/>
  <c r="BC33" i="2"/>
  <c r="AU34" i="2"/>
  <c r="BC34" i="2"/>
  <c r="AU35" i="2"/>
  <c r="BC35" i="2"/>
  <c r="AU36" i="2"/>
  <c r="BC36" i="2"/>
  <c r="AU37" i="2"/>
  <c r="BC37" i="2"/>
  <c r="AU38" i="2"/>
  <c r="BC38" i="2"/>
  <c r="AU39" i="2"/>
  <c r="BC39" i="2"/>
  <c r="AU40" i="2"/>
  <c r="BC40" i="2"/>
  <c r="AU41" i="2"/>
  <c r="BC41" i="2"/>
  <c r="AU42" i="2"/>
  <c r="BC42" i="2"/>
  <c r="AU43" i="2"/>
  <c r="BC43" i="2"/>
  <c r="AU44" i="2"/>
  <c r="BC44" i="2"/>
  <c r="AU45" i="2"/>
  <c r="BC45" i="2"/>
  <c r="AU46" i="2"/>
  <c r="BC46" i="2"/>
  <c r="AU47" i="2"/>
  <c r="BC47" i="2"/>
  <c r="AU48" i="2"/>
  <c r="BC48" i="2"/>
  <c r="AU49" i="2"/>
  <c r="BC49" i="2"/>
  <c r="AU50" i="2"/>
  <c r="BC50" i="2"/>
  <c r="AU51" i="2"/>
  <c r="BC51" i="2"/>
  <c r="AU52" i="2"/>
  <c r="BC52" i="2"/>
  <c r="AU53" i="2"/>
  <c r="BC53" i="2"/>
  <c r="AU54" i="2"/>
  <c r="BC54" i="2"/>
  <c r="AU55" i="2"/>
  <c r="BC55" i="2"/>
  <c r="AU56" i="2"/>
  <c r="BC56" i="2"/>
  <c r="AU57" i="2"/>
  <c r="BC57" i="2"/>
  <c r="AU58" i="2"/>
  <c r="BC58" i="2"/>
  <c r="AU59" i="2"/>
  <c r="BC59" i="2"/>
  <c r="AU60" i="2"/>
  <c r="BC60" i="2"/>
  <c r="AV61" i="2"/>
  <c r="BE61" i="2"/>
  <c r="AS62" i="2"/>
  <c r="BC62" i="2"/>
  <c r="AT63" i="2"/>
  <c r="AU64" i="2"/>
  <c r="BE64" i="2"/>
  <c r="AV65" i="2"/>
  <c r="AW66" i="2"/>
  <c r="AS67" i="2"/>
  <c r="BE67" i="2"/>
  <c r="BC68" i="2"/>
  <c r="AZ69" i="2"/>
  <c r="AV70" i="2"/>
  <c r="AS71" i="2"/>
  <c r="BE71" i="2"/>
  <c r="BC72" i="2"/>
  <c r="AZ73" i="2"/>
  <c r="AV74" i="2"/>
  <c r="AS75" i="2"/>
  <c r="BE75" i="2"/>
  <c r="BC76" i="2"/>
  <c r="AZ77" i="2"/>
  <c r="AV78" i="2"/>
  <c r="BE79" i="2"/>
  <c r="BC80" i="2"/>
  <c r="AR82" i="2"/>
  <c r="AV83" i="2"/>
  <c r="AV89" i="2"/>
  <c r="BE90" i="2"/>
  <c r="AW92" i="2"/>
  <c r="AV97" i="2"/>
  <c r="BE98" i="2"/>
  <c r="AW100" i="2"/>
  <c r="AV105" i="2"/>
  <c r="BE106" i="2"/>
  <c r="AW108" i="2"/>
  <c r="AV113" i="2"/>
  <c r="BE114" i="2"/>
  <c r="AW116" i="2"/>
  <c r="AV121" i="2"/>
  <c r="AY124" i="2"/>
  <c r="AY161" i="2"/>
  <c r="AU193" i="2"/>
  <c r="AU254" i="2"/>
  <c r="AG3" i="2"/>
  <c r="CR4" i="2"/>
  <c r="AS527" i="2"/>
  <c r="AS519" i="2"/>
  <c r="AS533" i="2"/>
  <c r="AS526" i="2"/>
  <c r="AS518" i="2"/>
  <c r="AS523" i="2"/>
  <c r="AS531" i="2"/>
  <c r="AS530" i="2"/>
  <c r="AS522" i="2"/>
  <c r="AS528" i="2"/>
  <c r="AS525" i="2"/>
  <c r="AS508" i="2"/>
  <c r="AS520" i="2"/>
  <c r="AS532" i="2"/>
  <c r="AS521" i="2"/>
  <c r="AS514" i="2"/>
  <c r="AS506" i="2"/>
  <c r="AS513" i="2"/>
  <c r="AS512" i="2"/>
  <c r="AS517" i="2"/>
  <c r="AS510" i="2"/>
  <c r="AS502" i="2"/>
  <c r="AS494" i="2"/>
  <c r="AS501" i="2"/>
  <c r="AS493" i="2"/>
  <c r="AS505" i="2"/>
  <c r="AS499" i="2"/>
  <c r="AS515" i="2"/>
  <c r="AS507" i="2"/>
  <c r="AS498" i="2"/>
  <c r="AS511" i="2"/>
  <c r="AS503" i="2"/>
  <c r="AS488" i="2"/>
  <c r="AS504" i="2"/>
  <c r="AS495" i="2"/>
  <c r="AS487" i="2"/>
  <c r="AS524" i="2"/>
  <c r="AS497" i="2"/>
  <c r="AS496" i="2"/>
  <c r="AS486" i="2"/>
  <c r="AS516" i="2"/>
  <c r="AS500" i="2"/>
  <c r="AS492" i="2"/>
  <c r="AS491" i="2"/>
  <c r="AS475" i="2"/>
  <c r="AS529" i="2"/>
  <c r="AS489" i="2"/>
  <c r="AS484" i="2"/>
  <c r="AS482" i="2"/>
  <c r="AS474" i="2"/>
  <c r="AS483" i="2"/>
  <c r="AS480" i="2"/>
  <c r="AS509" i="2"/>
  <c r="AS485" i="2"/>
  <c r="AS479" i="2"/>
  <c r="AS481" i="2"/>
  <c r="AS473" i="2"/>
  <c r="AS467" i="2"/>
  <c r="AS466" i="2"/>
  <c r="AS490" i="2"/>
  <c r="AS465" i="2"/>
  <c r="AS472" i="2"/>
  <c r="AS464" i="2"/>
  <c r="AS471" i="2"/>
  <c r="AS463" i="2"/>
  <c r="AS476" i="2"/>
  <c r="AS470" i="2"/>
  <c r="AS478" i="2"/>
  <c r="AS477" i="2"/>
  <c r="AS469" i="2"/>
  <c r="AS461" i="2"/>
  <c r="AS457" i="2"/>
  <c r="AS449" i="2"/>
  <c r="AS441" i="2"/>
  <c r="AS433" i="2"/>
  <c r="AS468" i="2"/>
  <c r="AS460" i="2"/>
  <c r="AS456" i="2"/>
  <c r="AS448" i="2"/>
  <c r="AS440" i="2"/>
  <c r="AS432" i="2"/>
  <c r="AS455" i="2"/>
  <c r="AS447" i="2"/>
  <c r="AS439" i="2"/>
  <c r="AS431" i="2"/>
  <c r="AS462" i="2"/>
  <c r="AS454" i="2"/>
  <c r="AS453" i="2"/>
  <c r="AS445" i="2"/>
  <c r="AS437" i="2"/>
  <c r="AS452" i="2"/>
  <c r="AS444" i="2"/>
  <c r="AS436" i="2"/>
  <c r="AS459" i="2"/>
  <c r="AS446" i="2"/>
  <c r="AS424" i="2"/>
  <c r="AS416" i="2"/>
  <c r="AS450" i="2"/>
  <c r="AS443" i="2"/>
  <c r="AS434" i="2"/>
  <c r="AS423" i="2"/>
  <c r="AS415" i="2"/>
  <c r="AS451" i="2"/>
  <c r="AS430" i="2"/>
  <c r="AS429" i="2"/>
  <c r="AS427" i="2"/>
  <c r="AS421" i="2"/>
  <c r="AS413" i="2"/>
  <c r="AS442" i="2"/>
  <c r="AS438" i="2"/>
  <c r="AS420" i="2"/>
  <c r="AS412" i="2"/>
  <c r="AS425" i="2"/>
  <c r="AS411" i="2"/>
  <c r="AS410" i="2"/>
  <c r="AS407" i="2"/>
  <c r="AS458" i="2"/>
  <c r="AS417" i="2"/>
  <c r="AS404" i="2"/>
  <c r="AS422" i="2"/>
  <c r="AS406" i="2"/>
  <c r="AS435" i="2"/>
  <c r="AS405" i="2"/>
  <c r="AS403" i="2"/>
  <c r="AS395" i="2"/>
  <c r="AS387" i="2"/>
  <c r="AS408" i="2"/>
  <c r="AS400" i="2"/>
  <c r="AS392" i="2"/>
  <c r="AS428" i="2"/>
  <c r="AS419" i="2"/>
  <c r="AS402" i="2"/>
  <c r="AS394" i="2"/>
  <c r="AS386" i="2"/>
  <c r="AS426" i="2"/>
  <c r="AS414" i="2"/>
  <c r="AS409" i="2"/>
  <c r="AS399" i="2"/>
  <c r="AS391" i="2"/>
  <c r="AS385" i="2"/>
  <c r="AS398" i="2"/>
  <c r="AS396" i="2"/>
  <c r="AS393" i="2"/>
  <c r="AS390" i="2"/>
  <c r="AS388" i="2"/>
  <c r="AS384" i="2"/>
  <c r="AS376" i="2"/>
  <c r="AS397" i="2"/>
  <c r="AS389" i="2"/>
  <c r="AS379" i="2"/>
  <c r="AS382" i="2"/>
  <c r="AS374" i="2"/>
  <c r="AS368" i="2"/>
  <c r="AS401" i="2"/>
  <c r="AS377" i="2"/>
  <c r="AS369" i="2"/>
  <c r="AS380" i="2"/>
  <c r="AS372" i="2"/>
  <c r="AS370" i="2"/>
  <c r="AS383" i="2"/>
  <c r="AS375" i="2"/>
  <c r="AS371" i="2"/>
  <c r="AS378" i="2"/>
  <c r="AS367" i="2"/>
  <c r="AS366" i="2"/>
  <c r="AS365" i="2"/>
  <c r="AS364" i="2"/>
  <c r="AS363" i="2"/>
  <c r="AS362" i="2"/>
  <c r="AS361" i="2"/>
  <c r="AS360" i="2"/>
  <c r="AS359" i="2"/>
  <c r="AS358" i="2"/>
  <c r="AS357" i="2"/>
  <c r="AS356" i="2"/>
  <c r="AS355" i="2"/>
  <c r="AS354" i="2"/>
  <c r="AS353" i="2"/>
  <c r="AS352" i="2"/>
  <c r="AS351" i="2"/>
  <c r="AS350" i="2"/>
  <c r="AS349" i="2"/>
  <c r="AS348" i="2"/>
  <c r="AS381" i="2"/>
  <c r="AS373" i="2"/>
  <c r="AS343" i="2"/>
  <c r="AS345" i="2"/>
  <c r="AS341" i="2"/>
  <c r="AS340" i="2"/>
  <c r="AS339" i="2"/>
  <c r="AS338" i="2"/>
  <c r="AS337" i="2"/>
  <c r="AS336" i="2"/>
  <c r="AS335" i="2"/>
  <c r="AS334" i="2"/>
  <c r="AS333" i="2"/>
  <c r="AS332" i="2"/>
  <c r="AS331" i="2"/>
  <c r="AS330" i="2"/>
  <c r="AS329" i="2"/>
  <c r="AS328" i="2"/>
  <c r="AS327" i="2"/>
  <c r="AS346" i="2"/>
  <c r="AS342" i="2"/>
  <c r="AS418" i="2"/>
  <c r="AS347" i="2"/>
  <c r="AS344" i="2"/>
  <c r="AS325" i="2"/>
  <c r="AS317" i="2"/>
  <c r="AS309" i="2"/>
  <c r="AS301" i="2"/>
  <c r="AS290" i="2"/>
  <c r="AS320" i="2"/>
  <c r="AS316" i="2"/>
  <c r="AS308" i="2"/>
  <c r="AS300" i="2"/>
  <c r="AS287" i="2"/>
  <c r="AS323" i="2"/>
  <c r="AS315" i="2"/>
  <c r="AS307" i="2"/>
  <c r="AS299" i="2"/>
  <c r="AS292" i="2"/>
  <c r="AS326" i="2"/>
  <c r="AS314" i="2"/>
  <c r="AS306" i="2"/>
  <c r="AS298" i="2"/>
  <c r="AS289" i="2"/>
  <c r="AS284" i="2"/>
  <c r="AS283" i="2"/>
  <c r="AS282" i="2"/>
  <c r="AS281" i="2"/>
  <c r="AS280" i="2"/>
  <c r="AS279" i="2"/>
  <c r="AS278" i="2"/>
  <c r="AS321" i="2"/>
  <c r="AS313" i="2"/>
  <c r="AS305" i="2"/>
  <c r="AS297" i="2"/>
  <c r="AS286" i="2"/>
  <c r="AS324" i="2"/>
  <c r="AS312" i="2"/>
  <c r="AS304" i="2"/>
  <c r="AS296" i="2"/>
  <c r="AS291" i="2"/>
  <c r="AS319" i="2"/>
  <c r="AS311" i="2"/>
  <c r="AS303" i="2"/>
  <c r="AS295" i="2"/>
  <c r="AS288" i="2"/>
  <c r="AS271" i="2"/>
  <c r="AS270" i="2"/>
  <c r="AS269" i="2"/>
  <c r="AS268" i="2"/>
  <c r="AS267" i="2"/>
  <c r="AS266" i="2"/>
  <c r="AS265" i="2"/>
  <c r="AS264" i="2"/>
  <c r="AS263" i="2"/>
  <c r="AS262" i="2"/>
  <c r="AS261" i="2"/>
  <c r="AS260" i="2"/>
  <c r="AS259" i="2"/>
  <c r="AS258" i="2"/>
  <c r="AS257" i="2"/>
  <c r="AS256" i="2"/>
  <c r="AS255" i="2"/>
  <c r="AS254" i="2"/>
  <c r="AS253" i="2"/>
  <c r="AS252" i="2"/>
  <c r="AS251" i="2"/>
  <c r="AS250" i="2"/>
  <c r="AS249" i="2"/>
  <c r="AS248" i="2"/>
  <c r="AS247" i="2"/>
  <c r="AS318" i="2"/>
  <c r="AS302" i="2"/>
  <c r="AS276" i="2"/>
  <c r="AS273" i="2"/>
  <c r="AS322" i="2"/>
  <c r="AS275" i="2"/>
  <c r="AS272" i="2"/>
  <c r="AS310" i="2"/>
  <c r="AS294" i="2"/>
  <c r="AS293" i="2"/>
  <c r="AS285" i="2"/>
  <c r="AS246" i="2"/>
  <c r="AS245" i="2"/>
  <c r="AS277" i="2"/>
  <c r="AS220" i="2"/>
  <c r="AS219" i="2"/>
  <c r="AS218" i="2"/>
  <c r="AS217" i="2"/>
  <c r="AS216" i="2"/>
  <c r="AS215" i="2"/>
  <c r="AS214" i="2"/>
  <c r="AS213" i="2"/>
  <c r="AS212" i="2"/>
  <c r="AS211" i="2"/>
  <c r="AS210" i="2"/>
  <c r="AS209" i="2"/>
  <c r="AS208" i="2"/>
  <c r="AS207" i="2"/>
  <c r="AS206" i="2"/>
  <c r="AS205" i="2"/>
  <c r="AS204" i="2"/>
  <c r="AS203" i="2"/>
  <c r="AS202" i="2"/>
  <c r="AS201" i="2"/>
  <c r="AS200" i="2"/>
  <c r="AS199" i="2"/>
  <c r="AS198" i="2"/>
  <c r="AS197" i="2"/>
  <c r="AS196" i="2"/>
  <c r="AS195" i="2"/>
  <c r="AS194" i="2"/>
  <c r="AS193" i="2"/>
  <c r="AS192" i="2"/>
  <c r="AS191" i="2"/>
  <c r="AS190" i="2"/>
  <c r="AS189" i="2"/>
  <c r="AS188" i="2"/>
  <c r="AS187" i="2"/>
  <c r="AS186" i="2"/>
  <c r="AS185" i="2"/>
  <c r="AS243" i="2"/>
  <c r="AS241" i="2"/>
  <c r="AS239" i="2"/>
  <c r="AS238" i="2"/>
  <c r="AS237" i="2"/>
  <c r="AS236" i="2"/>
  <c r="AS235" i="2"/>
  <c r="AS234" i="2"/>
  <c r="AS233" i="2"/>
  <c r="AS232" i="2"/>
  <c r="AS231" i="2"/>
  <c r="AS230" i="2"/>
  <c r="AS229" i="2"/>
  <c r="AS228" i="2"/>
  <c r="AS227" i="2"/>
  <c r="AS226" i="2"/>
  <c r="AS225" i="2"/>
  <c r="AS224" i="2"/>
  <c r="AS223" i="2"/>
  <c r="AS222" i="2"/>
  <c r="AS221" i="2"/>
  <c r="AS242" i="2"/>
  <c r="AS240" i="2"/>
  <c r="AS274" i="2"/>
  <c r="AS244" i="2"/>
  <c r="AS182" i="2"/>
  <c r="AS180" i="2"/>
  <c r="AS177" i="2"/>
  <c r="AS176" i="2"/>
  <c r="AS181" i="2"/>
  <c r="AS178" i="2"/>
  <c r="AS174" i="2"/>
  <c r="AS173" i="2"/>
  <c r="AS172" i="2"/>
  <c r="AS171" i="2"/>
  <c r="AS170" i="2"/>
  <c r="AS169" i="2"/>
  <c r="AS168" i="2"/>
  <c r="AS167" i="2"/>
  <c r="AS166" i="2"/>
  <c r="AS165" i="2"/>
  <c r="AS164" i="2"/>
  <c r="AS163" i="2"/>
  <c r="AS162" i="2"/>
  <c r="AS161" i="2"/>
  <c r="AS160" i="2"/>
  <c r="AS159" i="2"/>
  <c r="AS158" i="2"/>
  <c r="AS157" i="2"/>
  <c r="AS156" i="2"/>
  <c r="AS155" i="2"/>
  <c r="AS154" i="2"/>
  <c r="AS153" i="2"/>
  <c r="AS152" i="2"/>
  <c r="AS151" i="2"/>
  <c r="AS150" i="2"/>
  <c r="AS149" i="2"/>
  <c r="AS148" i="2"/>
  <c r="AS147" i="2"/>
  <c r="AS146" i="2"/>
  <c r="AS145" i="2"/>
  <c r="AS144" i="2"/>
  <c r="AS143" i="2"/>
  <c r="AS142" i="2"/>
  <c r="AS141" i="2"/>
  <c r="AS140" i="2"/>
  <c r="AS139" i="2"/>
  <c r="AS138" i="2"/>
  <c r="AS137" i="2"/>
  <c r="AS136" i="2"/>
  <c r="AS135" i="2"/>
  <c r="AS134" i="2"/>
  <c r="AS133" i="2"/>
  <c r="AS184" i="2"/>
  <c r="AS175" i="2"/>
  <c r="AS130" i="2"/>
  <c r="AS126" i="2"/>
  <c r="AS124" i="2"/>
  <c r="AS179" i="2"/>
  <c r="AS131" i="2"/>
  <c r="AS127" i="2"/>
  <c r="AS122" i="2"/>
  <c r="AS121" i="2"/>
  <c r="AS120" i="2"/>
  <c r="AS119" i="2"/>
  <c r="AS118" i="2"/>
  <c r="AS117" i="2"/>
  <c r="AS116" i="2"/>
  <c r="AS115" i="2"/>
  <c r="AS114" i="2"/>
  <c r="AS113" i="2"/>
  <c r="AS112" i="2"/>
  <c r="AS111" i="2"/>
  <c r="AS110" i="2"/>
  <c r="AS109" i="2"/>
  <c r="AS108" i="2"/>
  <c r="AS107" i="2"/>
  <c r="AS106" i="2"/>
  <c r="AS105" i="2"/>
  <c r="AS104" i="2"/>
  <c r="AS103" i="2"/>
  <c r="AS102" i="2"/>
  <c r="AS101" i="2"/>
  <c r="AS100" i="2"/>
  <c r="AS99" i="2"/>
  <c r="AS98" i="2"/>
  <c r="AS97" i="2"/>
  <c r="AS96" i="2"/>
  <c r="AS95" i="2"/>
  <c r="AS94" i="2"/>
  <c r="AS93" i="2"/>
  <c r="AS92" i="2"/>
  <c r="AS91" i="2"/>
  <c r="AS90" i="2"/>
  <c r="AS89" i="2"/>
  <c r="AS88" i="2"/>
  <c r="AS87" i="2"/>
  <c r="AS86" i="2"/>
  <c r="AS85" i="2"/>
  <c r="AS84" i="2"/>
  <c r="AS83" i="2"/>
  <c r="AS82" i="2"/>
  <c r="AS81" i="2"/>
  <c r="AS132" i="2"/>
  <c r="AS128" i="2"/>
  <c r="AS183" i="2"/>
  <c r="AS123" i="2"/>
  <c r="X6" i="2"/>
  <c r="CP6" i="2"/>
  <c r="AA7" i="2"/>
  <c r="CR9" i="2"/>
  <c r="CQ11" i="2"/>
  <c r="CQ12" i="2"/>
  <c r="AM15" i="2" a="1"/>
  <c r="AM15" i="2" s="1"/>
  <c r="AV20" i="2"/>
  <c r="AV21" i="2"/>
  <c r="AV22" i="2"/>
  <c r="AV23" i="2"/>
  <c r="AV24" i="2"/>
  <c r="AV25" i="2"/>
  <c r="AV26" i="2"/>
  <c r="AV27" i="2"/>
  <c r="AV28" i="2"/>
  <c r="AV29" i="2"/>
  <c r="AV30" i="2"/>
  <c r="AV31" i="2"/>
  <c r="AV32" i="2"/>
  <c r="AV33" i="2"/>
  <c r="AV34" i="2"/>
  <c r="AV35" i="2"/>
  <c r="AV36" i="2"/>
  <c r="AV37" i="2"/>
  <c r="AV38" i="2"/>
  <c r="AV39" i="2"/>
  <c r="AV40" i="2"/>
  <c r="AV41" i="2"/>
  <c r="AV42" i="2"/>
  <c r="AV43" i="2"/>
  <c r="AV44" i="2"/>
  <c r="AV45" i="2"/>
  <c r="AV46" i="2"/>
  <c r="AV47" i="2"/>
  <c r="AV48" i="2"/>
  <c r="AV49" i="2"/>
  <c r="AV50" i="2"/>
  <c r="AV51" i="2"/>
  <c r="AV52" i="2"/>
  <c r="AV53" i="2"/>
  <c r="AV54" i="2"/>
  <c r="AV55" i="2"/>
  <c r="AV56" i="2"/>
  <c r="AV57" i="2"/>
  <c r="AV58" i="2"/>
  <c r="AV59" i="2"/>
  <c r="AV60" i="2"/>
  <c r="AW61" i="2"/>
  <c r="AU63" i="2"/>
  <c r="BE63" i="2"/>
  <c r="AV64" i="2"/>
  <c r="AW65" i="2"/>
  <c r="AZ66" i="2"/>
  <c r="AU67" i="2"/>
  <c r="AR68" i="2"/>
  <c r="AW70" i="2"/>
  <c r="AU71" i="2"/>
  <c r="AR72" i="2"/>
  <c r="AW74" i="2"/>
  <c r="AU75" i="2"/>
  <c r="AR76" i="2"/>
  <c r="AW78" i="2"/>
  <c r="AU79" i="2"/>
  <c r="AR80" i="2"/>
  <c r="BE81" i="2"/>
  <c r="AU82" i="2"/>
  <c r="AW83" i="2"/>
  <c r="BE84" i="2"/>
  <c r="AV86" i="2"/>
  <c r="BE87" i="2"/>
  <c r="AW89" i="2"/>
  <c r="AV94" i="2"/>
  <c r="BE95" i="2"/>
  <c r="AW97" i="2"/>
  <c r="AV102" i="2"/>
  <c r="BE103" i="2"/>
  <c r="AW105" i="2"/>
  <c r="AV110" i="2"/>
  <c r="BE111" i="2"/>
  <c r="AW113" i="2"/>
  <c r="AV118" i="2"/>
  <c r="BE119" i="2"/>
  <c r="AW121" i="2"/>
  <c r="AS125" i="2"/>
  <c r="AY133" i="2"/>
  <c r="AY165" i="2"/>
  <c r="X3" i="2"/>
  <c r="AA4" i="2"/>
  <c r="CS4" i="2"/>
  <c r="AT533" i="2"/>
  <c r="AT526" i="2"/>
  <c r="AT518" i="2"/>
  <c r="AT525" i="2"/>
  <c r="AT517" i="2"/>
  <c r="AT531" i="2"/>
  <c r="AT530" i="2"/>
  <c r="AT522" i="2"/>
  <c r="AT529" i="2"/>
  <c r="AT521" i="2"/>
  <c r="AT520" i="2"/>
  <c r="AT519" i="2"/>
  <c r="AT515" i="2"/>
  <c r="AT507" i="2"/>
  <c r="AT532" i="2"/>
  <c r="AT513" i="2"/>
  <c r="AT505" i="2"/>
  <c r="AT527" i="2"/>
  <c r="AT512" i="2"/>
  <c r="AT524" i="2"/>
  <c r="AT523" i="2"/>
  <c r="AT516" i="2"/>
  <c r="AT511" i="2"/>
  <c r="AT509" i="2"/>
  <c r="AT528" i="2"/>
  <c r="AT501" i="2"/>
  <c r="AT500" i="2"/>
  <c r="AT498" i="2"/>
  <c r="AT497" i="2"/>
  <c r="AT504" i="2"/>
  <c r="AT495" i="2"/>
  <c r="AT487" i="2"/>
  <c r="AT496" i="2"/>
  <c r="AT486" i="2"/>
  <c r="AT514" i="2"/>
  <c r="AT485" i="2"/>
  <c r="AT510" i="2"/>
  <c r="AT506" i="2"/>
  <c r="AT491" i="2"/>
  <c r="AT508" i="2"/>
  <c r="AT490" i="2"/>
  <c r="AT492" i="2"/>
  <c r="AT489" i="2"/>
  <c r="AT484" i="2"/>
  <c r="AT482" i="2"/>
  <c r="AT474" i="2"/>
  <c r="AT503" i="2"/>
  <c r="AT483" i="2"/>
  <c r="AT481" i="2"/>
  <c r="AT473" i="2"/>
  <c r="AT499" i="2"/>
  <c r="AT488" i="2"/>
  <c r="AT479" i="2"/>
  <c r="AT494" i="2"/>
  <c r="AT478" i="2"/>
  <c r="AT466" i="2"/>
  <c r="AT465" i="2"/>
  <c r="AT502" i="2"/>
  <c r="AT472" i="2"/>
  <c r="AT464" i="2"/>
  <c r="AT471" i="2"/>
  <c r="AT463" i="2"/>
  <c r="AT493" i="2"/>
  <c r="AT476" i="2"/>
  <c r="AT475" i="2"/>
  <c r="AT470" i="2"/>
  <c r="AT477" i="2"/>
  <c r="AT469" i="2"/>
  <c r="AT468" i="2"/>
  <c r="AT460" i="2"/>
  <c r="AT456" i="2"/>
  <c r="AT448" i="2"/>
  <c r="AT440" i="2"/>
  <c r="AT432" i="2"/>
  <c r="AT455" i="2"/>
  <c r="AT447" i="2"/>
  <c r="AT439" i="2"/>
  <c r="AT431" i="2"/>
  <c r="AT462" i="2"/>
  <c r="AT454" i="2"/>
  <c r="AT446" i="2"/>
  <c r="AT438" i="2"/>
  <c r="AT461" i="2"/>
  <c r="AT453" i="2"/>
  <c r="AT467" i="2"/>
  <c r="AT452" i="2"/>
  <c r="AT444" i="2"/>
  <c r="AT436" i="2"/>
  <c r="AT459" i="2"/>
  <c r="AT451" i="2"/>
  <c r="AT443" i="2"/>
  <c r="AT435" i="2"/>
  <c r="AT437" i="2"/>
  <c r="AT450" i="2"/>
  <c r="AT434" i="2"/>
  <c r="AT423" i="2"/>
  <c r="AT415" i="2"/>
  <c r="AT449" i="2"/>
  <c r="AT430" i="2"/>
  <c r="AT429" i="2"/>
  <c r="AT422" i="2"/>
  <c r="AT414" i="2"/>
  <c r="AT480" i="2"/>
  <c r="AT445" i="2"/>
  <c r="AT442" i="2"/>
  <c r="AT433" i="2"/>
  <c r="AT420" i="2"/>
  <c r="AT412" i="2"/>
  <c r="AT457" i="2"/>
  <c r="AT419" i="2"/>
  <c r="AT411" i="2"/>
  <c r="AT427" i="2"/>
  <c r="AT425" i="2"/>
  <c r="AT424" i="2"/>
  <c r="AT458" i="2"/>
  <c r="AT417" i="2"/>
  <c r="AT416" i="2"/>
  <c r="AT404" i="2"/>
  <c r="AT441" i="2"/>
  <c r="AT428" i="2"/>
  <c r="AT426" i="2"/>
  <c r="AT418" i="2"/>
  <c r="AT413" i="2"/>
  <c r="AT403" i="2"/>
  <c r="AT402" i="2"/>
  <c r="AT401" i="2"/>
  <c r="AT400" i="2"/>
  <c r="AT399" i="2"/>
  <c r="AT398" i="2"/>
  <c r="AT397" i="2"/>
  <c r="AT396" i="2"/>
  <c r="AT395" i="2"/>
  <c r="AT394" i="2"/>
  <c r="AT393" i="2"/>
  <c r="AT392" i="2"/>
  <c r="AT391" i="2"/>
  <c r="AT390" i="2"/>
  <c r="AT389" i="2"/>
  <c r="AT388" i="2"/>
  <c r="AT387" i="2"/>
  <c r="AT386" i="2"/>
  <c r="AT385" i="2"/>
  <c r="AT405" i="2"/>
  <c r="AT408" i="2"/>
  <c r="AT406" i="2"/>
  <c r="AT407" i="2"/>
  <c r="AT384" i="2"/>
  <c r="AT383" i="2"/>
  <c r="AT382" i="2"/>
  <c r="AT381" i="2"/>
  <c r="AT380" i="2"/>
  <c r="AT379" i="2"/>
  <c r="AT378" i="2"/>
  <c r="AT377" i="2"/>
  <c r="AT376" i="2"/>
  <c r="AT375" i="2"/>
  <c r="AT374" i="2"/>
  <c r="AT373" i="2"/>
  <c r="AT372" i="2"/>
  <c r="AT409" i="2"/>
  <c r="AT410" i="2"/>
  <c r="AT368" i="2"/>
  <c r="AT421" i="2"/>
  <c r="AT369" i="2"/>
  <c r="AT370" i="2"/>
  <c r="AT371" i="2"/>
  <c r="AT367" i="2"/>
  <c r="AT366" i="2"/>
  <c r="AT365" i="2"/>
  <c r="AT364" i="2"/>
  <c r="AT363" i="2"/>
  <c r="AT362" i="2"/>
  <c r="AT361" i="2"/>
  <c r="AT360" i="2"/>
  <c r="AT359" i="2"/>
  <c r="AT358" i="2"/>
  <c r="AT357" i="2"/>
  <c r="AT356" i="2"/>
  <c r="AT355" i="2"/>
  <c r="AT354" i="2"/>
  <c r="AT353" i="2"/>
  <c r="AT352" i="2"/>
  <c r="AT351" i="2"/>
  <c r="AT350" i="2"/>
  <c r="AT349" i="2"/>
  <c r="AT348" i="2"/>
  <c r="AT347" i="2"/>
  <c r="AT346" i="2"/>
  <c r="AT345" i="2"/>
  <c r="AT344" i="2"/>
  <c r="AT343" i="2"/>
  <c r="AT341" i="2"/>
  <c r="AT340" i="2"/>
  <c r="AT339" i="2"/>
  <c r="AT338" i="2"/>
  <c r="AT337" i="2"/>
  <c r="AT336" i="2"/>
  <c r="AT335" i="2"/>
  <c r="AT334" i="2"/>
  <c r="AT333" i="2"/>
  <c r="AT332" i="2"/>
  <c r="AT331" i="2"/>
  <c r="AT330" i="2"/>
  <c r="AT329" i="2"/>
  <c r="AT328" i="2"/>
  <c r="AT327" i="2"/>
  <c r="AT326" i="2"/>
  <c r="AT325" i="2"/>
  <c r="AT324" i="2"/>
  <c r="AT323" i="2"/>
  <c r="AT322" i="2"/>
  <c r="AT321" i="2"/>
  <c r="AT320" i="2"/>
  <c r="AT319" i="2"/>
  <c r="AT318" i="2"/>
  <c r="AT317" i="2"/>
  <c r="AT316" i="2"/>
  <c r="AT315" i="2"/>
  <c r="AT314" i="2"/>
  <c r="AT313" i="2"/>
  <c r="AT312" i="2"/>
  <c r="AT311" i="2"/>
  <c r="AT310" i="2"/>
  <c r="AT309" i="2"/>
  <c r="AT308" i="2"/>
  <c r="AT307" i="2"/>
  <c r="AT306" i="2"/>
  <c r="AT305" i="2"/>
  <c r="AT304" i="2"/>
  <c r="AT303" i="2"/>
  <c r="AT302" i="2"/>
  <c r="AT301" i="2"/>
  <c r="AT300" i="2"/>
  <c r="AT299" i="2"/>
  <c r="AT298" i="2"/>
  <c r="AT297" i="2"/>
  <c r="AT296" i="2"/>
  <c r="AT295" i="2"/>
  <c r="AT294" i="2"/>
  <c r="AT342" i="2"/>
  <c r="AT287" i="2"/>
  <c r="AT292" i="2"/>
  <c r="AT289" i="2"/>
  <c r="AT284" i="2"/>
  <c r="AT283" i="2"/>
  <c r="AT282" i="2"/>
  <c r="AT281" i="2"/>
  <c r="AT280" i="2"/>
  <c r="AT279" i="2"/>
  <c r="AT278" i="2"/>
  <c r="AT277" i="2"/>
  <c r="AT286" i="2"/>
  <c r="AT291" i="2"/>
  <c r="AT288" i="2"/>
  <c r="AT293" i="2"/>
  <c r="AT285" i="2"/>
  <c r="AT271" i="2"/>
  <c r="AT270" i="2"/>
  <c r="AT269" i="2"/>
  <c r="AT268" i="2"/>
  <c r="AT267" i="2"/>
  <c r="AT266" i="2"/>
  <c r="AT265" i="2"/>
  <c r="AT264" i="2"/>
  <c r="AT263" i="2"/>
  <c r="AT262" i="2"/>
  <c r="AT261" i="2"/>
  <c r="AT260" i="2"/>
  <c r="AT259" i="2"/>
  <c r="AT258" i="2"/>
  <c r="AT257" i="2"/>
  <c r="AT256" i="2"/>
  <c r="AT255" i="2"/>
  <c r="AT290" i="2"/>
  <c r="AT276" i="2"/>
  <c r="AT273" i="2"/>
  <c r="AT275" i="2"/>
  <c r="AT272" i="2"/>
  <c r="AT274" i="2"/>
  <c r="AT253" i="2"/>
  <c r="AT249" i="2"/>
  <c r="AT245" i="2"/>
  <c r="AT220" i="2"/>
  <c r="AT219" i="2"/>
  <c r="AT218" i="2"/>
  <c r="AT217" i="2"/>
  <c r="AT216" i="2"/>
  <c r="AT215" i="2"/>
  <c r="AT214" i="2"/>
  <c r="AT213" i="2"/>
  <c r="AT212" i="2"/>
  <c r="AT211" i="2"/>
  <c r="AT210" i="2"/>
  <c r="AT209" i="2"/>
  <c r="AT208" i="2"/>
  <c r="AT207" i="2"/>
  <c r="AT206" i="2"/>
  <c r="AT205" i="2"/>
  <c r="AT204" i="2"/>
  <c r="AT203" i="2"/>
  <c r="AT202" i="2"/>
  <c r="AT201" i="2"/>
  <c r="AT200" i="2"/>
  <c r="AT199" i="2"/>
  <c r="AT198" i="2"/>
  <c r="AT197" i="2"/>
  <c r="AT196" i="2"/>
  <c r="AT195" i="2"/>
  <c r="AT194" i="2"/>
  <c r="AT193" i="2"/>
  <c r="AT192" i="2"/>
  <c r="AT191" i="2"/>
  <c r="AT190" i="2"/>
  <c r="AT189" i="2"/>
  <c r="AT188" i="2"/>
  <c r="AT187" i="2"/>
  <c r="AT186" i="2"/>
  <c r="AT185" i="2"/>
  <c r="AT184" i="2"/>
  <c r="AT183" i="2"/>
  <c r="AT182" i="2"/>
  <c r="AT243" i="2"/>
  <c r="AT241" i="2"/>
  <c r="AT252" i="2"/>
  <c r="AT248" i="2"/>
  <c r="AT239" i="2"/>
  <c r="AT238" i="2"/>
  <c r="AT237" i="2"/>
  <c r="AT236" i="2"/>
  <c r="AT235" i="2"/>
  <c r="AT234" i="2"/>
  <c r="AT233" i="2"/>
  <c r="AT232" i="2"/>
  <c r="AT231" i="2"/>
  <c r="AT230" i="2"/>
  <c r="AT229" i="2"/>
  <c r="AT228" i="2"/>
  <c r="AT227" i="2"/>
  <c r="AT226" i="2"/>
  <c r="AT225" i="2"/>
  <c r="AT224" i="2"/>
  <c r="AT223" i="2"/>
  <c r="AT222" i="2"/>
  <c r="AT221" i="2"/>
  <c r="AT251" i="2"/>
  <c r="AT246" i="2"/>
  <c r="AT254" i="2"/>
  <c r="AT250" i="2"/>
  <c r="AT244" i="2"/>
  <c r="AT247" i="2"/>
  <c r="AT180" i="2"/>
  <c r="AT177" i="2"/>
  <c r="AT176" i="2"/>
  <c r="AT181" i="2"/>
  <c r="AT178" i="2"/>
  <c r="AT174" i="2"/>
  <c r="AT173" i="2"/>
  <c r="AT172" i="2"/>
  <c r="AT171" i="2"/>
  <c r="AT170" i="2"/>
  <c r="AT169" i="2"/>
  <c r="AT168" i="2"/>
  <c r="AT167" i="2"/>
  <c r="AT166" i="2"/>
  <c r="AT165" i="2"/>
  <c r="AT164" i="2"/>
  <c r="AT163" i="2"/>
  <c r="AT162" i="2"/>
  <c r="AT161" i="2"/>
  <c r="AT160" i="2"/>
  <c r="AT159" i="2"/>
  <c r="AT158" i="2"/>
  <c r="AT157" i="2"/>
  <c r="AT156" i="2"/>
  <c r="AT155" i="2"/>
  <c r="AT154" i="2"/>
  <c r="AT153" i="2"/>
  <c r="AT152" i="2"/>
  <c r="AT151" i="2"/>
  <c r="AT150" i="2"/>
  <c r="AT149" i="2"/>
  <c r="AT148" i="2"/>
  <c r="AT147" i="2"/>
  <c r="AT146" i="2"/>
  <c r="AT145" i="2"/>
  <c r="AT144" i="2"/>
  <c r="AT143" i="2"/>
  <c r="AT142" i="2"/>
  <c r="AT141" i="2"/>
  <c r="AT140" i="2"/>
  <c r="AT139" i="2"/>
  <c r="AT138" i="2"/>
  <c r="AT137" i="2"/>
  <c r="AT136" i="2"/>
  <c r="AT135" i="2"/>
  <c r="AT134" i="2"/>
  <c r="AT133" i="2"/>
  <c r="AT132" i="2"/>
  <c r="AT131" i="2"/>
  <c r="AT130" i="2"/>
  <c r="AT129" i="2"/>
  <c r="AT128" i="2"/>
  <c r="AT127" i="2"/>
  <c r="AT126" i="2"/>
  <c r="AT125" i="2"/>
  <c r="AT124" i="2"/>
  <c r="AT242" i="2"/>
  <c r="AT175" i="2"/>
  <c r="AT179" i="2"/>
  <c r="AT240" i="2"/>
  <c r="AT122" i="2"/>
  <c r="AT121" i="2"/>
  <c r="AT120" i="2"/>
  <c r="AT119" i="2"/>
  <c r="AT118" i="2"/>
  <c r="AT117" i="2"/>
  <c r="AT116" i="2"/>
  <c r="AT115" i="2"/>
  <c r="AT114" i="2"/>
  <c r="AT113" i="2"/>
  <c r="AT112" i="2"/>
  <c r="AT111" i="2"/>
  <c r="AT110" i="2"/>
  <c r="AT109" i="2"/>
  <c r="AT108" i="2"/>
  <c r="AT107" i="2"/>
  <c r="AT106" i="2"/>
  <c r="AT105" i="2"/>
  <c r="AT104" i="2"/>
  <c r="AT103" i="2"/>
  <c r="AT102" i="2"/>
  <c r="AT101" i="2"/>
  <c r="AT100" i="2"/>
  <c r="AT99" i="2"/>
  <c r="AT98" i="2"/>
  <c r="AT97" i="2"/>
  <c r="AT96" i="2"/>
  <c r="AT95" i="2"/>
  <c r="AT94" i="2"/>
  <c r="AT93" i="2"/>
  <c r="AT92" i="2"/>
  <c r="AT91" i="2"/>
  <c r="AT90" i="2"/>
  <c r="AT89" i="2"/>
  <c r="AT88" i="2"/>
  <c r="AT87" i="2"/>
  <c r="AT86" i="2"/>
  <c r="AT85" i="2"/>
  <c r="AT84" i="2"/>
  <c r="AT83" i="2"/>
  <c r="AT82" i="2"/>
  <c r="AT81" i="2"/>
  <c r="AT80" i="2"/>
  <c r="AT79" i="2"/>
  <c r="AT78" i="2"/>
  <c r="AT77" i="2"/>
  <c r="AT76" i="2"/>
  <c r="AT75" i="2"/>
  <c r="AT74" i="2"/>
  <c r="AT73" i="2"/>
  <c r="AT72" i="2"/>
  <c r="AT71" i="2"/>
  <c r="AT70" i="2"/>
  <c r="AT69" i="2"/>
  <c r="AT68" i="2"/>
  <c r="AT67" i="2"/>
  <c r="AT123" i="2"/>
  <c r="BB533" i="2"/>
  <c r="BB526" i="2"/>
  <c r="BB518" i="2"/>
  <c r="BB525" i="2"/>
  <c r="BB517" i="2"/>
  <c r="BB531" i="2"/>
  <c r="BB530" i="2"/>
  <c r="BB522" i="2"/>
  <c r="BB529" i="2"/>
  <c r="BB521" i="2"/>
  <c r="BB527" i="2"/>
  <c r="BB524" i="2"/>
  <c r="BB523" i="2"/>
  <c r="BB516" i="2"/>
  <c r="BB507" i="2"/>
  <c r="BB515" i="2"/>
  <c r="BB513" i="2"/>
  <c r="BB505" i="2"/>
  <c r="BB512" i="2"/>
  <c r="BB528" i="2"/>
  <c r="BB520" i="2"/>
  <c r="BB519" i="2"/>
  <c r="BB511" i="2"/>
  <c r="BB532" i="2"/>
  <c r="BB509" i="2"/>
  <c r="BB501" i="2"/>
  <c r="BB500" i="2"/>
  <c r="BB514" i="2"/>
  <c r="BB498" i="2"/>
  <c r="BB497" i="2"/>
  <c r="BB487" i="2"/>
  <c r="BB506" i="2"/>
  <c r="BB486" i="2"/>
  <c r="BB485" i="2"/>
  <c r="BB510" i="2"/>
  <c r="BB495" i="2"/>
  <c r="BB493" i="2"/>
  <c r="BB491" i="2"/>
  <c r="BB504" i="2"/>
  <c r="BB496" i="2"/>
  <c r="BB490" i="2"/>
  <c r="BB503" i="2"/>
  <c r="BB488" i="2"/>
  <c r="BB482" i="2"/>
  <c r="BB474" i="2"/>
  <c r="BB481" i="2"/>
  <c r="BB473" i="2"/>
  <c r="BB499" i="2"/>
  <c r="BB494" i="2"/>
  <c r="BB484" i="2"/>
  <c r="BB483" i="2"/>
  <c r="BB479" i="2"/>
  <c r="BB508" i="2"/>
  <c r="BB502" i="2"/>
  <c r="BB478" i="2"/>
  <c r="BB476" i="2"/>
  <c r="BB475" i="2"/>
  <c r="BB466" i="2"/>
  <c r="BB489" i="2"/>
  <c r="BB477" i="2"/>
  <c r="BB465" i="2"/>
  <c r="BB472" i="2"/>
  <c r="BB464" i="2"/>
  <c r="BB480" i="2"/>
  <c r="BB471" i="2"/>
  <c r="BB463" i="2"/>
  <c r="BB492" i="2"/>
  <c r="BB470" i="2"/>
  <c r="BB462" i="2"/>
  <c r="BB469" i="2"/>
  <c r="BB468" i="2"/>
  <c r="BB460" i="2"/>
  <c r="BB456" i="2"/>
  <c r="BB448" i="2"/>
  <c r="BB440" i="2"/>
  <c r="BB432" i="2"/>
  <c r="BB455" i="2"/>
  <c r="BB447" i="2"/>
  <c r="BB439" i="2"/>
  <c r="BB431" i="2"/>
  <c r="BB454" i="2"/>
  <c r="BB446" i="2"/>
  <c r="BB438" i="2"/>
  <c r="BB430" i="2"/>
  <c r="BB467" i="2"/>
  <c r="BB453" i="2"/>
  <c r="BB452" i="2"/>
  <c r="BB444" i="2"/>
  <c r="BB436" i="2"/>
  <c r="BB451" i="2"/>
  <c r="BB443" i="2"/>
  <c r="BB435" i="2"/>
  <c r="BB445" i="2"/>
  <c r="BB442" i="2"/>
  <c r="BB433" i="2"/>
  <c r="BB423" i="2"/>
  <c r="BB415" i="2"/>
  <c r="BB422" i="2"/>
  <c r="BB414" i="2"/>
  <c r="BB457" i="2"/>
  <c r="BB429" i="2"/>
  <c r="BB458" i="2"/>
  <c r="BB441" i="2"/>
  <c r="BB427" i="2"/>
  <c r="BB420" i="2"/>
  <c r="BB412" i="2"/>
  <c r="BB437" i="2"/>
  <c r="BB419" i="2"/>
  <c r="BB411" i="2"/>
  <c r="BB418" i="2"/>
  <c r="BB428" i="2"/>
  <c r="BB426" i="2"/>
  <c r="BB421" i="2"/>
  <c r="BB450" i="2"/>
  <c r="BB449" i="2"/>
  <c r="BB459" i="2"/>
  <c r="BB409" i="2"/>
  <c r="BB407" i="2"/>
  <c r="BB461" i="2"/>
  <c r="BB434" i="2"/>
  <c r="BB410" i="2"/>
  <c r="BB404" i="2"/>
  <c r="BB425" i="2"/>
  <c r="BB424" i="2"/>
  <c r="BB406" i="2"/>
  <c r="BB402" i="2"/>
  <c r="BB401" i="2"/>
  <c r="BB400" i="2"/>
  <c r="BB399" i="2"/>
  <c r="BB398" i="2"/>
  <c r="BB397" i="2"/>
  <c r="BB396" i="2"/>
  <c r="BB395" i="2"/>
  <c r="BB394" i="2"/>
  <c r="BB393" i="2"/>
  <c r="BB392" i="2"/>
  <c r="BB391" i="2"/>
  <c r="BB390" i="2"/>
  <c r="BB389" i="2"/>
  <c r="BB388" i="2"/>
  <c r="BB387" i="2"/>
  <c r="BB386" i="2"/>
  <c r="BB385" i="2"/>
  <c r="BB413" i="2"/>
  <c r="BB384" i="2"/>
  <c r="BB383" i="2"/>
  <c r="BB382" i="2"/>
  <c r="BB381" i="2"/>
  <c r="BB380" i="2"/>
  <c r="BB379" i="2"/>
  <c r="BB378" i="2"/>
  <c r="BB377" i="2"/>
  <c r="BB376" i="2"/>
  <c r="BB375" i="2"/>
  <c r="BB374" i="2"/>
  <c r="BB373" i="2"/>
  <c r="BB372" i="2"/>
  <c r="BB416" i="2"/>
  <c r="BB405" i="2"/>
  <c r="BB403" i="2"/>
  <c r="BB408" i="2"/>
  <c r="BB368" i="2"/>
  <c r="BB369" i="2"/>
  <c r="BB370" i="2"/>
  <c r="BB367" i="2"/>
  <c r="BB366" i="2"/>
  <c r="BB365" i="2"/>
  <c r="BB364" i="2"/>
  <c r="BB363" i="2"/>
  <c r="BB362" i="2"/>
  <c r="BB361" i="2"/>
  <c r="BB360" i="2"/>
  <c r="BB359" i="2"/>
  <c r="BB358" i="2"/>
  <c r="BB357" i="2"/>
  <c r="BB356" i="2"/>
  <c r="BB355" i="2"/>
  <c r="BB354" i="2"/>
  <c r="BB353" i="2"/>
  <c r="BB352" i="2"/>
  <c r="BB351" i="2"/>
  <c r="BB350" i="2"/>
  <c r="BB349" i="2"/>
  <c r="BB348" i="2"/>
  <c r="BB347" i="2"/>
  <c r="BB346" i="2"/>
  <c r="BB345" i="2"/>
  <c r="BB344" i="2"/>
  <c r="BB371" i="2"/>
  <c r="BB343" i="2"/>
  <c r="BB341" i="2"/>
  <c r="BB340" i="2"/>
  <c r="BB339" i="2"/>
  <c r="BB338" i="2"/>
  <c r="BB337" i="2"/>
  <c r="BB336" i="2"/>
  <c r="BB335" i="2"/>
  <c r="BB334" i="2"/>
  <c r="BB333" i="2"/>
  <c r="BB332" i="2"/>
  <c r="BB331" i="2"/>
  <c r="BB330" i="2"/>
  <c r="BB329" i="2"/>
  <c r="BB328" i="2"/>
  <c r="BB327" i="2"/>
  <c r="BB326" i="2"/>
  <c r="BB325" i="2"/>
  <c r="BB324" i="2"/>
  <c r="BB323" i="2"/>
  <c r="BB322" i="2"/>
  <c r="BB321" i="2"/>
  <c r="BB320" i="2"/>
  <c r="BB319" i="2"/>
  <c r="BB318" i="2"/>
  <c r="BB317" i="2"/>
  <c r="BB316" i="2"/>
  <c r="BB315" i="2"/>
  <c r="BB314" i="2"/>
  <c r="BB313" i="2"/>
  <c r="BB312" i="2"/>
  <c r="BB311" i="2"/>
  <c r="BB310" i="2"/>
  <c r="BB309" i="2"/>
  <c r="BB308" i="2"/>
  <c r="BB307" i="2"/>
  <c r="BB306" i="2"/>
  <c r="BB305" i="2"/>
  <c r="BB304" i="2"/>
  <c r="BB303" i="2"/>
  <c r="BB302" i="2"/>
  <c r="BB301" i="2"/>
  <c r="BB300" i="2"/>
  <c r="BB299" i="2"/>
  <c r="BB298" i="2"/>
  <c r="BB297" i="2"/>
  <c r="BB296" i="2"/>
  <c r="BB295" i="2"/>
  <c r="BB294" i="2"/>
  <c r="BB417" i="2"/>
  <c r="BB342" i="2"/>
  <c r="BB290" i="2"/>
  <c r="BB287" i="2"/>
  <c r="BB292" i="2"/>
  <c r="BB284" i="2"/>
  <c r="BB283" i="2"/>
  <c r="BB282" i="2"/>
  <c r="BB281" i="2"/>
  <c r="BB280" i="2"/>
  <c r="BB279" i="2"/>
  <c r="BB278" i="2"/>
  <c r="BB277" i="2"/>
  <c r="BB276" i="2"/>
  <c r="BB289" i="2"/>
  <c r="BB286" i="2"/>
  <c r="BB291" i="2"/>
  <c r="BB288" i="2"/>
  <c r="BB271" i="2"/>
  <c r="BB270" i="2"/>
  <c r="BB269" i="2"/>
  <c r="BB268" i="2"/>
  <c r="BB267" i="2"/>
  <c r="BB266" i="2"/>
  <c r="BB265" i="2"/>
  <c r="BB264" i="2"/>
  <c r="BB263" i="2"/>
  <c r="BB262" i="2"/>
  <c r="BB261" i="2"/>
  <c r="BB260" i="2"/>
  <c r="BB259" i="2"/>
  <c r="BB258" i="2"/>
  <c r="BB257" i="2"/>
  <c r="BB256" i="2"/>
  <c r="BB255" i="2"/>
  <c r="BB273" i="2"/>
  <c r="BB293" i="2"/>
  <c r="BB285" i="2"/>
  <c r="BB272" i="2"/>
  <c r="BB244" i="2"/>
  <c r="BB220" i="2"/>
  <c r="BB219" i="2"/>
  <c r="BB218" i="2"/>
  <c r="BB217" i="2"/>
  <c r="BB216" i="2"/>
  <c r="BB215" i="2"/>
  <c r="BB214" i="2"/>
  <c r="BB213" i="2"/>
  <c r="BB212" i="2"/>
  <c r="BB211" i="2"/>
  <c r="BB210" i="2"/>
  <c r="BB209" i="2"/>
  <c r="BB208" i="2"/>
  <c r="BB207" i="2"/>
  <c r="BB206" i="2"/>
  <c r="BB205" i="2"/>
  <c r="BB204" i="2"/>
  <c r="BB203" i="2"/>
  <c r="BB202" i="2"/>
  <c r="BB201" i="2"/>
  <c r="BB200" i="2"/>
  <c r="BB199" i="2"/>
  <c r="BB198" i="2"/>
  <c r="BB197" i="2"/>
  <c r="BB196" i="2"/>
  <c r="BB195" i="2"/>
  <c r="BB194" i="2"/>
  <c r="BB193" i="2"/>
  <c r="BB192" i="2"/>
  <c r="BB191" i="2"/>
  <c r="BB190" i="2"/>
  <c r="BB189" i="2"/>
  <c r="BB188" i="2"/>
  <c r="BB187" i="2"/>
  <c r="BB186" i="2"/>
  <c r="BB185" i="2"/>
  <c r="BB184" i="2"/>
  <c r="BB183" i="2"/>
  <c r="BB182" i="2"/>
  <c r="BB251" i="2"/>
  <c r="BB243" i="2"/>
  <c r="BB241" i="2"/>
  <c r="BB254" i="2"/>
  <c r="BB250" i="2"/>
  <c r="BB247" i="2"/>
  <c r="BB245" i="2"/>
  <c r="BB239" i="2"/>
  <c r="BB238" i="2"/>
  <c r="BB237" i="2"/>
  <c r="BB236" i="2"/>
  <c r="BB235" i="2"/>
  <c r="BB234" i="2"/>
  <c r="BB233" i="2"/>
  <c r="BB232" i="2"/>
  <c r="BB231" i="2"/>
  <c r="BB230" i="2"/>
  <c r="BB229" i="2"/>
  <c r="BB228" i="2"/>
  <c r="BB227" i="2"/>
  <c r="BB226" i="2"/>
  <c r="BB225" i="2"/>
  <c r="BB224" i="2"/>
  <c r="BB223" i="2"/>
  <c r="BB222" i="2"/>
  <c r="BB221" i="2"/>
  <c r="BB275" i="2"/>
  <c r="BB274" i="2"/>
  <c r="BB242" i="2"/>
  <c r="BB240" i="2"/>
  <c r="BB252" i="2"/>
  <c r="BB248" i="2"/>
  <c r="BB246" i="2"/>
  <c r="BB178" i="2"/>
  <c r="BB179" i="2"/>
  <c r="BB177" i="2"/>
  <c r="BB176" i="2"/>
  <c r="BB249" i="2"/>
  <c r="BB180" i="2"/>
  <c r="BB174" i="2"/>
  <c r="BB173" i="2"/>
  <c r="BB172" i="2"/>
  <c r="BB171" i="2"/>
  <c r="BB170" i="2"/>
  <c r="BB169" i="2"/>
  <c r="BB168" i="2"/>
  <c r="BB167" i="2"/>
  <c r="BB166" i="2"/>
  <c r="BB165" i="2"/>
  <c r="BB164" i="2"/>
  <c r="BB163" i="2"/>
  <c r="BB162" i="2"/>
  <c r="BB161" i="2"/>
  <c r="BB160" i="2"/>
  <c r="BB159" i="2"/>
  <c r="BB158" i="2"/>
  <c r="BB157" i="2"/>
  <c r="BB156" i="2"/>
  <c r="BB155" i="2"/>
  <c r="BB154" i="2"/>
  <c r="BB153" i="2"/>
  <c r="BB152" i="2"/>
  <c r="BB151" i="2"/>
  <c r="BB150" i="2"/>
  <c r="BB149" i="2"/>
  <c r="BB148" i="2"/>
  <c r="BB147" i="2"/>
  <c r="BB146" i="2"/>
  <c r="BB145" i="2"/>
  <c r="BB144" i="2"/>
  <c r="BB143" i="2"/>
  <c r="BB142" i="2"/>
  <c r="BB141" i="2"/>
  <c r="BB140" i="2"/>
  <c r="BB139" i="2"/>
  <c r="BB138" i="2"/>
  <c r="BB137" i="2"/>
  <c r="BB136" i="2"/>
  <c r="BB135" i="2"/>
  <c r="BB134" i="2"/>
  <c r="BB133" i="2"/>
  <c r="BB132" i="2"/>
  <c r="BB131" i="2"/>
  <c r="BB130" i="2"/>
  <c r="BB129" i="2"/>
  <c r="BB128" i="2"/>
  <c r="BB127" i="2"/>
  <c r="BB126" i="2"/>
  <c r="BB125" i="2"/>
  <c r="BB124" i="2"/>
  <c r="BB253" i="2"/>
  <c r="BB181" i="2"/>
  <c r="BB175" i="2"/>
  <c r="BB122" i="2"/>
  <c r="BB121" i="2"/>
  <c r="BB120" i="2"/>
  <c r="BB119" i="2"/>
  <c r="BB118" i="2"/>
  <c r="BB117" i="2"/>
  <c r="BB116" i="2"/>
  <c r="BB115" i="2"/>
  <c r="BB114" i="2"/>
  <c r="BB113" i="2"/>
  <c r="BB112" i="2"/>
  <c r="BB111" i="2"/>
  <c r="BB110" i="2"/>
  <c r="BB109" i="2"/>
  <c r="BB108" i="2"/>
  <c r="BB107" i="2"/>
  <c r="BB106" i="2"/>
  <c r="BB105" i="2"/>
  <c r="BB104" i="2"/>
  <c r="BB103" i="2"/>
  <c r="BB102" i="2"/>
  <c r="BB101" i="2"/>
  <c r="BB100" i="2"/>
  <c r="BB99" i="2"/>
  <c r="BB98" i="2"/>
  <c r="BB97" i="2"/>
  <c r="BB96" i="2"/>
  <c r="BB95" i="2"/>
  <c r="BB94" i="2"/>
  <c r="BB93" i="2"/>
  <c r="BB92" i="2"/>
  <c r="BB91" i="2"/>
  <c r="BB90" i="2"/>
  <c r="BB89" i="2"/>
  <c r="BB88" i="2"/>
  <c r="BB87" i="2"/>
  <c r="BB86" i="2"/>
  <c r="BB85" i="2"/>
  <c r="BB84" i="2"/>
  <c r="BB83" i="2"/>
  <c r="BB82" i="2"/>
  <c r="BB81" i="2"/>
  <c r="BB80" i="2"/>
  <c r="BB79" i="2"/>
  <c r="BB78" i="2"/>
  <c r="BB77" i="2"/>
  <c r="BB76" i="2"/>
  <c r="BB75" i="2"/>
  <c r="BB74" i="2"/>
  <c r="BB73" i="2"/>
  <c r="BB72" i="2"/>
  <c r="BB71" i="2"/>
  <c r="BB70" i="2"/>
  <c r="BB69" i="2"/>
  <c r="BB68" i="2"/>
  <c r="BB67" i="2"/>
  <c r="BB123" i="2"/>
  <c r="CQ6" i="2"/>
  <c r="AB7" i="2"/>
  <c r="AA8" i="2"/>
  <c r="V10" i="2"/>
  <c r="CQ10" i="2"/>
  <c r="CR11" i="2"/>
  <c r="CR12" i="2"/>
  <c r="AN13" i="2" a="1"/>
  <c r="AN13" i="2" s="1"/>
  <c r="AN14" i="2" a="1"/>
  <c r="AN14" i="2" s="1"/>
  <c r="AW20" i="2"/>
  <c r="BE20" i="2"/>
  <c r="AW21" i="2"/>
  <c r="BE21" i="2"/>
  <c r="AW22" i="2"/>
  <c r="BE22" i="2"/>
  <c r="AW23" i="2"/>
  <c r="BE23" i="2"/>
  <c r="AW24" i="2"/>
  <c r="BE24" i="2"/>
  <c r="AW25" i="2"/>
  <c r="BE25" i="2"/>
  <c r="AW26" i="2"/>
  <c r="BE26" i="2"/>
  <c r="AW27" i="2"/>
  <c r="BE27" i="2"/>
  <c r="AW28" i="2"/>
  <c r="BE28" i="2"/>
  <c r="AW29" i="2"/>
  <c r="BE29" i="2"/>
  <c r="AW30" i="2"/>
  <c r="BE30" i="2"/>
  <c r="AW31" i="2"/>
  <c r="BE31" i="2"/>
  <c r="AW32" i="2"/>
  <c r="BE32" i="2"/>
  <c r="AW33" i="2"/>
  <c r="BE33" i="2"/>
  <c r="AW34" i="2"/>
  <c r="BE34" i="2"/>
  <c r="AW35" i="2"/>
  <c r="BE35" i="2"/>
  <c r="AW36" i="2"/>
  <c r="BE36" i="2"/>
  <c r="AW37" i="2"/>
  <c r="BE37" i="2"/>
  <c r="AW38" i="2"/>
  <c r="BE38" i="2"/>
  <c r="AW39" i="2"/>
  <c r="BE39" i="2"/>
  <c r="AW40" i="2"/>
  <c r="BE40" i="2"/>
  <c r="AW41" i="2"/>
  <c r="BE41" i="2"/>
  <c r="AW42" i="2"/>
  <c r="BE42" i="2"/>
  <c r="AW43" i="2"/>
  <c r="BE43" i="2"/>
  <c r="AW44" i="2"/>
  <c r="BE44" i="2"/>
  <c r="AW45" i="2"/>
  <c r="BE45" i="2"/>
  <c r="AW46" i="2"/>
  <c r="BE46" i="2"/>
  <c r="AW47" i="2"/>
  <c r="BE47" i="2"/>
  <c r="AW48" i="2"/>
  <c r="BE48" i="2"/>
  <c r="AW49" i="2"/>
  <c r="BE49" i="2"/>
  <c r="AW50" i="2"/>
  <c r="BE50" i="2"/>
  <c r="AW51" i="2"/>
  <c r="BE51" i="2"/>
  <c r="AW52" i="2"/>
  <c r="BE52" i="2"/>
  <c r="AW53" i="2"/>
  <c r="BE53" i="2"/>
  <c r="AW54" i="2"/>
  <c r="BE54" i="2"/>
  <c r="AW55" i="2"/>
  <c r="BE55" i="2"/>
  <c r="AW56" i="2"/>
  <c r="BE56" i="2"/>
  <c r="AW57" i="2"/>
  <c r="BE57" i="2"/>
  <c r="AW58" i="2"/>
  <c r="BE58" i="2"/>
  <c r="AW59" i="2"/>
  <c r="BE59" i="2"/>
  <c r="AW60" i="2"/>
  <c r="BE60" i="2"/>
  <c r="AY61" i="2"/>
  <c r="BE62" i="2"/>
  <c r="AV63" i="2"/>
  <c r="AW64" i="2"/>
  <c r="AZ65" i="2"/>
  <c r="AV67" i="2"/>
  <c r="AS68" i="2"/>
  <c r="BE68" i="2"/>
  <c r="BC69" i="2"/>
  <c r="AZ70" i="2"/>
  <c r="AV71" i="2"/>
  <c r="AS72" i="2"/>
  <c r="BE72" i="2"/>
  <c r="BC73" i="2"/>
  <c r="AZ74" i="2"/>
  <c r="AV75" i="2"/>
  <c r="AS76" i="2"/>
  <c r="BE76" i="2"/>
  <c r="AZ78" i="2"/>
  <c r="AV79" i="2"/>
  <c r="AS80" i="2"/>
  <c r="BE80" i="2"/>
  <c r="AR81" i="2"/>
  <c r="AV82" i="2"/>
  <c r="AZ83" i="2"/>
  <c r="AW86" i="2"/>
  <c r="AV91" i="2"/>
  <c r="BE92" i="2"/>
  <c r="AW94" i="2"/>
  <c r="AV99" i="2"/>
  <c r="BE100" i="2"/>
  <c r="AW102" i="2"/>
  <c r="AV107" i="2"/>
  <c r="BE108" i="2"/>
  <c r="AW110" i="2"/>
  <c r="AV115" i="2"/>
  <c r="BE116" i="2"/>
  <c r="AW118" i="2"/>
  <c r="AY137" i="2"/>
  <c r="AY169" i="2"/>
  <c r="AB4" i="2"/>
  <c r="AG5" i="2"/>
  <c r="AU525" i="2"/>
  <c r="AU517" i="2"/>
  <c r="AU524" i="2"/>
  <c r="AU516" i="2"/>
  <c r="AU531" i="2"/>
  <c r="AU530" i="2"/>
  <c r="AU529" i="2"/>
  <c r="AU521" i="2"/>
  <c r="AU532" i="2"/>
  <c r="AU528" i="2"/>
  <c r="AU520" i="2"/>
  <c r="AU514" i="2"/>
  <c r="AU506" i="2"/>
  <c r="AU533" i="2"/>
  <c r="AU527" i="2"/>
  <c r="AU512" i="2"/>
  <c r="AU523" i="2"/>
  <c r="AU522" i="2"/>
  <c r="AU511" i="2"/>
  <c r="AU510" i="2"/>
  <c r="AU513" i="2"/>
  <c r="AU500" i="2"/>
  <c r="AU519" i="2"/>
  <c r="AU508" i="2"/>
  <c r="AU499" i="2"/>
  <c r="AU526" i="2"/>
  <c r="AU515" i="2"/>
  <c r="AU507" i="2"/>
  <c r="AU497" i="2"/>
  <c r="AU518" i="2"/>
  <c r="AU509" i="2"/>
  <c r="AU504" i="2"/>
  <c r="AU496" i="2"/>
  <c r="AU486" i="2"/>
  <c r="AU485" i="2"/>
  <c r="AU498" i="2"/>
  <c r="AU494" i="2"/>
  <c r="AU493" i="2"/>
  <c r="AU492" i="2"/>
  <c r="AU484" i="2"/>
  <c r="AU505" i="2"/>
  <c r="AU490" i="2"/>
  <c r="AU489" i="2"/>
  <c r="AU503" i="2"/>
  <c r="AU483" i="2"/>
  <c r="AU481" i="2"/>
  <c r="AU473" i="2"/>
  <c r="AU480" i="2"/>
  <c r="AU488" i="2"/>
  <c r="AU501" i="2"/>
  <c r="AU491" i="2"/>
  <c r="AU478" i="2"/>
  <c r="AU477" i="2"/>
  <c r="AU465" i="2"/>
  <c r="AU502" i="2"/>
  <c r="AU472" i="2"/>
  <c r="AU464" i="2"/>
  <c r="AU495" i="2"/>
  <c r="AU482" i="2"/>
  <c r="AU474" i="2"/>
  <c r="AU471" i="2"/>
  <c r="AU463" i="2"/>
  <c r="AU476" i="2"/>
  <c r="AU475" i="2"/>
  <c r="AU470" i="2"/>
  <c r="AU462" i="2"/>
  <c r="AU469" i="2"/>
  <c r="AU487" i="2"/>
  <c r="AU468" i="2"/>
  <c r="AU479" i="2"/>
  <c r="AU467" i="2"/>
  <c r="AU460" i="2"/>
  <c r="AU455" i="2"/>
  <c r="AU447" i="2"/>
  <c r="AU439" i="2"/>
  <c r="AU431" i="2"/>
  <c r="AU454" i="2"/>
  <c r="AU446" i="2"/>
  <c r="AU438" i="2"/>
  <c r="AU430" i="2"/>
  <c r="AU461" i="2"/>
  <c r="AU453" i="2"/>
  <c r="AU445" i="2"/>
  <c r="AU437" i="2"/>
  <c r="AU452" i="2"/>
  <c r="AU459" i="2"/>
  <c r="AU451" i="2"/>
  <c r="AU443" i="2"/>
  <c r="AU435" i="2"/>
  <c r="AU458" i="2"/>
  <c r="AU450" i="2"/>
  <c r="AU442" i="2"/>
  <c r="AU434" i="2"/>
  <c r="AU449" i="2"/>
  <c r="AU440" i="2"/>
  <c r="AU429" i="2"/>
  <c r="AU422" i="2"/>
  <c r="AU414" i="2"/>
  <c r="AU456" i="2"/>
  <c r="AU427" i="2"/>
  <c r="AU421" i="2"/>
  <c r="AU413" i="2"/>
  <c r="AU466" i="2"/>
  <c r="AU433" i="2"/>
  <c r="AU457" i="2"/>
  <c r="AU448" i="2"/>
  <c r="AU436" i="2"/>
  <c r="AU419" i="2"/>
  <c r="AU418" i="2"/>
  <c r="AU410" i="2"/>
  <c r="AU409" i="2"/>
  <c r="AU408" i="2"/>
  <c r="AU423" i="2"/>
  <c r="AU444" i="2"/>
  <c r="AU425" i="2"/>
  <c r="AU424" i="2"/>
  <c r="AU415" i="2"/>
  <c r="AU441" i="2"/>
  <c r="AU428" i="2"/>
  <c r="AU426" i="2"/>
  <c r="AU406" i="2"/>
  <c r="AU432" i="2"/>
  <c r="AU412" i="2"/>
  <c r="AU417" i="2"/>
  <c r="AU403" i="2"/>
  <c r="AU411" i="2"/>
  <c r="AU407" i="2"/>
  <c r="AU404" i="2"/>
  <c r="AU400" i="2"/>
  <c r="AU392" i="2"/>
  <c r="AU384" i="2"/>
  <c r="AU383" i="2"/>
  <c r="AU382" i="2"/>
  <c r="AU381" i="2"/>
  <c r="AU380" i="2"/>
  <c r="AU379" i="2"/>
  <c r="AU378" i="2"/>
  <c r="AU377" i="2"/>
  <c r="AU376" i="2"/>
  <c r="AU375" i="2"/>
  <c r="AU374" i="2"/>
  <c r="AU373" i="2"/>
  <c r="AU372" i="2"/>
  <c r="AU371" i="2"/>
  <c r="AU370" i="2"/>
  <c r="AU369" i="2"/>
  <c r="AU368" i="2"/>
  <c r="AU420" i="2"/>
  <c r="AU397" i="2"/>
  <c r="AU389" i="2"/>
  <c r="AU402" i="2"/>
  <c r="AU399" i="2"/>
  <c r="AU391" i="2"/>
  <c r="AU385" i="2"/>
  <c r="AU416" i="2"/>
  <c r="AU396" i="2"/>
  <c r="AU388" i="2"/>
  <c r="AU405" i="2"/>
  <c r="AU401" i="2"/>
  <c r="AU367" i="2"/>
  <c r="AU366" i="2"/>
  <c r="AU365" i="2"/>
  <c r="AU364" i="2"/>
  <c r="AU363" i="2"/>
  <c r="AU362" i="2"/>
  <c r="AU361" i="2"/>
  <c r="AU360" i="2"/>
  <c r="AU359" i="2"/>
  <c r="AU358" i="2"/>
  <c r="AU357" i="2"/>
  <c r="AU356" i="2"/>
  <c r="AU355" i="2"/>
  <c r="AU354" i="2"/>
  <c r="AU353" i="2"/>
  <c r="AU352" i="2"/>
  <c r="AU351" i="2"/>
  <c r="AU350" i="2"/>
  <c r="AU349" i="2"/>
  <c r="AU348" i="2"/>
  <c r="AU347" i="2"/>
  <c r="AU346" i="2"/>
  <c r="AU345" i="2"/>
  <c r="AU344" i="2"/>
  <c r="AU395" i="2"/>
  <c r="AU387" i="2"/>
  <c r="AU341" i="2"/>
  <c r="AU340" i="2"/>
  <c r="AU339" i="2"/>
  <c r="AU338" i="2"/>
  <c r="AU337" i="2"/>
  <c r="AU336" i="2"/>
  <c r="AU335" i="2"/>
  <c r="AU334" i="2"/>
  <c r="AU333" i="2"/>
  <c r="AU332" i="2"/>
  <c r="AU331" i="2"/>
  <c r="AU342" i="2"/>
  <c r="AU393" i="2"/>
  <c r="AU398" i="2"/>
  <c r="AU394" i="2"/>
  <c r="AU330" i="2"/>
  <c r="AU320" i="2"/>
  <c r="AU316" i="2"/>
  <c r="AU308" i="2"/>
  <c r="AU300" i="2"/>
  <c r="AU292" i="2"/>
  <c r="AU390" i="2"/>
  <c r="AU323" i="2"/>
  <c r="AU315" i="2"/>
  <c r="AU307" i="2"/>
  <c r="AU299" i="2"/>
  <c r="AU289" i="2"/>
  <c r="AU284" i="2"/>
  <c r="AU283" i="2"/>
  <c r="AU282" i="2"/>
  <c r="AU281" i="2"/>
  <c r="AU280" i="2"/>
  <c r="AU279" i="2"/>
  <c r="AU278" i="2"/>
  <c r="AU277" i="2"/>
  <c r="AU276" i="2"/>
  <c r="AU275" i="2"/>
  <c r="AU326" i="2"/>
  <c r="AU314" i="2"/>
  <c r="AU306" i="2"/>
  <c r="AU298" i="2"/>
  <c r="AU286" i="2"/>
  <c r="AU321" i="2"/>
  <c r="AU313" i="2"/>
  <c r="AU305" i="2"/>
  <c r="AU297" i="2"/>
  <c r="AU291" i="2"/>
  <c r="AU324" i="2"/>
  <c r="AU312" i="2"/>
  <c r="AU304" i="2"/>
  <c r="AU296" i="2"/>
  <c r="AU288" i="2"/>
  <c r="AU329" i="2"/>
  <c r="AU328" i="2"/>
  <c r="AU319" i="2"/>
  <c r="AU311" i="2"/>
  <c r="AU303" i="2"/>
  <c r="AU295" i="2"/>
  <c r="AU293" i="2"/>
  <c r="AU285" i="2"/>
  <c r="AU386" i="2"/>
  <c r="AU327" i="2"/>
  <c r="AU322" i="2"/>
  <c r="AU318" i="2"/>
  <c r="AU310" i="2"/>
  <c r="AU302" i="2"/>
  <c r="AU294" i="2"/>
  <c r="AU290" i="2"/>
  <c r="AU325" i="2"/>
  <c r="AU273" i="2"/>
  <c r="AU317" i="2"/>
  <c r="AU301" i="2"/>
  <c r="AU287" i="2"/>
  <c r="AU272" i="2"/>
  <c r="AU246" i="2"/>
  <c r="AU245" i="2"/>
  <c r="AU244" i="2"/>
  <c r="AU243" i="2"/>
  <c r="AU242" i="2"/>
  <c r="AU241" i="2"/>
  <c r="AU240" i="2"/>
  <c r="AU343" i="2"/>
  <c r="AU309" i="2"/>
  <c r="AU274" i="2"/>
  <c r="AU269" i="2"/>
  <c r="AU265" i="2"/>
  <c r="AU261" i="2"/>
  <c r="AU257" i="2"/>
  <c r="AU252" i="2"/>
  <c r="AU248" i="2"/>
  <c r="AU268" i="2"/>
  <c r="AU264" i="2"/>
  <c r="AU260" i="2"/>
  <c r="AU258" i="2"/>
  <c r="AU239" i="2"/>
  <c r="AU238" i="2"/>
  <c r="AU237" i="2"/>
  <c r="AU236" i="2"/>
  <c r="AU235" i="2"/>
  <c r="AU234" i="2"/>
  <c r="AU233" i="2"/>
  <c r="AU232" i="2"/>
  <c r="AU231" i="2"/>
  <c r="AU230" i="2"/>
  <c r="AU229" i="2"/>
  <c r="AU228" i="2"/>
  <c r="AU227" i="2"/>
  <c r="AU226" i="2"/>
  <c r="AU225" i="2"/>
  <c r="AU224" i="2"/>
  <c r="AU223" i="2"/>
  <c r="AU222" i="2"/>
  <c r="AU221" i="2"/>
  <c r="AU251" i="2"/>
  <c r="AU271" i="2"/>
  <c r="AU267" i="2"/>
  <c r="AU263" i="2"/>
  <c r="AU259" i="2"/>
  <c r="AU255" i="2"/>
  <c r="AU270" i="2"/>
  <c r="AU266" i="2"/>
  <c r="AU262" i="2"/>
  <c r="AU256" i="2"/>
  <c r="AU247" i="2"/>
  <c r="AU253" i="2"/>
  <c r="AU249" i="2"/>
  <c r="AU217" i="2"/>
  <c r="AU213" i="2"/>
  <c r="AU209" i="2"/>
  <c r="AU205" i="2"/>
  <c r="AU201" i="2"/>
  <c r="AU197" i="2"/>
  <c r="AU188" i="2"/>
  <c r="AU176" i="2"/>
  <c r="AU191" i="2"/>
  <c r="AU181" i="2"/>
  <c r="AU218" i="2"/>
  <c r="AU214" i="2"/>
  <c r="AU210" i="2"/>
  <c r="AU206" i="2"/>
  <c r="AU202" i="2"/>
  <c r="AU198" i="2"/>
  <c r="AU194" i="2"/>
  <c r="AU186" i="2"/>
  <c r="AU189" i="2"/>
  <c r="AU178" i="2"/>
  <c r="AU174" i="2"/>
  <c r="AU173" i="2"/>
  <c r="AU172" i="2"/>
  <c r="AU171" i="2"/>
  <c r="AU170" i="2"/>
  <c r="AU169" i="2"/>
  <c r="AU168" i="2"/>
  <c r="AU167" i="2"/>
  <c r="AU166" i="2"/>
  <c r="AU165" i="2"/>
  <c r="AU164" i="2"/>
  <c r="AU163" i="2"/>
  <c r="AU162" i="2"/>
  <c r="AU161" i="2"/>
  <c r="AU160" i="2"/>
  <c r="AU159" i="2"/>
  <c r="AU158" i="2"/>
  <c r="AU157" i="2"/>
  <c r="AU156" i="2"/>
  <c r="AU155" i="2"/>
  <c r="AU154" i="2"/>
  <c r="AU153" i="2"/>
  <c r="AU152" i="2"/>
  <c r="AU151" i="2"/>
  <c r="AU150" i="2"/>
  <c r="AU149" i="2"/>
  <c r="AU148" i="2"/>
  <c r="AU147" i="2"/>
  <c r="AU146" i="2"/>
  <c r="AU145" i="2"/>
  <c r="AU144" i="2"/>
  <c r="AU143" i="2"/>
  <c r="AU142" i="2"/>
  <c r="AU141" i="2"/>
  <c r="AU140" i="2"/>
  <c r="AU139" i="2"/>
  <c r="AU138" i="2"/>
  <c r="AU137" i="2"/>
  <c r="AU136" i="2"/>
  <c r="AU135" i="2"/>
  <c r="AU134" i="2"/>
  <c r="AU133" i="2"/>
  <c r="AU132" i="2"/>
  <c r="AU131" i="2"/>
  <c r="AU130" i="2"/>
  <c r="AU129" i="2"/>
  <c r="AU128" i="2"/>
  <c r="AU127" i="2"/>
  <c r="AU126" i="2"/>
  <c r="AU125" i="2"/>
  <c r="AU124" i="2"/>
  <c r="AU219" i="2"/>
  <c r="AU215" i="2"/>
  <c r="AU211" i="2"/>
  <c r="AU207" i="2"/>
  <c r="AU203" i="2"/>
  <c r="AU199" i="2"/>
  <c r="AU195" i="2"/>
  <c r="AU192" i="2"/>
  <c r="AU175" i="2"/>
  <c r="AU250" i="2"/>
  <c r="AU187" i="2"/>
  <c r="AU184" i="2"/>
  <c r="AU179" i="2"/>
  <c r="AU220" i="2"/>
  <c r="AU216" i="2"/>
  <c r="AU212" i="2"/>
  <c r="AU208" i="2"/>
  <c r="AU204" i="2"/>
  <c r="AU200" i="2"/>
  <c r="AU196" i="2"/>
  <c r="AU190" i="2"/>
  <c r="AU183" i="2"/>
  <c r="AU122" i="2"/>
  <c r="AU121" i="2"/>
  <c r="AU120" i="2"/>
  <c r="AU119" i="2"/>
  <c r="AU118" i="2"/>
  <c r="AU117" i="2"/>
  <c r="AU116" i="2"/>
  <c r="AU115" i="2"/>
  <c r="AU114" i="2"/>
  <c r="AU113" i="2"/>
  <c r="AU112" i="2"/>
  <c r="AU111" i="2"/>
  <c r="AU110" i="2"/>
  <c r="AU109" i="2"/>
  <c r="AU108" i="2"/>
  <c r="AU107" i="2"/>
  <c r="AU106" i="2"/>
  <c r="AU105" i="2"/>
  <c r="AU104" i="2"/>
  <c r="AU103" i="2"/>
  <c r="AU102" i="2"/>
  <c r="AU101" i="2"/>
  <c r="AU100" i="2"/>
  <c r="AU99" i="2"/>
  <c r="AU98" i="2"/>
  <c r="AU97" i="2"/>
  <c r="AU96" i="2"/>
  <c r="AU95" i="2"/>
  <c r="AU94" i="2"/>
  <c r="AU93" i="2"/>
  <c r="AU92" i="2"/>
  <c r="AU91" i="2"/>
  <c r="AU90" i="2"/>
  <c r="AU89" i="2"/>
  <c r="AU88" i="2"/>
  <c r="AU87" i="2"/>
  <c r="AU86" i="2"/>
  <c r="AU85" i="2"/>
  <c r="AU84" i="2"/>
  <c r="AU180" i="2"/>
  <c r="AU177" i="2"/>
  <c r="AU123" i="2"/>
  <c r="AU182" i="2"/>
  <c r="BC525" i="2"/>
  <c r="BC517" i="2"/>
  <c r="BC524" i="2"/>
  <c r="BC516" i="2"/>
  <c r="BC531" i="2"/>
  <c r="BC530" i="2"/>
  <c r="BC529" i="2"/>
  <c r="BC521" i="2"/>
  <c r="BC532" i="2"/>
  <c r="BC528" i="2"/>
  <c r="BC520" i="2"/>
  <c r="BC514" i="2"/>
  <c r="BC506" i="2"/>
  <c r="BC515" i="2"/>
  <c r="BC526" i="2"/>
  <c r="BC512" i="2"/>
  <c r="BC519" i="2"/>
  <c r="BC518" i="2"/>
  <c r="BC511" i="2"/>
  <c r="BC510" i="2"/>
  <c r="BC533" i="2"/>
  <c r="BC500" i="2"/>
  <c r="BC527" i="2"/>
  <c r="BC522" i="2"/>
  <c r="BC509" i="2"/>
  <c r="BC499" i="2"/>
  <c r="BC497" i="2"/>
  <c r="BC505" i="2"/>
  <c r="BC496" i="2"/>
  <c r="BC486" i="2"/>
  <c r="BC507" i="2"/>
  <c r="BC485" i="2"/>
  <c r="BC508" i="2"/>
  <c r="BC503" i="2"/>
  <c r="BC502" i="2"/>
  <c r="BC501" i="2"/>
  <c r="BC492" i="2"/>
  <c r="BC484" i="2"/>
  <c r="BC513" i="2"/>
  <c r="BC523" i="2"/>
  <c r="BC504" i="2"/>
  <c r="BC490" i="2"/>
  <c r="BC494" i="2"/>
  <c r="BC489" i="2"/>
  <c r="BC488" i="2"/>
  <c r="BC482" i="2"/>
  <c r="BC491" i="2"/>
  <c r="BC481" i="2"/>
  <c r="BC473" i="2"/>
  <c r="BC480" i="2"/>
  <c r="BC493" i="2"/>
  <c r="BC483" i="2"/>
  <c r="BC495" i="2"/>
  <c r="BC487" i="2"/>
  <c r="BC478" i="2"/>
  <c r="BC477" i="2"/>
  <c r="BC465" i="2"/>
  <c r="BC472" i="2"/>
  <c r="BC464" i="2"/>
  <c r="BC479" i="2"/>
  <c r="BC471" i="2"/>
  <c r="BC463" i="2"/>
  <c r="BC470" i="2"/>
  <c r="BC462" i="2"/>
  <c r="BC498" i="2"/>
  <c r="BC469" i="2"/>
  <c r="BC468" i="2"/>
  <c r="BC474" i="2"/>
  <c r="BC467" i="2"/>
  <c r="BC455" i="2"/>
  <c r="BC447" i="2"/>
  <c r="BC439" i="2"/>
  <c r="BC431" i="2"/>
  <c r="BC454" i="2"/>
  <c r="BC446" i="2"/>
  <c r="BC438" i="2"/>
  <c r="BC430" i="2"/>
  <c r="BC460" i="2"/>
  <c r="BC453" i="2"/>
  <c r="BC445" i="2"/>
  <c r="BC437" i="2"/>
  <c r="BC452" i="2"/>
  <c r="BC451" i="2"/>
  <c r="BC443" i="2"/>
  <c r="BC435" i="2"/>
  <c r="BC476" i="2"/>
  <c r="BC466" i="2"/>
  <c r="BC459" i="2"/>
  <c r="BC458" i="2"/>
  <c r="BC450" i="2"/>
  <c r="BC442" i="2"/>
  <c r="BC434" i="2"/>
  <c r="BC456" i="2"/>
  <c r="BC433" i="2"/>
  <c r="BC448" i="2"/>
  <c r="BC436" i="2"/>
  <c r="BC422" i="2"/>
  <c r="BC414" i="2"/>
  <c r="BC457" i="2"/>
  <c r="BC429" i="2"/>
  <c r="BC421" i="2"/>
  <c r="BC413" i="2"/>
  <c r="BC475" i="2"/>
  <c r="BC441" i="2"/>
  <c r="BC432" i="2"/>
  <c r="BC444" i="2"/>
  <c r="BC419" i="2"/>
  <c r="BC461" i="2"/>
  <c r="BC418" i="2"/>
  <c r="BC410" i="2"/>
  <c r="BC409" i="2"/>
  <c r="BC408" i="2"/>
  <c r="BC428" i="2"/>
  <c r="BC426" i="2"/>
  <c r="BC449" i="2"/>
  <c r="BC420" i="2"/>
  <c r="BC440" i="2"/>
  <c r="BC404" i="2"/>
  <c r="BC427" i="2"/>
  <c r="BC423" i="2"/>
  <c r="BC411" i="2"/>
  <c r="BC417" i="2"/>
  <c r="BC416" i="2"/>
  <c r="BC403" i="2"/>
  <c r="BC424" i="2"/>
  <c r="BC415" i="2"/>
  <c r="BC401" i="2"/>
  <c r="BC393" i="2"/>
  <c r="BC384" i="2"/>
  <c r="BC383" i="2"/>
  <c r="BC382" i="2"/>
  <c r="BC381" i="2"/>
  <c r="BC380" i="2"/>
  <c r="BC379" i="2"/>
  <c r="BC378" i="2"/>
  <c r="BC377" i="2"/>
  <c r="BC376" i="2"/>
  <c r="BC375" i="2"/>
  <c r="BC374" i="2"/>
  <c r="BC373" i="2"/>
  <c r="BC372" i="2"/>
  <c r="BC371" i="2"/>
  <c r="BC370" i="2"/>
  <c r="BC369" i="2"/>
  <c r="BC368" i="2"/>
  <c r="BC398" i="2"/>
  <c r="BC390" i="2"/>
  <c r="BC412" i="2"/>
  <c r="BC405" i="2"/>
  <c r="BC406" i="2"/>
  <c r="BC400" i="2"/>
  <c r="BC392" i="2"/>
  <c r="BC425" i="2"/>
  <c r="BC407" i="2"/>
  <c r="BC397" i="2"/>
  <c r="BC389" i="2"/>
  <c r="BC385" i="2"/>
  <c r="BC395" i="2"/>
  <c r="BC394" i="2"/>
  <c r="BC391" i="2"/>
  <c r="BC387" i="2"/>
  <c r="BC386" i="2"/>
  <c r="BC367" i="2"/>
  <c r="BC366" i="2"/>
  <c r="BC365" i="2"/>
  <c r="BC364" i="2"/>
  <c r="BC363" i="2"/>
  <c r="BC362" i="2"/>
  <c r="BC361" i="2"/>
  <c r="BC360" i="2"/>
  <c r="BC359" i="2"/>
  <c r="BC358" i="2"/>
  <c r="BC357" i="2"/>
  <c r="BC356" i="2"/>
  <c r="BC355" i="2"/>
  <c r="BC354" i="2"/>
  <c r="BC353" i="2"/>
  <c r="BC352" i="2"/>
  <c r="BC351" i="2"/>
  <c r="BC350" i="2"/>
  <c r="BC349" i="2"/>
  <c r="BC348" i="2"/>
  <c r="BC347" i="2"/>
  <c r="BC346" i="2"/>
  <c r="BC345" i="2"/>
  <c r="BC344" i="2"/>
  <c r="BC402" i="2"/>
  <c r="BC399" i="2"/>
  <c r="BC396" i="2"/>
  <c r="BC388" i="2"/>
  <c r="BC343" i="2"/>
  <c r="BC341" i="2"/>
  <c r="BC340" i="2"/>
  <c r="BC339" i="2"/>
  <c r="BC338" i="2"/>
  <c r="BC337" i="2"/>
  <c r="BC336" i="2"/>
  <c r="BC335" i="2"/>
  <c r="BC334" i="2"/>
  <c r="BC333" i="2"/>
  <c r="BC332" i="2"/>
  <c r="BC331" i="2"/>
  <c r="BC342" i="2"/>
  <c r="BC324" i="2"/>
  <c r="BC311" i="2"/>
  <c r="BC303" i="2"/>
  <c r="BC295" i="2"/>
  <c r="BC287" i="2"/>
  <c r="BC319" i="2"/>
  <c r="BC318" i="2"/>
  <c r="BC310" i="2"/>
  <c r="BC302" i="2"/>
  <c r="BC294" i="2"/>
  <c r="BC292" i="2"/>
  <c r="BC284" i="2"/>
  <c r="BC283" i="2"/>
  <c r="BC282" i="2"/>
  <c r="BC281" i="2"/>
  <c r="BC280" i="2"/>
  <c r="BC279" i="2"/>
  <c r="BC278" i="2"/>
  <c r="BC277" i="2"/>
  <c r="BC276" i="2"/>
  <c r="BC275" i="2"/>
  <c r="BC328" i="2"/>
  <c r="BC322" i="2"/>
  <c r="BC317" i="2"/>
  <c r="BC309" i="2"/>
  <c r="BC301" i="2"/>
  <c r="BC289" i="2"/>
  <c r="BC329" i="2"/>
  <c r="BC327" i="2"/>
  <c r="BC325" i="2"/>
  <c r="BC316" i="2"/>
  <c r="BC308" i="2"/>
  <c r="BC300" i="2"/>
  <c r="BC286" i="2"/>
  <c r="BC320" i="2"/>
  <c r="BC315" i="2"/>
  <c r="BC307" i="2"/>
  <c r="BC299" i="2"/>
  <c r="BC291" i="2"/>
  <c r="BC323" i="2"/>
  <c r="BC314" i="2"/>
  <c r="BC306" i="2"/>
  <c r="BC298" i="2"/>
  <c r="BC288" i="2"/>
  <c r="BC330" i="2"/>
  <c r="BC326" i="2"/>
  <c r="BC313" i="2"/>
  <c r="BC305" i="2"/>
  <c r="BC297" i="2"/>
  <c r="BC293" i="2"/>
  <c r="BC285" i="2"/>
  <c r="BC290" i="2"/>
  <c r="BC304" i="2"/>
  <c r="BC273" i="2"/>
  <c r="BC321" i="2"/>
  <c r="BC272" i="2"/>
  <c r="BC246" i="2"/>
  <c r="BC245" i="2"/>
  <c r="BC244" i="2"/>
  <c r="BC243" i="2"/>
  <c r="BC242" i="2"/>
  <c r="BC241" i="2"/>
  <c r="BC240" i="2"/>
  <c r="BC312" i="2"/>
  <c r="BC296" i="2"/>
  <c r="BC274" i="2"/>
  <c r="BC258" i="2"/>
  <c r="BC251" i="2"/>
  <c r="BC268" i="2"/>
  <c r="BC264" i="2"/>
  <c r="BC260" i="2"/>
  <c r="BC255" i="2"/>
  <c r="BC254" i="2"/>
  <c r="BC250" i="2"/>
  <c r="BC247" i="2"/>
  <c r="BC239" i="2"/>
  <c r="BC238" i="2"/>
  <c r="BC237" i="2"/>
  <c r="BC236" i="2"/>
  <c r="BC235" i="2"/>
  <c r="BC234" i="2"/>
  <c r="BC233" i="2"/>
  <c r="BC232" i="2"/>
  <c r="BC231" i="2"/>
  <c r="BC230" i="2"/>
  <c r="BC229" i="2"/>
  <c r="BC228" i="2"/>
  <c r="BC227" i="2"/>
  <c r="BC226" i="2"/>
  <c r="BC225" i="2"/>
  <c r="BC224" i="2"/>
  <c r="BC223" i="2"/>
  <c r="BC222" i="2"/>
  <c r="BC221" i="2"/>
  <c r="BC271" i="2"/>
  <c r="BC267" i="2"/>
  <c r="BC263" i="2"/>
  <c r="BC259" i="2"/>
  <c r="BC256" i="2"/>
  <c r="BC253" i="2"/>
  <c r="BC249" i="2"/>
  <c r="BC257" i="2"/>
  <c r="BC252" i="2"/>
  <c r="BC248" i="2"/>
  <c r="BC269" i="2"/>
  <c r="BC265" i="2"/>
  <c r="BC261" i="2"/>
  <c r="BC218" i="2"/>
  <c r="BC214" i="2"/>
  <c r="BC210" i="2"/>
  <c r="BC206" i="2"/>
  <c r="BC202" i="2"/>
  <c r="BC198" i="2"/>
  <c r="BC194" i="2"/>
  <c r="BC186" i="2"/>
  <c r="BC189" i="2"/>
  <c r="BC179" i="2"/>
  <c r="BC177" i="2"/>
  <c r="BC176" i="2"/>
  <c r="BC219" i="2"/>
  <c r="BC215" i="2"/>
  <c r="BC211" i="2"/>
  <c r="BC207" i="2"/>
  <c r="BC203" i="2"/>
  <c r="BC199" i="2"/>
  <c r="BC195" i="2"/>
  <c r="BC192" i="2"/>
  <c r="BC184" i="2"/>
  <c r="BC270" i="2"/>
  <c r="BC187" i="2"/>
  <c r="BC183" i="2"/>
  <c r="BC180" i="2"/>
  <c r="BC174" i="2"/>
  <c r="BC173" i="2"/>
  <c r="BC172" i="2"/>
  <c r="BC171" i="2"/>
  <c r="BC170" i="2"/>
  <c r="BC169" i="2"/>
  <c r="BC168" i="2"/>
  <c r="BC167" i="2"/>
  <c r="BC166" i="2"/>
  <c r="BC165" i="2"/>
  <c r="BC164" i="2"/>
  <c r="BC163" i="2"/>
  <c r="BC162" i="2"/>
  <c r="BC161" i="2"/>
  <c r="BC160" i="2"/>
  <c r="BC159" i="2"/>
  <c r="BC158" i="2"/>
  <c r="BC157" i="2"/>
  <c r="BC156" i="2"/>
  <c r="BC155" i="2"/>
  <c r="BC154" i="2"/>
  <c r="BC153" i="2"/>
  <c r="BC152" i="2"/>
  <c r="BC151" i="2"/>
  <c r="BC150" i="2"/>
  <c r="BC149" i="2"/>
  <c r="BC148" i="2"/>
  <c r="BC147" i="2"/>
  <c r="BC146" i="2"/>
  <c r="BC145" i="2"/>
  <c r="BC144" i="2"/>
  <c r="BC143" i="2"/>
  <c r="BC142" i="2"/>
  <c r="BC141" i="2"/>
  <c r="BC140" i="2"/>
  <c r="BC139" i="2"/>
  <c r="BC138" i="2"/>
  <c r="BC137" i="2"/>
  <c r="BC136" i="2"/>
  <c r="BC135" i="2"/>
  <c r="BC134" i="2"/>
  <c r="BC133" i="2"/>
  <c r="BC132" i="2"/>
  <c r="BC131" i="2"/>
  <c r="BC130" i="2"/>
  <c r="BC129" i="2"/>
  <c r="BC128" i="2"/>
  <c r="BC127" i="2"/>
  <c r="BC126" i="2"/>
  <c r="BC125" i="2"/>
  <c r="BC124" i="2"/>
  <c r="BC123" i="2"/>
  <c r="BC220" i="2"/>
  <c r="BC216" i="2"/>
  <c r="BC212" i="2"/>
  <c r="BC208" i="2"/>
  <c r="BC204" i="2"/>
  <c r="BC200" i="2"/>
  <c r="BC196" i="2"/>
  <c r="BC190" i="2"/>
  <c r="BC182" i="2"/>
  <c r="BC266" i="2"/>
  <c r="BC193" i="2"/>
  <c r="BC185" i="2"/>
  <c r="BC181" i="2"/>
  <c r="BC175" i="2"/>
  <c r="BC217" i="2"/>
  <c r="BC213" i="2"/>
  <c r="BC209" i="2"/>
  <c r="BC205" i="2"/>
  <c r="BC201" i="2"/>
  <c r="BC197" i="2"/>
  <c r="BC188" i="2"/>
  <c r="BC122" i="2"/>
  <c r="BC121" i="2"/>
  <c r="BC120" i="2"/>
  <c r="BC119" i="2"/>
  <c r="BC118" i="2"/>
  <c r="BC117" i="2"/>
  <c r="BC116" i="2"/>
  <c r="BC115" i="2"/>
  <c r="BC114" i="2"/>
  <c r="BC113" i="2"/>
  <c r="BC112" i="2"/>
  <c r="BC111" i="2"/>
  <c r="BC110" i="2"/>
  <c r="BC109" i="2"/>
  <c r="BC108" i="2"/>
  <c r="BC107" i="2"/>
  <c r="BC106" i="2"/>
  <c r="BC105" i="2"/>
  <c r="BC104" i="2"/>
  <c r="BC103" i="2"/>
  <c r="BC102" i="2"/>
  <c r="BC101" i="2"/>
  <c r="BC100" i="2"/>
  <c r="BC99" i="2"/>
  <c r="BC98" i="2"/>
  <c r="BC97" i="2"/>
  <c r="BC96" i="2"/>
  <c r="BC95" i="2"/>
  <c r="BC94" i="2"/>
  <c r="BC93" i="2"/>
  <c r="BC92" i="2"/>
  <c r="BC91" i="2"/>
  <c r="BC90" i="2"/>
  <c r="BC89" i="2"/>
  <c r="BC88" i="2"/>
  <c r="BC87" i="2"/>
  <c r="BC86" i="2"/>
  <c r="BC85" i="2"/>
  <c r="BC84" i="2"/>
  <c r="BC178" i="2"/>
  <c r="BC191" i="2"/>
  <c r="BC262" i="2"/>
  <c r="CR6" i="2"/>
  <c r="AB8" i="2"/>
  <c r="O10" i="2"/>
  <c r="W10" i="2"/>
  <c r="CR10" i="2"/>
  <c r="CS11" i="2"/>
  <c r="CS12" i="2"/>
  <c r="AN15" i="2" a="1"/>
  <c r="AN15" i="2" s="1"/>
  <c r="AZ61" i="2"/>
  <c r="AV62" i="2"/>
  <c r="AW63" i="2"/>
  <c r="AZ64" i="2"/>
  <c r="AR66" i="2"/>
  <c r="BB66" i="2"/>
  <c r="AW67" i="2"/>
  <c r="AU68" i="2"/>
  <c r="AR69" i="2"/>
  <c r="AW71" i="2"/>
  <c r="AU72" i="2"/>
  <c r="AR73" i="2"/>
  <c r="AW75" i="2"/>
  <c r="AU76" i="2"/>
  <c r="AR77" i="2"/>
  <c r="AW79" i="2"/>
  <c r="AU80" i="2"/>
  <c r="AU81" i="2"/>
  <c r="AW82" i="2"/>
  <c r="BC83" i="2"/>
  <c r="AV88" i="2"/>
  <c r="BE89" i="2"/>
  <c r="AW91" i="2"/>
  <c r="AV96" i="2"/>
  <c r="BE97" i="2"/>
  <c r="AW99" i="2"/>
  <c r="AV104" i="2"/>
  <c r="BE105" i="2"/>
  <c r="AW107" i="2"/>
  <c r="AV112" i="2"/>
  <c r="BE113" i="2"/>
  <c r="AW115" i="2"/>
  <c r="BE121" i="2"/>
  <c r="AR123" i="2"/>
  <c r="AY141" i="2"/>
  <c r="AY173" i="2"/>
  <c r="AA2" i="2"/>
  <c r="AA11" i="2" s="1"/>
  <c r="CR14" i="2" s="1"/>
  <c r="CR3" i="2"/>
  <c r="CP5" i="2"/>
  <c r="AV524" i="2"/>
  <c r="AV516" i="2"/>
  <c r="AV523" i="2"/>
  <c r="AV529" i="2"/>
  <c r="AV532" i="2"/>
  <c r="AV528" i="2"/>
  <c r="AV520" i="2"/>
  <c r="AV527" i="2"/>
  <c r="AV519" i="2"/>
  <c r="AV533" i="2"/>
  <c r="AV513" i="2"/>
  <c r="AV505" i="2"/>
  <c r="AV531" i="2"/>
  <c r="AV521" i="2"/>
  <c r="AV530" i="2"/>
  <c r="AV522" i="2"/>
  <c r="AV511" i="2"/>
  <c r="AV510" i="2"/>
  <c r="AV526" i="2"/>
  <c r="AV509" i="2"/>
  <c r="AV518" i="2"/>
  <c r="AV515" i="2"/>
  <c r="AV508" i="2"/>
  <c r="AV499" i="2"/>
  <c r="AV498" i="2"/>
  <c r="AV512" i="2"/>
  <c r="AV504" i="2"/>
  <c r="AV496" i="2"/>
  <c r="AV525" i="2"/>
  <c r="AV503" i="2"/>
  <c r="AV495" i="2"/>
  <c r="AV485" i="2"/>
  <c r="AV514" i="2"/>
  <c r="AV497" i="2"/>
  <c r="AV494" i="2"/>
  <c r="AV493" i="2"/>
  <c r="AV492" i="2"/>
  <c r="AV484" i="2"/>
  <c r="AV517" i="2"/>
  <c r="AV491" i="2"/>
  <c r="AV489" i="2"/>
  <c r="AV502" i="2"/>
  <c r="AV501" i="2"/>
  <c r="AV488" i="2"/>
  <c r="AV506" i="2"/>
  <c r="AV483" i="2"/>
  <c r="AV480" i="2"/>
  <c r="AV486" i="2"/>
  <c r="AV479" i="2"/>
  <c r="AV477" i="2"/>
  <c r="AV476" i="2"/>
  <c r="AV507" i="2"/>
  <c r="AV472" i="2"/>
  <c r="AV464" i="2"/>
  <c r="AV490" i="2"/>
  <c r="AV482" i="2"/>
  <c r="AV474" i="2"/>
  <c r="AV471" i="2"/>
  <c r="AV463" i="2"/>
  <c r="AV475" i="2"/>
  <c r="AV470" i="2"/>
  <c r="AV462" i="2"/>
  <c r="AV469" i="2"/>
  <c r="AV461" i="2"/>
  <c r="AV487" i="2"/>
  <c r="AV468" i="2"/>
  <c r="AV478" i="2"/>
  <c r="AV467" i="2"/>
  <c r="AV466" i="2"/>
  <c r="AV465" i="2"/>
  <c r="AV454" i="2"/>
  <c r="AV446" i="2"/>
  <c r="AV438" i="2"/>
  <c r="AV430" i="2"/>
  <c r="AV453" i="2"/>
  <c r="AV445" i="2"/>
  <c r="AV437" i="2"/>
  <c r="AV452" i="2"/>
  <c r="AV444" i="2"/>
  <c r="AV436" i="2"/>
  <c r="AV459" i="2"/>
  <c r="AV451" i="2"/>
  <c r="AV458" i="2"/>
  <c r="AV450" i="2"/>
  <c r="AV442" i="2"/>
  <c r="AV434" i="2"/>
  <c r="AV481" i="2"/>
  <c r="AV457" i="2"/>
  <c r="AV449" i="2"/>
  <c r="AV441" i="2"/>
  <c r="AV433" i="2"/>
  <c r="AV440" i="2"/>
  <c r="AV431" i="2"/>
  <c r="AV429" i="2"/>
  <c r="AV473" i="2"/>
  <c r="AV456" i="2"/>
  <c r="AV455" i="2"/>
  <c r="AV443" i="2"/>
  <c r="AV427" i="2"/>
  <c r="AV421" i="2"/>
  <c r="AV413" i="2"/>
  <c r="AV420" i="2"/>
  <c r="AV412" i="2"/>
  <c r="AV460" i="2"/>
  <c r="AV448" i="2"/>
  <c r="AV439" i="2"/>
  <c r="AV418" i="2"/>
  <c r="AV500" i="2"/>
  <c r="AV432" i="2"/>
  <c r="AV428" i="2"/>
  <c r="AV426" i="2"/>
  <c r="AV425" i="2"/>
  <c r="AV417" i="2"/>
  <c r="AV424" i="2"/>
  <c r="AV415" i="2"/>
  <c r="AV416" i="2"/>
  <c r="AV406" i="2"/>
  <c r="AV435" i="2"/>
  <c r="AV419" i="2"/>
  <c r="AV403" i="2"/>
  <c r="AV402" i="2"/>
  <c r="AV401" i="2"/>
  <c r="AV400" i="2"/>
  <c r="AV399" i="2"/>
  <c r="AV398" i="2"/>
  <c r="AV397" i="2"/>
  <c r="AV396" i="2"/>
  <c r="AV395" i="2"/>
  <c r="AV394" i="2"/>
  <c r="AV393" i="2"/>
  <c r="AV392" i="2"/>
  <c r="AV391" i="2"/>
  <c r="AV390" i="2"/>
  <c r="AV389" i="2"/>
  <c r="AV388" i="2"/>
  <c r="AV387" i="2"/>
  <c r="AV386" i="2"/>
  <c r="AV447" i="2"/>
  <c r="AV414" i="2"/>
  <c r="AV405" i="2"/>
  <c r="AV411" i="2"/>
  <c r="AV408" i="2"/>
  <c r="AV407" i="2"/>
  <c r="AV404" i="2"/>
  <c r="AV409" i="2"/>
  <c r="AV423" i="2"/>
  <c r="AV422" i="2"/>
  <c r="AV410" i="2"/>
  <c r="AV379" i="2"/>
  <c r="AV368" i="2"/>
  <c r="AV382" i="2"/>
  <c r="AV374" i="2"/>
  <c r="AV369" i="2"/>
  <c r="AV385" i="2"/>
  <c r="AV377" i="2"/>
  <c r="AV370" i="2"/>
  <c r="AV380" i="2"/>
  <c r="AV372" i="2"/>
  <c r="AV371" i="2"/>
  <c r="AV367" i="2"/>
  <c r="AV366" i="2"/>
  <c r="AV365" i="2"/>
  <c r="AV364" i="2"/>
  <c r="AV363" i="2"/>
  <c r="AV362" i="2"/>
  <c r="AV361" i="2"/>
  <c r="AV360" i="2"/>
  <c r="AV359" i="2"/>
  <c r="AV358" i="2"/>
  <c r="AV357" i="2"/>
  <c r="AV356" i="2"/>
  <c r="AV355" i="2"/>
  <c r="AV354" i="2"/>
  <c r="AV353" i="2"/>
  <c r="AV352" i="2"/>
  <c r="AV351" i="2"/>
  <c r="AV350" i="2"/>
  <c r="AV349" i="2"/>
  <c r="AV348" i="2"/>
  <c r="AV347" i="2"/>
  <c r="AV346" i="2"/>
  <c r="AV345" i="2"/>
  <c r="AV344" i="2"/>
  <c r="AV343" i="2"/>
  <c r="AV342" i="2"/>
  <c r="AV383" i="2"/>
  <c r="AV375" i="2"/>
  <c r="AV378" i="2"/>
  <c r="AV381" i="2"/>
  <c r="AV373" i="2"/>
  <c r="AV341" i="2"/>
  <c r="AV340" i="2"/>
  <c r="AV339" i="2"/>
  <c r="AV338" i="2"/>
  <c r="AV337" i="2"/>
  <c r="AV336" i="2"/>
  <c r="AV335" i="2"/>
  <c r="AV334" i="2"/>
  <c r="AV333" i="2"/>
  <c r="AV332" i="2"/>
  <c r="AV331" i="2"/>
  <c r="AV330" i="2"/>
  <c r="AV329" i="2"/>
  <c r="AV384" i="2"/>
  <c r="AV376" i="2"/>
  <c r="AV323" i="2"/>
  <c r="AV315" i="2"/>
  <c r="AV307" i="2"/>
  <c r="AV299" i="2"/>
  <c r="AV289" i="2"/>
  <c r="AV284" i="2"/>
  <c r="AV283" i="2"/>
  <c r="AV282" i="2"/>
  <c r="AV281" i="2"/>
  <c r="AV280" i="2"/>
  <c r="AV279" i="2"/>
  <c r="AV278" i="2"/>
  <c r="AV277" i="2"/>
  <c r="AV276" i="2"/>
  <c r="AV275" i="2"/>
  <c r="AV326" i="2"/>
  <c r="AV314" i="2"/>
  <c r="AV306" i="2"/>
  <c r="AV298" i="2"/>
  <c r="AV286" i="2"/>
  <c r="AV321" i="2"/>
  <c r="AV313" i="2"/>
  <c r="AV305" i="2"/>
  <c r="AV297" i="2"/>
  <c r="AV291" i="2"/>
  <c r="AV324" i="2"/>
  <c r="AV312" i="2"/>
  <c r="AV304" i="2"/>
  <c r="AV296" i="2"/>
  <c r="AV288" i="2"/>
  <c r="AV328" i="2"/>
  <c r="AV319" i="2"/>
  <c r="AV311" i="2"/>
  <c r="AV303" i="2"/>
  <c r="AV295" i="2"/>
  <c r="AV293" i="2"/>
  <c r="AV285" i="2"/>
  <c r="AV327" i="2"/>
  <c r="AV322" i="2"/>
  <c r="AV318" i="2"/>
  <c r="AV310" i="2"/>
  <c r="AV302" i="2"/>
  <c r="AV294" i="2"/>
  <c r="AV290" i="2"/>
  <c r="AV325" i="2"/>
  <c r="AV317" i="2"/>
  <c r="AV309" i="2"/>
  <c r="AV301" i="2"/>
  <c r="AV287" i="2"/>
  <c r="AV316" i="2"/>
  <c r="AV300" i="2"/>
  <c r="AV272" i="2"/>
  <c r="AV320" i="2"/>
  <c r="AV246" i="2"/>
  <c r="AV245" i="2"/>
  <c r="AV244" i="2"/>
  <c r="AV308" i="2"/>
  <c r="AV274" i="2"/>
  <c r="AV271" i="2"/>
  <c r="AV270" i="2"/>
  <c r="AV269" i="2"/>
  <c r="AV268" i="2"/>
  <c r="AV267" i="2"/>
  <c r="AV266" i="2"/>
  <c r="AV265" i="2"/>
  <c r="AV264" i="2"/>
  <c r="AV263" i="2"/>
  <c r="AV262" i="2"/>
  <c r="AV261" i="2"/>
  <c r="AV260" i="2"/>
  <c r="AV259" i="2"/>
  <c r="AV258" i="2"/>
  <c r="AV257" i="2"/>
  <c r="AV256" i="2"/>
  <c r="AV255" i="2"/>
  <c r="AV254" i="2"/>
  <c r="AV253" i="2"/>
  <c r="AV252" i="2"/>
  <c r="AV251" i="2"/>
  <c r="AV250" i="2"/>
  <c r="AV249" i="2"/>
  <c r="AV248" i="2"/>
  <c r="AV247" i="2"/>
  <c r="AV243" i="2"/>
  <c r="AV241" i="2"/>
  <c r="AV273" i="2"/>
  <c r="AV239" i="2"/>
  <c r="AV238" i="2"/>
  <c r="AV237" i="2"/>
  <c r="AV236" i="2"/>
  <c r="AV235" i="2"/>
  <c r="AV234" i="2"/>
  <c r="AV233" i="2"/>
  <c r="AV232" i="2"/>
  <c r="AV231" i="2"/>
  <c r="AV230" i="2"/>
  <c r="AV229" i="2"/>
  <c r="AV228" i="2"/>
  <c r="AV227" i="2"/>
  <c r="AV226" i="2"/>
  <c r="AV225" i="2"/>
  <c r="AV224" i="2"/>
  <c r="AV223" i="2"/>
  <c r="AV222" i="2"/>
  <c r="AV221" i="2"/>
  <c r="AV242" i="2"/>
  <c r="AV240" i="2"/>
  <c r="AV220" i="2"/>
  <c r="AV219" i="2"/>
  <c r="AV218" i="2"/>
  <c r="AV217" i="2"/>
  <c r="AV216" i="2"/>
  <c r="AV215" i="2"/>
  <c r="AV214" i="2"/>
  <c r="AV213" i="2"/>
  <c r="AV212" i="2"/>
  <c r="AV211" i="2"/>
  <c r="AV210" i="2"/>
  <c r="AV209" i="2"/>
  <c r="AV208" i="2"/>
  <c r="AV207" i="2"/>
  <c r="AV206" i="2"/>
  <c r="AV205" i="2"/>
  <c r="AV204" i="2"/>
  <c r="AV203" i="2"/>
  <c r="AV202" i="2"/>
  <c r="AV201" i="2"/>
  <c r="AV200" i="2"/>
  <c r="AV199" i="2"/>
  <c r="AV198" i="2"/>
  <c r="AV197" i="2"/>
  <c r="AV196" i="2"/>
  <c r="AV195" i="2"/>
  <c r="AV194" i="2"/>
  <c r="AV193" i="2"/>
  <c r="AV192" i="2"/>
  <c r="AV191" i="2"/>
  <c r="AV190" i="2"/>
  <c r="AV189" i="2"/>
  <c r="AV188" i="2"/>
  <c r="AV187" i="2"/>
  <c r="AV186" i="2"/>
  <c r="AV185" i="2"/>
  <c r="AV184" i="2"/>
  <c r="AV183" i="2"/>
  <c r="AV182" i="2"/>
  <c r="AV181" i="2"/>
  <c r="AV180" i="2"/>
  <c r="AV179" i="2"/>
  <c r="AV178" i="2"/>
  <c r="AV177" i="2"/>
  <c r="AV176" i="2"/>
  <c r="AV175" i="2"/>
  <c r="AV292" i="2"/>
  <c r="AV174" i="2"/>
  <c r="AV173" i="2"/>
  <c r="AV172" i="2"/>
  <c r="AV171" i="2"/>
  <c r="AV170" i="2"/>
  <c r="AV169" i="2"/>
  <c r="AV168" i="2"/>
  <c r="AV167" i="2"/>
  <c r="AV166" i="2"/>
  <c r="AV165" i="2"/>
  <c r="AV164" i="2"/>
  <c r="AV163" i="2"/>
  <c r="AV162" i="2"/>
  <c r="AV161" i="2"/>
  <c r="AV160" i="2"/>
  <c r="AV159" i="2"/>
  <c r="AV158" i="2"/>
  <c r="AV157" i="2"/>
  <c r="AV156" i="2"/>
  <c r="AV155" i="2"/>
  <c r="AV154" i="2"/>
  <c r="AV153" i="2"/>
  <c r="AV152" i="2"/>
  <c r="AV151" i="2"/>
  <c r="AV150" i="2"/>
  <c r="AV149" i="2"/>
  <c r="AV148" i="2"/>
  <c r="AV147" i="2"/>
  <c r="AV146" i="2"/>
  <c r="AV145" i="2"/>
  <c r="AV144" i="2"/>
  <c r="AV143" i="2"/>
  <c r="AV142" i="2"/>
  <c r="AV141" i="2"/>
  <c r="AV140" i="2"/>
  <c r="AV139" i="2"/>
  <c r="AV138" i="2"/>
  <c r="AV137" i="2"/>
  <c r="AV136" i="2"/>
  <c r="AV135" i="2"/>
  <c r="AV134" i="2"/>
  <c r="AV133" i="2"/>
  <c r="AV132" i="2"/>
  <c r="AV131" i="2"/>
  <c r="AV130" i="2"/>
  <c r="AV129" i="2"/>
  <c r="AV128" i="2"/>
  <c r="AV127" i="2"/>
  <c r="AV126" i="2"/>
  <c r="AV125" i="2"/>
  <c r="AV124" i="2"/>
  <c r="AV123" i="2"/>
  <c r="AA6" i="2"/>
  <c r="P10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Y35" i="2"/>
  <c r="AY36" i="2"/>
  <c r="AY37" i="2"/>
  <c r="AY38" i="2"/>
  <c r="AY39" i="2"/>
  <c r="AY40" i="2"/>
  <c r="AY41" i="2"/>
  <c r="AY42" i="2"/>
  <c r="AY43" i="2"/>
  <c r="AY44" i="2"/>
  <c r="AY45" i="2"/>
  <c r="AY46" i="2"/>
  <c r="AY47" i="2"/>
  <c r="AY48" i="2"/>
  <c r="AY49" i="2"/>
  <c r="AY50" i="2"/>
  <c r="AY51" i="2"/>
  <c r="AY52" i="2"/>
  <c r="AY53" i="2"/>
  <c r="AY54" i="2"/>
  <c r="AY55" i="2"/>
  <c r="AY56" i="2"/>
  <c r="AY57" i="2"/>
  <c r="AY58" i="2"/>
  <c r="AY59" i="2"/>
  <c r="AY60" i="2"/>
  <c r="AR61" i="2"/>
  <c r="AW62" i="2"/>
  <c r="AZ63" i="2"/>
  <c r="AR65" i="2"/>
  <c r="BB65" i="2"/>
  <c r="AS66" i="2"/>
  <c r="BC66" i="2"/>
  <c r="AZ67" i="2"/>
  <c r="AV68" i="2"/>
  <c r="AS69" i="2"/>
  <c r="BE69" i="2"/>
  <c r="BC70" i="2"/>
  <c r="AZ71" i="2"/>
  <c r="AV72" i="2"/>
  <c r="AS73" i="2"/>
  <c r="BE73" i="2"/>
  <c r="BC74" i="2"/>
  <c r="AZ75" i="2"/>
  <c r="AV76" i="2"/>
  <c r="AS77" i="2"/>
  <c r="BE77" i="2"/>
  <c r="BC78" i="2"/>
  <c r="AZ79" i="2"/>
  <c r="AV80" i="2"/>
  <c r="AV81" i="2"/>
  <c r="AZ82" i="2"/>
  <c r="AR84" i="2"/>
  <c r="AV85" i="2"/>
  <c r="BE86" i="2"/>
  <c r="AW88" i="2"/>
  <c r="AV93" i="2"/>
  <c r="BE94" i="2"/>
  <c r="AW96" i="2"/>
  <c r="AV101" i="2"/>
  <c r="BE102" i="2"/>
  <c r="AW104" i="2"/>
  <c r="AV109" i="2"/>
  <c r="BE110" i="2"/>
  <c r="AW112" i="2"/>
  <c r="AV117" i="2"/>
  <c r="AZ123" i="2"/>
  <c r="AY130" i="2"/>
  <c r="AY145" i="2"/>
  <c r="AW523" i="2"/>
  <c r="AW531" i="2"/>
  <c r="AW530" i="2"/>
  <c r="AW522" i="2"/>
  <c r="AW532" i="2"/>
  <c r="AW528" i="2"/>
  <c r="AW527" i="2"/>
  <c r="AW519" i="2"/>
  <c r="AW533" i="2"/>
  <c r="AW526" i="2"/>
  <c r="AW518" i="2"/>
  <c r="AW521" i="2"/>
  <c r="AW512" i="2"/>
  <c r="AW504" i="2"/>
  <c r="AW510" i="2"/>
  <c r="AW524" i="2"/>
  <c r="AW516" i="2"/>
  <c r="AW509" i="2"/>
  <c r="AW529" i="2"/>
  <c r="AW517" i="2"/>
  <c r="AW508" i="2"/>
  <c r="AW525" i="2"/>
  <c r="AW514" i="2"/>
  <c r="AW498" i="2"/>
  <c r="AW507" i="2"/>
  <c r="AW505" i="2"/>
  <c r="AW497" i="2"/>
  <c r="AW503" i="2"/>
  <c r="AW495" i="2"/>
  <c r="AW502" i="2"/>
  <c r="AW496" i="2"/>
  <c r="AW494" i="2"/>
  <c r="AW493" i="2"/>
  <c r="AW492" i="2"/>
  <c r="AW484" i="2"/>
  <c r="AW491" i="2"/>
  <c r="AW483" i="2"/>
  <c r="AW520" i="2"/>
  <c r="AW506" i="2"/>
  <c r="AW500" i="2"/>
  <c r="AW499" i="2"/>
  <c r="AW490" i="2"/>
  <c r="AW515" i="2"/>
  <c r="AW501" i="2"/>
  <c r="AW488" i="2"/>
  <c r="AW513" i="2"/>
  <c r="AW487" i="2"/>
  <c r="AW489" i="2"/>
  <c r="AW486" i="2"/>
  <c r="AW479" i="2"/>
  <c r="AW478" i="2"/>
  <c r="AW485" i="2"/>
  <c r="AW476" i="2"/>
  <c r="AW475" i="2"/>
  <c r="AW482" i="2"/>
  <c r="AW474" i="2"/>
  <c r="AW471" i="2"/>
  <c r="AW463" i="2"/>
  <c r="AW470" i="2"/>
  <c r="AW462" i="2"/>
  <c r="AW469" i="2"/>
  <c r="AW461" i="2"/>
  <c r="AW468" i="2"/>
  <c r="AW460" i="2"/>
  <c r="AW477" i="2"/>
  <c r="AW467" i="2"/>
  <c r="AW466" i="2"/>
  <c r="AW511" i="2"/>
  <c r="AW481" i="2"/>
  <c r="AW480" i="2"/>
  <c r="AW473" i="2"/>
  <c r="AW465" i="2"/>
  <c r="AW472" i="2"/>
  <c r="AW453" i="2"/>
  <c r="AW445" i="2"/>
  <c r="AW437" i="2"/>
  <c r="AW429" i="2"/>
  <c r="AW452" i="2"/>
  <c r="AW444" i="2"/>
  <c r="AW436" i="2"/>
  <c r="AW459" i="2"/>
  <c r="AW451" i="2"/>
  <c r="AW443" i="2"/>
  <c r="AW435" i="2"/>
  <c r="AW458" i="2"/>
  <c r="AW450" i="2"/>
  <c r="AW457" i="2"/>
  <c r="AW449" i="2"/>
  <c r="AW441" i="2"/>
  <c r="AW433" i="2"/>
  <c r="AW464" i="2"/>
  <c r="AW456" i="2"/>
  <c r="AW448" i="2"/>
  <c r="AW440" i="2"/>
  <c r="AW432" i="2"/>
  <c r="AW455" i="2"/>
  <c r="AW446" i="2"/>
  <c r="AW434" i="2"/>
  <c r="AW430" i="2"/>
  <c r="AW420" i="2"/>
  <c r="AW412" i="2"/>
  <c r="AW439" i="2"/>
  <c r="AW419" i="2"/>
  <c r="AW442" i="2"/>
  <c r="AW438" i="2"/>
  <c r="AW428" i="2"/>
  <c r="AW426" i="2"/>
  <c r="AW425" i="2"/>
  <c r="AW417" i="2"/>
  <c r="AW424" i="2"/>
  <c r="AW416" i="2"/>
  <c r="AW454" i="2"/>
  <c r="AW418" i="2"/>
  <c r="AW403" i="2"/>
  <c r="AW402" i="2"/>
  <c r="AW401" i="2"/>
  <c r="AW400" i="2"/>
  <c r="AW399" i="2"/>
  <c r="AW398" i="2"/>
  <c r="AW397" i="2"/>
  <c r="AW396" i="2"/>
  <c r="AW395" i="2"/>
  <c r="AW394" i="2"/>
  <c r="AW393" i="2"/>
  <c r="AW392" i="2"/>
  <c r="AW391" i="2"/>
  <c r="AW390" i="2"/>
  <c r="AW389" i="2"/>
  <c r="AW388" i="2"/>
  <c r="AW387" i="2"/>
  <c r="AW386" i="2"/>
  <c r="AW422" i="2"/>
  <c r="AW421" i="2"/>
  <c r="AW431" i="2"/>
  <c r="AW423" i="2"/>
  <c r="AW408" i="2"/>
  <c r="AW406" i="2"/>
  <c r="AW415" i="2"/>
  <c r="AW447" i="2"/>
  <c r="AW409" i="2"/>
  <c r="AW385" i="2"/>
  <c r="AW413" i="2"/>
  <c r="AW427" i="2"/>
  <c r="AW414" i="2"/>
  <c r="AW410" i="2"/>
  <c r="AW405" i="2"/>
  <c r="AW382" i="2"/>
  <c r="AW374" i="2"/>
  <c r="AW369" i="2"/>
  <c r="AW377" i="2"/>
  <c r="AW370" i="2"/>
  <c r="AW380" i="2"/>
  <c r="AW372" i="2"/>
  <c r="AW371" i="2"/>
  <c r="AW367" i="2"/>
  <c r="AW366" i="2"/>
  <c r="AW365" i="2"/>
  <c r="AW364" i="2"/>
  <c r="AW363" i="2"/>
  <c r="AW362" i="2"/>
  <c r="AW361" i="2"/>
  <c r="AW360" i="2"/>
  <c r="AW359" i="2"/>
  <c r="AW358" i="2"/>
  <c r="AW357" i="2"/>
  <c r="AW356" i="2"/>
  <c r="AW355" i="2"/>
  <c r="AW354" i="2"/>
  <c r="AW353" i="2"/>
  <c r="AW352" i="2"/>
  <c r="AW351" i="2"/>
  <c r="AW350" i="2"/>
  <c r="AW349" i="2"/>
  <c r="AW348" i="2"/>
  <c r="AW347" i="2"/>
  <c r="AW346" i="2"/>
  <c r="AW345" i="2"/>
  <c r="AW404" i="2"/>
  <c r="AW383" i="2"/>
  <c r="AW375" i="2"/>
  <c r="AW378" i="2"/>
  <c r="AW381" i="2"/>
  <c r="AW373" i="2"/>
  <c r="AW407" i="2"/>
  <c r="AW384" i="2"/>
  <c r="AW376" i="2"/>
  <c r="AW341" i="2"/>
  <c r="AW340" i="2"/>
  <c r="AW339" i="2"/>
  <c r="AW338" i="2"/>
  <c r="AW337" i="2"/>
  <c r="AW336" i="2"/>
  <c r="AW335" i="2"/>
  <c r="AW334" i="2"/>
  <c r="AW333" i="2"/>
  <c r="AW332" i="2"/>
  <c r="AW331" i="2"/>
  <c r="AW330" i="2"/>
  <c r="AW329" i="2"/>
  <c r="AW328" i="2"/>
  <c r="AW327" i="2"/>
  <c r="AW326" i="2"/>
  <c r="AW325" i="2"/>
  <c r="AW324" i="2"/>
  <c r="AW323" i="2"/>
  <c r="AW322" i="2"/>
  <c r="AW321" i="2"/>
  <c r="AW320" i="2"/>
  <c r="AW319" i="2"/>
  <c r="AW411" i="2"/>
  <c r="AW368" i="2"/>
  <c r="AW342" i="2"/>
  <c r="AW344" i="2"/>
  <c r="AW343" i="2"/>
  <c r="AW314" i="2"/>
  <c r="AW306" i="2"/>
  <c r="AW298" i="2"/>
  <c r="AW286" i="2"/>
  <c r="AW313" i="2"/>
  <c r="AW305" i="2"/>
  <c r="AW297" i="2"/>
  <c r="AW291" i="2"/>
  <c r="AW312" i="2"/>
  <c r="AW304" i="2"/>
  <c r="AW296" i="2"/>
  <c r="AW288" i="2"/>
  <c r="AW379" i="2"/>
  <c r="AW311" i="2"/>
  <c r="AW303" i="2"/>
  <c r="AW295" i="2"/>
  <c r="AW293" i="2"/>
  <c r="AW285" i="2"/>
  <c r="AW318" i="2"/>
  <c r="AW310" i="2"/>
  <c r="AW302" i="2"/>
  <c r="AW294" i="2"/>
  <c r="AW290" i="2"/>
  <c r="AW317" i="2"/>
  <c r="AW309" i="2"/>
  <c r="AW301" i="2"/>
  <c r="AW287" i="2"/>
  <c r="AW316" i="2"/>
  <c r="AW308" i="2"/>
  <c r="AW300" i="2"/>
  <c r="AW292" i="2"/>
  <c r="AW283" i="2"/>
  <c r="AW276" i="2"/>
  <c r="AW289" i="2"/>
  <c r="AW282" i="2"/>
  <c r="AW280" i="2"/>
  <c r="AW272" i="2"/>
  <c r="AW307" i="2"/>
  <c r="AW281" i="2"/>
  <c r="AW275" i="2"/>
  <c r="AW274" i="2"/>
  <c r="AW278" i="2"/>
  <c r="AW271" i="2"/>
  <c r="AW270" i="2"/>
  <c r="AW269" i="2"/>
  <c r="AW268" i="2"/>
  <c r="AW267" i="2"/>
  <c r="AW266" i="2"/>
  <c r="AW265" i="2"/>
  <c r="AW264" i="2"/>
  <c r="AW263" i="2"/>
  <c r="AW262" i="2"/>
  <c r="AW261" i="2"/>
  <c r="AW260" i="2"/>
  <c r="AW259" i="2"/>
  <c r="AW277" i="2"/>
  <c r="AW273" i="2"/>
  <c r="AW252" i="2"/>
  <c r="AW248" i="2"/>
  <c r="AW239" i="2"/>
  <c r="AW238" i="2"/>
  <c r="AW237" i="2"/>
  <c r="AW236" i="2"/>
  <c r="AW235" i="2"/>
  <c r="AW234" i="2"/>
  <c r="AW233" i="2"/>
  <c r="AW232" i="2"/>
  <c r="AW231" i="2"/>
  <c r="AW230" i="2"/>
  <c r="AW229" i="2"/>
  <c r="AW228" i="2"/>
  <c r="AW227" i="2"/>
  <c r="AW226" i="2"/>
  <c r="AW225" i="2"/>
  <c r="AW224" i="2"/>
  <c r="AW223" i="2"/>
  <c r="AW222" i="2"/>
  <c r="AW221" i="2"/>
  <c r="AW315" i="2"/>
  <c r="AW258" i="2"/>
  <c r="AW251" i="2"/>
  <c r="AW299" i="2"/>
  <c r="AW279" i="2"/>
  <c r="AW255" i="2"/>
  <c r="AW246" i="2"/>
  <c r="AW242" i="2"/>
  <c r="AW240" i="2"/>
  <c r="AW254" i="2"/>
  <c r="AW250" i="2"/>
  <c r="AW284" i="2"/>
  <c r="AW253" i="2"/>
  <c r="AW249" i="2"/>
  <c r="AW257" i="2"/>
  <c r="AW245" i="2"/>
  <c r="AW243" i="2"/>
  <c r="AW241" i="2"/>
  <c r="AW256" i="2"/>
  <c r="AW191" i="2"/>
  <c r="AW181" i="2"/>
  <c r="AW218" i="2"/>
  <c r="AW214" i="2"/>
  <c r="AW210" i="2"/>
  <c r="AW206" i="2"/>
  <c r="AW202" i="2"/>
  <c r="AW198" i="2"/>
  <c r="AW194" i="2"/>
  <c r="AW186" i="2"/>
  <c r="AW174" i="2"/>
  <c r="AW173" i="2"/>
  <c r="AW172" i="2"/>
  <c r="AW171" i="2"/>
  <c r="AW170" i="2"/>
  <c r="AW169" i="2"/>
  <c r="AW168" i="2"/>
  <c r="AW167" i="2"/>
  <c r="AW166" i="2"/>
  <c r="AW165" i="2"/>
  <c r="AW164" i="2"/>
  <c r="AW163" i="2"/>
  <c r="AW162" i="2"/>
  <c r="AW161" i="2"/>
  <c r="AW160" i="2"/>
  <c r="AW159" i="2"/>
  <c r="AW158" i="2"/>
  <c r="AW157" i="2"/>
  <c r="AW156" i="2"/>
  <c r="AW155" i="2"/>
  <c r="AW154" i="2"/>
  <c r="AW153" i="2"/>
  <c r="AW152" i="2"/>
  <c r="AW151" i="2"/>
  <c r="AW150" i="2"/>
  <c r="AW149" i="2"/>
  <c r="AW148" i="2"/>
  <c r="AW147" i="2"/>
  <c r="AW146" i="2"/>
  <c r="AW145" i="2"/>
  <c r="AW144" i="2"/>
  <c r="AW143" i="2"/>
  <c r="AW142" i="2"/>
  <c r="AW141" i="2"/>
  <c r="AW140" i="2"/>
  <c r="AW139" i="2"/>
  <c r="AW138" i="2"/>
  <c r="AW137" i="2"/>
  <c r="AW136" i="2"/>
  <c r="AW135" i="2"/>
  <c r="AW134" i="2"/>
  <c r="AW133" i="2"/>
  <c r="AW132" i="2"/>
  <c r="AW131" i="2"/>
  <c r="AW130" i="2"/>
  <c r="AW129" i="2"/>
  <c r="AW128" i="2"/>
  <c r="AW127" i="2"/>
  <c r="AW126" i="2"/>
  <c r="AW125" i="2"/>
  <c r="AW124" i="2"/>
  <c r="AW189" i="2"/>
  <c r="AW178" i="2"/>
  <c r="AW247" i="2"/>
  <c r="AW244" i="2"/>
  <c r="AW219" i="2"/>
  <c r="AW215" i="2"/>
  <c r="AW211" i="2"/>
  <c r="AW207" i="2"/>
  <c r="AW203" i="2"/>
  <c r="AW199" i="2"/>
  <c r="AW195" i="2"/>
  <c r="AW192" i="2"/>
  <c r="AW175" i="2"/>
  <c r="AW187" i="2"/>
  <c r="AW184" i="2"/>
  <c r="AW179" i="2"/>
  <c r="AW220" i="2"/>
  <c r="AW216" i="2"/>
  <c r="AW212" i="2"/>
  <c r="AW208" i="2"/>
  <c r="AW204" i="2"/>
  <c r="AW200" i="2"/>
  <c r="AW196" i="2"/>
  <c r="AW190" i="2"/>
  <c r="AW183" i="2"/>
  <c r="AW193" i="2"/>
  <c r="AW185" i="2"/>
  <c r="AW182" i="2"/>
  <c r="AW180" i="2"/>
  <c r="AW177" i="2"/>
  <c r="AW217" i="2"/>
  <c r="AW209" i="2"/>
  <c r="AW201" i="2"/>
  <c r="AW123" i="2"/>
  <c r="AW176" i="2"/>
  <c r="AW213" i="2"/>
  <c r="AW205" i="2"/>
  <c r="AW197" i="2"/>
  <c r="AW188" i="2"/>
  <c r="BE523" i="2"/>
  <c r="BE515" i="2"/>
  <c r="BE531" i="2"/>
  <c r="BE530" i="2"/>
  <c r="BE522" i="2"/>
  <c r="BE532" i="2"/>
  <c r="BE528" i="2"/>
  <c r="BE527" i="2"/>
  <c r="BE519" i="2"/>
  <c r="BE533" i="2"/>
  <c r="BE526" i="2"/>
  <c r="BE518" i="2"/>
  <c r="BE517" i="2"/>
  <c r="BE512" i="2"/>
  <c r="BE504" i="2"/>
  <c r="BE529" i="2"/>
  <c r="BE510" i="2"/>
  <c r="BE525" i="2"/>
  <c r="BE520" i="2"/>
  <c r="BE509" i="2"/>
  <c r="BE521" i="2"/>
  <c r="BE508" i="2"/>
  <c r="BE514" i="2"/>
  <c r="BE506" i="2"/>
  <c r="BE498" i="2"/>
  <c r="BE497" i="2"/>
  <c r="BE511" i="2"/>
  <c r="BE505" i="2"/>
  <c r="BE503" i="2"/>
  <c r="BE495" i="2"/>
  <c r="BE524" i="2"/>
  <c r="BE513" i="2"/>
  <c r="BE507" i="2"/>
  <c r="BE502" i="2"/>
  <c r="BE501" i="2"/>
  <c r="BE492" i="2"/>
  <c r="BE484" i="2"/>
  <c r="BE493" i="2"/>
  <c r="BE491" i="2"/>
  <c r="BE483" i="2"/>
  <c r="BE490" i="2"/>
  <c r="BE516" i="2"/>
  <c r="BE496" i="2"/>
  <c r="BE488" i="2"/>
  <c r="BE487" i="2"/>
  <c r="BE479" i="2"/>
  <c r="BE499" i="2"/>
  <c r="BE494" i="2"/>
  <c r="BE478" i="2"/>
  <c r="BE500" i="2"/>
  <c r="BE476" i="2"/>
  <c r="BE489" i="2"/>
  <c r="BE486" i="2"/>
  <c r="BE475" i="2"/>
  <c r="BE477" i="2"/>
  <c r="BE471" i="2"/>
  <c r="BE463" i="2"/>
  <c r="BE470" i="2"/>
  <c r="BE462" i="2"/>
  <c r="BE481" i="2"/>
  <c r="BE480" i="2"/>
  <c r="BE473" i="2"/>
  <c r="BE469" i="2"/>
  <c r="BE461" i="2"/>
  <c r="BE468" i="2"/>
  <c r="BE460" i="2"/>
  <c r="BE474" i="2"/>
  <c r="BE467" i="2"/>
  <c r="BE482" i="2"/>
  <c r="BE466" i="2"/>
  <c r="BE465" i="2"/>
  <c r="BE453" i="2"/>
  <c r="BE445" i="2"/>
  <c r="BE437" i="2"/>
  <c r="BE429" i="2"/>
  <c r="BE452" i="2"/>
  <c r="BE444" i="2"/>
  <c r="BE436" i="2"/>
  <c r="BE485" i="2"/>
  <c r="BE451" i="2"/>
  <c r="BE443" i="2"/>
  <c r="BE435" i="2"/>
  <c r="BE464" i="2"/>
  <c r="BE459" i="2"/>
  <c r="BE458" i="2"/>
  <c r="BE450" i="2"/>
  <c r="BE457" i="2"/>
  <c r="BE449" i="2"/>
  <c r="BE441" i="2"/>
  <c r="BE433" i="2"/>
  <c r="BE456" i="2"/>
  <c r="BE448" i="2"/>
  <c r="BE440" i="2"/>
  <c r="BE432" i="2"/>
  <c r="BE442" i="2"/>
  <c r="BE472" i="2"/>
  <c r="BE438" i="2"/>
  <c r="BE427" i="2"/>
  <c r="BE420" i="2"/>
  <c r="BE412" i="2"/>
  <c r="BE419" i="2"/>
  <c r="BE411" i="2"/>
  <c r="BE447" i="2"/>
  <c r="BE454" i="2"/>
  <c r="BE431" i="2"/>
  <c r="BE425" i="2"/>
  <c r="BE417" i="2"/>
  <c r="BE446" i="2"/>
  <c r="BE434" i="2"/>
  <c r="BE428" i="2"/>
  <c r="BE426" i="2"/>
  <c r="BE424" i="2"/>
  <c r="BE416" i="2"/>
  <c r="BE422" i="2"/>
  <c r="BE421" i="2"/>
  <c r="BE414" i="2"/>
  <c r="BE423" i="2"/>
  <c r="BE415" i="2"/>
  <c r="BE406" i="2"/>
  <c r="BE402" i="2"/>
  <c r="BE401" i="2"/>
  <c r="BE400" i="2"/>
  <c r="BE399" i="2"/>
  <c r="BE398" i="2"/>
  <c r="BE397" i="2"/>
  <c r="BE396" i="2"/>
  <c r="BE395" i="2"/>
  <c r="BE394" i="2"/>
  <c r="BE393" i="2"/>
  <c r="BE392" i="2"/>
  <c r="BE391" i="2"/>
  <c r="BE390" i="2"/>
  <c r="BE389" i="2"/>
  <c r="BE388" i="2"/>
  <c r="BE387" i="2"/>
  <c r="BE386" i="2"/>
  <c r="BE455" i="2"/>
  <c r="BE439" i="2"/>
  <c r="BE430" i="2"/>
  <c r="BE403" i="2"/>
  <c r="BE405" i="2"/>
  <c r="BE413" i="2"/>
  <c r="BE410" i="2"/>
  <c r="BE407" i="2"/>
  <c r="BE404" i="2"/>
  <c r="BE408" i="2"/>
  <c r="BE418" i="2"/>
  <c r="BE378" i="2"/>
  <c r="BE409" i="2"/>
  <c r="BE381" i="2"/>
  <c r="BE373" i="2"/>
  <c r="BE368" i="2"/>
  <c r="BE384" i="2"/>
  <c r="BE376" i="2"/>
  <c r="BE369" i="2"/>
  <c r="BE367" i="2"/>
  <c r="BE366" i="2"/>
  <c r="BE365" i="2"/>
  <c r="BE364" i="2"/>
  <c r="BE363" i="2"/>
  <c r="BE362" i="2"/>
  <c r="BE361" i="2"/>
  <c r="BE360" i="2"/>
  <c r="BE359" i="2"/>
  <c r="BE358" i="2"/>
  <c r="BE357" i="2"/>
  <c r="BE356" i="2"/>
  <c r="BE355" i="2"/>
  <c r="BE354" i="2"/>
  <c r="BE353" i="2"/>
  <c r="BE352" i="2"/>
  <c r="BE351" i="2"/>
  <c r="BE350" i="2"/>
  <c r="BE349" i="2"/>
  <c r="BE348" i="2"/>
  <c r="BE347" i="2"/>
  <c r="BE346" i="2"/>
  <c r="BE345" i="2"/>
  <c r="BE379" i="2"/>
  <c r="BE370" i="2"/>
  <c r="BE382" i="2"/>
  <c r="BE374" i="2"/>
  <c r="BE371" i="2"/>
  <c r="BE377" i="2"/>
  <c r="BE385" i="2"/>
  <c r="BE380" i="2"/>
  <c r="BE372" i="2"/>
  <c r="BE344" i="2"/>
  <c r="BE341" i="2"/>
  <c r="BE340" i="2"/>
  <c r="BE339" i="2"/>
  <c r="BE338" i="2"/>
  <c r="BE337" i="2"/>
  <c r="BE336" i="2"/>
  <c r="BE335" i="2"/>
  <c r="BE334" i="2"/>
  <c r="BE333" i="2"/>
  <c r="BE332" i="2"/>
  <c r="BE331" i="2"/>
  <c r="BE330" i="2"/>
  <c r="BE329" i="2"/>
  <c r="BE328" i="2"/>
  <c r="BE327" i="2"/>
  <c r="BE326" i="2"/>
  <c r="BE325" i="2"/>
  <c r="BE324" i="2"/>
  <c r="BE323" i="2"/>
  <c r="BE322" i="2"/>
  <c r="BE321" i="2"/>
  <c r="BE320" i="2"/>
  <c r="BE319" i="2"/>
  <c r="BE383" i="2"/>
  <c r="BE375" i="2"/>
  <c r="BE342" i="2"/>
  <c r="BE317" i="2"/>
  <c r="BE309" i="2"/>
  <c r="BE301" i="2"/>
  <c r="BE289" i="2"/>
  <c r="BE316" i="2"/>
  <c r="BE308" i="2"/>
  <c r="BE300" i="2"/>
  <c r="BE286" i="2"/>
  <c r="BE315" i="2"/>
  <c r="BE307" i="2"/>
  <c r="BE299" i="2"/>
  <c r="BE291" i="2"/>
  <c r="BE314" i="2"/>
  <c r="BE306" i="2"/>
  <c r="BE298" i="2"/>
  <c r="BE288" i="2"/>
  <c r="BE313" i="2"/>
  <c r="BE305" i="2"/>
  <c r="BE297" i="2"/>
  <c r="BE293" i="2"/>
  <c r="BE285" i="2"/>
  <c r="BE312" i="2"/>
  <c r="BE304" i="2"/>
  <c r="BE296" i="2"/>
  <c r="BE290" i="2"/>
  <c r="BE343" i="2"/>
  <c r="BE311" i="2"/>
  <c r="BE303" i="2"/>
  <c r="BE295" i="2"/>
  <c r="BE287" i="2"/>
  <c r="BE282" i="2"/>
  <c r="BE318" i="2"/>
  <c r="BE302" i="2"/>
  <c r="BE281" i="2"/>
  <c r="BE272" i="2"/>
  <c r="BE278" i="2"/>
  <c r="BE277" i="2"/>
  <c r="BE274" i="2"/>
  <c r="BE310" i="2"/>
  <c r="BE294" i="2"/>
  <c r="BE279" i="2"/>
  <c r="BE276" i="2"/>
  <c r="BE271" i="2"/>
  <c r="BE270" i="2"/>
  <c r="BE269" i="2"/>
  <c r="BE268" i="2"/>
  <c r="BE267" i="2"/>
  <c r="BE266" i="2"/>
  <c r="BE265" i="2"/>
  <c r="BE264" i="2"/>
  <c r="BE263" i="2"/>
  <c r="BE262" i="2"/>
  <c r="BE261" i="2"/>
  <c r="BE260" i="2"/>
  <c r="BE259" i="2"/>
  <c r="BE292" i="2"/>
  <c r="BE284" i="2"/>
  <c r="BE275" i="2"/>
  <c r="BE273" i="2"/>
  <c r="BE243" i="2"/>
  <c r="BE241" i="2"/>
  <c r="BE239" i="2"/>
  <c r="BE238" i="2"/>
  <c r="BE237" i="2"/>
  <c r="BE236" i="2"/>
  <c r="BE235" i="2"/>
  <c r="BE234" i="2"/>
  <c r="BE233" i="2"/>
  <c r="BE232" i="2"/>
  <c r="BE231" i="2"/>
  <c r="BE230" i="2"/>
  <c r="BE229" i="2"/>
  <c r="BE228" i="2"/>
  <c r="BE227" i="2"/>
  <c r="BE226" i="2"/>
  <c r="BE225" i="2"/>
  <c r="BE224" i="2"/>
  <c r="BE223" i="2"/>
  <c r="BE222" i="2"/>
  <c r="BE221" i="2"/>
  <c r="BE255" i="2"/>
  <c r="BE254" i="2"/>
  <c r="BE250" i="2"/>
  <c r="BE247" i="2"/>
  <c r="BE245" i="2"/>
  <c r="BE256" i="2"/>
  <c r="BE253" i="2"/>
  <c r="BE249" i="2"/>
  <c r="BE283" i="2"/>
  <c r="BE242" i="2"/>
  <c r="BE240" i="2"/>
  <c r="BE246" i="2"/>
  <c r="BE258" i="2"/>
  <c r="BE251" i="2"/>
  <c r="BE244" i="2"/>
  <c r="BE189" i="2"/>
  <c r="BE179" i="2"/>
  <c r="BE177" i="2"/>
  <c r="BE176" i="2"/>
  <c r="BE280" i="2"/>
  <c r="BE257" i="2"/>
  <c r="BE219" i="2"/>
  <c r="BE215" i="2"/>
  <c r="BE211" i="2"/>
  <c r="BE207" i="2"/>
  <c r="BE203" i="2"/>
  <c r="BE199" i="2"/>
  <c r="BE195" i="2"/>
  <c r="BE192" i="2"/>
  <c r="BE184" i="2"/>
  <c r="BE174" i="2"/>
  <c r="BE173" i="2"/>
  <c r="BE172" i="2"/>
  <c r="BE171" i="2"/>
  <c r="BE170" i="2"/>
  <c r="BE169" i="2"/>
  <c r="BE168" i="2"/>
  <c r="BE167" i="2"/>
  <c r="BE166" i="2"/>
  <c r="BE165" i="2"/>
  <c r="BE164" i="2"/>
  <c r="BE163" i="2"/>
  <c r="BE162" i="2"/>
  <c r="BE161" i="2"/>
  <c r="BE160" i="2"/>
  <c r="BE159" i="2"/>
  <c r="BE158" i="2"/>
  <c r="BE157" i="2"/>
  <c r="BE156" i="2"/>
  <c r="BE155" i="2"/>
  <c r="BE154" i="2"/>
  <c r="BE153" i="2"/>
  <c r="BE152" i="2"/>
  <c r="BE151" i="2"/>
  <c r="BE150" i="2"/>
  <c r="BE149" i="2"/>
  <c r="BE148" i="2"/>
  <c r="BE147" i="2"/>
  <c r="BE146" i="2"/>
  <c r="BE145" i="2"/>
  <c r="BE144" i="2"/>
  <c r="BE143" i="2"/>
  <c r="BE142" i="2"/>
  <c r="BE141" i="2"/>
  <c r="BE140" i="2"/>
  <c r="BE139" i="2"/>
  <c r="BE138" i="2"/>
  <c r="BE137" i="2"/>
  <c r="BE136" i="2"/>
  <c r="BE135" i="2"/>
  <c r="BE134" i="2"/>
  <c r="BE133" i="2"/>
  <c r="BE132" i="2"/>
  <c r="BE131" i="2"/>
  <c r="BE130" i="2"/>
  <c r="BE129" i="2"/>
  <c r="BE128" i="2"/>
  <c r="BE127" i="2"/>
  <c r="BE126" i="2"/>
  <c r="BE125" i="2"/>
  <c r="BE124" i="2"/>
  <c r="BE187" i="2"/>
  <c r="BE183" i="2"/>
  <c r="BE180" i="2"/>
  <c r="BE248" i="2"/>
  <c r="BE220" i="2"/>
  <c r="BE216" i="2"/>
  <c r="BE212" i="2"/>
  <c r="BE208" i="2"/>
  <c r="BE204" i="2"/>
  <c r="BE200" i="2"/>
  <c r="BE196" i="2"/>
  <c r="BE190" i="2"/>
  <c r="BE182" i="2"/>
  <c r="BE193" i="2"/>
  <c r="BE185" i="2"/>
  <c r="BE181" i="2"/>
  <c r="BE175" i="2"/>
  <c r="BE252" i="2"/>
  <c r="BE217" i="2"/>
  <c r="BE213" i="2"/>
  <c r="BE209" i="2"/>
  <c r="BE205" i="2"/>
  <c r="BE201" i="2"/>
  <c r="BE197" i="2"/>
  <c r="BE188" i="2"/>
  <c r="BE191" i="2"/>
  <c r="BE178" i="2"/>
  <c r="BE218" i="2"/>
  <c r="BE210" i="2"/>
  <c r="BE202" i="2"/>
  <c r="BE194" i="2"/>
  <c r="BE186" i="2"/>
  <c r="BE123" i="2"/>
  <c r="BE214" i="2"/>
  <c r="BE206" i="2"/>
  <c r="BE198" i="2"/>
  <c r="AS61" i="2"/>
  <c r="AW68" i="2"/>
  <c r="AW72" i="2"/>
  <c r="AW76" i="2"/>
  <c r="AW80" i="2"/>
  <c r="AW81" i="2"/>
  <c r="BE83" i="2"/>
  <c r="AW85" i="2"/>
  <c r="BE91" i="2"/>
  <c r="AW93" i="2"/>
  <c r="BE99" i="2"/>
  <c r="AW101" i="2"/>
  <c r="BE107" i="2"/>
  <c r="AW109" i="2"/>
  <c r="BE115" i="2"/>
  <c r="AW117" i="2"/>
  <c r="BE77" i="3" l="1"/>
  <c r="BE60" i="3"/>
  <c r="BE64" i="3"/>
  <c r="BE69" i="3"/>
  <c r="BE92" i="3"/>
  <c r="BE100" i="3"/>
  <c r="BE138" i="3"/>
  <c r="BE114" i="3"/>
  <c r="BE119" i="3"/>
  <c r="BE130" i="3"/>
  <c r="BE136" i="3"/>
  <c r="BE173" i="3"/>
  <c r="BE155" i="3"/>
  <c r="BE172" i="3"/>
  <c r="BE177" i="3"/>
  <c r="BI21" i="3"/>
  <c r="BI33" i="3"/>
  <c r="BI43" i="3"/>
  <c r="BI66" i="3"/>
  <c r="BI75" i="3"/>
  <c r="BI95" i="3"/>
  <c r="BI119" i="3"/>
  <c r="BI156" i="3"/>
  <c r="BI191" i="3"/>
  <c r="AM46" i="3"/>
  <c r="AM41" i="3"/>
  <c r="AM85" i="3"/>
  <c r="AM59" i="3"/>
  <c r="AM77" i="3"/>
  <c r="AM91" i="3"/>
  <c r="AM112" i="3"/>
  <c r="AM141" i="3"/>
  <c r="AM185" i="3"/>
  <c r="AM38" i="3"/>
  <c r="AM56" i="3"/>
  <c r="AM69" i="3"/>
  <c r="AM47" i="3"/>
  <c r="BE42" i="3"/>
  <c r="BE57" i="3"/>
  <c r="BE56" i="3"/>
  <c r="BE61" i="3"/>
  <c r="BE74" i="3"/>
  <c r="BE79" i="3"/>
  <c r="BE97" i="3"/>
  <c r="BE71" i="3"/>
  <c r="BE68" i="3"/>
  <c r="BE87" i="3"/>
  <c r="BE85" i="3"/>
  <c r="BE102" i="3"/>
  <c r="BE96" i="3"/>
  <c r="BE106" i="3"/>
  <c r="BE121" i="3"/>
  <c r="BE118" i="3"/>
  <c r="BE105" i="3"/>
  <c r="BE123" i="3"/>
  <c r="BE132" i="3"/>
  <c r="BE146" i="3"/>
  <c r="BE141" i="3"/>
  <c r="BE165" i="3"/>
  <c r="BE166" i="3"/>
  <c r="BE160" i="3"/>
  <c r="BE152" i="3"/>
  <c r="BE157" i="3"/>
  <c r="BE179" i="3"/>
  <c r="BE181" i="3"/>
  <c r="BE174" i="3"/>
  <c r="BE183" i="3"/>
  <c r="BE175" i="3"/>
  <c r="AM54" i="3"/>
  <c r="AM83" i="3"/>
  <c r="AM102" i="3"/>
  <c r="AM126" i="3"/>
  <c r="AM160" i="3"/>
  <c r="AM21" i="3"/>
  <c r="BI23" i="3"/>
  <c r="BI28" i="3"/>
  <c r="BI36" i="3"/>
  <c r="BI62" i="3"/>
  <c r="BI49" i="3"/>
  <c r="BI57" i="3"/>
  <c r="BI88" i="3"/>
  <c r="BI96" i="3"/>
  <c r="BI78" i="3"/>
  <c r="BI94" i="3"/>
  <c r="BI155" i="3"/>
  <c r="BI114" i="3"/>
  <c r="BI126" i="3"/>
  <c r="BI132" i="3"/>
  <c r="BI161" i="3"/>
  <c r="BI185" i="3"/>
  <c r="AM30" i="3"/>
  <c r="AM184" i="3"/>
  <c r="AM171" i="3"/>
  <c r="AM158" i="3"/>
  <c r="AM183" i="3"/>
  <c r="AM162" i="3"/>
  <c r="AM153" i="3"/>
  <c r="AM146" i="3"/>
  <c r="AM151" i="3"/>
  <c r="AM139" i="3"/>
  <c r="AM148" i="3"/>
  <c r="AM113" i="3"/>
  <c r="AM142" i="3"/>
  <c r="AM87" i="3"/>
  <c r="AM81" i="3"/>
  <c r="AM98" i="3"/>
  <c r="AM72" i="3"/>
  <c r="AM48" i="3"/>
  <c r="AM74" i="3"/>
  <c r="AM20" i="3"/>
  <c r="AM64" i="3"/>
  <c r="AM42" i="3"/>
  <c r="BE41" i="3"/>
  <c r="BE43" i="3"/>
  <c r="BE84" i="3"/>
  <c r="BE86" i="3"/>
  <c r="BE89" i="3"/>
  <c r="BE81" i="3"/>
  <c r="BE82" i="3"/>
  <c r="BE78" i="3"/>
  <c r="BE75" i="3"/>
  <c r="BE90" i="3"/>
  <c r="BE93" i="3"/>
  <c r="BE103" i="3"/>
  <c r="BE116" i="3"/>
  <c r="BE109" i="3"/>
  <c r="BE126" i="3"/>
  <c r="BE122" i="3"/>
  <c r="BE111" i="3"/>
  <c r="BE124" i="3"/>
  <c r="BE140" i="3"/>
  <c r="BE149" i="3"/>
  <c r="BE145" i="3"/>
  <c r="BE139" i="3"/>
  <c r="BE162" i="3"/>
  <c r="BE169" i="3"/>
  <c r="BE153" i="3"/>
  <c r="BE158" i="3"/>
  <c r="BE163" i="3"/>
  <c r="BE186" i="3"/>
  <c r="BE180" i="3"/>
  <c r="BE185" i="3"/>
  <c r="BE191" i="3"/>
  <c r="AM32" i="3"/>
  <c r="AM60" i="3"/>
  <c r="AM68" i="3"/>
  <c r="AM110" i="3"/>
  <c r="AM136" i="3"/>
  <c r="AM167" i="3"/>
  <c r="Q15" i="3"/>
  <c r="BI100" i="3"/>
  <c r="BI29" i="3"/>
  <c r="BI38" i="3"/>
  <c r="BI42" i="3"/>
  <c r="BI50" i="3"/>
  <c r="BI72" i="3"/>
  <c r="BI101" i="3"/>
  <c r="BI91" i="3"/>
  <c r="BI83" i="3"/>
  <c r="BI104" i="3"/>
  <c r="BI106" i="3"/>
  <c r="BI118" i="3"/>
  <c r="BI129" i="3"/>
  <c r="BI149" i="3"/>
  <c r="BI167" i="3"/>
  <c r="BI189" i="3"/>
  <c r="AK166" i="3"/>
  <c r="AK130" i="3"/>
  <c r="AK95" i="3"/>
  <c r="AM36" i="3"/>
  <c r="AM70" i="3"/>
  <c r="AM114" i="3"/>
  <c r="AM109" i="3"/>
  <c r="AM140" i="3"/>
  <c r="AM179" i="3"/>
  <c r="BI137" i="3"/>
  <c r="BI125" i="3"/>
  <c r="BI157" i="3"/>
  <c r="BI184" i="3"/>
  <c r="AK159" i="3"/>
  <c r="AK144" i="3"/>
  <c r="AK110" i="3"/>
  <c r="AK94" i="3"/>
  <c r="AK78" i="3"/>
  <c r="AK65" i="3"/>
  <c r="AK176" i="3"/>
  <c r="AK172" i="3"/>
  <c r="AK146" i="3"/>
  <c r="AK150" i="3"/>
  <c r="AK119" i="3"/>
  <c r="AK136" i="3"/>
  <c r="AK79" i="3"/>
  <c r="AK58" i="3"/>
  <c r="AM80" i="3"/>
  <c r="AM93" i="3"/>
  <c r="AM103" i="3"/>
  <c r="AM108" i="3"/>
  <c r="AM168" i="3"/>
  <c r="AK53" i="3"/>
  <c r="AK157" i="3"/>
  <c r="AK163" i="3"/>
  <c r="AK156" i="3"/>
  <c r="AK132" i="3"/>
  <c r="AK125" i="3"/>
  <c r="AK90" i="3"/>
  <c r="AK68" i="3"/>
  <c r="AK189" i="3"/>
  <c r="AK153" i="3"/>
  <c r="AK154" i="3"/>
  <c r="AK87" i="3"/>
  <c r="AK69" i="3"/>
  <c r="AK181" i="3"/>
  <c r="AK169" i="3"/>
  <c r="AK173" i="3"/>
  <c r="AK112" i="3"/>
  <c r="AK116" i="3"/>
  <c r="AK109" i="3"/>
  <c r="AM53" i="3"/>
  <c r="AM50" i="3"/>
  <c r="AM58" i="3"/>
  <c r="AM94" i="3"/>
  <c r="AM131" i="3"/>
  <c r="AM178" i="3"/>
  <c r="AM23" i="3"/>
  <c r="AK179" i="3"/>
  <c r="AK158" i="3"/>
  <c r="AK133" i="3"/>
  <c r="AK98" i="3"/>
  <c r="AK124" i="3"/>
  <c r="AM88" i="3"/>
  <c r="AM44" i="3"/>
  <c r="AM66" i="3"/>
  <c r="AM89" i="3"/>
  <c r="AM145" i="3"/>
  <c r="AM180" i="3"/>
  <c r="BI142" i="3"/>
  <c r="BI179" i="3"/>
  <c r="AM25" i="3"/>
  <c r="AE10" i="3"/>
  <c r="AE15" i="3" s="1"/>
  <c r="BJ30" i="3"/>
  <c r="BJ47" i="3"/>
  <c r="BJ37" i="3"/>
  <c r="BJ68" i="3"/>
  <c r="BJ78" i="3"/>
  <c r="BJ93" i="3"/>
  <c r="BJ106" i="3"/>
  <c r="BJ122" i="3"/>
  <c r="BJ134" i="3"/>
  <c r="BJ151" i="3"/>
  <c r="BJ180" i="3"/>
  <c r="BE45" i="3"/>
  <c r="BE67" i="3"/>
  <c r="BE73" i="3"/>
  <c r="BE70" i="3"/>
  <c r="BE107" i="3"/>
  <c r="BE95" i="3"/>
  <c r="BE101" i="3"/>
  <c r="BE91" i="3"/>
  <c r="BE133" i="3"/>
  <c r="BE108" i="3"/>
  <c r="BE144" i="3"/>
  <c r="BE137" i="3"/>
  <c r="BE143" i="3"/>
  <c r="BE164" i="3"/>
  <c r="BE156" i="3"/>
  <c r="BE178" i="3"/>
  <c r="BE182" i="3"/>
  <c r="BJ25" i="3"/>
  <c r="BJ24" i="3"/>
  <c r="BJ54" i="3"/>
  <c r="BJ65" i="3"/>
  <c r="BJ83" i="3"/>
  <c r="BJ98" i="3"/>
  <c r="BJ111" i="3"/>
  <c r="BJ127" i="3"/>
  <c r="BJ140" i="3"/>
  <c r="BJ159" i="3"/>
  <c r="BJ186" i="3"/>
  <c r="AM28" i="3"/>
  <c r="AM82" i="3"/>
  <c r="AM96" i="3"/>
  <c r="AM101" i="3"/>
  <c r="AM97" i="3"/>
  <c r="AM181" i="3"/>
  <c r="AM166" i="3"/>
  <c r="AM43" i="3"/>
  <c r="Q16" i="3"/>
  <c r="BI34" i="3"/>
  <c r="BI68" i="3"/>
  <c r="BI53" i="3"/>
  <c r="BI99" i="3"/>
  <c r="BI76" i="3"/>
  <c r="BI150" i="3"/>
  <c r="BI107" i="3"/>
  <c r="BI123" i="3"/>
  <c r="BI134" i="3"/>
  <c r="BI160" i="3"/>
  <c r="BI187" i="3"/>
  <c r="BJ32" i="3"/>
  <c r="BJ31" i="3"/>
  <c r="BJ44" i="3"/>
  <c r="BJ58" i="3"/>
  <c r="BJ84" i="3"/>
  <c r="BJ99" i="3"/>
  <c r="BJ112" i="3"/>
  <c r="BJ128" i="3"/>
  <c r="BJ141" i="3"/>
  <c r="BJ161" i="3"/>
  <c r="BJ187" i="3"/>
  <c r="BJ20" i="3"/>
  <c r="BJ26" i="3"/>
  <c r="BJ46" i="3"/>
  <c r="BJ70" i="3"/>
  <c r="BJ85" i="3"/>
  <c r="BJ101" i="3"/>
  <c r="BJ114" i="3"/>
  <c r="BJ150" i="3"/>
  <c r="BJ144" i="3"/>
  <c r="BJ163" i="3"/>
  <c r="BJ189" i="3"/>
  <c r="AK28" i="3"/>
  <c r="BJ21" i="3"/>
  <c r="R16" i="3"/>
  <c r="BJ45" i="3"/>
  <c r="BJ73" i="3"/>
  <c r="BJ88" i="3"/>
  <c r="BJ104" i="3"/>
  <c r="BJ117" i="3"/>
  <c r="BJ167" i="3"/>
  <c r="BJ147" i="3"/>
  <c r="BJ166" i="3"/>
  <c r="AM26" i="3"/>
  <c r="AM31" i="3"/>
  <c r="AM75" i="3"/>
  <c r="AM71" i="3"/>
  <c r="AM104" i="3"/>
  <c r="AM122" i="3"/>
  <c r="AM132" i="3"/>
  <c r="AM182" i="3"/>
  <c r="BI60" i="3"/>
  <c r="BI26" i="3"/>
  <c r="BI37" i="3"/>
  <c r="BI47" i="3"/>
  <c r="BI67" i="3"/>
  <c r="BI64" i="3"/>
  <c r="BI81" i="3"/>
  <c r="BI90" i="3"/>
  <c r="BI111" i="3"/>
  <c r="BI139" i="3"/>
  <c r="BI146" i="3"/>
  <c r="BI173" i="3"/>
  <c r="AM33" i="3"/>
  <c r="BJ35" i="3"/>
  <c r="BJ22" i="3"/>
  <c r="BJ27" i="3"/>
  <c r="BJ59" i="3"/>
  <c r="BJ75" i="3"/>
  <c r="BJ90" i="3"/>
  <c r="BJ131" i="3"/>
  <c r="BJ119" i="3"/>
  <c r="BJ156" i="3"/>
  <c r="BJ149" i="3"/>
  <c r="BJ169" i="3"/>
  <c r="AK180" i="3"/>
  <c r="AK178" i="3"/>
  <c r="AK152" i="3"/>
  <c r="AK168" i="3"/>
  <c r="AK175" i="3"/>
  <c r="AK142" i="3"/>
  <c r="AK129" i="3"/>
  <c r="AK108" i="3"/>
  <c r="AK92" i="3"/>
  <c r="AK93" i="3"/>
  <c r="AK188" i="3"/>
  <c r="AK171" i="3"/>
  <c r="AK148" i="3"/>
  <c r="AK118" i="3"/>
  <c r="AK120" i="3"/>
  <c r="AK126" i="3"/>
  <c r="AK66" i="3"/>
  <c r="AK42" i="3"/>
  <c r="AK44" i="3"/>
  <c r="AK56" i="3"/>
  <c r="AM37" i="3"/>
  <c r="AK184" i="3"/>
  <c r="AK187" i="3"/>
  <c r="AK165" i="3"/>
  <c r="AK174" i="3"/>
  <c r="AK141" i="3"/>
  <c r="AK115" i="3"/>
  <c r="AK131" i="3"/>
  <c r="AK123" i="3"/>
  <c r="AK114" i="3"/>
  <c r="AK85" i="3"/>
  <c r="AK64" i="3"/>
  <c r="AK67" i="3"/>
  <c r="AK60" i="3"/>
  <c r="AK48" i="3"/>
  <c r="AK89" i="3"/>
  <c r="AM24" i="3"/>
  <c r="AM49" i="3"/>
  <c r="AM120" i="3"/>
  <c r="AM79" i="3"/>
  <c r="AM99" i="3"/>
  <c r="AM130" i="3"/>
  <c r="AM118" i="3"/>
  <c r="AM138" i="3"/>
  <c r="AM172" i="3"/>
  <c r="AM186" i="3"/>
  <c r="AK102" i="3"/>
  <c r="BI69" i="3"/>
  <c r="BI30" i="3"/>
  <c r="BI39" i="3"/>
  <c r="BI45" i="3"/>
  <c r="BI54" i="3"/>
  <c r="BI65" i="3"/>
  <c r="BI61" i="3"/>
  <c r="BI79" i="3"/>
  <c r="BI89" i="3"/>
  <c r="BI135" i="3"/>
  <c r="BI115" i="3"/>
  <c r="BI127" i="3"/>
  <c r="BI138" i="3"/>
  <c r="BI162" i="3"/>
  <c r="BI176" i="3"/>
  <c r="AM34" i="3"/>
  <c r="AM29" i="3"/>
  <c r="AK177" i="3"/>
  <c r="AK161" i="3"/>
  <c r="AK155" i="3"/>
  <c r="AK138" i="3"/>
  <c r="AK140" i="3"/>
  <c r="AK145" i="3"/>
  <c r="AK111" i="3"/>
  <c r="AK97" i="3"/>
  <c r="AK61" i="3"/>
  <c r="AK96" i="3"/>
  <c r="AM27" i="3"/>
  <c r="AM55" i="3"/>
  <c r="AM62" i="3"/>
  <c r="AM84" i="3"/>
  <c r="AM100" i="3"/>
  <c r="AM86" i="3"/>
  <c r="AM124" i="3"/>
  <c r="AM163" i="3"/>
  <c r="AM164" i="3"/>
  <c r="AM189" i="3"/>
  <c r="AK167" i="3"/>
  <c r="BI102" i="3"/>
  <c r="BI31" i="3"/>
  <c r="BI41" i="3"/>
  <c r="BI46" i="3"/>
  <c r="BI55" i="3"/>
  <c r="BI73" i="3"/>
  <c r="BI70" i="3"/>
  <c r="BI80" i="3"/>
  <c r="BI97" i="3"/>
  <c r="BI153" i="3"/>
  <c r="BI117" i="3"/>
  <c r="BI128" i="3"/>
  <c r="BI145" i="3"/>
  <c r="BI152" i="3"/>
  <c r="BI177" i="3"/>
  <c r="AK41" i="3"/>
  <c r="AK36" i="3"/>
  <c r="BJ40" i="3"/>
  <c r="BJ23" i="3"/>
  <c r="BJ57" i="3"/>
  <c r="BJ39" i="3"/>
  <c r="BJ49" i="3"/>
  <c r="BJ67" i="3"/>
  <c r="BJ71" i="3"/>
  <c r="BJ79" i="3"/>
  <c r="BJ86" i="3"/>
  <c r="BJ94" i="3"/>
  <c r="BJ102" i="3"/>
  <c r="BJ107" i="3"/>
  <c r="BJ115" i="3"/>
  <c r="BJ123" i="3"/>
  <c r="BJ152" i="3"/>
  <c r="BJ136" i="3"/>
  <c r="BJ145" i="3"/>
  <c r="BJ158" i="3"/>
  <c r="BJ164" i="3"/>
  <c r="BJ181" i="3"/>
  <c r="BJ190" i="3"/>
  <c r="AK83" i="3"/>
  <c r="AK81" i="3"/>
  <c r="AK160" i="3"/>
  <c r="BI105" i="3"/>
  <c r="BI133" i="3"/>
  <c r="BI112" i="3"/>
  <c r="BI121" i="3"/>
  <c r="BI147" i="3"/>
  <c r="BI140" i="3"/>
  <c r="BI151" i="3"/>
  <c r="BI168" i="3"/>
  <c r="BI181" i="3"/>
  <c r="AK35" i="3"/>
  <c r="R15" i="3"/>
  <c r="BJ28" i="3"/>
  <c r="BJ51" i="3"/>
  <c r="BJ55" i="3"/>
  <c r="BJ42" i="3"/>
  <c r="BJ60" i="3"/>
  <c r="BJ72" i="3"/>
  <c r="BJ80" i="3"/>
  <c r="BJ87" i="3"/>
  <c r="BJ95" i="3"/>
  <c r="BJ103" i="3"/>
  <c r="BJ108" i="3"/>
  <c r="BJ116" i="3"/>
  <c r="BJ124" i="3"/>
  <c r="BJ154" i="3"/>
  <c r="BJ137" i="3"/>
  <c r="BJ146" i="3"/>
  <c r="BJ175" i="3"/>
  <c r="BJ165" i="3"/>
  <c r="BJ182" i="3"/>
  <c r="BJ191" i="3"/>
  <c r="AK21" i="3"/>
  <c r="AK52" i="3"/>
  <c r="AK100" i="3"/>
  <c r="AK164" i="3"/>
  <c r="BI87" i="3"/>
  <c r="BI136" i="3"/>
  <c r="BI113" i="3"/>
  <c r="BI122" i="3"/>
  <c r="BI143" i="3"/>
  <c r="BI141" i="3"/>
  <c r="BI158" i="3"/>
  <c r="BI169" i="3"/>
  <c r="BI183" i="3"/>
  <c r="AK46" i="3"/>
  <c r="BJ41" i="3"/>
  <c r="BJ33" i="3"/>
  <c r="BJ43" i="3"/>
  <c r="BJ34" i="3"/>
  <c r="BJ52" i="3"/>
  <c r="BJ50" i="3"/>
  <c r="BJ63" i="3"/>
  <c r="BJ74" i="3"/>
  <c r="BJ82" i="3"/>
  <c r="BJ89" i="3"/>
  <c r="BJ97" i="3"/>
  <c r="BJ105" i="3"/>
  <c r="BJ110" i="3"/>
  <c r="BJ118" i="3"/>
  <c r="BJ126" i="3"/>
  <c r="BJ172" i="3"/>
  <c r="BJ139" i="3"/>
  <c r="BJ148" i="3"/>
  <c r="BJ178" i="3"/>
  <c r="BJ171" i="3"/>
  <c r="BJ185" i="3"/>
  <c r="AK43" i="3"/>
  <c r="AK88" i="3"/>
  <c r="AK117" i="3"/>
  <c r="AK170" i="3"/>
  <c r="AK34" i="3"/>
  <c r="AK73" i="3"/>
  <c r="AK74" i="3"/>
  <c r="AK127" i="3"/>
  <c r="AK186" i="3"/>
  <c r="AK33" i="3"/>
  <c r="AK70" i="3"/>
  <c r="AK101" i="3"/>
  <c r="AK121" i="3"/>
  <c r="AK182" i="3"/>
  <c r="AK63" i="3"/>
  <c r="AK45" i="3"/>
  <c r="AK49" i="3"/>
  <c r="BJ53" i="3"/>
  <c r="BJ62" i="3"/>
  <c r="BJ64" i="3"/>
  <c r="BJ77" i="3"/>
  <c r="BJ130" i="3"/>
  <c r="BJ92" i="3"/>
  <c r="BJ100" i="3"/>
  <c r="BJ129" i="3"/>
  <c r="BJ113" i="3"/>
  <c r="BJ121" i="3"/>
  <c r="BJ132" i="3"/>
  <c r="BJ133" i="3"/>
  <c r="BJ142" i="3"/>
  <c r="BJ177" i="3"/>
  <c r="BJ162" i="3"/>
  <c r="BJ179" i="3"/>
  <c r="BJ188" i="3"/>
  <c r="AK26" i="3"/>
  <c r="AK50" i="3"/>
  <c r="AK103" i="3"/>
  <c r="AK105" i="3"/>
  <c r="AK191" i="3"/>
  <c r="AK37" i="3"/>
  <c r="AK24" i="3"/>
  <c r="AK47" i="3"/>
  <c r="AK76" i="3"/>
  <c r="AK143" i="3"/>
  <c r="AK29" i="3"/>
  <c r="BJ153" i="3"/>
  <c r="BJ135" i="3"/>
  <c r="BJ143" i="3"/>
  <c r="BJ168" i="3"/>
  <c r="BJ160" i="3"/>
  <c r="BJ173" i="3"/>
  <c r="AK25" i="3"/>
  <c r="AK54" i="3"/>
  <c r="AK51" i="3"/>
  <c r="AK91" i="3"/>
  <c r="AK134" i="3"/>
  <c r="AK113" i="3"/>
  <c r="AK149" i="3"/>
  <c r="AK162" i="3"/>
  <c r="BI20" i="3"/>
  <c r="BI24" i="3"/>
  <c r="BI32" i="3"/>
  <c r="BI40" i="3"/>
  <c r="BI44" i="3"/>
  <c r="BI52" i="3"/>
  <c r="BI85" i="3"/>
  <c r="BI103" i="3"/>
  <c r="BI74" i="3"/>
  <c r="BI82" i="3"/>
  <c r="BI92" i="3"/>
  <c r="BI148" i="3"/>
  <c r="BI108" i="3"/>
  <c r="BI116" i="3"/>
  <c r="BI124" i="3"/>
  <c r="BI154" i="3"/>
  <c r="BI144" i="3"/>
  <c r="BI165" i="3"/>
  <c r="BI166" i="3"/>
  <c r="BI172" i="3"/>
  <c r="BI180" i="3"/>
  <c r="BI188" i="3"/>
  <c r="AK39" i="3"/>
  <c r="AK20" i="3"/>
  <c r="AK57" i="3"/>
  <c r="AK99" i="3"/>
  <c r="AK72" i="3"/>
  <c r="AK107" i="3"/>
  <c r="AK135" i="3"/>
  <c r="AK183" i="3"/>
  <c r="BI164" i="3"/>
  <c r="BI174" i="3"/>
  <c r="BI182" i="3"/>
  <c r="BI190" i="3"/>
  <c r="AK32" i="3"/>
  <c r="AK22" i="3"/>
  <c r="AK62" i="3"/>
  <c r="AK55" i="3"/>
  <c r="AK84" i="3"/>
  <c r="AK104" i="3"/>
  <c r="AK106" i="3"/>
  <c r="AK139" i="3"/>
  <c r="AK190" i="3"/>
  <c r="AK59" i="3"/>
  <c r="AK38" i="3"/>
  <c r="AK31" i="3"/>
  <c r="AK23" i="3"/>
  <c r="AK77" i="3"/>
  <c r="AK80" i="3"/>
  <c r="AK71" i="3"/>
  <c r="AK82" i="3"/>
  <c r="AK147" i="3"/>
  <c r="AK137" i="3"/>
  <c r="BI163" i="3"/>
  <c r="BI170" i="3"/>
  <c r="BI178" i="3"/>
  <c r="AK40" i="3"/>
  <c r="BO191" i="3"/>
  <c r="BO188" i="3"/>
  <c r="BO181" i="3"/>
  <c r="BO186" i="3"/>
  <c r="BO175" i="3"/>
  <c r="BO189" i="3"/>
  <c r="BO177" i="3"/>
  <c r="BO187" i="3"/>
  <c r="BO184" i="3"/>
  <c r="BO170" i="3"/>
  <c r="BO167" i="3"/>
  <c r="BO182" i="3"/>
  <c r="BO178" i="3"/>
  <c r="BO176" i="3"/>
  <c r="BO174" i="3"/>
  <c r="BO172" i="3"/>
  <c r="BO183" i="3"/>
  <c r="BO185" i="3"/>
  <c r="BO162" i="3"/>
  <c r="BO173" i="3"/>
  <c r="BO165" i="3"/>
  <c r="BO158" i="3"/>
  <c r="BO157" i="3"/>
  <c r="BO156" i="3"/>
  <c r="BO155" i="3"/>
  <c r="BO154" i="3"/>
  <c r="BO153" i="3"/>
  <c r="BO152" i="3"/>
  <c r="BO151" i="3"/>
  <c r="BO150" i="3"/>
  <c r="BO163" i="3"/>
  <c r="BO159" i="3"/>
  <c r="BO168" i="3"/>
  <c r="BO169" i="3"/>
  <c r="BO161" i="3"/>
  <c r="BO166" i="3"/>
  <c r="BO160" i="3"/>
  <c r="BO144" i="3"/>
  <c r="BO140" i="3"/>
  <c r="BO138" i="3"/>
  <c r="BO171" i="3"/>
  <c r="BO148" i="3"/>
  <c r="BO179" i="3"/>
  <c r="BO164" i="3"/>
  <c r="BO146" i="3"/>
  <c r="BO142" i="3"/>
  <c r="BO136" i="3"/>
  <c r="BO149" i="3"/>
  <c r="BO139" i="3"/>
  <c r="BO133" i="3"/>
  <c r="BO147" i="3"/>
  <c r="BO135" i="3"/>
  <c r="BO130" i="3"/>
  <c r="BO141" i="3"/>
  <c r="BO180" i="3"/>
  <c r="BO137" i="3"/>
  <c r="BO132" i="3"/>
  <c r="BO128" i="3"/>
  <c r="BO127" i="3"/>
  <c r="BO145" i="3"/>
  <c r="BO134" i="3"/>
  <c r="BO129" i="3"/>
  <c r="BO120" i="3"/>
  <c r="BO116" i="3"/>
  <c r="BO112" i="3"/>
  <c r="BO107" i="3"/>
  <c r="BO105" i="3"/>
  <c r="BO104" i="3"/>
  <c r="BO123" i="3"/>
  <c r="BO119" i="3"/>
  <c r="BO115" i="3"/>
  <c r="BO111" i="3"/>
  <c r="BO108" i="3"/>
  <c r="BO131" i="3"/>
  <c r="BO122" i="3"/>
  <c r="BO118" i="3"/>
  <c r="BO114" i="3"/>
  <c r="BO110" i="3"/>
  <c r="BO125" i="3"/>
  <c r="BO91" i="3"/>
  <c r="BO143" i="3"/>
  <c r="BO117" i="3"/>
  <c r="BO96" i="3"/>
  <c r="BO88" i="3"/>
  <c r="BO106" i="3"/>
  <c r="BO93" i="3"/>
  <c r="BO85" i="3"/>
  <c r="BO121" i="3"/>
  <c r="BO103" i="3"/>
  <c r="BO102" i="3"/>
  <c r="BO101" i="3"/>
  <c r="BO100" i="3"/>
  <c r="BO99" i="3"/>
  <c r="BO98" i="3"/>
  <c r="BO90" i="3"/>
  <c r="BO126" i="3"/>
  <c r="BO124" i="3"/>
  <c r="BO95" i="3"/>
  <c r="BO87" i="3"/>
  <c r="BO109" i="3"/>
  <c r="BO92" i="3"/>
  <c r="BO81" i="3"/>
  <c r="BO74" i="3"/>
  <c r="BO67" i="3"/>
  <c r="BO62" i="3"/>
  <c r="BO113" i="3"/>
  <c r="BO97" i="3"/>
  <c r="BO77" i="3"/>
  <c r="BO72" i="3"/>
  <c r="BO68" i="3"/>
  <c r="BO59" i="3"/>
  <c r="BO94" i="3"/>
  <c r="BO84" i="3"/>
  <c r="BO80" i="3"/>
  <c r="BO69" i="3"/>
  <c r="BO89" i="3"/>
  <c r="BO75" i="3"/>
  <c r="BO71" i="3"/>
  <c r="BO86" i="3"/>
  <c r="BO83" i="3"/>
  <c r="BO78" i="3"/>
  <c r="BO58" i="3"/>
  <c r="BO70" i="3"/>
  <c r="BO64" i="3"/>
  <c r="BO63" i="3"/>
  <c r="BO79" i="3"/>
  <c r="BO65" i="3"/>
  <c r="BO53" i="3"/>
  <c r="BO52" i="3"/>
  <c r="BO48" i="3"/>
  <c r="BO43" i="3"/>
  <c r="BO82" i="3"/>
  <c r="BO73" i="3"/>
  <c r="BO54" i="3"/>
  <c r="BO41" i="3"/>
  <c r="BO40" i="3"/>
  <c r="BO39" i="3"/>
  <c r="BO55" i="3"/>
  <c r="BO51" i="3"/>
  <c r="BO47" i="3"/>
  <c r="BO76" i="3"/>
  <c r="BO56" i="3"/>
  <c r="BO45" i="3"/>
  <c r="BO42" i="3"/>
  <c r="BO66" i="3"/>
  <c r="BO61" i="3"/>
  <c r="BO60" i="3"/>
  <c r="BO50" i="3"/>
  <c r="BO46" i="3"/>
  <c r="BO44" i="3"/>
  <c r="BO38" i="3"/>
  <c r="BO30" i="3"/>
  <c r="BO28" i="3"/>
  <c r="BO57" i="3"/>
  <c r="BO35" i="3"/>
  <c r="BO27" i="3"/>
  <c r="BO20" i="3"/>
  <c r="BO32" i="3"/>
  <c r="BO24" i="3"/>
  <c r="W16" i="3"/>
  <c r="BO25" i="3"/>
  <c r="W15" i="3"/>
  <c r="BO37" i="3"/>
  <c r="BO29" i="3"/>
  <c r="BO33" i="3"/>
  <c r="BO34" i="3"/>
  <c r="BO26" i="3"/>
  <c r="BO190" i="3"/>
  <c r="BO22" i="3"/>
  <c r="BO49" i="3"/>
  <c r="BO31" i="3"/>
  <c r="BO36" i="3"/>
  <c r="BO23" i="3"/>
  <c r="BO21" i="3"/>
  <c r="BL191" i="3"/>
  <c r="BL190" i="3"/>
  <c r="BL189" i="3"/>
  <c r="BL188" i="3"/>
  <c r="BL187" i="3"/>
  <c r="BL186" i="3"/>
  <c r="BL185" i="3"/>
  <c r="BL184" i="3"/>
  <c r="BL183" i="3"/>
  <c r="BL182" i="3"/>
  <c r="BL181" i="3"/>
  <c r="BL180" i="3"/>
  <c r="BL176" i="3"/>
  <c r="BL178" i="3"/>
  <c r="BL175" i="3"/>
  <c r="BL173" i="3"/>
  <c r="BL171" i="3"/>
  <c r="BL166" i="3"/>
  <c r="BL165" i="3"/>
  <c r="BL164" i="3"/>
  <c r="BL163" i="3"/>
  <c r="BL162" i="3"/>
  <c r="BL161" i="3"/>
  <c r="BL160" i="3"/>
  <c r="BL168" i="3"/>
  <c r="BL177" i="3"/>
  <c r="BL167" i="3"/>
  <c r="BL179" i="3"/>
  <c r="BL174" i="3"/>
  <c r="BL169" i="3"/>
  <c r="BL172" i="3"/>
  <c r="BL157" i="3"/>
  <c r="BL149" i="3"/>
  <c r="BL148" i="3"/>
  <c r="BL147" i="3"/>
  <c r="BL146" i="3"/>
  <c r="BL145" i="3"/>
  <c r="BL144" i="3"/>
  <c r="BL143" i="3"/>
  <c r="BL142" i="3"/>
  <c r="BL141" i="3"/>
  <c r="BL140" i="3"/>
  <c r="BL139" i="3"/>
  <c r="BL138" i="3"/>
  <c r="BL137" i="3"/>
  <c r="BL136" i="3"/>
  <c r="BL135" i="3"/>
  <c r="BL134" i="3"/>
  <c r="BL133" i="3"/>
  <c r="BL156" i="3"/>
  <c r="BL155" i="3"/>
  <c r="BL170" i="3"/>
  <c r="BL153" i="3"/>
  <c r="BL150" i="3"/>
  <c r="BL158" i="3"/>
  <c r="BL154" i="3"/>
  <c r="BL151" i="3"/>
  <c r="BL129" i="3"/>
  <c r="BL131" i="3"/>
  <c r="BL152" i="3"/>
  <c r="BL159" i="3"/>
  <c r="BL130" i="3"/>
  <c r="BL125" i="3"/>
  <c r="BL121" i="3"/>
  <c r="BL117" i="3"/>
  <c r="BL113" i="3"/>
  <c r="BL109" i="3"/>
  <c r="BL106" i="3"/>
  <c r="BL126" i="3"/>
  <c r="BL127" i="3"/>
  <c r="BL128" i="3"/>
  <c r="BL123" i="3"/>
  <c r="BL119" i="3"/>
  <c r="BL115" i="3"/>
  <c r="BL111" i="3"/>
  <c r="BL108" i="3"/>
  <c r="BL132" i="3"/>
  <c r="BL116" i="3"/>
  <c r="BL105" i="3"/>
  <c r="BL104" i="3"/>
  <c r="BL92" i="3"/>
  <c r="BL110" i="3"/>
  <c r="BL97" i="3"/>
  <c r="BL89" i="3"/>
  <c r="BL84" i="3"/>
  <c r="BL83" i="3"/>
  <c r="BL82" i="3"/>
  <c r="BL81" i="3"/>
  <c r="BL80" i="3"/>
  <c r="BL79" i="3"/>
  <c r="BL78" i="3"/>
  <c r="BL77" i="3"/>
  <c r="BL76" i="3"/>
  <c r="BL75" i="3"/>
  <c r="BL74" i="3"/>
  <c r="BL73" i="3"/>
  <c r="BL72" i="3"/>
  <c r="BL71" i="3"/>
  <c r="BL70" i="3"/>
  <c r="BL69" i="3"/>
  <c r="BL68" i="3"/>
  <c r="BL67" i="3"/>
  <c r="BL66" i="3"/>
  <c r="BL65" i="3"/>
  <c r="BL64" i="3"/>
  <c r="BL63" i="3"/>
  <c r="BL62" i="3"/>
  <c r="BL61" i="3"/>
  <c r="BL60" i="3"/>
  <c r="BL59" i="3"/>
  <c r="BL58" i="3"/>
  <c r="BL57" i="3"/>
  <c r="BL120" i="3"/>
  <c r="BL94" i="3"/>
  <c r="BL86" i="3"/>
  <c r="BL114" i="3"/>
  <c r="BL91" i="3"/>
  <c r="BL107" i="3"/>
  <c r="BL96" i="3"/>
  <c r="BL88" i="3"/>
  <c r="BL124" i="3"/>
  <c r="BL118" i="3"/>
  <c r="BL103" i="3"/>
  <c r="BL102" i="3"/>
  <c r="BL101" i="3"/>
  <c r="BL100" i="3"/>
  <c r="BL99" i="3"/>
  <c r="BL93" i="3"/>
  <c r="BL112" i="3"/>
  <c r="BL56" i="3"/>
  <c r="BL55" i="3"/>
  <c r="BL54" i="3"/>
  <c r="BL53" i="3"/>
  <c r="BL52" i="3"/>
  <c r="BL51" i="3"/>
  <c r="BL50" i="3"/>
  <c r="BL49" i="3"/>
  <c r="BL48" i="3"/>
  <c r="BL47" i="3"/>
  <c r="BL46" i="3"/>
  <c r="BL45" i="3"/>
  <c r="BL85" i="3"/>
  <c r="BL122" i="3"/>
  <c r="BL98" i="3"/>
  <c r="BL95" i="3"/>
  <c r="BL90" i="3"/>
  <c r="BL87" i="3"/>
  <c r="BL44" i="3"/>
  <c r="BL43" i="3"/>
  <c r="BL31" i="3"/>
  <c r="BL29" i="3"/>
  <c r="BL36" i="3"/>
  <c r="BL28" i="3"/>
  <c r="BL23" i="3"/>
  <c r="BL22" i="3"/>
  <c r="BL21" i="3"/>
  <c r="BL20" i="3"/>
  <c r="BL33" i="3"/>
  <c r="BL25" i="3"/>
  <c r="T15" i="3"/>
  <c r="BL26" i="3"/>
  <c r="BL42" i="3"/>
  <c r="BL40" i="3"/>
  <c r="BL38" i="3"/>
  <c r="BL30" i="3"/>
  <c r="BL34" i="3"/>
  <c r="BL35" i="3"/>
  <c r="BL27" i="3"/>
  <c r="BL37" i="3"/>
  <c r="BL41" i="3"/>
  <c r="BL32" i="3"/>
  <c r="BL24" i="3"/>
  <c r="T16" i="3"/>
  <c r="BL39" i="3"/>
  <c r="BH191" i="3"/>
  <c r="BH187" i="3"/>
  <c r="BH190" i="3"/>
  <c r="BH185" i="3"/>
  <c r="BH183" i="3"/>
  <c r="BH177" i="3"/>
  <c r="BH188" i="3"/>
  <c r="BH182" i="3"/>
  <c r="BH181" i="3"/>
  <c r="BH179" i="3"/>
  <c r="BH186" i="3"/>
  <c r="BH180" i="3"/>
  <c r="BH176" i="3"/>
  <c r="BH174" i="3"/>
  <c r="BH173" i="3"/>
  <c r="BH172" i="3"/>
  <c r="BH189" i="3"/>
  <c r="BH169" i="3"/>
  <c r="BH184" i="3"/>
  <c r="BH168" i="3"/>
  <c r="BH159" i="3"/>
  <c r="BH158" i="3"/>
  <c r="BH157" i="3"/>
  <c r="BH156" i="3"/>
  <c r="BH155" i="3"/>
  <c r="BH154" i="3"/>
  <c r="BH153" i="3"/>
  <c r="BH152" i="3"/>
  <c r="BH151" i="3"/>
  <c r="BH171" i="3"/>
  <c r="BH164" i="3"/>
  <c r="BH160" i="3"/>
  <c r="BH166" i="3"/>
  <c r="BH161" i="3"/>
  <c r="BH178" i="3"/>
  <c r="BH150" i="3"/>
  <c r="BH163" i="3"/>
  <c r="BH162" i="3"/>
  <c r="BH149" i="3"/>
  <c r="BH148" i="3"/>
  <c r="BH175" i="3"/>
  <c r="BH170" i="3"/>
  <c r="BH146" i="3"/>
  <c r="BH142" i="3"/>
  <c r="BH165" i="3"/>
  <c r="BH137" i="3"/>
  <c r="BH144" i="3"/>
  <c r="BH140" i="3"/>
  <c r="BH130" i="3"/>
  <c r="BH167" i="3"/>
  <c r="BH143" i="3"/>
  <c r="BH134" i="3"/>
  <c r="BH132" i="3"/>
  <c r="BH147" i="3"/>
  <c r="BH139" i="3"/>
  <c r="BH129" i="3"/>
  <c r="BH128" i="3"/>
  <c r="BH127" i="3"/>
  <c r="BH126" i="3"/>
  <c r="BH125" i="3"/>
  <c r="BH124" i="3"/>
  <c r="BH141" i="3"/>
  <c r="BH138" i="3"/>
  <c r="BH136" i="3"/>
  <c r="BH133" i="3"/>
  <c r="BH131" i="3"/>
  <c r="BH122" i="3"/>
  <c r="BH118" i="3"/>
  <c r="BH114" i="3"/>
  <c r="BH110" i="3"/>
  <c r="BH121" i="3"/>
  <c r="BH117" i="3"/>
  <c r="BH113" i="3"/>
  <c r="BH109" i="3"/>
  <c r="BH120" i="3"/>
  <c r="BH116" i="3"/>
  <c r="BH112" i="3"/>
  <c r="BH135" i="3"/>
  <c r="BH107" i="3"/>
  <c r="BH103" i="3"/>
  <c r="BH102" i="3"/>
  <c r="BH101" i="3"/>
  <c r="BH100" i="3"/>
  <c r="BH99" i="3"/>
  <c r="BH93" i="3"/>
  <c r="BH85" i="3"/>
  <c r="BH123" i="3"/>
  <c r="BH98" i="3"/>
  <c r="BH90" i="3"/>
  <c r="BH95" i="3"/>
  <c r="BH87" i="3"/>
  <c r="BH145" i="3"/>
  <c r="BH111" i="3"/>
  <c r="BH105" i="3"/>
  <c r="BH104" i="3"/>
  <c r="BH92" i="3"/>
  <c r="BH106" i="3"/>
  <c r="BH97" i="3"/>
  <c r="BH89" i="3"/>
  <c r="BH115" i="3"/>
  <c r="BH94" i="3"/>
  <c r="BH86" i="3"/>
  <c r="BH82" i="3"/>
  <c r="BH108" i="3"/>
  <c r="BH96" i="3"/>
  <c r="BH76" i="3"/>
  <c r="BH70" i="3"/>
  <c r="BH61" i="3"/>
  <c r="BH81" i="3"/>
  <c r="BH79" i="3"/>
  <c r="BH64" i="3"/>
  <c r="BH58" i="3"/>
  <c r="BH91" i="3"/>
  <c r="BH88" i="3"/>
  <c r="BH74" i="3"/>
  <c r="BH73" i="3"/>
  <c r="BH65" i="3"/>
  <c r="BH63" i="3"/>
  <c r="BH84" i="3"/>
  <c r="BH77" i="3"/>
  <c r="BH66" i="3"/>
  <c r="BH60" i="3"/>
  <c r="BH80" i="3"/>
  <c r="BH72" i="3"/>
  <c r="BH67" i="3"/>
  <c r="BH69" i="3"/>
  <c r="BH57" i="3"/>
  <c r="BH83" i="3"/>
  <c r="BH71" i="3"/>
  <c r="BH62" i="3"/>
  <c r="BH59" i="3"/>
  <c r="BH50" i="3"/>
  <c r="BH45" i="3"/>
  <c r="BH41" i="3"/>
  <c r="BH40" i="3"/>
  <c r="BH39" i="3"/>
  <c r="BH78" i="3"/>
  <c r="BH42" i="3"/>
  <c r="BH68" i="3"/>
  <c r="BH49" i="3"/>
  <c r="BH46" i="3"/>
  <c r="BH53" i="3"/>
  <c r="BH44" i="3"/>
  <c r="BH54" i="3"/>
  <c r="BH52" i="3"/>
  <c r="BH48" i="3"/>
  <c r="BH51" i="3"/>
  <c r="BH32" i="3"/>
  <c r="BH24" i="3"/>
  <c r="BH38" i="3"/>
  <c r="BH30" i="3"/>
  <c r="BH37" i="3"/>
  <c r="BH29" i="3"/>
  <c r="P16" i="3"/>
  <c r="BH34" i="3"/>
  <c r="BH26" i="3"/>
  <c r="BH35" i="3"/>
  <c r="BH27" i="3"/>
  <c r="BH119" i="3"/>
  <c r="BH75" i="3"/>
  <c r="BH31" i="3"/>
  <c r="BH56" i="3"/>
  <c r="BH47" i="3"/>
  <c r="BH43" i="3"/>
  <c r="BH36" i="3"/>
  <c r="BH28" i="3"/>
  <c r="P15" i="3"/>
  <c r="BH55" i="3"/>
  <c r="BH33" i="3"/>
  <c r="BH25" i="3"/>
  <c r="BH23" i="3"/>
  <c r="BH22" i="3"/>
  <c r="BH21" i="3"/>
  <c r="BH20" i="3"/>
  <c r="BG191" i="3"/>
  <c r="BG190" i="3"/>
  <c r="BG184" i="3"/>
  <c r="BG185" i="3"/>
  <c r="BG183" i="3"/>
  <c r="BG188" i="3"/>
  <c r="BG182" i="3"/>
  <c r="BG181" i="3"/>
  <c r="BG179" i="3"/>
  <c r="BG175" i="3"/>
  <c r="BG167" i="3"/>
  <c r="BG186" i="3"/>
  <c r="BG172" i="3"/>
  <c r="BG189" i="3"/>
  <c r="BG173" i="3"/>
  <c r="BG169" i="3"/>
  <c r="BG171" i="3"/>
  <c r="BG170" i="3"/>
  <c r="BG168" i="3"/>
  <c r="BG163" i="3"/>
  <c r="BG159" i="3"/>
  <c r="BG158" i="3"/>
  <c r="BG157" i="3"/>
  <c r="BG156" i="3"/>
  <c r="BG155" i="3"/>
  <c r="BG154" i="3"/>
  <c r="BG153" i="3"/>
  <c r="BG152" i="3"/>
  <c r="BG151" i="3"/>
  <c r="BG150" i="3"/>
  <c r="BG164" i="3"/>
  <c r="BG160" i="3"/>
  <c r="BG187" i="3"/>
  <c r="BG174" i="3"/>
  <c r="BG180" i="3"/>
  <c r="BG178" i="3"/>
  <c r="BG161" i="3"/>
  <c r="BG148" i="3"/>
  <c r="BG147" i="3"/>
  <c r="BG143" i="3"/>
  <c r="BG162" i="3"/>
  <c r="BG139" i="3"/>
  <c r="BG149" i="3"/>
  <c r="BG146" i="3"/>
  <c r="BG142" i="3"/>
  <c r="BG145" i="3"/>
  <c r="BG141" i="3"/>
  <c r="BG137" i="3"/>
  <c r="BG133" i="3"/>
  <c r="BG165" i="3"/>
  <c r="BG130" i="3"/>
  <c r="BG166" i="3"/>
  <c r="BG134" i="3"/>
  <c r="BG140" i="3"/>
  <c r="BG132" i="3"/>
  <c r="BG144" i="3"/>
  <c r="BG129" i="3"/>
  <c r="BG128" i="3"/>
  <c r="BG138" i="3"/>
  <c r="BG108" i="3"/>
  <c r="BG105" i="3"/>
  <c r="BG104" i="3"/>
  <c r="BG125" i="3"/>
  <c r="BG122" i="3"/>
  <c r="BG118" i="3"/>
  <c r="BG114" i="3"/>
  <c r="BG110" i="3"/>
  <c r="BG136" i="3"/>
  <c r="BG176" i="3"/>
  <c r="BG177" i="3"/>
  <c r="BG131" i="3"/>
  <c r="BG127" i="3"/>
  <c r="BG120" i="3"/>
  <c r="BG116" i="3"/>
  <c r="BG112" i="3"/>
  <c r="BG119" i="3"/>
  <c r="BG96" i="3"/>
  <c r="BG88" i="3"/>
  <c r="BG113" i="3"/>
  <c r="BG103" i="3"/>
  <c r="BG102" i="3"/>
  <c r="BG101" i="3"/>
  <c r="BG100" i="3"/>
  <c r="BG99" i="3"/>
  <c r="BG93" i="3"/>
  <c r="BG85" i="3"/>
  <c r="BG123" i="3"/>
  <c r="BG98" i="3"/>
  <c r="BG90" i="3"/>
  <c r="BG117" i="3"/>
  <c r="BG95" i="3"/>
  <c r="BG87" i="3"/>
  <c r="BG111" i="3"/>
  <c r="BG92" i="3"/>
  <c r="BG126" i="3"/>
  <c r="BG121" i="3"/>
  <c r="BG107" i="3"/>
  <c r="BG106" i="3"/>
  <c r="BG97" i="3"/>
  <c r="BG89" i="3"/>
  <c r="BG78" i="3"/>
  <c r="BG71" i="3"/>
  <c r="BG69" i="3"/>
  <c r="BG59" i="3"/>
  <c r="BG82" i="3"/>
  <c r="BG135" i="3"/>
  <c r="BG109" i="3"/>
  <c r="BG76" i="3"/>
  <c r="BG70" i="3"/>
  <c r="BG61" i="3"/>
  <c r="BG94" i="3"/>
  <c r="BG81" i="3"/>
  <c r="BG79" i="3"/>
  <c r="BG64" i="3"/>
  <c r="BG91" i="3"/>
  <c r="BG74" i="3"/>
  <c r="BG73" i="3"/>
  <c r="BG65" i="3"/>
  <c r="BG63" i="3"/>
  <c r="BG124" i="3"/>
  <c r="BG86" i="3"/>
  <c r="BG84" i="3"/>
  <c r="BG77" i="3"/>
  <c r="BG66" i="3"/>
  <c r="BG60" i="3"/>
  <c r="BG67" i="3"/>
  <c r="BG56" i="3"/>
  <c r="BG51" i="3"/>
  <c r="BG47" i="3"/>
  <c r="BG43" i="3"/>
  <c r="BG57" i="3"/>
  <c r="BG83" i="3"/>
  <c r="BG62" i="3"/>
  <c r="BG50" i="3"/>
  <c r="BG45" i="3"/>
  <c r="BG41" i="3"/>
  <c r="BG40" i="3"/>
  <c r="BG39" i="3"/>
  <c r="BG58" i="3"/>
  <c r="BG42" i="3"/>
  <c r="BG68" i="3"/>
  <c r="BG49" i="3"/>
  <c r="BG46" i="3"/>
  <c r="BG80" i="3"/>
  <c r="BG53" i="3"/>
  <c r="BG115" i="3"/>
  <c r="BG72" i="3"/>
  <c r="BG35" i="3"/>
  <c r="BG27" i="3"/>
  <c r="BG54" i="3"/>
  <c r="BG38" i="3"/>
  <c r="O15" i="3"/>
  <c r="BG48" i="3"/>
  <c r="BG32" i="3"/>
  <c r="BG24" i="3"/>
  <c r="BG55" i="3"/>
  <c r="BG20" i="3"/>
  <c r="BG44" i="3"/>
  <c r="BG37" i="3"/>
  <c r="BG29" i="3"/>
  <c r="O16" i="3"/>
  <c r="CL4" i="3" a="1"/>
  <c r="CL4" i="3" s="1"/>
  <c r="BG34" i="3"/>
  <c r="BG26" i="3"/>
  <c r="BG25" i="3"/>
  <c r="BG75" i="3"/>
  <c r="BG31" i="3"/>
  <c r="BG52" i="3"/>
  <c r="BG36" i="3"/>
  <c r="BG28" i="3"/>
  <c r="BG33" i="3"/>
  <c r="BG23" i="3"/>
  <c r="BG22" i="3"/>
  <c r="BG21" i="3"/>
  <c r="BG30" i="3"/>
  <c r="BP191" i="3"/>
  <c r="BP180" i="3"/>
  <c r="BP189" i="3"/>
  <c r="BP187" i="3"/>
  <c r="BP184" i="3"/>
  <c r="BP190" i="3"/>
  <c r="BP183" i="3"/>
  <c r="BP179" i="3"/>
  <c r="BP174" i="3"/>
  <c r="BP173" i="3"/>
  <c r="BP186" i="3"/>
  <c r="BP181" i="3"/>
  <c r="BP167" i="3"/>
  <c r="BP182" i="3"/>
  <c r="BP178" i="3"/>
  <c r="BP176" i="3"/>
  <c r="BP172" i="3"/>
  <c r="BP177" i="3"/>
  <c r="BP169" i="3"/>
  <c r="BP185" i="3"/>
  <c r="BP171" i="3"/>
  <c r="BP165" i="3"/>
  <c r="BP158" i="3"/>
  <c r="BP157" i="3"/>
  <c r="BP156" i="3"/>
  <c r="BP155" i="3"/>
  <c r="BP154" i="3"/>
  <c r="BP153" i="3"/>
  <c r="BP152" i="3"/>
  <c r="BP151" i="3"/>
  <c r="BP163" i="3"/>
  <c r="BP159" i="3"/>
  <c r="BP175" i="3"/>
  <c r="BP164" i="3"/>
  <c r="BP160" i="3"/>
  <c r="BP188" i="3"/>
  <c r="BP162" i="3"/>
  <c r="BP161" i="3"/>
  <c r="BP150" i="3"/>
  <c r="BP149" i="3"/>
  <c r="BP148" i="3"/>
  <c r="BP144" i="3"/>
  <c r="BP168" i="3"/>
  <c r="BP147" i="3"/>
  <c r="BP143" i="3"/>
  <c r="BP139" i="3"/>
  <c r="BP146" i="3"/>
  <c r="BP142" i="3"/>
  <c r="BP136" i="3"/>
  <c r="BP166" i="3"/>
  <c r="BP140" i="3"/>
  <c r="BP135" i="3"/>
  <c r="BP130" i="3"/>
  <c r="BP141" i="3"/>
  <c r="BP138" i="3"/>
  <c r="BP170" i="3"/>
  <c r="BP137" i="3"/>
  <c r="BP132" i="3"/>
  <c r="BP128" i="3"/>
  <c r="BP127" i="3"/>
  <c r="BP126" i="3"/>
  <c r="BP125" i="3"/>
  <c r="BP124" i="3"/>
  <c r="BP145" i="3"/>
  <c r="BP134" i="3"/>
  <c r="BP129" i="3"/>
  <c r="BP123" i="3"/>
  <c r="BP119" i="3"/>
  <c r="BP115" i="3"/>
  <c r="BP111" i="3"/>
  <c r="BP108" i="3"/>
  <c r="BP121" i="3"/>
  <c r="BP117" i="3"/>
  <c r="BP113" i="3"/>
  <c r="BP109" i="3"/>
  <c r="BP106" i="3"/>
  <c r="BP96" i="3"/>
  <c r="BP88" i="3"/>
  <c r="BP131" i="3"/>
  <c r="BP120" i="3"/>
  <c r="BP114" i="3"/>
  <c r="BP93" i="3"/>
  <c r="BP85" i="3"/>
  <c r="BP103" i="3"/>
  <c r="BP102" i="3"/>
  <c r="BP101" i="3"/>
  <c r="BP100" i="3"/>
  <c r="BP99" i="3"/>
  <c r="BP98" i="3"/>
  <c r="BP90" i="3"/>
  <c r="BP118" i="3"/>
  <c r="BP107" i="3"/>
  <c r="BP95" i="3"/>
  <c r="BP87" i="3"/>
  <c r="BP92" i="3"/>
  <c r="BP122" i="3"/>
  <c r="BP112" i="3"/>
  <c r="BP97" i="3"/>
  <c r="BP89" i="3"/>
  <c r="BP116" i="3"/>
  <c r="BP77" i="3"/>
  <c r="BP72" i="3"/>
  <c r="BP68" i="3"/>
  <c r="BP59" i="3"/>
  <c r="BP110" i="3"/>
  <c r="BP94" i="3"/>
  <c r="BP84" i="3"/>
  <c r="BP80" i="3"/>
  <c r="BP69" i="3"/>
  <c r="BP133" i="3"/>
  <c r="BP91" i="3"/>
  <c r="BP75" i="3"/>
  <c r="BP71" i="3"/>
  <c r="BP61" i="3"/>
  <c r="BP105" i="3"/>
  <c r="BP86" i="3"/>
  <c r="BP83" i="3"/>
  <c r="BP78" i="3"/>
  <c r="BP70" i="3"/>
  <c r="BP64" i="3"/>
  <c r="BP63" i="3"/>
  <c r="BP82" i="3"/>
  <c r="BP76" i="3"/>
  <c r="BP65" i="3"/>
  <c r="BP60" i="3"/>
  <c r="BP74" i="3"/>
  <c r="BP62" i="3"/>
  <c r="BP53" i="3"/>
  <c r="BP52" i="3"/>
  <c r="BP48" i="3"/>
  <c r="BP43" i="3"/>
  <c r="BP73" i="3"/>
  <c r="BP54" i="3"/>
  <c r="BP41" i="3"/>
  <c r="BP40" i="3"/>
  <c r="BP39" i="3"/>
  <c r="BP55" i="3"/>
  <c r="BP51" i="3"/>
  <c r="BP47" i="3"/>
  <c r="BP56" i="3"/>
  <c r="BP45" i="3"/>
  <c r="BP42" i="3"/>
  <c r="BP81" i="3"/>
  <c r="BP66" i="3"/>
  <c r="BP50" i="3"/>
  <c r="BP104" i="3"/>
  <c r="BP57" i="3"/>
  <c r="BP79" i="3"/>
  <c r="BP35" i="3"/>
  <c r="BP27" i="3"/>
  <c r="BP58" i="3"/>
  <c r="BP46" i="3"/>
  <c r="BP38" i="3"/>
  <c r="BP30" i="3"/>
  <c r="BP32" i="3"/>
  <c r="BP24" i="3"/>
  <c r="X16" i="3"/>
  <c r="BP37" i="3"/>
  <c r="BP29" i="3"/>
  <c r="X15" i="3"/>
  <c r="BP67" i="3"/>
  <c r="BP34" i="3"/>
  <c r="BP26" i="3"/>
  <c r="BP25" i="3"/>
  <c r="BP49" i="3"/>
  <c r="BP31" i="3"/>
  <c r="BP36" i="3"/>
  <c r="BP28" i="3"/>
  <c r="BP23" i="3"/>
  <c r="BP22" i="3"/>
  <c r="BP21" i="3"/>
  <c r="BP20" i="3"/>
  <c r="BP33" i="3"/>
  <c r="BP44" i="3"/>
  <c r="BB191" i="3"/>
  <c r="BB190" i="3"/>
  <c r="BB189" i="3"/>
  <c r="BB188" i="3"/>
  <c r="BB187" i="3"/>
  <c r="BB186" i="3"/>
  <c r="BB185" i="3"/>
  <c r="BB181" i="3"/>
  <c r="BB176" i="3"/>
  <c r="BB174" i="3"/>
  <c r="BB173" i="3"/>
  <c r="BB178" i="3"/>
  <c r="BB184" i="3"/>
  <c r="BB175" i="3"/>
  <c r="BB171" i="3"/>
  <c r="BB180" i="3"/>
  <c r="BB177" i="3"/>
  <c r="BB168" i="3"/>
  <c r="BB166" i="3"/>
  <c r="BB165" i="3"/>
  <c r="BB179" i="3"/>
  <c r="BB167" i="3"/>
  <c r="BB172" i="3"/>
  <c r="BB170" i="3"/>
  <c r="BB162" i="3"/>
  <c r="BB183" i="3"/>
  <c r="BB182" i="3"/>
  <c r="BB163" i="3"/>
  <c r="BB164" i="3"/>
  <c r="BB160" i="3"/>
  <c r="BB154" i="3"/>
  <c r="BB153" i="3"/>
  <c r="BB149" i="3"/>
  <c r="BB148" i="3"/>
  <c r="BB147" i="3"/>
  <c r="BB146" i="3"/>
  <c r="BB145" i="3"/>
  <c r="BB144" i="3"/>
  <c r="BB143" i="3"/>
  <c r="BB142" i="3"/>
  <c r="BB141" i="3"/>
  <c r="BB140" i="3"/>
  <c r="BB152" i="3"/>
  <c r="BB169" i="3"/>
  <c r="BB158" i="3"/>
  <c r="BB159" i="3"/>
  <c r="BB157" i="3"/>
  <c r="BB155" i="3"/>
  <c r="BB156" i="3"/>
  <c r="BB138" i="3"/>
  <c r="BB139" i="3"/>
  <c r="BB150" i="3"/>
  <c r="BB133" i="3"/>
  <c r="BB129" i="3"/>
  <c r="BB128" i="3"/>
  <c r="BB127" i="3"/>
  <c r="BB126" i="3"/>
  <c r="BB125" i="3"/>
  <c r="BB124" i="3"/>
  <c r="BB123" i="3"/>
  <c r="BB122" i="3"/>
  <c r="BB121" i="3"/>
  <c r="BB120" i="3"/>
  <c r="BB119" i="3"/>
  <c r="BB118" i="3"/>
  <c r="BB117" i="3"/>
  <c r="BB116" i="3"/>
  <c r="BB115" i="3"/>
  <c r="BB114" i="3"/>
  <c r="BB113" i="3"/>
  <c r="BB112" i="3"/>
  <c r="BB111" i="3"/>
  <c r="BB110" i="3"/>
  <c r="BB109" i="3"/>
  <c r="BB137" i="3"/>
  <c r="BB135" i="3"/>
  <c r="BB131" i="3"/>
  <c r="BB161" i="3"/>
  <c r="BB151" i="3"/>
  <c r="BB134" i="3"/>
  <c r="BB130" i="3"/>
  <c r="BB106" i="3"/>
  <c r="BB132" i="3"/>
  <c r="BB107" i="3"/>
  <c r="BB108" i="3"/>
  <c r="BB92" i="3"/>
  <c r="BB97" i="3"/>
  <c r="BB89" i="3"/>
  <c r="BB94" i="3"/>
  <c r="BB86" i="3"/>
  <c r="BB84" i="3"/>
  <c r="BB83" i="3"/>
  <c r="BB82" i="3"/>
  <c r="BB81" i="3"/>
  <c r="BB80" i="3"/>
  <c r="BB79" i="3"/>
  <c r="BB78" i="3"/>
  <c r="BB77" i="3"/>
  <c r="BB76" i="3"/>
  <c r="BB75" i="3"/>
  <c r="BB74" i="3"/>
  <c r="BB73" i="3"/>
  <c r="BB72" i="3"/>
  <c r="BB71" i="3"/>
  <c r="BB70" i="3"/>
  <c r="BB69" i="3"/>
  <c r="BB68" i="3"/>
  <c r="BB67" i="3"/>
  <c r="BB66" i="3"/>
  <c r="BB65" i="3"/>
  <c r="BB64" i="3"/>
  <c r="BB91" i="3"/>
  <c r="BB103" i="3"/>
  <c r="BB102" i="3"/>
  <c r="BB101" i="3"/>
  <c r="BB100" i="3"/>
  <c r="BB99" i="3"/>
  <c r="BB96" i="3"/>
  <c r="BB88" i="3"/>
  <c r="BB105" i="3"/>
  <c r="BB104" i="3"/>
  <c r="BB93" i="3"/>
  <c r="BB60" i="3"/>
  <c r="BB90" i="3"/>
  <c r="BB87" i="3"/>
  <c r="BB62" i="3"/>
  <c r="BB57" i="3"/>
  <c r="BB56" i="3"/>
  <c r="BB55" i="3"/>
  <c r="BB54" i="3"/>
  <c r="BB53" i="3"/>
  <c r="BB52" i="3"/>
  <c r="BB51" i="3"/>
  <c r="BB50" i="3"/>
  <c r="BB49" i="3"/>
  <c r="BB48" i="3"/>
  <c r="BB47" i="3"/>
  <c r="BB136" i="3"/>
  <c r="BB85" i="3"/>
  <c r="BB61" i="3"/>
  <c r="BB98" i="3"/>
  <c r="BB95" i="3"/>
  <c r="BB44" i="3"/>
  <c r="BB59" i="3"/>
  <c r="BB63" i="3"/>
  <c r="BB43" i="3"/>
  <c r="BB58" i="3"/>
  <c r="BB31" i="3"/>
  <c r="BB41" i="3"/>
  <c r="BB40" i="3"/>
  <c r="BB36" i="3"/>
  <c r="BB28" i="3"/>
  <c r="BB37" i="3"/>
  <c r="BB34" i="3"/>
  <c r="BB45" i="3"/>
  <c r="BB33" i="3"/>
  <c r="BB25" i="3"/>
  <c r="BB23" i="3"/>
  <c r="BB22" i="3"/>
  <c r="BB21" i="3"/>
  <c r="BB20" i="3"/>
  <c r="BB29" i="3"/>
  <c r="BB38" i="3"/>
  <c r="BB30" i="3"/>
  <c r="AK10" i="3"/>
  <c r="BB46" i="3"/>
  <c r="BB39" i="3"/>
  <c r="BB35" i="3"/>
  <c r="BB27" i="3"/>
  <c r="Y10" i="3"/>
  <c r="BB32" i="3"/>
  <c r="BB24" i="3"/>
  <c r="BB42" i="3"/>
  <c r="BB26" i="3"/>
  <c r="BD186" i="3"/>
  <c r="BD180" i="3"/>
  <c r="BD189" i="3"/>
  <c r="BD178" i="3"/>
  <c r="BD191" i="3"/>
  <c r="BD187" i="3"/>
  <c r="BD190" i="3"/>
  <c r="BD184" i="3"/>
  <c r="BD185" i="3"/>
  <c r="BD183" i="3"/>
  <c r="BD177" i="3"/>
  <c r="BD179" i="3"/>
  <c r="BD176" i="3"/>
  <c r="BD175" i="3"/>
  <c r="BD174" i="3"/>
  <c r="BD170" i="3"/>
  <c r="BD167" i="3"/>
  <c r="BD188" i="3"/>
  <c r="BD182" i="3"/>
  <c r="BD173" i="3"/>
  <c r="BD169" i="3"/>
  <c r="BD165" i="3"/>
  <c r="BD162" i="3"/>
  <c r="BD168" i="3"/>
  <c r="BD163" i="3"/>
  <c r="BD171" i="3"/>
  <c r="BD159" i="3"/>
  <c r="BD158" i="3"/>
  <c r="BD157" i="3"/>
  <c r="BD156" i="3"/>
  <c r="BD155" i="3"/>
  <c r="BD154" i="3"/>
  <c r="BD153" i="3"/>
  <c r="BD152" i="3"/>
  <c r="BD181" i="3"/>
  <c r="BD150" i="3"/>
  <c r="BD172" i="3"/>
  <c r="BD164" i="3"/>
  <c r="BD144" i="3"/>
  <c r="BD166" i="3"/>
  <c r="BD138" i="3"/>
  <c r="BD148" i="3"/>
  <c r="BD147" i="3"/>
  <c r="BD143" i="3"/>
  <c r="BD149" i="3"/>
  <c r="BD146" i="3"/>
  <c r="BD142" i="3"/>
  <c r="BD151" i="3"/>
  <c r="BD136" i="3"/>
  <c r="BD131" i="3"/>
  <c r="BD137" i="3"/>
  <c r="BD135" i="3"/>
  <c r="BD161" i="3"/>
  <c r="BD130" i="3"/>
  <c r="BD160" i="3"/>
  <c r="BD139" i="3"/>
  <c r="BD134" i="3"/>
  <c r="BD141" i="3"/>
  <c r="BD140" i="3"/>
  <c r="BD132" i="3"/>
  <c r="BD145" i="3"/>
  <c r="BD129" i="3"/>
  <c r="BD107" i="3"/>
  <c r="BD124" i="3"/>
  <c r="BD123" i="3"/>
  <c r="BD119" i="3"/>
  <c r="BD115" i="3"/>
  <c r="BD111" i="3"/>
  <c r="BD108" i="3"/>
  <c r="BD105" i="3"/>
  <c r="BD104" i="3"/>
  <c r="BD103" i="3"/>
  <c r="BD102" i="3"/>
  <c r="BD101" i="3"/>
  <c r="BD100" i="3"/>
  <c r="BD99" i="3"/>
  <c r="BD133" i="3"/>
  <c r="BD126" i="3"/>
  <c r="BD121" i="3"/>
  <c r="BD117" i="3"/>
  <c r="BD113" i="3"/>
  <c r="BD109" i="3"/>
  <c r="BD122" i="3"/>
  <c r="BD112" i="3"/>
  <c r="BD94" i="3"/>
  <c r="BD86" i="3"/>
  <c r="BD84" i="3"/>
  <c r="BD83" i="3"/>
  <c r="BD82" i="3"/>
  <c r="BD81" i="3"/>
  <c r="BD91" i="3"/>
  <c r="BD127" i="3"/>
  <c r="BD125" i="3"/>
  <c r="BD116" i="3"/>
  <c r="BD110" i="3"/>
  <c r="BD96" i="3"/>
  <c r="BD88" i="3"/>
  <c r="BD93" i="3"/>
  <c r="BD85" i="3"/>
  <c r="BD120" i="3"/>
  <c r="BD114" i="3"/>
  <c r="BD98" i="3"/>
  <c r="BD90" i="3"/>
  <c r="BD95" i="3"/>
  <c r="BD87" i="3"/>
  <c r="BD80" i="3"/>
  <c r="BD72" i="3"/>
  <c r="BD67" i="3"/>
  <c r="BD57" i="3"/>
  <c r="BD56" i="3"/>
  <c r="BD55" i="3"/>
  <c r="BD54" i="3"/>
  <c r="BD53" i="3"/>
  <c r="BD106" i="3"/>
  <c r="BD75" i="3"/>
  <c r="BD68" i="3"/>
  <c r="BD62" i="3"/>
  <c r="BD78" i="3"/>
  <c r="BD71" i="3"/>
  <c r="BD69" i="3"/>
  <c r="BD59" i="3"/>
  <c r="BD97" i="3"/>
  <c r="BD76" i="3"/>
  <c r="BD70" i="3"/>
  <c r="BD61" i="3"/>
  <c r="BD79" i="3"/>
  <c r="BD64" i="3"/>
  <c r="BD52" i="3"/>
  <c r="BD48" i="3"/>
  <c r="BD74" i="3"/>
  <c r="BD60" i="3"/>
  <c r="BD51" i="3"/>
  <c r="BD47" i="3"/>
  <c r="BD43" i="3"/>
  <c r="BD73" i="3"/>
  <c r="BD65" i="3"/>
  <c r="BD63" i="3"/>
  <c r="BD77" i="3"/>
  <c r="BD58" i="3"/>
  <c r="BD50" i="3"/>
  <c r="BD45" i="3"/>
  <c r="BD41" i="3"/>
  <c r="BD92" i="3"/>
  <c r="BD33" i="3"/>
  <c r="BD25" i="3"/>
  <c r="BD23" i="3"/>
  <c r="BD22" i="3"/>
  <c r="BD21" i="3"/>
  <c r="BD20" i="3"/>
  <c r="BD31" i="3"/>
  <c r="BD128" i="3"/>
  <c r="BD66" i="3"/>
  <c r="BD38" i="3"/>
  <c r="BD30" i="3"/>
  <c r="BD39" i="3"/>
  <c r="BD35" i="3"/>
  <c r="BD27" i="3"/>
  <c r="BD36" i="3"/>
  <c r="BD118" i="3"/>
  <c r="BD46" i="3"/>
  <c r="BD32" i="3"/>
  <c r="BD24" i="3"/>
  <c r="BD49" i="3"/>
  <c r="BD44" i="3"/>
  <c r="BD42" i="3"/>
  <c r="BD37" i="3"/>
  <c r="BD29" i="3"/>
  <c r="BD89" i="3"/>
  <c r="BD34" i="3"/>
  <c r="BD26" i="3"/>
  <c r="AM10" i="3"/>
  <c r="AA10" i="3"/>
  <c r="BD40" i="3"/>
  <c r="BD28" i="3"/>
  <c r="BM190" i="3"/>
  <c r="BM183" i="3"/>
  <c r="BM191" i="3"/>
  <c r="BM188" i="3"/>
  <c r="BM181" i="3"/>
  <c r="BM180" i="3"/>
  <c r="BM186" i="3"/>
  <c r="BM175" i="3"/>
  <c r="BM189" i="3"/>
  <c r="BM168" i="3"/>
  <c r="BM184" i="3"/>
  <c r="BM170" i="3"/>
  <c r="BM176" i="3"/>
  <c r="BM174" i="3"/>
  <c r="BM172" i="3"/>
  <c r="BM187" i="3"/>
  <c r="BM179" i="3"/>
  <c r="BM171" i="3"/>
  <c r="BM169" i="3"/>
  <c r="BM161" i="3"/>
  <c r="BM182" i="3"/>
  <c r="BM166" i="3"/>
  <c r="BM185" i="3"/>
  <c r="BM167" i="3"/>
  <c r="BM162" i="3"/>
  <c r="BM173" i="3"/>
  <c r="BM165" i="3"/>
  <c r="BM158" i="3"/>
  <c r="BM157" i="3"/>
  <c r="BM156" i="3"/>
  <c r="BM155" i="3"/>
  <c r="BM154" i="3"/>
  <c r="BM153" i="3"/>
  <c r="BM152" i="3"/>
  <c r="BM177" i="3"/>
  <c r="BM149" i="3"/>
  <c r="BM160" i="3"/>
  <c r="BM145" i="3"/>
  <c r="BM141" i="3"/>
  <c r="BM137" i="3"/>
  <c r="BM178" i="3"/>
  <c r="BM147" i="3"/>
  <c r="BM143" i="3"/>
  <c r="BM139" i="3"/>
  <c r="BM135" i="3"/>
  <c r="BM164" i="3"/>
  <c r="BM163" i="3"/>
  <c r="BM146" i="3"/>
  <c r="BM131" i="3"/>
  <c r="BM140" i="3"/>
  <c r="BM136" i="3"/>
  <c r="BM133" i="3"/>
  <c r="BM144" i="3"/>
  <c r="BM138" i="3"/>
  <c r="BM159" i="3"/>
  <c r="BM151" i="3"/>
  <c r="BM130" i="3"/>
  <c r="BM148" i="3"/>
  <c r="BM134" i="3"/>
  <c r="BM121" i="3"/>
  <c r="BM117" i="3"/>
  <c r="BM113" i="3"/>
  <c r="BM109" i="3"/>
  <c r="BM106" i="3"/>
  <c r="BM126" i="3"/>
  <c r="BM150" i="3"/>
  <c r="BM120" i="3"/>
  <c r="BM116" i="3"/>
  <c r="BM112" i="3"/>
  <c r="BM107" i="3"/>
  <c r="BM105" i="3"/>
  <c r="BM104" i="3"/>
  <c r="BM103" i="3"/>
  <c r="BM102" i="3"/>
  <c r="BM101" i="3"/>
  <c r="BM100" i="3"/>
  <c r="BM99" i="3"/>
  <c r="BM128" i="3"/>
  <c r="BM123" i="3"/>
  <c r="BM119" i="3"/>
  <c r="BM115" i="3"/>
  <c r="BM111" i="3"/>
  <c r="BM108" i="3"/>
  <c r="BM124" i="3"/>
  <c r="BM127" i="3"/>
  <c r="BM110" i="3"/>
  <c r="BM97" i="3"/>
  <c r="BM89" i="3"/>
  <c r="BM84" i="3"/>
  <c r="BM83" i="3"/>
  <c r="BM82" i="3"/>
  <c r="BM81" i="3"/>
  <c r="BM142" i="3"/>
  <c r="BM125" i="3"/>
  <c r="BM94" i="3"/>
  <c r="BM86" i="3"/>
  <c r="BM114" i="3"/>
  <c r="BM91" i="3"/>
  <c r="BM96" i="3"/>
  <c r="BM88" i="3"/>
  <c r="BM118" i="3"/>
  <c r="BM93" i="3"/>
  <c r="BM85" i="3"/>
  <c r="BM129" i="3"/>
  <c r="BM98" i="3"/>
  <c r="BM90" i="3"/>
  <c r="BM76" i="3"/>
  <c r="BM65" i="3"/>
  <c r="BM60" i="3"/>
  <c r="BM56" i="3"/>
  <c r="BM55" i="3"/>
  <c r="BM54" i="3"/>
  <c r="BM53" i="3"/>
  <c r="BM79" i="3"/>
  <c r="BM73" i="3"/>
  <c r="BM66" i="3"/>
  <c r="BM57" i="3"/>
  <c r="BM132" i="3"/>
  <c r="BM74" i="3"/>
  <c r="BM67" i="3"/>
  <c r="BM62" i="3"/>
  <c r="BM77" i="3"/>
  <c r="BM72" i="3"/>
  <c r="BM68" i="3"/>
  <c r="BM122" i="3"/>
  <c r="BM95" i="3"/>
  <c r="BM80" i="3"/>
  <c r="BM69" i="3"/>
  <c r="BM92" i="3"/>
  <c r="BM75" i="3"/>
  <c r="BM71" i="3"/>
  <c r="BM61" i="3"/>
  <c r="BM46" i="3"/>
  <c r="BM44" i="3"/>
  <c r="BM78" i="3"/>
  <c r="BM58" i="3"/>
  <c r="BM49" i="3"/>
  <c r="BM63" i="3"/>
  <c r="BM52" i="3"/>
  <c r="BM48" i="3"/>
  <c r="BM43" i="3"/>
  <c r="BM70" i="3"/>
  <c r="BM41" i="3"/>
  <c r="BM51" i="3"/>
  <c r="BM47" i="3"/>
  <c r="BM36" i="3"/>
  <c r="BM28" i="3"/>
  <c r="BM23" i="3"/>
  <c r="BM22" i="3"/>
  <c r="BM21" i="3"/>
  <c r="BM20" i="3"/>
  <c r="BM45" i="3"/>
  <c r="BM33" i="3"/>
  <c r="BM25" i="3"/>
  <c r="U15" i="3"/>
  <c r="BM42" i="3"/>
  <c r="BM40" i="3"/>
  <c r="BM38" i="3"/>
  <c r="BM30" i="3"/>
  <c r="BM64" i="3"/>
  <c r="BM87" i="3"/>
  <c r="BM50" i="3"/>
  <c r="BM35" i="3"/>
  <c r="BM27" i="3"/>
  <c r="BM26" i="3"/>
  <c r="BM32" i="3"/>
  <c r="BM24" i="3"/>
  <c r="U16" i="3"/>
  <c r="BM39" i="3"/>
  <c r="BM37" i="3"/>
  <c r="BM29" i="3"/>
  <c r="BM59" i="3"/>
  <c r="BM34" i="3"/>
  <c r="BM31" i="3"/>
  <c r="BN191" i="3"/>
  <c r="BN185" i="3"/>
  <c r="BN182" i="3"/>
  <c r="BN188" i="3"/>
  <c r="BN180" i="3"/>
  <c r="BN178" i="3"/>
  <c r="BN186" i="3"/>
  <c r="BN189" i="3"/>
  <c r="BN177" i="3"/>
  <c r="BN190" i="3"/>
  <c r="BN184" i="3"/>
  <c r="BN181" i="3"/>
  <c r="BN170" i="3"/>
  <c r="BN167" i="3"/>
  <c r="BN187" i="3"/>
  <c r="BN179" i="3"/>
  <c r="BN175" i="3"/>
  <c r="BN169" i="3"/>
  <c r="BN183" i="3"/>
  <c r="BN174" i="3"/>
  <c r="BN166" i="3"/>
  <c r="BN162" i="3"/>
  <c r="BN173" i="3"/>
  <c r="BN165" i="3"/>
  <c r="BN158" i="3"/>
  <c r="BN157" i="3"/>
  <c r="BN156" i="3"/>
  <c r="BN155" i="3"/>
  <c r="BN154" i="3"/>
  <c r="BN153" i="3"/>
  <c r="BN152" i="3"/>
  <c r="BN151" i="3"/>
  <c r="BN150" i="3"/>
  <c r="BN176" i="3"/>
  <c r="BN172" i="3"/>
  <c r="BN163" i="3"/>
  <c r="BN159" i="3"/>
  <c r="BN168" i="3"/>
  <c r="BN164" i="3"/>
  <c r="BN160" i="3"/>
  <c r="BN145" i="3"/>
  <c r="BN141" i="3"/>
  <c r="BN144" i="3"/>
  <c r="BN140" i="3"/>
  <c r="BN138" i="3"/>
  <c r="BN161" i="3"/>
  <c r="BN147" i="3"/>
  <c r="BN143" i="3"/>
  <c r="BN139" i="3"/>
  <c r="BN171" i="3"/>
  <c r="BN148" i="3"/>
  <c r="BN146" i="3"/>
  <c r="BN131" i="3"/>
  <c r="BN149" i="3"/>
  <c r="BN136" i="3"/>
  <c r="BN133" i="3"/>
  <c r="BN135" i="3"/>
  <c r="BN130" i="3"/>
  <c r="BN137" i="3"/>
  <c r="BN132" i="3"/>
  <c r="BN128" i="3"/>
  <c r="BN126" i="3"/>
  <c r="BN120" i="3"/>
  <c r="BN116" i="3"/>
  <c r="BN112" i="3"/>
  <c r="BN107" i="3"/>
  <c r="BN105" i="3"/>
  <c r="BN104" i="3"/>
  <c r="BN127" i="3"/>
  <c r="BN124" i="3"/>
  <c r="BN122" i="3"/>
  <c r="BN118" i="3"/>
  <c r="BN114" i="3"/>
  <c r="BN110" i="3"/>
  <c r="BN142" i="3"/>
  <c r="BN125" i="3"/>
  <c r="BN123" i="3"/>
  <c r="BN113" i="3"/>
  <c r="BN94" i="3"/>
  <c r="BN86" i="3"/>
  <c r="BN91" i="3"/>
  <c r="BN117" i="3"/>
  <c r="BN111" i="3"/>
  <c r="BN96" i="3"/>
  <c r="BN88" i="3"/>
  <c r="BN106" i="3"/>
  <c r="BN93" i="3"/>
  <c r="BN85" i="3"/>
  <c r="BN129" i="3"/>
  <c r="BN121" i="3"/>
  <c r="BN115" i="3"/>
  <c r="BN108" i="3"/>
  <c r="BN103" i="3"/>
  <c r="BN102" i="3"/>
  <c r="BN101" i="3"/>
  <c r="BN100" i="3"/>
  <c r="BN99" i="3"/>
  <c r="BN98" i="3"/>
  <c r="BN90" i="3"/>
  <c r="BN95" i="3"/>
  <c r="BN87" i="3"/>
  <c r="BN79" i="3"/>
  <c r="BN73" i="3"/>
  <c r="BN66" i="3"/>
  <c r="BN57" i="3"/>
  <c r="BN109" i="3"/>
  <c r="BN81" i="3"/>
  <c r="BN74" i="3"/>
  <c r="BN67" i="3"/>
  <c r="BN62" i="3"/>
  <c r="BN134" i="3"/>
  <c r="BN97" i="3"/>
  <c r="BN77" i="3"/>
  <c r="BN72" i="3"/>
  <c r="BN68" i="3"/>
  <c r="BN59" i="3"/>
  <c r="BN84" i="3"/>
  <c r="BN80" i="3"/>
  <c r="BN69" i="3"/>
  <c r="BN92" i="3"/>
  <c r="BN89" i="3"/>
  <c r="BN75" i="3"/>
  <c r="BN71" i="3"/>
  <c r="BN61" i="3"/>
  <c r="BN119" i="3"/>
  <c r="BN83" i="3"/>
  <c r="BN78" i="3"/>
  <c r="BN58" i="3"/>
  <c r="BN49" i="3"/>
  <c r="BN63" i="3"/>
  <c r="BN65" i="3"/>
  <c r="BN53" i="3"/>
  <c r="BN52" i="3"/>
  <c r="BN48" i="3"/>
  <c r="BN43" i="3"/>
  <c r="BN82" i="3"/>
  <c r="BN70" i="3"/>
  <c r="BN54" i="3"/>
  <c r="BN41" i="3"/>
  <c r="BN55" i="3"/>
  <c r="BN51" i="3"/>
  <c r="BN47" i="3"/>
  <c r="BN76" i="3"/>
  <c r="BN64" i="3"/>
  <c r="BN56" i="3"/>
  <c r="BN33" i="3"/>
  <c r="BN25" i="3"/>
  <c r="V15" i="3"/>
  <c r="BN31" i="3"/>
  <c r="BN21" i="3"/>
  <c r="BN20" i="3"/>
  <c r="BN46" i="3"/>
  <c r="BN44" i="3"/>
  <c r="BN42" i="3"/>
  <c r="BN40" i="3"/>
  <c r="BN38" i="3"/>
  <c r="BN30" i="3"/>
  <c r="BN50" i="3"/>
  <c r="BN35" i="3"/>
  <c r="BN27" i="3"/>
  <c r="BN36" i="3"/>
  <c r="BN28" i="3"/>
  <c r="BN32" i="3"/>
  <c r="BN24" i="3"/>
  <c r="V16" i="3"/>
  <c r="BN39" i="3"/>
  <c r="BN37" i="3"/>
  <c r="BN29" i="3"/>
  <c r="BN23" i="3"/>
  <c r="BN22" i="3"/>
  <c r="BN60" i="3"/>
  <c r="BN34" i="3"/>
  <c r="BN26" i="3"/>
  <c r="BN45" i="3"/>
  <c r="AF7" i="3"/>
  <c r="AF5" i="3"/>
  <c r="AF8" i="3"/>
  <c r="AF4" i="3"/>
  <c r="AF3" i="3"/>
  <c r="AF6" i="3"/>
  <c r="AF2" i="3"/>
  <c r="AF11" i="3" s="1"/>
  <c r="BC191" i="3"/>
  <c r="BC190" i="3"/>
  <c r="BC189" i="3"/>
  <c r="BC188" i="3"/>
  <c r="BC187" i="3"/>
  <c r="BC186" i="3"/>
  <c r="BC185" i="3"/>
  <c r="BC184" i="3"/>
  <c r="BC183" i="3"/>
  <c r="BC182" i="3"/>
  <c r="BC181" i="3"/>
  <c r="BC180" i="3"/>
  <c r="BC175" i="3"/>
  <c r="BC178" i="3"/>
  <c r="BC177" i="3"/>
  <c r="BC168" i="3"/>
  <c r="BC166" i="3"/>
  <c r="BC165" i="3"/>
  <c r="BC164" i="3"/>
  <c r="BC163" i="3"/>
  <c r="BC162" i="3"/>
  <c r="BC161" i="3"/>
  <c r="BC160" i="3"/>
  <c r="BC179" i="3"/>
  <c r="BC176" i="3"/>
  <c r="BC174" i="3"/>
  <c r="BC170" i="3"/>
  <c r="BC172" i="3"/>
  <c r="BC173" i="3"/>
  <c r="BC171" i="3"/>
  <c r="BC167" i="3"/>
  <c r="BC153" i="3"/>
  <c r="BC149" i="3"/>
  <c r="BC148" i="3"/>
  <c r="BC147" i="3"/>
  <c r="BC146" i="3"/>
  <c r="BC145" i="3"/>
  <c r="BC144" i="3"/>
  <c r="BC143" i="3"/>
  <c r="BC142" i="3"/>
  <c r="BC141" i="3"/>
  <c r="BC140" i="3"/>
  <c r="BC139" i="3"/>
  <c r="BC138" i="3"/>
  <c r="BC137" i="3"/>
  <c r="BC136" i="3"/>
  <c r="BC135" i="3"/>
  <c r="BC134" i="3"/>
  <c r="BC133" i="3"/>
  <c r="BC152" i="3"/>
  <c r="BC159" i="3"/>
  <c r="BC150" i="3"/>
  <c r="BC157" i="3"/>
  <c r="BC151" i="3"/>
  <c r="BC169" i="3"/>
  <c r="BC155" i="3"/>
  <c r="BC158" i="3"/>
  <c r="BC156" i="3"/>
  <c r="BC154" i="3"/>
  <c r="BC131" i="3"/>
  <c r="BC130" i="3"/>
  <c r="BC132" i="3"/>
  <c r="BC127" i="3"/>
  <c r="BC120" i="3"/>
  <c r="BC116" i="3"/>
  <c r="BC112" i="3"/>
  <c r="BC129" i="3"/>
  <c r="BC107" i="3"/>
  <c r="BC124" i="3"/>
  <c r="BC123" i="3"/>
  <c r="BC119" i="3"/>
  <c r="BC115" i="3"/>
  <c r="BC111" i="3"/>
  <c r="BC125" i="3"/>
  <c r="BC122" i="3"/>
  <c r="BC118" i="3"/>
  <c r="BC114" i="3"/>
  <c r="BC110" i="3"/>
  <c r="BC128" i="3"/>
  <c r="BC109" i="3"/>
  <c r="BC97" i="3"/>
  <c r="BC89" i="3"/>
  <c r="BC94" i="3"/>
  <c r="BC86" i="3"/>
  <c r="BC84" i="3"/>
  <c r="BC83" i="3"/>
  <c r="BC82" i="3"/>
  <c r="BC81" i="3"/>
  <c r="BC80" i="3"/>
  <c r="BC79" i="3"/>
  <c r="BC78" i="3"/>
  <c r="BC77" i="3"/>
  <c r="BC76" i="3"/>
  <c r="BC75" i="3"/>
  <c r="BC74" i="3"/>
  <c r="BC73" i="3"/>
  <c r="BC72" i="3"/>
  <c r="BC71" i="3"/>
  <c r="BC70" i="3"/>
  <c r="BC69" i="3"/>
  <c r="BC68" i="3"/>
  <c r="BC67" i="3"/>
  <c r="BC66" i="3"/>
  <c r="BC65" i="3"/>
  <c r="BC64" i="3"/>
  <c r="BC63" i="3"/>
  <c r="BC62" i="3"/>
  <c r="BC61" i="3"/>
  <c r="BC60" i="3"/>
  <c r="BC59" i="3"/>
  <c r="BC58" i="3"/>
  <c r="BC113" i="3"/>
  <c r="BC91" i="3"/>
  <c r="BC103" i="3"/>
  <c r="BC102" i="3"/>
  <c r="BC101" i="3"/>
  <c r="BC100" i="3"/>
  <c r="BC99" i="3"/>
  <c r="BC96" i="3"/>
  <c r="BC88" i="3"/>
  <c r="BC117" i="3"/>
  <c r="BC105" i="3"/>
  <c r="BC104" i="3"/>
  <c r="BC93" i="3"/>
  <c r="BC85" i="3"/>
  <c r="BC98" i="3"/>
  <c r="BC90" i="3"/>
  <c r="BC87" i="3"/>
  <c r="BC57" i="3"/>
  <c r="BC56" i="3"/>
  <c r="BC55" i="3"/>
  <c r="BC54" i="3"/>
  <c r="BC53" i="3"/>
  <c r="BC52" i="3"/>
  <c r="BC51" i="3"/>
  <c r="BC50" i="3"/>
  <c r="BC49" i="3"/>
  <c r="BC48" i="3"/>
  <c r="BC47" i="3"/>
  <c r="BC46" i="3"/>
  <c r="BC108" i="3"/>
  <c r="BC106" i="3"/>
  <c r="BC126" i="3"/>
  <c r="BC121" i="3"/>
  <c r="BC92" i="3"/>
  <c r="BC44" i="3"/>
  <c r="BC43" i="3"/>
  <c r="BC41" i="3"/>
  <c r="BC40" i="3"/>
  <c r="BC36" i="3"/>
  <c r="BC28" i="3"/>
  <c r="BC45" i="3"/>
  <c r="BC33" i="3"/>
  <c r="BC25" i="3"/>
  <c r="BC23" i="3"/>
  <c r="BC22" i="3"/>
  <c r="BC21" i="3"/>
  <c r="BC20" i="3"/>
  <c r="AL10" i="3"/>
  <c r="Z10" i="3"/>
  <c r="BC95" i="3"/>
  <c r="BC38" i="3"/>
  <c r="BC30" i="3"/>
  <c r="BC39" i="3"/>
  <c r="BC35" i="3"/>
  <c r="BC27" i="3"/>
  <c r="BC32" i="3"/>
  <c r="BC24" i="3"/>
  <c r="BC42" i="3"/>
  <c r="BC37" i="3"/>
  <c r="BC29" i="3"/>
  <c r="BC34" i="3"/>
  <c r="BC26" i="3"/>
  <c r="BC31" i="3"/>
  <c r="BK191" i="3"/>
  <c r="BK190" i="3"/>
  <c r="BK189" i="3"/>
  <c r="BK188" i="3"/>
  <c r="BK187" i="3"/>
  <c r="BK186" i="3"/>
  <c r="BK185" i="3"/>
  <c r="BK184" i="3"/>
  <c r="BK182" i="3"/>
  <c r="BK179" i="3"/>
  <c r="BK174" i="3"/>
  <c r="BK173" i="3"/>
  <c r="BK181" i="3"/>
  <c r="BK180" i="3"/>
  <c r="BK178" i="3"/>
  <c r="BK171" i="3"/>
  <c r="BK166" i="3"/>
  <c r="BK165" i="3"/>
  <c r="BK168" i="3"/>
  <c r="BK170" i="3"/>
  <c r="BK183" i="3"/>
  <c r="BK161" i="3"/>
  <c r="BK169" i="3"/>
  <c r="BK175" i="3"/>
  <c r="BK167" i="3"/>
  <c r="BK162" i="3"/>
  <c r="BK176" i="3"/>
  <c r="BK159" i="3"/>
  <c r="BK158" i="3"/>
  <c r="BK151" i="3"/>
  <c r="BK177" i="3"/>
  <c r="BK157" i="3"/>
  <c r="BK149" i="3"/>
  <c r="BK148" i="3"/>
  <c r="BK147" i="3"/>
  <c r="BK146" i="3"/>
  <c r="BK145" i="3"/>
  <c r="BK144" i="3"/>
  <c r="BK143" i="3"/>
  <c r="BK142" i="3"/>
  <c r="BK141" i="3"/>
  <c r="BK140" i="3"/>
  <c r="BK172" i="3"/>
  <c r="BK156" i="3"/>
  <c r="BK154" i="3"/>
  <c r="BK160" i="3"/>
  <c r="BK163" i="3"/>
  <c r="BK153" i="3"/>
  <c r="BK152" i="3"/>
  <c r="BK150" i="3"/>
  <c r="BK138" i="3"/>
  <c r="BK134" i="3"/>
  <c r="BK132" i="3"/>
  <c r="BK128" i="3"/>
  <c r="BK127" i="3"/>
  <c r="BK126" i="3"/>
  <c r="BK125" i="3"/>
  <c r="BK124" i="3"/>
  <c r="BK123" i="3"/>
  <c r="BK122" i="3"/>
  <c r="BK121" i="3"/>
  <c r="BK120" i="3"/>
  <c r="BK119" i="3"/>
  <c r="BK118" i="3"/>
  <c r="BK117" i="3"/>
  <c r="BK116" i="3"/>
  <c r="BK115" i="3"/>
  <c r="BK114" i="3"/>
  <c r="BK113" i="3"/>
  <c r="BK112" i="3"/>
  <c r="BK111" i="3"/>
  <c r="BK110" i="3"/>
  <c r="BK109" i="3"/>
  <c r="BK164" i="3"/>
  <c r="BK139" i="3"/>
  <c r="BK129" i="3"/>
  <c r="BK136" i="3"/>
  <c r="BK133" i="3"/>
  <c r="BK131" i="3"/>
  <c r="BK135" i="3"/>
  <c r="BK155" i="3"/>
  <c r="BK130" i="3"/>
  <c r="BK106" i="3"/>
  <c r="BK107" i="3"/>
  <c r="BK137" i="3"/>
  <c r="BK95" i="3"/>
  <c r="BK87" i="3"/>
  <c r="BK105" i="3"/>
  <c r="BK104" i="3"/>
  <c r="BK92" i="3"/>
  <c r="BK97" i="3"/>
  <c r="BK89" i="3"/>
  <c r="BK84" i="3"/>
  <c r="BK83" i="3"/>
  <c r="BK82" i="3"/>
  <c r="BK81" i="3"/>
  <c r="BK80" i="3"/>
  <c r="BK79" i="3"/>
  <c r="BK78" i="3"/>
  <c r="BK77" i="3"/>
  <c r="BK76" i="3"/>
  <c r="BK75" i="3"/>
  <c r="BK74" i="3"/>
  <c r="BK73" i="3"/>
  <c r="BK72" i="3"/>
  <c r="BK71" i="3"/>
  <c r="BK70" i="3"/>
  <c r="BK69" i="3"/>
  <c r="BK68" i="3"/>
  <c r="BK67" i="3"/>
  <c r="BK66" i="3"/>
  <c r="BK65" i="3"/>
  <c r="BK64" i="3"/>
  <c r="BK94" i="3"/>
  <c r="BK86" i="3"/>
  <c r="BK91" i="3"/>
  <c r="BK108" i="3"/>
  <c r="BK96" i="3"/>
  <c r="BK88" i="3"/>
  <c r="BK93" i="3"/>
  <c r="BK90" i="3"/>
  <c r="BK63" i="3"/>
  <c r="BK103" i="3"/>
  <c r="BK101" i="3"/>
  <c r="BK99" i="3"/>
  <c r="BK60" i="3"/>
  <c r="BK57" i="3"/>
  <c r="BK56" i="3"/>
  <c r="BK55" i="3"/>
  <c r="BK54" i="3"/>
  <c r="BK53" i="3"/>
  <c r="BK52" i="3"/>
  <c r="BK51" i="3"/>
  <c r="BK50" i="3"/>
  <c r="BK49" i="3"/>
  <c r="BK48" i="3"/>
  <c r="BK47" i="3"/>
  <c r="BK85" i="3"/>
  <c r="BK62" i="3"/>
  <c r="BK59" i="3"/>
  <c r="BK102" i="3"/>
  <c r="BK100" i="3"/>
  <c r="BK42" i="3"/>
  <c r="BK46" i="3"/>
  <c r="BK58" i="3"/>
  <c r="BK44" i="3"/>
  <c r="BK45" i="3"/>
  <c r="BK34" i="3"/>
  <c r="BK26" i="3"/>
  <c r="S16" i="3"/>
  <c r="BK39" i="3"/>
  <c r="BK37" i="3"/>
  <c r="BK29" i="3"/>
  <c r="BK31" i="3"/>
  <c r="BK41" i="3"/>
  <c r="BK43" i="3"/>
  <c r="BK36" i="3"/>
  <c r="BK28" i="3"/>
  <c r="BK23" i="3"/>
  <c r="BK22" i="3"/>
  <c r="BK21" i="3"/>
  <c r="BK20" i="3"/>
  <c r="BK33" i="3"/>
  <c r="BK25" i="3"/>
  <c r="S15" i="3"/>
  <c r="BK98" i="3"/>
  <c r="BK40" i="3"/>
  <c r="BK38" i="3"/>
  <c r="BK30" i="3"/>
  <c r="BK24" i="3"/>
  <c r="BK61" i="3"/>
  <c r="BK35" i="3"/>
  <c r="BK27" i="3"/>
  <c r="BK32" i="3"/>
  <c r="AN191" i="3"/>
  <c r="AN187" i="3"/>
  <c r="AN180" i="3"/>
  <c r="AN190" i="3"/>
  <c r="AN185" i="3"/>
  <c r="AN179" i="3"/>
  <c r="AN188" i="3"/>
  <c r="AN184" i="3"/>
  <c r="AN183" i="3"/>
  <c r="AN186" i="3"/>
  <c r="AN182" i="3"/>
  <c r="AN178" i="3"/>
  <c r="AN174" i="3"/>
  <c r="AN173" i="3"/>
  <c r="AN171" i="3"/>
  <c r="AN168" i="3"/>
  <c r="AN170" i="3"/>
  <c r="AN159" i="3"/>
  <c r="AN158" i="3"/>
  <c r="AN157" i="3"/>
  <c r="AN156" i="3"/>
  <c r="AN155" i="3"/>
  <c r="AN154" i="3"/>
  <c r="AN153" i="3"/>
  <c r="AN152" i="3"/>
  <c r="AN151" i="3"/>
  <c r="AN175" i="3"/>
  <c r="AN162" i="3"/>
  <c r="AN176" i="3"/>
  <c r="AN169" i="3"/>
  <c r="AN177" i="3"/>
  <c r="AN167" i="3"/>
  <c r="AN163" i="3"/>
  <c r="AN166" i="3"/>
  <c r="AN164" i="3"/>
  <c r="AN160" i="3"/>
  <c r="AN149" i="3"/>
  <c r="AN148" i="3"/>
  <c r="AN189" i="3"/>
  <c r="AN161" i="3"/>
  <c r="AN147" i="3"/>
  <c r="AN143" i="3"/>
  <c r="AN138" i="3"/>
  <c r="AN150" i="3"/>
  <c r="AN139" i="3"/>
  <c r="AN181" i="3"/>
  <c r="AN165" i="3"/>
  <c r="AN145" i="3"/>
  <c r="AN141" i="3"/>
  <c r="AN144" i="3"/>
  <c r="AN140" i="3"/>
  <c r="AN132" i="3"/>
  <c r="AN135" i="3"/>
  <c r="AN142" i="3"/>
  <c r="AN131" i="3"/>
  <c r="AN129" i="3"/>
  <c r="AN128" i="3"/>
  <c r="AN127" i="3"/>
  <c r="AN126" i="3"/>
  <c r="AN125" i="3"/>
  <c r="AN124" i="3"/>
  <c r="AN172" i="3"/>
  <c r="AN134" i="3"/>
  <c r="AN146" i="3"/>
  <c r="AN136" i="3"/>
  <c r="AN123" i="3"/>
  <c r="AN119" i="3"/>
  <c r="AN115" i="3"/>
  <c r="AN111" i="3"/>
  <c r="AN107" i="3"/>
  <c r="AN137" i="3"/>
  <c r="AN122" i="3"/>
  <c r="AN118" i="3"/>
  <c r="AN114" i="3"/>
  <c r="AN110" i="3"/>
  <c r="AN121" i="3"/>
  <c r="AN117" i="3"/>
  <c r="AN113" i="3"/>
  <c r="AN109" i="3"/>
  <c r="AN133" i="3"/>
  <c r="AN95" i="3"/>
  <c r="AN87" i="3"/>
  <c r="AN92" i="3"/>
  <c r="AN112" i="3"/>
  <c r="AN108" i="3"/>
  <c r="AN97" i="3"/>
  <c r="AN89" i="3"/>
  <c r="AN106" i="3"/>
  <c r="AN105" i="3"/>
  <c r="AN94" i="3"/>
  <c r="AN86" i="3"/>
  <c r="AN130" i="3"/>
  <c r="AN116" i="3"/>
  <c r="AN104" i="3"/>
  <c r="AN103" i="3"/>
  <c r="AN102" i="3"/>
  <c r="AN101" i="3"/>
  <c r="AN100" i="3"/>
  <c r="AN99" i="3"/>
  <c r="AN91" i="3"/>
  <c r="AN96" i="3"/>
  <c r="AN88" i="3"/>
  <c r="AN81" i="3"/>
  <c r="AN66" i="3"/>
  <c r="AN58" i="3"/>
  <c r="AN85" i="3"/>
  <c r="AN76" i="3"/>
  <c r="AN71" i="3"/>
  <c r="AN67" i="3"/>
  <c r="AN63" i="3"/>
  <c r="AN98" i="3"/>
  <c r="AN84" i="3"/>
  <c r="AN79" i="3"/>
  <c r="AN68" i="3"/>
  <c r="AN60" i="3"/>
  <c r="AN74" i="3"/>
  <c r="AN69" i="3"/>
  <c r="AN93" i="3"/>
  <c r="AN90" i="3"/>
  <c r="AN83" i="3"/>
  <c r="AN77" i="3"/>
  <c r="AN70" i="3"/>
  <c r="AN62" i="3"/>
  <c r="AN120" i="3"/>
  <c r="AN80" i="3"/>
  <c r="AN73" i="3"/>
  <c r="AN59" i="3"/>
  <c r="AN75" i="3"/>
  <c r="AN57" i="3"/>
  <c r="AN72" i="3"/>
  <c r="AN64" i="3"/>
  <c r="AN51" i="3"/>
  <c r="AN47" i="3"/>
  <c r="AN42" i="3"/>
  <c r="AN41" i="3"/>
  <c r="AN40" i="3"/>
  <c r="AN39" i="3"/>
  <c r="AN44" i="3"/>
  <c r="AN50" i="3"/>
  <c r="AN82" i="3"/>
  <c r="AN78" i="3"/>
  <c r="AN61" i="3"/>
  <c r="AN54" i="3"/>
  <c r="AN53" i="3"/>
  <c r="AN49" i="3"/>
  <c r="AN65" i="3"/>
  <c r="AN52" i="3"/>
  <c r="AN43" i="3"/>
  <c r="AN34" i="3"/>
  <c r="AN26" i="3"/>
  <c r="AN45" i="3"/>
  <c r="AN31" i="3"/>
  <c r="AN36" i="3"/>
  <c r="AN28" i="3"/>
  <c r="AN37" i="3"/>
  <c r="AN29" i="3"/>
  <c r="AN33" i="3"/>
  <c r="AN25" i="3"/>
  <c r="AN56" i="3"/>
  <c r="AN24" i="3"/>
  <c r="AN48" i="3"/>
  <c r="AN38" i="3"/>
  <c r="AN30" i="3"/>
  <c r="AN35" i="3"/>
  <c r="AN27" i="3"/>
  <c r="AN23" i="3"/>
  <c r="AN22" i="3"/>
  <c r="AN21" i="3"/>
  <c r="AN32" i="3"/>
  <c r="AN55" i="3"/>
  <c r="AN46" i="3"/>
  <c r="CP17" i="3" a="1"/>
  <c r="CP17" i="3" s="1"/>
  <c r="CP16" i="3" a="1"/>
  <c r="CP16" i="3" s="1"/>
  <c r="CP15" i="3" a="1"/>
  <c r="CP15" i="3" s="1"/>
  <c r="BT191" i="3"/>
  <c r="BT190" i="3"/>
  <c r="BT189" i="3"/>
  <c r="BT188" i="3"/>
  <c r="BT187" i="3"/>
  <c r="BT186" i="3"/>
  <c r="BT185" i="3"/>
  <c r="BT184" i="3"/>
  <c r="BT183" i="3"/>
  <c r="BT182" i="3"/>
  <c r="BT181" i="3"/>
  <c r="BT180" i="3"/>
  <c r="BT179" i="3"/>
  <c r="BT178" i="3"/>
  <c r="BT177" i="3"/>
  <c r="BT176" i="3"/>
  <c r="BT175" i="3"/>
  <c r="BT174" i="3"/>
  <c r="BT166" i="3"/>
  <c r="BT165" i="3"/>
  <c r="BT164" i="3"/>
  <c r="BT163" i="3"/>
  <c r="BT162" i="3"/>
  <c r="BT161" i="3"/>
  <c r="BT160" i="3"/>
  <c r="BT159" i="3"/>
  <c r="BT171" i="3"/>
  <c r="BT168" i="3"/>
  <c r="BT170" i="3"/>
  <c r="BT173" i="3"/>
  <c r="BT172" i="3"/>
  <c r="BT153" i="3"/>
  <c r="BT149" i="3"/>
  <c r="BT148" i="3"/>
  <c r="BT147" i="3"/>
  <c r="BT146" i="3"/>
  <c r="BT145" i="3"/>
  <c r="BT144" i="3"/>
  <c r="BT143" i="3"/>
  <c r="BT142" i="3"/>
  <c r="BT141" i="3"/>
  <c r="BT140" i="3"/>
  <c r="BT139" i="3"/>
  <c r="BT138" i="3"/>
  <c r="BT137" i="3"/>
  <c r="BT136" i="3"/>
  <c r="BT135" i="3"/>
  <c r="BT134" i="3"/>
  <c r="BT133" i="3"/>
  <c r="BT169" i="3"/>
  <c r="BT152" i="3"/>
  <c r="BT151" i="3"/>
  <c r="BT157" i="3"/>
  <c r="BT150" i="3"/>
  <c r="BT167" i="3"/>
  <c r="BT155" i="3"/>
  <c r="BT158" i="3"/>
  <c r="BT156" i="3"/>
  <c r="BT132" i="3"/>
  <c r="BT129" i="3"/>
  <c r="BT131" i="3"/>
  <c r="BT130" i="3"/>
  <c r="BT123" i="3"/>
  <c r="BT119" i="3"/>
  <c r="BT115" i="3"/>
  <c r="BT111" i="3"/>
  <c r="BT127" i="3"/>
  <c r="BT124" i="3"/>
  <c r="BT122" i="3"/>
  <c r="BT118" i="3"/>
  <c r="BT114" i="3"/>
  <c r="BT110" i="3"/>
  <c r="BT125" i="3"/>
  <c r="BT121" i="3"/>
  <c r="BT117" i="3"/>
  <c r="BT113" i="3"/>
  <c r="BT109" i="3"/>
  <c r="BT107" i="3"/>
  <c r="BT120" i="3"/>
  <c r="BT95" i="3"/>
  <c r="BT87" i="3"/>
  <c r="BT154" i="3"/>
  <c r="BT106" i="3"/>
  <c r="BT92" i="3"/>
  <c r="BT84" i="3"/>
  <c r="BT83" i="3"/>
  <c r="BT82" i="3"/>
  <c r="BT81" i="3"/>
  <c r="BT80" i="3"/>
  <c r="BT79" i="3"/>
  <c r="BT78" i="3"/>
  <c r="BT77" i="3"/>
  <c r="BT76" i="3"/>
  <c r="BT75" i="3"/>
  <c r="BT74" i="3"/>
  <c r="BT73" i="3"/>
  <c r="BT72" i="3"/>
  <c r="BT71" i="3"/>
  <c r="BT70" i="3"/>
  <c r="BT69" i="3"/>
  <c r="BT68" i="3"/>
  <c r="BT67" i="3"/>
  <c r="BT66" i="3"/>
  <c r="BT65" i="3"/>
  <c r="BT64" i="3"/>
  <c r="BT63" i="3"/>
  <c r="BT62" i="3"/>
  <c r="BT61" i="3"/>
  <c r="BT60" i="3"/>
  <c r="BT59" i="3"/>
  <c r="BT58" i="3"/>
  <c r="BT57" i="3"/>
  <c r="BT97" i="3"/>
  <c r="BT89" i="3"/>
  <c r="BT126" i="3"/>
  <c r="BT108" i="3"/>
  <c r="BT94" i="3"/>
  <c r="BT86" i="3"/>
  <c r="BT112" i="3"/>
  <c r="BT105" i="3"/>
  <c r="BT104" i="3"/>
  <c r="BT91" i="3"/>
  <c r="BT96" i="3"/>
  <c r="BT88" i="3"/>
  <c r="BT103" i="3"/>
  <c r="BT101" i="3"/>
  <c r="BT99" i="3"/>
  <c r="BT85" i="3"/>
  <c r="BT56" i="3"/>
  <c r="BT55" i="3"/>
  <c r="BT54" i="3"/>
  <c r="BT53" i="3"/>
  <c r="BT52" i="3"/>
  <c r="BT51" i="3"/>
  <c r="BT50" i="3"/>
  <c r="BT49" i="3"/>
  <c r="BT48" i="3"/>
  <c r="BT47" i="3"/>
  <c r="BT46" i="3"/>
  <c r="BT45" i="3"/>
  <c r="BT102" i="3"/>
  <c r="BT100" i="3"/>
  <c r="BT98" i="3"/>
  <c r="BT42" i="3"/>
  <c r="BT44" i="3"/>
  <c r="BT34" i="3"/>
  <c r="BT26" i="3"/>
  <c r="BT128" i="3"/>
  <c r="BT90" i="3"/>
  <c r="BT40" i="3"/>
  <c r="BT37" i="3"/>
  <c r="BT29" i="3"/>
  <c r="BT116" i="3"/>
  <c r="BT93" i="3"/>
  <c r="BT39" i="3"/>
  <c r="BT31" i="3"/>
  <c r="BT23" i="3"/>
  <c r="BT22" i="3"/>
  <c r="BT21" i="3"/>
  <c r="BT20" i="3"/>
  <c r="CK4" i="3" a="1"/>
  <c r="CK4" i="3" s="1"/>
  <c r="BT41" i="3"/>
  <c r="BT36" i="3"/>
  <c r="BT28" i="3"/>
  <c r="AB15" i="3"/>
  <c r="BT33" i="3"/>
  <c r="BT25" i="3"/>
  <c r="BT38" i="3"/>
  <c r="BT30" i="3"/>
  <c r="BT35" i="3"/>
  <c r="BT27" i="3"/>
  <c r="AB16" i="3"/>
  <c r="BT32" i="3"/>
  <c r="BT24" i="3"/>
  <c r="BT43" i="3"/>
  <c r="BR527" i="2"/>
  <c r="BR519" i="2"/>
  <c r="BR533" i="2"/>
  <c r="BR526" i="2"/>
  <c r="BR518" i="2"/>
  <c r="BR524" i="2"/>
  <c r="BR523" i="2"/>
  <c r="BR515" i="2"/>
  <c r="BR531" i="2"/>
  <c r="BR530" i="2"/>
  <c r="BR522" i="2"/>
  <c r="BR508" i="2"/>
  <c r="BR532" i="2"/>
  <c r="BR516" i="2"/>
  <c r="BR517" i="2"/>
  <c r="BR514" i="2"/>
  <c r="BR506" i="2"/>
  <c r="BR513" i="2"/>
  <c r="BR529" i="2"/>
  <c r="BR512" i="2"/>
  <c r="BR521" i="2"/>
  <c r="BR510" i="2"/>
  <c r="BR502" i="2"/>
  <c r="BR494" i="2"/>
  <c r="BR501" i="2"/>
  <c r="BR493" i="2"/>
  <c r="BR520" i="2"/>
  <c r="BR505" i="2"/>
  <c r="BR499" i="2"/>
  <c r="BR509" i="2"/>
  <c r="BR498" i="2"/>
  <c r="BR500" i="2"/>
  <c r="BR488" i="2"/>
  <c r="BR487" i="2"/>
  <c r="BR486" i="2"/>
  <c r="BR525" i="2"/>
  <c r="BR511" i="2"/>
  <c r="BR507" i="2"/>
  <c r="BR503" i="2"/>
  <c r="BR492" i="2"/>
  <c r="BR495" i="2"/>
  <c r="BR491" i="2"/>
  <c r="BR497" i="2"/>
  <c r="BR528" i="2"/>
  <c r="BR489" i="2"/>
  <c r="BR483" i="2"/>
  <c r="BR475" i="2"/>
  <c r="BR482" i="2"/>
  <c r="BR474" i="2"/>
  <c r="BR504" i="2"/>
  <c r="BR484" i="2"/>
  <c r="BR480" i="2"/>
  <c r="BR496" i="2"/>
  <c r="BR479" i="2"/>
  <c r="BR467" i="2"/>
  <c r="BR476" i="2"/>
  <c r="BR466" i="2"/>
  <c r="BR478" i="2"/>
  <c r="BR477" i="2"/>
  <c r="BR465" i="2"/>
  <c r="BR464" i="2"/>
  <c r="BR485" i="2"/>
  <c r="BR481" i="2"/>
  <c r="BR473" i="2"/>
  <c r="BR471" i="2"/>
  <c r="BR463" i="2"/>
  <c r="BR472" i="2"/>
  <c r="BR470" i="2"/>
  <c r="BR469" i="2"/>
  <c r="BR461" i="2"/>
  <c r="BR457" i="2"/>
  <c r="BR449" i="2"/>
  <c r="BR441" i="2"/>
  <c r="BR433" i="2"/>
  <c r="BR459" i="2"/>
  <c r="BR456" i="2"/>
  <c r="BR448" i="2"/>
  <c r="BR440" i="2"/>
  <c r="BR432" i="2"/>
  <c r="BR455" i="2"/>
  <c r="BR447" i="2"/>
  <c r="BR439" i="2"/>
  <c r="BR431" i="2"/>
  <c r="BR454" i="2"/>
  <c r="BR490" i="2"/>
  <c r="BR462" i="2"/>
  <c r="BR453" i="2"/>
  <c r="BR445" i="2"/>
  <c r="BR437" i="2"/>
  <c r="BR452" i="2"/>
  <c r="BR444" i="2"/>
  <c r="BR436" i="2"/>
  <c r="BR446" i="2"/>
  <c r="BR458" i="2"/>
  <c r="BR443" i="2"/>
  <c r="BR434" i="2"/>
  <c r="BR430" i="2"/>
  <c r="BR424" i="2"/>
  <c r="BR416" i="2"/>
  <c r="BR423" i="2"/>
  <c r="BR415" i="2"/>
  <c r="BR468" i="2"/>
  <c r="BR450" i="2"/>
  <c r="BR442" i="2"/>
  <c r="BR438" i="2"/>
  <c r="BR421" i="2"/>
  <c r="BR413" i="2"/>
  <c r="BR451" i="2"/>
  <c r="BR420" i="2"/>
  <c r="BR412" i="2"/>
  <c r="BR417" i="2"/>
  <c r="BR419" i="2"/>
  <c r="BR418" i="2"/>
  <c r="BR435" i="2"/>
  <c r="BR428" i="2"/>
  <c r="BR426" i="2"/>
  <c r="BR422" i="2"/>
  <c r="BR414" i="2"/>
  <c r="BR411" i="2"/>
  <c r="BR460" i="2"/>
  <c r="BR405" i="2"/>
  <c r="BR427" i="2"/>
  <c r="BR407" i="2"/>
  <c r="BR401" i="2"/>
  <c r="BR429" i="2"/>
  <c r="BR409" i="2"/>
  <c r="BR398" i="2"/>
  <c r="BR390" i="2"/>
  <c r="BR395" i="2"/>
  <c r="BR387" i="2"/>
  <c r="BR400" i="2"/>
  <c r="BR425" i="2"/>
  <c r="BR410" i="2"/>
  <c r="BR404" i="2"/>
  <c r="BR397" i="2"/>
  <c r="BR389" i="2"/>
  <c r="BR406" i="2"/>
  <c r="BR403" i="2"/>
  <c r="BR402" i="2"/>
  <c r="BR394" i="2"/>
  <c r="BR386" i="2"/>
  <c r="BR392" i="2"/>
  <c r="BR380" i="2"/>
  <c r="BR372" i="2"/>
  <c r="BR368" i="2"/>
  <c r="BR408" i="2"/>
  <c r="BR396" i="2"/>
  <c r="BR393" i="2"/>
  <c r="BR388" i="2"/>
  <c r="BR385" i="2"/>
  <c r="BR383" i="2"/>
  <c r="BR375" i="2"/>
  <c r="BR369" i="2"/>
  <c r="BR378" i="2"/>
  <c r="BR370" i="2"/>
  <c r="BR399" i="2"/>
  <c r="BR381" i="2"/>
  <c r="BR373" i="2"/>
  <c r="BR384" i="2"/>
  <c r="BR376" i="2"/>
  <c r="BR379" i="2"/>
  <c r="BR371" i="2"/>
  <c r="BR382" i="2"/>
  <c r="BR374" i="2"/>
  <c r="BR366" i="2"/>
  <c r="BR365" i="2"/>
  <c r="BR364" i="2"/>
  <c r="BR363" i="2"/>
  <c r="BR362" i="2"/>
  <c r="BR361" i="2"/>
  <c r="BR360" i="2"/>
  <c r="BR359" i="2"/>
  <c r="BR358" i="2"/>
  <c r="BR357" i="2"/>
  <c r="BR356" i="2"/>
  <c r="BR355" i="2"/>
  <c r="BR354" i="2"/>
  <c r="BR353" i="2"/>
  <c r="BR352" i="2"/>
  <c r="BR351" i="2"/>
  <c r="BR350" i="2"/>
  <c r="BR349" i="2"/>
  <c r="BR348" i="2"/>
  <c r="BR391" i="2"/>
  <c r="BR367" i="2"/>
  <c r="BR345" i="2"/>
  <c r="BR342" i="2"/>
  <c r="BR346" i="2"/>
  <c r="BR347" i="2"/>
  <c r="BR377" i="2"/>
  <c r="BR343" i="2"/>
  <c r="BR341" i="2"/>
  <c r="BR340" i="2"/>
  <c r="BR339" i="2"/>
  <c r="BR338" i="2"/>
  <c r="BR337" i="2"/>
  <c r="BR336" i="2"/>
  <c r="BR335" i="2"/>
  <c r="BR334" i="2"/>
  <c r="BR333" i="2"/>
  <c r="BR332" i="2"/>
  <c r="BR331" i="2"/>
  <c r="BR330" i="2"/>
  <c r="BR329" i="2"/>
  <c r="BR328" i="2"/>
  <c r="BR327" i="2"/>
  <c r="BR321" i="2"/>
  <c r="BR318" i="2"/>
  <c r="BR310" i="2"/>
  <c r="BR302" i="2"/>
  <c r="BR294" i="2"/>
  <c r="BR291" i="2"/>
  <c r="BR324" i="2"/>
  <c r="BR317" i="2"/>
  <c r="BR309" i="2"/>
  <c r="BR301" i="2"/>
  <c r="BR288" i="2"/>
  <c r="BR319" i="2"/>
  <c r="BR316" i="2"/>
  <c r="BR308" i="2"/>
  <c r="BR300" i="2"/>
  <c r="BR293" i="2"/>
  <c r="BR285" i="2"/>
  <c r="BR322" i="2"/>
  <c r="BR315" i="2"/>
  <c r="BR307" i="2"/>
  <c r="BR299" i="2"/>
  <c r="BR290" i="2"/>
  <c r="BR283" i="2"/>
  <c r="BR282" i="2"/>
  <c r="BR281" i="2"/>
  <c r="BR280" i="2"/>
  <c r="BR279" i="2"/>
  <c r="BR278" i="2"/>
  <c r="BR325" i="2"/>
  <c r="BR314" i="2"/>
  <c r="BR306" i="2"/>
  <c r="BR298" i="2"/>
  <c r="BR287" i="2"/>
  <c r="BR344" i="2"/>
  <c r="BR320" i="2"/>
  <c r="BR313" i="2"/>
  <c r="BR305" i="2"/>
  <c r="BR297" i="2"/>
  <c r="BR292" i="2"/>
  <c r="BR284" i="2"/>
  <c r="BR323" i="2"/>
  <c r="BR312" i="2"/>
  <c r="BR304" i="2"/>
  <c r="BR296" i="2"/>
  <c r="BR289" i="2"/>
  <c r="BR326" i="2"/>
  <c r="BR303" i="2"/>
  <c r="BR276" i="2"/>
  <c r="BR272" i="2"/>
  <c r="BR270" i="2"/>
  <c r="BR269" i="2"/>
  <c r="BR268" i="2"/>
  <c r="BR267" i="2"/>
  <c r="BR266" i="2"/>
  <c r="BR265" i="2"/>
  <c r="BR264" i="2"/>
  <c r="BR263" i="2"/>
  <c r="BR262" i="2"/>
  <c r="BR261" i="2"/>
  <c r="BR260" i="2"/>
  <c r="BR259" i="2"/>
  <c r="BR258" i="2"/>
  <c r="BR257" i="2"/>
  <c r="BR256" i="2"/>
  <c r="BR255" i="2"/>
  <c r="BR254" i="2"/>
  <c r="BR253" i="2"/>
  <c r="BR252" i="2"/>
  <c r="BR251" i="2"/>
  <c r="BR250" i="2"/>
  <c r="BR249" i="2"/>
  <c r="BR248" i="2"/>
  <c r="BR247" i="2"/>
  <c r="BR286" i="2"/>
  <c r="BR274" i="2"/>
  <c r="BR271" i="2"/>
  <c r="BR311" i="2"/>
  <c r="BR295" i="2"/>
  <c r="BR273" i="2"/>
  <c r="BR277" i="2"/>
  <c r="BR275" i="2"/>
  <c r="BR246" i="2"/>
  <c r="BR245" i="2"/>
  <c r="BR244" i="2"/>
  <c r="BR242" i="2"/>
  <c r="BR240" i="2"/>
  <c r="BR220" i="2"/>
  <c r="BR219" i="2"/>
  <c r="BR218" i="2"/>
  <c r="BR217" i="2"/>
  <c r="BR216" i="2"/>
  <c r="BR215" i="2"/>
  <c r="BR214" i="2"/>
  <c r="BR213" i="2"/>
  <c r="BR212" i="2"/>
  <c r="BR211" i="2"/>
  <c r="BR210" i="2"/>
  <c r="BR209" i="2"/>
  <c r="BR208" i="2"/>
  <c r="BR207" i="2"/>
  <c r="BR206" i="2"/>
  <c r="BR205" i="2"/>
  <c r="BR204" i="2"/>
  <c r="BR203" i="2"/>
  <c r="BR202" i="2"/>
  <c r="BR201" i="2"/>
  <c r="BR200" i="2"/>
  <c r="BR199" i="2"/>
  <c r="BR198" i="2"/>
  <c r="BR197" i="2"/>
  <c r="BR196" i="2"/>
  <c r="BR195" i="2"/>
  <c r="BR194" i="2"/>
  <c r="BR193" i="2"/>
  <c r="BR192" i="2"/>
  <c r="BR191" i="2"/>
  <c r="BR190" i="2"/>
  <c r="BR189" i="2"/>
  <c r="BR188" i="2"/>
  <c r="BR187" i="2"/>
  <c r="BR186" i="2"/>
  <c r="BR185" i="2"/>
  <c r="BR184" i="2"/>
  <c r="BR238" i="2"/>
  <c r="BR237" i="2"/>
  <c r="BR236" i="2"/>
  <c r="BR235" i="2"/>
  <c r="BR234" i="2"/>
  <c r="BR233" i="2"/>
  <c r="BR232" i="2"/>
  <c r="BR231" i="2"/>
  <c r="BR230" i="2"/>
  <c r="BR229" i="2"/>
  <c r="BR228" i="2"/>
  <c r="BR227" i="2"/>
  <c r="BR226" i="2"/>
  <c r="BR225" i="2"/>
  <c r="BR224" i="2"/>
  <c r="BR223" i="2"/>
  <c r="BR222" i="2"/>
  <c r="BR221" i="2"/>
  <c r="BR181" i="2"/>
  <c r="BR178" i="2"/>
  <c r="BR177" i="2"/>
  <c r="BR175" i="2"/>
  <c r="BR243" i="2"/>
  <c r="BR179" i="2"/>
  <c r="BR241" i="2"/>
  <c r="BR180" i="2"/>
  <c r="BR174" i="2"/>
  <c r="BR173" i="2"/>
  <c r="BR172" i="2"/>
  <c r="BR171" i="2"/>
  <c r="BR170" i="2"/>
  <c r="BR169" i="2"/>
  <c r="BR168" i="2"/>
  <c r="BR167" i="2"/>
  <c r="BR166" i="2"/>
  <c r="BR165" i="2"/>
  <c r="BR164" i="2"/>
  <c r="BR163" i="2"/>
  <c r="BR162" i="2"/>
  <c r="BR161" i="2"/>
  <c r="BR160" i="2"/>
  <c r="BR159" i="2"/>
  <c r="BR158" i="2"/>
  <c r="BR157" i="2"/>
  <c r="BR156" i="2"/>
  <c r="BR155" i="2"/>
  <c r="BR154" i="2"/>
  <c r="BR153" i="2"/>
  <c r="BR152" i="2"/>
  <c r="BR151" i="2"/>
  <c r="BR150" i="2"/>
  <c r="BR149" i="2"/>
  <c r="BR148" i="2"/>
  <c r="BR147" i="2"/>
  <c r="BR146" i="2"/>
  <c r="BR145" i="2"/>
  <c r="BR144" i="2"/>
  <c r="BR143" i="2"/>
  <c r="BR142" i="2"/>
  <c r="BR141" i="2"/>
  <c r="BR140" i="2"/>
  <c r="BR139" i="2"/>
  <c r="BR138" i="2"/>
  <c r="BR137" i="2"/>
  <c r="BR136" i="2"/>
  <c r="BR135" i="2"/>
  <c r="BR134" i="2"/>
  <c r="BR133" i="2"/>
  <c r="BR132" i="2"/>
  <c r="BR239" i="2"/>
  <c r="BR183" i="2"/>
  <c r="BR129" i="2"/>
  <c r="BR125" i="2"/>
  <c r="BR176" i="2"/>
  <c r="BR130" i="2"/>
  <c r="BR126" i="2"/>
  <c r="BR121" i="2"/>
  <c r="BR120" i="2"/>
  <c r="BR119" i="2"/>
  <c r="BR118" i="2"/>
  <c r="BR117" i="2"/>
  <c r="BR116" i="2"/>
  <c r="BR115" i="2"/>
  <c r="BR114" i="2"/>
  <c r="BR113" i="2"/>
  <c r="BR112" i="2"/>
  <c r="BR111" i="2"/>
  <c r="BR110" i="2"/>
  <c r="BR109" i="2"/>
  <c r="BR108" i="2"/>
  <c r="BR107" i="2"/>
  <c r="BR106" i="2"/>
  <c r="BR105" i="2"/>
  <c r="BR104" i="2"/>
  <c r="BR103" i="2"/>
  <c r="BR102" i="2"/>
  <c r="BR101" i="2"/>
  <c r="BR100" i="2"/>
  <c r="BR99" i="2"/>
  <c r="BR98" i="2"/>
  <c r="BR97" i="2"/>
  <c r="BR96" i="2"/>
  <c r="BR95" i="2"/>
  <c r="BR94" i="2"/>
  <c r="BR93" i="2"/>
  <c r="BR92" i="2"/>
  <c r="BR91" i="2"/>
  <c r="BR90" i="2"/>
  <c r="BR89" i="2"/>
  <c r="BR88" i="2"/>
  <c r="BR87" i="2"/>
  <c r="BR86" i="2"/>
  <c r="BR85" i="2"/>
  <c r="BR84" i="2"/>
  <c r="BR83" i="2"/>
  <c r="BR82" i="2"/>
  <c r="BR81" i="2"/>
  <c r="BR80" i="2"/>
  <c r="BR182" i="2"/>
  <c r="BR123" i="2"/>
  <c r="BR131" i="2"/>
  <c r="BR127" i="2"/>
  <c r="BR122" i="2"/>
  <c r="BR78" i="2"/>
  <c r="BR74" i="2"/>
  <c r="BR70" i="2"/>
  <c r="BR66" i="2"/>
  <c r="Z15" i="2"/>
  <c r="BR59" i="2"/>
  <c r="BR49" i="2"/>
  <c r="BR41" i="2"/>
  <c r="BR34" i="2"/>
  <c r="BR29" i="2"/>
  <c r="BR27" i="2"/>
  <c r="BR77" i="2"/>
  <c r="BR73" i="2"/>
  <c r="BR69" i="2"/>
  <c r="BR58" i="2"/>
  <c r="BR57" i="2"/>
  <c r="BR54" i="2"/>
  <c r="BR50" i="2"/>
  <c r="BR44" i="2"/>
  <c r="BR42" i="2"/>
  <c r="BR40" i="2"/>
  <c r="BR33" i="2"/>
  <c r="BR31" i="2"/>
  <c r="BR124" i="2"/>
  <c r="BR62" i="2"/>
  <c r="BR61" i="2"/>
  <c r="Z16" i="2"/>
  <c r="BR56" i="2"/>
  <c r="BR46" i="2"/>
  <c r="BR25" i="2"/>
  <c r="BR76" i="2"/>
  <c r="BR72" i="2"/>
  <c r="BR68" i="2"/>
  <c r="BR63" i="2"/>
  <c r="CJ4" i="2" a="1"/>
  <c r="CJ4" i="2" s="1"/>
  <c r="BR60" i="2"/>
  <c r="BR53" i="2"/>
  <c r="BR38" i="2"/>
  <c r="BR36" i="2"/>
  <c r="BR35" i="2"/>
  <c r="BR32" i="2"/>
  <c r="BR28" i="2"/>
  <c r="BR64" i="2"/>
  <c r="BR52" i="2"/>
  <c r="BR51" i="2"/>
  <c r="BR45" i="2"/>
  <c r="BR26" i="2"/>
  <c r="BR24" i="2"/>
  <c r="BR128" i="2"/>
  <c r="BR79" i="2"/>
  <c r="BR75" i="2"/>
  <c r="BR71" i="2"/>
  <c r="BR67" i="2"/>
  <c r="BR65" i="2"/>
  <c r="BR55" i="2"/>
  <c r="BR48" i="2"/>
  <c r="BR47" i="2"/>
  <c r="BR43" i="2"/>
  <c r="BR39" i="2"/>
  <c r="BR37" i="2"/>
  <c r="BR30" i="2"/>
  <c r="BR21" i="2"/>
  <c r="BR23" i="2"/>
  <c r="BR20" i="2"/>
  <c r="BR22" i="2"/>
  <c r="BM524" i="2"/>
  <c r="BM516" i="2"/>
  <c r="BM523" i="2"/>
  <c r="BM529" i="2"/>
  <c r="BM532" i="2"/>
  <c r="BM528" i="2"/>
  <c r="BM520" i="2"/>
  <c r="BM527" i="2"/>
  <c r="BM519" i="2"/>
  <c r="BM513" i="2"/>
  <c r="BM505" i="2"/>
  <c r="BM525" i="2"/>
  <c r="BM521" i="2"/>
  <c r="BM533" i="2"/>
  <c r="BM522" i="2"/>
  <c r="BM511" i="2"/>
  <c r="BM531" i="2"/>
  <c r="BM515" i="2"/>
  <c r="BM510" i="2"/>
  <c r="BM530" i="2"/>
  <c r="BM509" i="2"/>
  <c r="BM526" i="2"/>
  <c r="BM518" i="2"/>
  <c r="BM507" i="2"/>
  <c r="BM499" i="2"/>
  <c r="BM508" i="2"/>
  <c r="BM498" i="2"/>
  <c r="BM517" i="2"/>
  <c r="BM496" i="2"/>
  <c r="BM506" i="2"/>
  <c r="BM503" i="2"/>
  <c r="BM495" i="2"/>
  <c r="BM514" i="2"/>
  <c r="BM485" i="2"/>
  <c r="BM504" i="2"/>
  <c r="BM497" i="2"/>
  <c r="BM492" i="2"/>
  <c r="BM484" i="2"/>
  <c r="BM491" i="2"/>
  <c r="BM493" i="2"/>
  <c r="BM489" i="2"/>
  <c r="BM502" i="2"/>
  <c r="BM501" i="2"/>
  <c r="BM488" i="2"/>
  <c r="BM490" i="2"/>
  <c r="BM487" i="2"/>
  <c r="BM494" i="2"/>
  <c r="BM480" i="2"/>
  <c r="BM472" i="2"/>
  <c r="BM479" i="2"/>
  <c r="BM500" i="2"/>
  <c r="BM486" i="2"/>
  <c r="BM483" i="2"/>
  <c r="BM477" i="2"/>
  <c r="BM512" i="2"/>
  <c r="BM476" i="2"/>
  <c r="BM464" i="2"/>
  <c r="BM474" i="2"/>
  <c r="BM471" i="2"/>
  <c r="BM463" i="2"/>
  <c r="BM475" i="2"/>
  <c r="BM470" i="2"/>
  <c r="BM462" i="2"/>
  <c r="BM482" i="2"/>
  <c r="BM469" i="2"/>
  <c r="BM461" i="2"/>
  <c r="BM468" i="2"/>
  <c r="BM478" i="2"/>
  <c r="BM467" i="2"/>
  <c r="BM466" i="2"/>
  <c r="BM454" i="2"/>
  <c r="BM446" i="2"/>
  <c r="BM438" i="2"/>
  <c r="BM430" i="2"/>
  <c r="BM453" i="2"/>
  <c r="BM445" i="2"/>
  <c r="BM437" i="2"/>
  <c r="BM452" i="2"/>
  <c r="BM444" i="2"/>
  <c r="BM436" i="2"/>
  <c r="BM460" i="2"/>
  <c r="BM451" i="2"/>
  <c r="BM481" i="2"/>
  <c r="BM458" i="2"/>
  <c r="BM450" i="2"/>
  <c r="BM442" i="2"/>
  <c r="BM434" i="2"/>
  <c r="BM473" i="2"/>
  <c r="BM459" i="2"/>
  <c r="BM457" i="2"/>
  <c r="BM449" i="2"/>
  <c r="BM441" i="2"/>
  <c r="BM433" i="2"/>
  <c r="BM435" i="2"/>
  <c r="BM447" i="2"/>
  <c r="BM421" i="2"/>
  <c r="BM413" i="2"/>
  <c r="BM440" i="2"/>
  <c r="BM431" i="2"/>
  <c r="BM429" i="2"/>
  <c r="BM420" i="2"/>
  <c r="BM412" i="2"/>
  <c r="BM465" i="2"/>
  <c r="BM443" i="2"/>
  <c r="BM418" i="2"/>
  <c r="BM456" i="2"/>
  <c r="BM455" i="2"/>
  <c r="BM448" i="2"/>
  <c r="BM439" i="2"/>
  <c r="BM425" i="2"/>
  <c r="BM417" i="2"/>
  <c r="BM427" i="2"/>
  <c r="BM424" i="2"/>
  <c r="BM415" i="2"/>
  <c r="BM416" i="2"/>
  <c r="BM408" i="2"/>
  <c r="BM404" i="2"/>
  <c r="BM428" i="2"/>
  <c r="BM426" i="2"/>
  <c r="BM419" i="2"/>
  <c r="BM409" i="2"/>
  <c r="BM402" i="2"/>
  <c r="BM401" i="2"/>
  <c r="BM400" i="2"/>
  <c r="BM399" i="2"/>
  <c r="BM398" i="2"/>
  <c r="BM397" i="2"/>
  <c r="BM396" i="2"/>
  <c r="BM395" i="2"/>
  <c r="BM394" i="2"/>
  <c r="BM393" i="2"/>
  <c r="BM392" i="2"/>
  <c r="BM391" i="2"/>
  <c r="BM390" i="2"/>
  <c r="BM389" i="2"/>
  <c r="BM388" i="2"/>
  <c r="BM387" i="2"/>
  <c r="BM386" i="2"/>
  <c r="BM414" i="2"/>
  <c r="BM411" i="2"/>
  <c r="BM403" i="2"/>
  <c r="BM407" i="2"/>
  <c r="BM423" i="2"/>
  <c r="BM422" i="2"/>
  <c r="BM432" i="2"/>
  <c r="BM385" i="2"/>
  <c r="BM379" i="2"/>
  <c r="BM371" i="2"/>
  <c r="BM382" i="2"/>
  <c r="BM374" i="2"/>
  <c r="BM377" i="2"/>
  <c r="BM380" i="2"/>
  <c r="BM372" i="2"/>
  <c r="BM367" i="2"/>
  <c r="BM366" i="2"/>
  <c r="BM365" i="2"/>
  <c r="BM364" i="2"/>
  <c r="BM363" i="2"/>
  <c r="BM362" i="2"/>
  <c r="BM361" i="2"/>
  <c r="BM360" i="2"/>
  <c r="BM359" i="2"/>
  <c r="BM358" i="2"/>
  <c r="BM357" i="2"/>
  <c r="BM356" i="2"/>
  <c r="BM355" i="2"/>
  <c r="BM354" i="2"/>
  <c r="BM353" i="2"/>
  <c r="BM352" i="2"/>
  <c r="BM351" i="2"/>
  <c r="BM350" i="2"/>
  <c r="BM349" i="2"/>
  <c r="BM348" i="2"/>
  <c r="BM347" i="2"/>
  <c r="BM346" i="2"/>
  <c r="BM345" i="2"/>
  <c r="BM344" i="2"/>
  <c r="BM343" i="2"/>
  <c r="BM342" i="2"/>
  <c r="BM383" i="2"/>
  <c r="BM375" i="2"/>
  <c r="BM368" i="2"/>
  <c r="BM378" i="2"/>
  <c r="BM369" i="2"/>
  <c r="BM410" i="2"/>
  <c r="BM406" i="2"/>
  <c r="BM405" i="2"/>
  <c r="BM381" i="2"/>
  <c r="BM373" i="2"/>
  <c r="BM370" i="2"/>
  <c r="BM341" i="2"/>
  <c r="BM340" i="2"/>
  <c r="BM339" i="2"/>
  <c r="BM338" i="2"/>
  <c r="BM337" i="2"/>
  <c r="BM336" i="2"/>
  <c r="BM335" i="2"/>
  <c r="BM334" i="2"/>
  <c r="BM333" i="2"/>
  <c r="BM332" i="2"/>
  <c r="BM331" i="2"/>
  <c r="BM330" i="2"/>
  <c r="BM329" i="2"/>
  <c r="BM384" i="2"/>
  <c r="BM376" i="2"/>
  <c r="BM323" i="2"/>
  <c r="BM313" i="2"/>
  <c r="BM305" i="2"/>
  <c r="BM297" i="2"/>
  <c r="BM287" i="2"/>
  <c r="BM283" i="2"/>
  <c r="BM282" i="2"/>
  <c r="BM281" i="2"/>
  <c r="BM280" i="2"/>
  <c r="BM279" i="2"/>
  <c r="BM278" i="2"/>
  <c r="BM277" i="2"/>
  <c r="BM276" i="2"/>
  <c r="BM275" i="2"/>
  <c r="BM326" i="2"/>
  <c r="BM312" i="2"/>
  <c r="BM304" i="2"/>
  <c r="BM296" i="2"/>
  <c r="BM292" i="2"/>
  <c r="BM284" i="2"/>
  <c r="BM321" i="2"/>
  <c r="BM311" i="2"/>
  <c r="BM303" i="2"/>
  <c r="BM295" i="2"/>
  <c r="BM289" i="2"/>
  <c r="BM324" i="2"/>
  <c r="BM318" i="2"/>
  <c r="BM310" i="2"/>
  <c r="BM302" i="2"/>
  <c r="BM294" i="2"/>
  <c r="BM286" i="2"/>
  <c r="BM319" i="2"/>
  <c r="BM317" i="2"/>
  <c r="BM309" i="2"/>
  <c r="BM301" i="2"/>
  <c r="BM291" i="2"/>
  <c r="BM322" i="2"/>
  <c r="BM316" i="2"/>
  <c r="BM308" i="2"/>
  <c r="BM300" i="2"/>
  <c r="BM288" i="2"/>
  <c r="BM328" i="2"/>
  <c r="BM325" i="2"/>
  <c r="BM315" i="2"/>
  <c r="BM307" i="2"/>
  <c r="BM299" i="2"/>
  <c r="BM293" i="2"/>
  <c r="BM285" i="2"/>
  <c r="BM327" i="2"/>
  <c r="BM306" i="2"/>
  <c r="BM273" i="2"/>
  <c r="BM320" i="2"/>
  <c r="BM246" i="2"/>
  <c r="BM245" i="2"/>
  <c r="BM244" i="2"/>
  <c r="BM272" i="2"/>
  <c r="BM314" i="2"/>
  <c r="BM298" i="2"/>
  <c r="BM274" i="2"/>
  <c r="BM270" i="2"/>
  <c r="BM269" i="2"/>
  <c r="BM268" i="2"/>
  <c r="BM267" i="2"/>
  <c r="BM266" i="2"/>
  <c r="BM265" i="2"/>
  <c r="BM264" i="2"/>
  <c r="BM263" i="2"/>
  <c r="BM262" i="2"/>
  <c r="BM261" i="2"/>
  <c r="BM260" i="2"/>
  <c r="BM259" i="2"/>
  <c r="BM258" i="2"/>
  <c r="BM257" i="2"/>
  <c r="BM256" i="2"/>
  <c r="BM255" i="2"/>
  <c r="BM254" i="2"/>
  <c r="BM253" i="2"/>
  <c r="BM252" i="2"/>
  <c r="BM251" i="2"/>
  <c r="BM250" i="2"/>
  <c r="BM249" i="2"/>
  <c r="BM248" i="2"/>
  <c r="BM247" i="2"/>
  <c r="BM238" i="2"/>
  <c r="BM237" i="2"/>
  <c r="BM236" i="2"/>
  <c r="BM235" i="2"/>
  <c r="BM234" i="2"/>
  <c r="BM233" i="2"/>
  <c r="BM232" i="2"/>
  <c r="BM231" i="2"/>
  <c r="BM230" i="2"/>
  <c r="BM229" i="2"/>
  <c r="BM228" i="2"/>
  <c r="BM227" i="2"/>
  <c r="BM226" i="2"/>
  <c r="BM225" i="2"/>
  <c r="BM224" i="2"/>
  <c r="BM223" i="2"/>
  <c r="BM222" i="2"/>
  <c r="BM221" i="2"/>
  <c r="BM271" i="2"/>
  <c r="BM243" i="2"/>
  <c r="BM241" i="2"/>
  <c r="BM239" i="2"/>
  <c r="BM290" i="2"/>
  <c r="BM242" i="2"/>
  <c r="BM240" i="2"/>
  <c r="BM220" i="2"/>
  <c r="BM219" i="2"/>
  <c r="BM218" i="2"/>
  <c r="BM217" i="2"/>
  <c r="BM216" i="2"/>
  <c r="BM215" i="2"/>
  <c r="BM214" i="2"/>
  <c r="BM213" i="2"/>
  <c r="BM212" i="2"/>
  <c r="BM211" i="2"/>
  <c r="BM210" i="2"/>
  <c r="BM209" i="2"/>
  <c r="BM208" i="2"/>
  <c r="BM207" i="2"/>
  <c r="BM206" i="2"/>
  <c r="BM205" i="2"/>
  <c r="BM204" i="2"/>
  <c r="BM203" i="2"/>
  <c r="BM202" i="2"/>
  <c r="BM201" i="2"/>
  <c r="BM200" i="2"/>
  <c r="BM199" i="2"/>
  <c r="BM198" i="2"/>
  <c r="BM197" i="2"/>
  <c r="BM196" i="2"/>
  <c r="BM195" i="2"/>
  <c r="BM194" i="2"/>
  <c r="BM193" i="2"/>
  <c r="BM192" i="2"/>
  <c r="BM191" i="2"/>
  <c r="BM190" i="2"/>
  <c r="BM189" i="2"/>
  <c r="BM188" i="2"/>
  <c r="BM187" i="2"/>
  <c r="BM186" i="2"/>
  <c r="BM185" i="2"/>
  <c r="BM184" i="2"/>
  <c r="BM183" i="2"/>
  <c r="BM182" i="2"/>
  <c r="BM181" i="2"/>
  <c r="BM180" i="2"/>
  <c r="BM179" i="2"/>
  <c r="BM178" i="2"/>
  <c r="BM177" i="2"/>
  <c r="BM176" i="2"/>
  <c r="BM175" i="2"/>
  <c r="BM174" i="2"/>
  <c r="BM173" i="2"/>
  <c r="BM172" i="2"/>
  <c r="BM171" i="2"/>
  <c r="BM170" i="2"/>
  <c r="BM169" i="2"/>
  <c r="BM168" i="2"/>
  <c r="BM167" i="2"/>
  <c r="BM166" i="2"/>
  <c r="BM165" i="2"/>
  <c r="BM164" i="2"/>
  <c r="BM163" i="2"/>
  <c r="BM162" i="2"/>
  <c r="BM161" i="2"/>
  <c r="BM160" i="2"/>
  <c r="BM159" i="2"/>
  <c r="BM158" i="2"/>
  <c r="BM157" i="2"/>
  <c r="BM156" i="2"/>
  <c r="BM155" i="2"/>
  <c r="BM154" i="2"/>
  <c r="BM153" i="2"/>
  <c r="BM152" i="2"/>
  <c r="BM151" i="2"/>
  <c r="BM150" i="2"/>
  <c r="BM149" i="2"/>
  <c r="BM148" i="2"/>
  <c r="BM147" i="2"/>
  <c r="BM146" i="2"/>
  <c r="BM145" i="2"/>
  <c r="BM144" i="2"/>
  <c r="BM143" i="2"/>
  <c r="BM142" i="2"/>
  <c r="BM141" i="2"/>
  <c r="BM140" i="2"/>
  <c r="BM139" i="2"/>
  <c r="BM138" i="2"/>
  <c r="BM137" i="2"/>
  <c r="BM136" i="2"/>
  <c r="BM135" i="2"/>
  <c r="BM134" i="2"/>
  <c r="BM133" i="2"/>
  <c r="BM132" i="2"/>
  <c r="BM131" i="2"/>
  <c r="BM130" i="2"/>
  <c r="BM129" i="2"/>
  <c r="BM128" i="2"/>
  <c r="BM127" i="2"/>
  <c r="BM126" i="2"/>
  <c r="BM125" i="2"/>
  <c r="BM124" i="2"/>
  <c r="BM123" i="2"/>
  <c r="BM122" i="2"/>
  <c r="BM118" i="2"/>
  <c r="BM110" i="2"/>
  <c r="BM102" i="2"/>
  <c r="BM94" i="2"/>
  <c r="BM86" i="2"/>
  <c r="BM64" i="2"/>
  <c r="U16" i="2"/>
  <c r="BM121" i="2"/>
  <c r="BM113" i="2"/>
  <c r="BM105" i="2"/>
  <c r="BM97" i="2"/>
  <c r="BM89" i="2"/>
  <c r="BM81" i="2"/>
  <c r="BM79" i="2"/>
  <c r="BM75" i="2"/>
  <c r="BM71" i="2"/>
  <c r="BM67" i="2"/>
  <c r="BM65" i="2"/>
  <c r="BM61" i="2"/>
  <c r="BM116" i="2"/>
  <c r="BM108" i="2"/>
  <c r="BM100" i="2"/>
  <c r="BM92" i="2"/>
  <c r="BM84" i="2"/>
  <c r="BM99" i="2"/>
  <c r="BM119" i="2"/>
  <c r="BM111" i="2"/>
  <c r="BM103" i="2"/>
  <c r="BM95" i="2"/>
  <c r="BM87" i="2"/>
  <c r="BM82" i="2"/>
  <c r="BM78" i="2"/>
  <c r="BM74" i="2"/>
  <c r="BM70" i="2"/>
  <c r="BM66" i="2"/>
  <c r="BM72" i="2"/>
  <c r="BM63" i="2"/>
  <c r="BM114" i="2"/>
  <c r="BM106" i="2"/>
  <c r="BM98" i="2"/>
  <c r="BM90" i="2"/>
  <c r="BM60" i="2"/>
  <c r="BM59" i="2"/>
  <c r="BM58" i="2"/>
  <c r="BM57" i="2"/>
  <c r="BM56" i="2"/>
  <c r="BM55" i="2"/>
  <c r="BM54" i="2"/>
  <c r="BM53" i="2"/>
  <c r="BM52" i="2"/>
  <c r="BM51" i="2"/>
  <c r="BM50" i="2"/>
  <c r="BM49" i="2"/>
  <c r="BM48" i="2"/>
  <c r="BM47" i="2"/>
  <c r="BM46" i="2"/>
  <c r="BM45" i="2"/>
  <c r="BM44" i="2"/>
  <c r="BM43" i="2"/>
  <c r="BM42" i="2"/>
  <c r="BM41" i="2"/>
  <c r="BM40" i="2"/>
  <c r="BM39" i="2"/>
  <c r="BM38" i="2"/>
  <c r="BM37" i="2"/>
  <c r="BM36" i="2"/>
  <c r="BM35" i="2"/>
  <c r="BM34" i="2"/>
  <c r="BM33" i="2"/>
  <c r="BM32" i="2"/>
  <c r="BM31" i="2"/>
  <c r="BM30" i="2"/>
  <c r="BM29" i="2"/>
  <c r="BM28" i="2"/>
  <c r="BM27" i="2"/>
  <c r="BM26" i="2"/>
  <c r="BM25" i="2"/>
  <c r="BM24" i="2"/>
  <c r="BM23" i="2"/>
  <c r="BM22" i="2"/>
  <c r="BM21" i="2"/>
  <c r="BM20" i="2"/>
  <c r="BM76" i="2"/>
  <c r="BM68" i="2"/>
  <c r="BM117" i="2"/>
  <c r="BM109" i="2"/>
  <c r="BM101" i="2"/>
  <c r="BM93" i="2"/>
  <c r="BM85" i="2"/>
  <c r="BM83" i="2"/>
  <c r="BM77" i="2"/>
  <c r="BM73" i="2"/>
  <c r="BM69" i="2"/>
  <c r="U15" i="2"/>
  <c r="BM115" i="2"/>
  <c r="BM107" i="2"/>
  <c r="BM91" i="2"/>
  <c r="BM80" i="2"/>
  <c r="BM120" i="2"/>
  <c r="BM112" i="2"/>
  <c r="BM104" i="2"/>
  <c r="BM96" i="2"/>
  <c r="BM88" i="2"/>
  <c r="BM62" i="2"/>
  <c r="BQ532" i="2"/>
  <c r="BQ528" i="2"/>
  <c r="BQ520" i="2"/>
  <c r="BQ527" i="2"/>
  <c r="BQ519" i="2"/>
  <c r="BQ525" i="2"/>
  <c r="BQ524" i="2"/>
  <c r="BQ516" i="2"/>
  <c r="BQ523" i="2"/>
  <c r="BQ515" i="2"/>
  <c r="BQ522" i="2"/>
  <c r="BQ509" i="2"/>
  <c r="BQ533" i="2"/>
  <c r="BQ531" i="2"/>
  <c r="BQ530" i="2"/>
  <c r="BQ507" i="2"/>
  <c r="BQ517" i="2"/>
  <c r="BQ514" i="2"/>
  <c r="BQ518" i="2"/>
  <c r="BQ513" i="2"/>
  <c r="BQ505" i="2"/>
  <c r="BQ511" i="2"/>
  <c r="BQ508" i="2"/>
  <c r="BQ503" i="2"/>
  <c r="BQ495" i="2"/>
  <c r="BQ526" i="2"/>
  <c r="BQ521" i="2"/>
  <c r="BQ506" i="2"/>
  <c r="BQ502" i="2"/>
  <c r="BQ494" i="2"/>
  <c r="BQ512" i="2"/>
  <c r="BQ504" i="2"/>
  <c r="BQ500" i="2"/>
  <c r="BQ529" i="2"/>
  <c r="BQ499" i="2"/>
  <c r="BQ510" i="2"/>
  <c r="BQ489" i="2"/>
  <c r="BQ493" i="2"/>
  <c r="BQ488" i="2"/>
  <c r="BQ487" i="2"/>
  <c r="BQ492" i="2"/>
  <c r="BQ501" i="2"/>
  <c r="BQ497" i="2"/>
  <c r="BQ486" i="2"/>
  <c r="BQ476" i="2"/>
  <c r="BQ483" i="2"/>
  <c r="BQ475" i="2"/>
  <c r="BQ498" i="2"/>
  <c r="BQ491" i="2"/>
  <c r="BQ484" i="2"/>
  <c r="BQ481" i="2"/>
  <c r="BQ473" i="2"/>
  <c r="BQ480" i="2"/>
  <c r="BQ472" i="2"/>
  <c r="BQ490" i="2"/>
  <c r="BQ468" i="2"/>
  <c r="BQ482" i="2"/>
  <c r="BQ467" i="2"/>
  <c r="BQ466" i="2"/>
  <c r="BQ496" i="2"/>
  <c r="BQ479" i="2"/>
  <c r="BQ478" i="2"/>
  <c r="BQ477" i="2"/>
  <c r="BQ465" i="2"/>
  <c r="BQ464" i="2"/>
  <c r="BQ485" i="2"/>
  <c r="BQ471" i="2"/>
  <c r="BQ470" i="2"/>
  <c r="BQ462" i="2"/>
  <c r="BQ461" i="2"/>
  <c r="BQ460" i="2"/>
  <c r="BQ458" i="2"/>
  <c r="BQ450" i="2"/>
  <c r="BQ442" i="2"/>
  <c r="BQ434" i="2"/>
  <c r="BQ426" i="2"/>
  <c r="BQ457" i="2"/>
  <c r="BQ449" i="2"/>
  <c r="BQ441" i="2"/>
  <c r="BQ433" i="2"/>
  <c r="BQ459" i="2"/>
  <c r="BQ456" i="2"/>
  <c r="BQ448" i="2"/>
  <c r="BQ440" i="2"/>
  <c r="BQ432" i="2"/>
  <c r="BQ455" i="2"/>
  <c r="BQ469" i="2"/>
  <c r="BQ454" i="2"/>
  <c r="BQ446" i="2"/>
  <c r="BQ438" i="2"/>
  <c r="BQ430" i="2"/>
  <c r="BQ453" i="2"/>
  <c r="BQ445" i="2"/>
  <c r="BQ437" i="2"/>
  <c r="BQ429" i="2"/>
  <c r="BQ431" i="2"/>
  <c r="BQ425" i="2"/>
  <c r="BQ417" i="2"/>
  <c r="BQ474" i="2"/>
  <c r="BQ443" i="2"/>
  <c r="BQ424" i="2"/>
  <c r="BQ416" i="2"/>
  <c r="BQ463" i="2"/>
  <c r="BQ439" i="2"/>
  <c r="BQ436" i="2"/>
  <c r="BQ428" i="2"/>
  <c r="BQ422" i="2"/>
  <c r="BQ414" i="2"/>
  <c r="BQ421" i="2"/>
  <c r="BQ413" i="2"/>
  <c r="BQ451" i="2"/>
  <c r="BQ452" i="2"/>
  <c r="BQ420" i="2"/>
  <c r="BQ419" i="2"/>
  <c r="BQ418" i="2"/>
  <c r="BQ435" i="2"/>
  <c r="BQ412" i="2"/>
  <c r="BQ403" i="2"/>
  <c r="BQ447" i="2"/>
  <c r="BQ411" i="2"/>
  <c r="BQ415" i="2"/>
  <c r="BQ423" i="2"/>
  <c r="BQ401" i="2"/>
  <c r="BQ393" i="2"/>
  <c r="BQ385" i="2"/>
  <c r="BQ427" i="2"/>
  <c r="BQ409" i="2"/>
  <c r="BQ398" i="2"/>
  <c r="BQ390" i="2"/>
  <c r="BQ405" i="2"/>
  <c r="BQ400" i="2"/>
  <c r="BQ392" i="2"/>
  <c r="BQ384" i="2"/>
  <c r="BQ383" i="2"/>
  <c r="BQ382" i="2"/>
  <c r="BQ381" i="2"/>
  <c r="BQ380" i="2"/>
  <c r="BQ379" i="2"/>
  <c r="BQ378" i="2"/>
  <c r="BQ377" i="2"/>
  <c r="BQ376" i="2"/>
  <c r="BQ375" i="2"/>
  <c r="BQ374" i="2"/>
  <c r="BQ373" i="2"/>
  <c r="BQ372" i="2"/>
  <c r="BQ371" i="2"/>
  <c r="BQ410" i="2"/>
  <c r="BQ407" i="2"/>
  <c r="BQ404" i="2"/>
  <c r="BQ397" i="2"/>
  <c r="BQ389" i="2"/>
  <c r="BQ395" i="2"/>
  <c r="BQ394" i="2"/>
  <c r="BQ391" i="2"/>
  <c r="BQ387" i="2"/>
  <c r="BQ386" i="2"/>
  <c r="BQ367" i="2"/>
  <c r="BQ368" i="2"/>
  <c r="BQ408" i="2"/>
  <c r="BQ396" i="2"/>
  <c r="BQ388" i="2"/>
  <c r="BQ369" i="2"/>
  <c r="BQ370" i="2"/>
  <c r="BQ402" i="2"/>
  <c r="BQ399" i="2"/>
  <c r="BQ406" i="2"/>
  <c r="BQ364" i="2"/>
  <c r="BQ353" i="2"/>
  <c r="BQ344" i="2"/>
  <c r="BQ361" i="2"/>
  <c r="BQ358" i="2"/>
  <c r="BQ350" i="2"/>
  <c r="BQ345" i="2"/>
  <c r="BQ342" i="2"/>
  <c r="BQ363" i="2"/>
  <c r="BQ355" i="2"/>
  <c r="BQ346" i="2"/>
  <c r="BQ366" i="2"/>
  <c r="BQ360" i="2"/>
  <c r="BQ352" i="2"/>
  <c r="BQ347" i="2"/>
  <c r="BQ362" i="2"/>
  <c r="BQ357" i="2"/>
  <c r="BQ349" i="2"/>
  <c r="BQ444" i="2"/>
  <c r="BQ354" i="2"/>
  <c r="BQ343" i="2"/>
  <c r="BQ341" i="2"/>
  <c r="BQ340" i="2"/>
  <c r="BQ339" i="2"/>
  <c r="BQ338" i="2"/>
  <c r="BQ337" i="2"/>
  <c r="BQ336" i="2"/>
  <c r="BQ335" i="2"/>
  <c r="BQ334" i="2"/>
  <c r="BQ333" i="2"/>
  <c r="BQ332" i="2"/>
  <c r="BQ331" i="2"/>
  <c r="BQ330" i="2"/>
  <c r="BQ329" i="2"/>
  <c r="BQ328" i="2"/>
  <c r="BQ327" i="2"/>
  <c r="BQ326" i="2"/>
  <c r="BQ325" i="2"/>
  <c r="BQ324" i="2"/>
  <c r="BQ323" i="2"/>
  <c r="BQ322" i="2"/>
  <c r="BQ321" i="2"/>
  <c r="BQ320" i="2"/>
  <c r="BQ319" i="2"/>
  <c r="BQ318" i="2"/>
  <c r="BQ317" i="2"/>
  <c r="BQ316" i="2"/>
  <c r="BQ315" i="2"/>
  <c r="BQ314" i="2"/>
  <c r="BQ313" i="2"/>
  <c r="BQ312" i="2"/>
  <c r="BQ311" i="2"/>
  <c r="BQ310" i="2"/>
  <c r="BQ309" i="2"/>
  <c r="BQ308" i="2"/>
  <c r="BQ307" i="2"/>
  <c r="BQ306" i="2"/>
  <c r="BQ305" i="2"/>
  <c r="BQ304" i="2"/>
  <c r="BQ303" i="2"/>
  <c r="BQ302" i="2"/>
  <c r="BQ301" i="2"/>
  <c r="BQ300" i="2"/>
  <c r="BQ299" i="2"/>
  <c r="BQ298" i="2"/>
  <c r="BQ297" i="2"/>
  <c r="BQ296" i="2"/>
  <c r="BQ295" i="2"/>
  <c r="BQ294" i="2"/>
  <c r="BQ365" i="2"/>
  <c r="BQ359" i="2"/>
  <c r="BQ351" i="2"/>
  <c r="BQ286" i="2"/>
  <c r="BQ348" i="2"/>
  <c r="BQ291" i="2"/>
  <c r="BQ288" i="2"/>
  <c r="BQ356" i="2"/>
  <c r="BQ293" i="2"/>
  <c r="BQ285" i="2"/>
  <c r="BQ290" i="2"/>
  <c r="BQ283" i="2"/>
  <c r="BQ282" i="2"/>
  <c r="BQ281" i="2"/>
  <c r="BQ287" i="2"/>
  <c r="BQ292" i="2"/>
  <c r="BQ284" i="2"/>
  <c r="BQ278" i="2"/>
  <c r="BQ276" i="2"/>
  <c r="BQ272" i="2"/>
  <c r="BQ279" i="2"/>
  <c r="BQ270" i="2"/>
  <c r="BQ269" i="2"/>
  <c r="BQ268" i="2"/>
  <c r="BQ267" i="2"/>
  <c r="BQ266" i="2"/>
  <c r="BQ265" i="2"/>
  <c r="BQ264" i="2"/>
  <c r="BQ263" i="2"/>
  <c r="BQ262" i="2"/>
  <c r="BQ261" i="2"/>
  <c r="BQ260" i="2"/>
  <c r="BQ259" i="2"/>
  <c r="BQ258" i="2"/>
  <c r="BQ257" i="2"/>
  <c r="BQ256" i="2"/>
  <c r="BQ255" i="2"/>
  <c r="BQ254" i="2"/>
  <c r="BQ253" i="2"/>
  <c r="BQ252" i="2"/>
  <c r="BQ251" i="2"/>
  <c r="BQ250" i="2"/>
  <c r="BQ249" i="2"/>
  <c r="BQ248" i="2"/>
  <c r="BQ274" i="2"/>
  <c r="BQ280" i="2"/>
  <c r="BQ271" i="2"/>
  <c r="BQ273" i="2"/>
  <c r="BQ289" i="2"/>
  <c r="BQ245" i="2"/>
  <c r="BQ242" i="2"/>
  <c r="BQ240" i="2"/>
  <c r="BQ220" i="2"/>
  <c r="BQ219" i="2"/>
  <c r="BQ218" i="2"/>
  <c r="BQ217" i="2"/>
  <c r="BQ216" i="2"/>
  <c r="BQ215" i="2"/>
  <c r="BQ214" i="2"/>
  <c r="BQ213" i="2"/>
  <c r="BQ212" i="2"/>
  <c r="BQ211" i="2"/>
  <c r="BQ210" i="2"/>
  <c r="BQ209" i="2"/>
  <c r="BQ208" i="2"/>
  <c r="BQ207" i="2"/>
  <c r="BQ206" i="2"/>
  <c r="BQ205" i="2"/>
  <c r="BQ204" i="2"/>
  <c r="BQ203" i="2"/>
  <c r="BQ202" i="2"/>
  <c r="BQ201" i="2"/>
  <c r="BQ200" i="2"/>
  <c r="BQ199" i="2"/>
  <c r="BQ198" i="2"/>
  <c r="BQ197" i="2"/>
  <c r="BQ196" i="2"/>
  <c r="BQ195" i="2"/>
  <c r="BQ194" i="2"/>
  <c r="BQ193" i="2"/>
  <c r="BQ192" i="2"/>
  <c r="BQ191" i="2"/>
  <c r="BQ190" i="2"/>
  <c r="BQ189" i="2"/>
  <c r="BQ188" i="2"/>
  <c r="BQ187" i="2"/>
  <c r="BQ186" i="2"/>
  <c r="BQ185" i="2"/>
  <c r="BQ184" i="2"/>
  <c r="BQ183" i="2"/>
  <c r="BQ182" i="2"/>
  <c r="BQ181" i="2"/>
  <c r="BQ180" i="2"/>
  <c r="BQ179" i="2"/>
  <c r="BQ178" i="2"/>
  <c r="BQ177" i="2"/>
  <c r="BQ247" i="2"/>
  <c r="BQ244" i="2"/>
  <c r="BQ243" i="2"/>
  <c r="BQ241" i="2"/>
  <c r="BQ239" i="2"/>
  <c r="BQ277" i="2"/>
  <c r="BQ246" i="2"/>
  <c r="BQ233" i="2"/>
  <c r="BQ225" i="2"/>
  <c r="BQ176" i="2"/>
  <c r="BQ238" i="2"/>
  <c r="BQ234" i="2"/>
  <c r="BQ226" i="2"/>
  <c r="BQ235" i="2"/>
  <c r="BQ227" i="2"/>
  <c r="BQ175" i="2"/>
  <c r="BQ228" i="2"/>
  <c r="BQ275" i="2"/>
  <c r="BQ237" i="2"/>
  <c r="BQ229" i="2"/>
  <c r="BQ221" i="2"/>
  <c r="BQ230" i="2"/>
  <c r="BQ222" i="2"/>
  <c r="BQ231" i="2"/>
  <c r="BQ223" i="2"/>
  <c r="BQ174" i="2"/>
  <c r="BQ173" i="2"/>
  <c r="BQ172" i="2"/>
  <c r="BQ171" i="2"/>
  <c r="BQ170" i="2"/>
  <c r="BQ169" i="2"/>
  <c r="BQ168" i="2"/>
  <c r="BQ167" i="2"/>
  <c r="BQ166" i="2"/>
  <c r="BQ165" i="2"/>
  <c r="BQ164" i="2"/>
  <c r="BQ163" i="2"/>
  <c r="BQ162" i="2"/>
  <c r="BQ161" i="2"/>
  <c r="BQ160" i="2"/>
  <c r="BQ159" i="2"/>
  <c r="BQ158" i="2"/>
  <c r="BQ157" i="2"/>
  <c r="BQ156" i="2"/>
  <c r="BQ155" i="2"/>
  <c r="BQ154" i="2"/>
  <c r="BQ153" i="2"/>
  <c r="BQ152" i="2"/>
  <c r="BQ151" i="2"/>
  <c r="BQ150" i="2"/>
  <c r="BQ149" i="2"/>
  <c r="BQ148" i="2"/>
  <c r="BQ147" i="2"/>
  <c r="BQ146" i="2"/>
  <c r="BQ145" i="2"/>
  <c r="BQ144" i="2"/>
  <c r="BQ143" i="2"/>
  <c r="BQ142" i="2"/>
  <c r="BQ141" i="2"/>
  <c r="BQ140" i="2"/>
  <c r="BQ139" i="2"/>
  <c r="BQ138" i="2"/>
  <c r="BQ137" i="2"/>
  <c r="BQ136" i="2"/>
  <c r="BQ135" i="2"/>
  <c r="BQ134" i="2"/>
  <c r="BQ133" i="2"/>
  <c r="BQ132" i="2"/>
  <c r="BQ131" i="2"/>
  <c r="BQ130" i="2"/>
  <c r="BQ129" i="2"/>
  <c r="BQ128" i="2"/>
  <c r="BQ127" i="2"/>
  <c r="BQ126" i="2"/>
  <c r="BQ125" i="2"/>
  <c r="BQ124" i="2"/>
  <c r="BQ232" i="2"/>
  <c r="BQ224" i="2"/>
  <c r="BQ121" i="2"/>
  <c r="BQ120" i="2"/>
  <c r="BQ119" i="2"/>
  <c r="BQ118" i="2"/>
  <c r="BQ117" i="2"/>
  <c r="BQ116" i="2"/>
  <c r="BQ115" i="2"/>
  <c r="BQ114" i="2"/>
  <c r="BQ113" i="2"/>
  <c r="BQ112" i="2"/>
  <c r="BQ111" i="2"/>
  <c r="BQ110" i="2"/>
  <c r="BQ109" i="2"/>
  <c r="BQ108" i="2"/>
  <c r="BQ107" i="2"/>
  <c r="BQ106" i="2"/>
  <c r="BQ105" i="2"/>
  <c r="BQ104" i="2"/>
  <c r="BQ103" i="2"/>
  <c r="BQ102" i="2"/>
  <c r="BQ101" i="2"/>
  <c r="BQ100" i="2"/>
  <c r="BQ99" i="2"/>
  <c r="BQ98" i="2"/>
  <c r="BQ97" i="2"/>
  <c r="BQ96" i="2"/>
  <c r="BQ95" i="2"/>
  <c r="BQ94" i="2"/>
  <c r="BQ93" i="2"/>
  <c r="BQ92" i="2"/>
  <c r="BQ91" i="2"/>
  <c r="BQ90" i="2"/>
  <c r="BQ89" i="2"/>
  <c r="BQ88" i="2"/>
  <c r="BQ87" i="2"/>
  <c r="BQ86" i="2"/>
  <c r="BQ85" i="2"/>
  <c r="BQ84" i="2"/>
  <c r="BQ236" i="2"/>
  <c r="BQ123" i="2"/>
  <c r="BQ122" i="2"/>
  <c r="BQ60" i="2"/>
  <c r="BQ59" i="2"/>
  <c r="BQ58" i="2"/>
  <c r="BQ57" i="2"/>
  <c r="BQ56" i="2"/>
  <c r="BQ55" i="2"/>
  <c r="BQ54" i="2"/>
  <c r="BQ53" i="2"/>
  <c r="BQ52" i="2"/>
  <c r="BQ51" i="2"/>
  <c r="BQ50" i="2"/>
  <c r="BQ49" i="2"/>
  <c r="BQ48" i="2"/>
  <c r="BQ47" i="2"/>
  <c r="BQ46" i="2"/>
  <c r="BQ45" i="2"/>
  <c r="BQ44" i="2"/>
  <c r="BQ43" i="2"/>
  <c r="BQ42" i="2"/>
  <c r="BQ41" i="2"/>
  <c r="BQ40" i="2"/>
  <c r="BQ39" i="2"/>
  <c r="BQ38" i="2"/>
  <c r="BQ37" i="2"/>
  <c r="BQ36" i="2"/>
  <c r="BQ35" i="2"/>
  <c r="BQ34" i="2"/>
  <c r="BQ33" i="2"/>
  <c r="BQ32" i="2"/>
  <c r="BQ31" i="2"/>
  <c r="BQ30" i="2"/>
  <c r="BQ29" i="2"/>
  <c r="BQ28" i="2"/>
  <c r="BQ27" i="2"/>
  <c r="BQ26" i="2"/>
  <c r="BQ25" i="2"/>
  <c r="BQ24" i="2"/>
  <c r="BQ23" i="2"/>
  <c r="BQ22" i="2"/>
  <c r="BQ21" i="2"/>
  <c r="BQ20" i="2"/>
  <c r="BQ82" i="2"/>
  <c r="BQ78" i="2"/>
  <c r="BQ74" i="2"/>
  <c r="BQ70" i="2"/>
  <c r="BQ66" i="2"/>
  <c r="Y15" i="2"/>
  <c r="BQ67" i="2"/>
  <c r="BQ83" i="2"/>
  <c r="BQ77" i="2"/>
  <c r="BQ73" i="2"/>
  <c r="BQ69" i="2"/>
  <c r="BQ75" i="2"/>
  <c r="BQ71" i="2"/>
  <c r="BQ65" i="2"/>
  <c r="BQ62" i="2"/>
  <c r="BQ61" i="2"/>
  <c r="Y16" i="2"/>
  <c r="BQ80" i="2"/>
  <c r="BQ76" i="2"/>
  <c r="BQ72" i="2"/>
  <c r="BQ68" i="2"/>
  <c r="BQ63" i="2"/>
  <c r="BQ79" i="2"/>
  <c r="BQ64" i="2"/>
  <c r="BQ81" i="2"/>
  <c r="BN523" i="2"/>
  <c r="BN515" i="2"/>
  <c r="BN531" i="2"/>
  <c r="BN530" i="2"/>
  <c r="BN522" i="2"/>
  <c r="BN532" i="2"/>
  <c r="BN528" i="2"/>
  <c r="BN527" i="2"/>
  <c r="BN519" i="2"/>
  <c r="BN533" i="2"/>
  <c r="BN526" i="2"/>
  <c r="BN518" i="2"/>
  <c r="BN525" i="2"/>
  <c r="BN521" i="2"/>
  <c r="BN512" i="2"/>
  <c r="BN504" i="2"/>
  <c r="BN510" i="2"/>
  <c r="BN524" i="2"/>
  <c r="BN516" i="2"/>
  <c r="BN509" i="2"/>
  <c r="BN517" i="2"/>
  <c r="BN508" i="2"/>
  <c r="BN529" i="2"/>
  <c r="BN514" i="2"/>
  <c r="BN511" i="2"/>
  <c r="BN498" i="2"/>
  <c r="BN513" i="2"/>
  <c r="BN497" i="2"/>
  <c r="BN506" i="2"/>
  <c r="BN503" i="2"/>
  <c r="BN495" i="2"/>
  <c r="BN520" i="2"/>
  <c r="BN502" i="2"/>
  <c r="BN496" i="2"/>
  <c r="BN492" i="2"/>
  <c r="BN484" i="2"/>
  <c r="BN491" i="2"/>
  <c r="BN483" i="2"/>
  <c r="BN500" i="2"/>
  <c r="BN499" i="2"/>
  <c r="BN490" i="2"/>
  <c r="BN501" i="2"/>
  <c r="BN488" i="2"/>
  <c r="BN487" i="2"/>
  <c r="BN494" i="2"/>
  <c r="BN493" i="2"/>
  <c r="BN479" i="2"/>
  <c r="BN489" i="2"/>
  <c r="BN486" i="2"/>
  <c r="BN485" i="2"/>
  <c r="BN478" i="2"/>
  <c r="BN507" i="2"/>
  <c r="BN476" i="2"/>
  <c r="BN475" i="2"/>
  <c r="BN474" i="2"/>
  <c r="BN472" i="2"/>
  <c r="BN471" i="2"/>
  <c r="BN463" i="2"/>
  <c r="BN470" i="2"/>
  <c r="BN462" i="2"/>
  <c r="BN482" i="2"/>
  <c r="BN469" i="2"/>
  <c r="BN461" i="2"/>
  <c r="BN468" i="2"/>
  <c r="BN460" i="2"/>
  <c r="BN477" i="2"/>
  <c r="BN467" i="2"/>
  <c r="BN466" i="2"/>
  <c r="BN481" i="2"/>
  <c r="BN480" i="2"/>
  <c r="BN473" i="2"/>
  <c r="BN465" i="2"/>
  <c r="BN505" i="2"/>
  <c r="BN453" i="2"/>
  <c r="BN445" i="2"/>
  <c r="BN437" i="2"/>
  <c r="BN429" i="2"/>
  <c r="BN464" i="2"/>
  <c r="BN452" i="2"/>
  <c r="BN444" i="2"/>
  <c r="BN436" i="2"/>
  <c r="BN451" i="2"/>
  <c r="BN443" i="2"/>
  <c r="BN435" i="2"/>
  <c r="BN458" i="2"/>
  <c r="BN450" i="2"/>
  <c r="BN459" i="2"/>
  <c r="BN457" i="2"/>
  <c r="BN449" i="2"/>
  <c r="BN441" i="2"/>
  <c r="BN433" i="2"/>
  <c r="BN456" i="2"/>
  <c r="BN448" i="2"/>
  <c r="BN440" i="2"/>
  <c r="BN432" i="2"/>
  <c r="BN447" i="2"/>
  <c r="BN431" i="2"/>
  <c r="BN420" i="2"/>
  <c r="BN412" i="2"/>
  <c r="BN454" i="2"/>
  <c r="BN446" i="2"/>
  <c r="BN434" i="2"/>
  <c r="BN427" i="2"/>
  <c r="BN419" i="2"/>
  <c r="BN411" i="2"/>
  <c r="BN430" i="2"/>
  <c r="BN455" i="2"/>
  <c r="BN439" i="2"/>
  <c r="BN425" i="2"/>
  <c r="BN417" i="2"/>
  <c r="BN442" i="2"/>
  <c r="BN424" i="2"/>
  <c r="BN416" i="2"/>
  <c r="BN438" i="2"/>
  <c r="BN428" i="2"/>
  <c r="BN426" i="2"/>
  <c r="BN418" i="2"/>
  <c r="BN409" i="2"/>
  <c r="BN402" i="2"/>
  <c r="BN401" i="2"/>
  <c r="BN400" i="2"/>
  <c r="BN399" i="2"/>
  <c r="BN398" i="2"/>
  <c r="BN397" i="2"/>
  <c r="BN396" i="2"/>
  <c r="BN395" i="2"/>
  <c r="BN394" i="2"/>
  <c r="BN393" i="2"/>
  <c r="BN392" i="2"/>
  <c r="BN391" i="2"/>
  <c r="BN390" i="2"/>
  <c r="BN389" i="2"/>
  <c r="BN388" i="2"/>
  <c r="BN387" i="2"/>
  <c r="BN386" i="2"/>
  <c r="BN422" i="2"/>
  <c r="BN421" i="2"/>
  <c r="BN410" i="2"/>
  <c r="BN406" i="2"/>
  <c r="BN423" i="2"/>
  <c r="BN414" i="2"/>
  <c r="BN408" i="2"/>
  <c r="BN385" i="2"/>
  <c r="BN405" i="2"/>
  <c r="BN382" i="2"/>
  <c r="BN374" i="2"/>
  <c r="BN404" i="2"/>
  <c r="BN377" i="2"/>
  <c r="BN403" i="2"/>
  <c r="BN380" i="2"/>
  <c r="BN372" i="2"/>
  <c r="BN367" i="2"/>
  <c r="BN366" i="2"/>
  <c r="BN365" i="2"/>
  <c r="BN364" i="2"/>
  <c r="BN363" i="2"/>
  <c r="BN362" i="2"/>
  <c r="BN361" i="2"/>
  <c r="BN360" i="2"/>
  <c r="BN359" i="2"/>
  <c r="BN358" i="2"/>
  <c r="BN357" i="2"/>
  <c r="BN356" i="2"/>
  <c r="BN355" i="2"/>
  <c r="BN354" i="2"/>
  <c r="BN353" i="2"/>
  <c r="BN352" i="2"/>
  <c r="BN351" i="2"/>
  <c r="BN350" i="2"/>
  <c r="BN349" i="2"/>
  <c r="BN348" i="2"/>
  <c r="BN347" i="2"/>
  <c r="BN346" i="2"/>
  <c r="BN345" i="2"/>
  <c r="BN413" i="2"/>
  <c r="BN383" i="2"/>
  <c r="BN375" i="2"/>
  <c r="BN368" i="2"/>
  <c r="BN407" i="2"/>
  <c r="BN378" i="2"/>
  <c r="BN369" i="2"/>
  <c r="BN415" i="2"/>
  <c r="BN381" i="2"/>
  <c r="BN373" i="2"/>
  <c r="BN370" i="2"/>
  <c r="BN384" i="2"/>
  <c r="BN376" i="2"/>
  <c r="BN343" i="2"/>
  <c r="BN341" i="2"/>
  <c r="BN340" i="2"/>
  <c r="BN339" i="2"/>
  <c r="BN338" i="2"/>
  <c r="BN337" i="2"/>
  <c r="BN336" i="2"/>
  <c r="BN335" i="2"/>
  <c r="BN334" i="2"/>
  <c r="BN333" i="2"/>
  <c r="BN332" i="2"/>
  <c r="BN331" i="2"/>
  <c r="BN330" i="2"/>
  <c r="BN329" i="2"/>
  <c r="BN328" i="2"/>
  <c r="BN327" i="2"/>
  <c r="BN326" i="2"/>
  <c r="BN325" i="2"/>
  <c r="BN324" i="2"/>
  <c r="BN323" i="2"/>
  <c r="BN322" i="2"/>
  <c r="BN321" i="2"/>
  <c r="BN320" i="2"/>
  <c r="BN319" i="2"/>
  <c r="BN344" i="2"/>
  <c r="BN342" i="2"/>
  <c r="BN379" i="2"/>
  <c r="BN371" i="2"/>
  <c r="BN312" i="2"/>
  <c r="BN304" i="2"/>
  <c r="BN296" i="2"/>
  <c r="BN292" i="2"/>
  <c r="BN284" i="2"/>
  <c r="BN311" i="2"/>
  <c r="BN303" i="2"/>
  <c r="BN295" i="2"/>
  <c r="BN289" i="2"/>
  <c r="BN318" i="2"/>
  <c r="BN310" i="2"/>
  <c r="BN302" i="2"/>
  <c r="BN294" i="2"/>
  <c r="BN286" i="2"/>
  <c r="BN317" i="2"/>
  <c r="BN309" i="2"/>
  <c r="BN301" i="2"/>
  <c r="BN291" i="2"/>
  <c r="BN316" i="2"/>
  <c r="BN308" i="2"/>
  <c r="BN300" i="2"/>
  <c r="BN288" i="2"/>
  <c r="BN315" i="2"/>
  <c r="BN307" i="2"/>
  <c r="BN299" i="2"/>
  <c r="BN293" i="2"/>
  <c r="BN285" i="2"/>
  <c r="BN314" i="2"/>
  <c r="BN306" i="2"/>
  <c r="BN298" i="2"/>
  <c r="BN290" i="2"/>
  <c r="BN305" i="2"/>
  <c r="BN281" i="2"/>
  <c r="BN277" i="2"/>
  <c r="BN273" i="2"/>
  <c r="BN287" i="2"/>
  <c r="BN278" i="2"/>
  <c r="BN275" i="2"/>
  <c r="BN276" i="2"/>
  <c r="BN279" i="2"/>
  <c r="BN272" i="2"/>
  <c r="BN313" i="2"/>
  <c r="BN297" i="2"/>
  <c r="BN280" i="2"/>
  <c r="BN274" i="2"/>
  <c r="BN270" i="2"/>
  <c r="BN269" i="2"/>
  <c r="BN268" i="2"/>
  <c r="BN267" i="2"/>
  <c r="BN266" i="2"/>
  <c r="BN265" i="2"/>
  <c r="BN264" i="2"/>
  <c r="BN263" i="2"/>
  <c r="BN262" i="2"/>
  <c r="BN261" i="2"/>
  <c r="BN260" i="2"/>
  <c r="BN259" i="2"/>
  <c r="BN283" i="2"/>
  <c r="BN271" i="2"/>
  <c r="BN253" i="2"/>
  <c r="BN249" i="2"/>
  <c r="BN238" i="2"/>
  <c r="BN237" i="2"/>
  <c r="BN236" i="2"/>
  <c r="BN235" i="2"/>
  <c r="BN234" i="2"/>
  <c r="BN233" i="2"/>
  <c r="BN232" i="2"/>
  <c r="BN231" i="2"/>
  <c r="BN230" i="2"/>
  <c r="BN229" i="2"/>
  <c r="BN228" i="2"/>
  <c r="BN227" i="2"/>
  <c r="BN226" i="2"/>
  <c r="BN225" i="2"/>
  <c r="BN224" i="2"/>
  <c r="BN223" i="2"/>
  <c r="BN222" i="2"/>
  <c r="BN221" i="2"/>
  <c r="BN256" i="2"/>
  <c r="BN246" i="2"/>
  <c r="BN244" i="2"/>
  <c r="BN243" i="2"/>
  <c r="BN241" i="2"/>
  <c r="BN239" i="2"/>
  <c r="BN282" i="2"/>
  <c r="BN252" i="2"/>
  <c r="BN248" i="2"/>
  <c r="BN257" i="2"/>
  <c r="BN251" i="2"/>
  <c r="BN254" i="2"/>
  <c r="BN250" i="2"/>
  <c r="BN255" i="2"/>
  <c r="BN187" i="2"/>
  <c r="BN182" i="2"/>
  <c r="BN245" i="2"/>
  <c r="BN220" i="2"/>
  <c r="BN216" i="2"/>
  <c r="BN212" i="2"/>
  <c r="BN208" i="2"/>
  <c r="BN204" i="2"/>
  <c r="BN200" i="2"/>
  <c r="BN196" i="2"/>
  <c r="BN190" i="2"/>
  <c r="BN181" i="2"/>
  <c r="BN174" i="2"/>
  <c r="BN173" i="2"/>
  <c r="BN172" i="2"/>
  <c r="BN171" i="2"/>
  <c r="BN170" i="2"/>
  <c r="BN169" i="2"/>
  <c r="BN168" i="2"/>
  <c r="BN167" i="2"/>
  <c r="BN166" i="2"/>
  <c r="BN165" i="2"/>
  <c r="BN164" i="2"/>
  <c r="BN163" i="2"/>
  <c r="BN162" i="2"/>
  <c r="BN161" i="2"/>
  <c r="BN160" i="2"/>
  <c r="BN159" i="2"/>
  <c r="BN158" i="2"/>
  <c r="BN157" i="2"/>
  <c r="BN156" i="2"/>
  <c r="BN155" i="2"/>
  <c r="BN154" i="2"/>
  <c r="BN153" i="2"/>
  <c r="BN152" i="2"/>
  <c r="BN151" i="2"/>
  <c r="BN150" i="2"/>
  <c r="BN149" i="2"/>
  <c r="BN148" i="2"/>
  <c r="BN147" i="2"/>
  <c r="BN146" i="2"/>
  <c r="BN145" i="2"/>
  <c r="BN144" i="2"/>
  <c r="BN143" i="2"/>
  <c r="BN142" i="2"/>
  <c r="BN141" i="2"/>
  <c r="BN140" i="2"/>
  <c r="BN139" i="2"/>
  <c r="BN138" i="2"/>
  <c r="BN137" i="2"/>
  <c r="BN136" i="2"/>
  <c r="BN135" i="2"/>
  <c r="BN134" i="2"/>
  <c r="BN133" i="2"/>
  <c r="BN132" i="2"/>
  <c r="BN131" i="2"/>
  <c r="BN130" i="2"/>
  <c r="BN129" i="2"/>
  <c r="BN128" i="2"/>
  <c r="BN127" i="2"/>
  <c r="BN126" i="2"/>
  <c r="BN125" i="2"/>
  <c r="BN124" i="2"/>
  <c r="BN123" i="2"/>
  <c r="BN258" i="2"/>
  <c r="BN247" i="2"/>
  <c r="BN193" i="2"/>
  <c r="BN185" i="2"/>
  <c r="BN178" i="2"/>
  <c r="BN176" i="2"/>
  <c r="BN242" i="2"/>
  <c r="BN217" i="2"/>
  <c r="BN213" i="2"/>
  <c r="BN209" i="2"/>
  <c r="BN205" i="2"/>
  <c r="BN201" i="2"/>
  <c r="BN197" i="2"/>
  <c r="BN188" i="2"/>
  <c r="BN177" i="2"/>
  <c r="BN191" i="2"/>
  <c r="BN179" i="2"/>
  <c r="BN240" i="2"/>
  <c r="BN218" i="2"/>
  <c r="BN214" i="2"/>
  <c r="BN210" i="2"/>
  <c r="BN206" i="2"/>
  <c r="BN202" i="2"/>
  <c r="BN198" i="2"/>
  <c r="BN194" i="2"/>
  <c r="BN186" i="2"/>
  <c r="BN175" i="2"/>
  <c r="BN189" i="2"/>
  <c r="BN180" i="2"/>
  <c r="BN122" i="2"/>
  <c r="BN219" i="2"/>
  <c r="BN211" i="2"/>
  <c r="BN203" i="2"/>
  <c r="BN195" i="2"/>
  <c r="BN183" i="2"/>
  <c r="BN192" i="2"/>
  <c r="BN184" i="2"/>
  <c r="BN121" i="2"/>
  <c r="BN113" i="2"/>
  <c r="BN105" i="2"/>
  <c r="BN97" i="2"/>
  <c r="BN89" i="2"/>
  <c r="BN81" i="2"/>
  <c r="BN79" i="2"/>
  <c r="BN75" i="2"/>
  <c r="BN71" i="2"/>
  <c r="BN67" i="2"/>
  <c r="BN65" i="2"/>
  <c r="BN199" i="2"/>
  <c r="BN116" i="2"/>
  <c r="BN108" i="2"/>
  <c r="BN100" i="2"/>
  <c r="BN92" i="2"/>
  <c r="BN84" i="2"/>
  <c r="BN110" i="2"/>
  <c r="BN102" i="2"/>
  <c r="BN94" i="2"/>
  <c r="BN119" i="2"/>
  <c r="BN111" i="2"/>
  <c r="BN103" i="2"/>
  <c r="BN95" i="2"/>
  <c r="BN87" i="2"/>
  <c r="BN82" i="2"/>
  <c r="BN78" i="2"/>
  <c r="BN74" i="2"/>
  <c r="BN70" i="2"/>
  <c r="BN66" i="2"/>
  <c r="BN114" i="2"/>
  <c r="BN106" i="2"/>
  <c r="BN98" i="2"/>
  <c r="BN90" i="2"/>
  <c r="BN60" i="2"/>
  <c r="BN59" i="2"/>
  <c r="BN58" i="2"/>
  <c r="BN57" i="2"/>
  <c r="BN56" i="2"/>
  <c r="BN55" i="2"/>
  <c r="BN54" i="2"/>
  <c r="BN53" i="2"/>
  <c r="BN52" i="2"/>
  <c r="BN51" i="2"/>
  <c r="BN50" i="2"/>
  <c r="BN49" i="2"/>
  <c r="BN48" i="2"/>
  <c r="BN47" i="2"/>
  <c r="BN46" i="2"/>
  <c r="BN45" i="2"/>
  <c r="BN44" i="2"/>
  <c r="BN43" i="2"/>
  <c r="BN42" i="2"/>
  <c r="BN41" i="2"/>
  <c r="BN40" i="2"/>
  <c r="BN39" i="2"/>
  <c r="BN38" i="2"/>
  <c r="BN37" i="2"/>
  <c r="BN36" i="2"/>
  <c r="BN35" i="2"/>
  <c r="BN34" i="2"/>
  <c r="BN33" i="2"/>
  <c r="BN32" i="2"/>
  <c r="BN31" i="2"/>
  <c r="BN30" i="2"/>
  <c r="BN29" i="2"/>
  <c r="BN28" i="2"/>
  <c r="BN27" i="2"/>
  <c r="BN26" i="2"/>
  <c r="BN25" i="2"/>
  <c r="BN24" i="2"/>
  <c r="BN23" i="2"/>
  <c r="BN22" i="2"/>
  <c r="BN21" i="2"/>
  <c r="BN20" i="2"/>
  <c r="BN64" i="2"/>
  <c r="BN117" i="2"/>
  <c r="BN109" i="2"/>
  <c r="BN101" i="2"/>
  <c r="BN93" i="2"/>
  <c r="BN85" i="2"/>
  <c r="BN83" i="2"/>
  <c r="BN77" i="2"/>
  <c r="BN73" i="2"/>
  <c r="BN69" i="2"/>
  <c r="V15" i="2"/>
  <c r="BN215" i="2"/>
  <c r="BN120" i="2"/>
  <c r="BN112" i="2"/>
  <c r="BN104" i="2"/>
  <c r="BN96" i="2"/>
  <c r="BN88" i="2"/>
  <c r="BN62" i="2"/>
  <c r="BN207" i="2"/>
  <c r="BN118" i="2"/>
  <c r="BN115" i="2"/>
  <c r="BN107" i="2"/>
  <c r="BN99" i="2"/>
  <c r="BN91" i="2"/>
  <c r="BN80" i="2"/>
  <c r="BN76" i="2"/>
  <c r="BN72" i="2"/>
  <c r="BN68" i="2"/>
  <c r="BN63" i="2"/>
  <c r="BN61" i="2"/>
  <c r="BN86" i="2"/>
  <c r="V16" i="2"/>
  <c r="BH529" i="2"/>
  <c r="BH521" i="2"/>
  <c r="BH532" i="2"/>
  <c r="BH528" i="2"/>
  <c r="BH520" i="2"/>
  <c r="BH533" i="2"/>
  <c r="BH526" i="2"/>
  <c r="BH525" i="2"/>
  <c r="BH517" i="2"/>
  <c r="BH524" i="2"/>
  <c r="BH516" i="2"/>
  <c r="BH510" i="2"/>
  <c r="BH519" i="2"/>
  <c r="BH518" i="2"/>
  <c r="BH508" i="2"/>
  <c r="BH514" i="2"/>
  <c r="BH506" i="2"/>
  <c r="BH530" i="2"/>
  <c r="BH527" i="2"/>
  <c r="BH515" i="2"/>
  <c r="BH512" i="2"/>
  <c r="BH522" i="2"/>
  <c r="BH509" i="2"/>
  <c r="BH496" i="2"/>
  <c r="BH505" i="2"/>
  <c r="BH503" i="2"/>
  <c r="BH495" i="2"/>
  <c r="BH531" i="2"/>
  <c r="BH513" i="2"/>
  <c r="BH507" i="2"/>
  <c r="BH501" i="2"/>
  <c r="BH493" i="2"/>
  <c r="BH500" i="2"/>
  <c r="BH502" i="2"/>
  <c r="BH490" i="2"/>
  <c r="BH489" i="2"/>
  <c r="BH494" i="2"/>
  <c r="BH488" i="2"/>
  <c r="BH523" i="2"/>
  <c r="BH499" i="2"/>
  <c r="BH498" i="2"/>
  <c r="BH497" i="2"/>
  <c r="BH486" i="2"/>
  <c r="BH511" i="2"/>
  <c r="BH491" i="2"/>
  <c r="BH483" i="2"/>
  <c r="BH477" i="2"/>
  <c r="BH487" i="2"/>
  <c r="BH484" i="2"/>
  <c r="BH476" i="2"/>
  <c r="BH504" i="2"/>
  <c r="BH492" i="2"/>
  <c r="BH482" i="2"/>
  <c r="BH474" i="2"/>
  <c r="BH485" i="2"/>
  <c r="BH481" i="2"/>
  <c r="BH473" i="2"/>
  <c r="BH480" i="2"/>
  <c r="BH479" i="2"/>
  <c r="BH478" i="2"/>
  <c r="BH469" i="2"/>
  <c r="BH468" i="2"/>
  <c r="BH467" i="2"/>
  <c r="BH466" i="2"/>
  <c r="BH465" i="2"/>
  <c r="BH475" i="2"/>
  <c r="BH472" i="2"/>
  <c r="BH471" i="2"/>
  <c r="BH463" i="2"/>
  <c r="BH451" i="2"/>
  <c r="BH443" i="2"/>
  <c r="BH435" i="2"/>
  <c r="BH427" i="2"/>
  <c r="BH458" i="2"/>
  <c r="BH450" i="2"/>
  <c r="BH442" i="2"/>
  <c r="BH434" i="2"/>
  <c r="BH470" i="2"/>
  <c r="BH464" i="2"/>
  <c r="BH459" i="2"/>
  <c r="BH457" i="2"/>
  <c r="BH449" i="2"/>
  <c r="BH441" i="2"/>
  <c r="BH433" i="2"/>
  <c r="BH456" i="2"/>
  <c r="BH455" i="2"/>
  <c r="BH447" i="2"/>
  <c r="BH439" i="2"/>
  <c r="BH431" i="2"/>
  <c r="BH461" i="2"/>
  <c r="BH454" i="2"/>
  <c r="BH446" i="2"/>
  <c r="BH438" i="2"/>
  <c r="BH430" i="2"/>
  <c r="BH436" i="2"/>
  <c r="BH460" i="2"/>
  <c r="BH432" i="2"/>
  <c r="BH418" i="2"/>
  <c r="BH410" i="2"/>
  <c r="BH409" i="2"/>
  <c r="BH408" i="2"/>
  <c r="BH407" i="2"/>
  <c r="BH406" i="2"/>
  <c r="BH405" i="2"/>
  <c r="BH404" i="2"/>
  <c r="BH403" i="2"/>
  <c r="BH453" i="2"/>
  <c r="BH452" i="2"/>
  <c r="BH425" i="2"/>
  <c r="BH417" i="2"/>
  <c r="BH462" i="2"/>
  <c r="BH444" i="2"/>
  <c r="BH437" i="2"/>
  <c r="BH440" i="2"/>
  <c r="BH428" i="2"/>
  <c r="BH423" i="2"/>
  <c r="BH415" i="2"/>
  <c r="BH422" i="2"/>
  <c r="BH414" i="2"/>
  <c r="BH448" i="2"/>
  <c r="BH424" i="2"/>
  <c r="BH416" i="2"/>
  <c r="BH445" i="2"/>
  <c r="BH426" i="2"/>
  <c r="BH421" i="2"/>
  <c r="BH420" i="2"/>
  <c r="BH412" i="2"/>
  <c r="BH395" i="2"/>
  <c r="BH387" i="2"/>
  <c r="BH385" i="2"/>
  <c r="BH429" i="2"/>
  <c r="BH400" i="2"/>
  <c r="BH392" i="2"/>
  <c r="BH419" i="2"/>
  <c r="BH411" i="2"/>
  <c r="BH402" i="2"/>
  <c r="BH394" i="2"/>
  <c r="BH386" i="2"/>
  <c r="BH399" i="2"/>
  <c r="BH391" i="2"/>
  <c r="BH384" i="2"/>
  <c r="BH383" i="2"/>
  <c r="BH382" i="2"/>
  <c r="BH381" i="2"/>
  <c r="BH380" i="2"/>
  <c r="BH379" i="2"/>
  <c r="BH378" i="2"/>
  <c r="BH377" i="2"/>
  <c r="BH376" i="2"/>
  <c r="BH375" i="2"/>
  <c r="BH374" i="2"/>
  <c r="BH373" i="2"/>
  <c r="BH372" i="2"/>
  <c r="BH371" i="2"/>
  <c r="BH370" i="2"/>
  <c r="BH369" i="2"/>
  <c r="BH368" i="2"/>
  <c r="BH367" i="2"/>
  <c r="BH366" i="2"/>
  <c r="BH365" i="2"/>
  <c r="BH364" i="2"/>
  <c r="BH363" i="2"/>
  <c r="BH362" i="2"/>
  <c r="BH401" i="2"/>
  <c r="BH413" i="2"/>
  <c r="BH398" i="2"/>
  <c r="BH396" i="2"/>
  <c r="BH393" i="2"/>
  <c r="BH390" i="2"/>
  <c r="BH388" i="2"/>
  <c r="BH397" i="2"/>
  <c r="BH389" i="2"/>
  <c r="BH357" i="2"/>
  <c r="BH349" i="2"/>
  <c r="BH347" i="2"/>
  <c r="BH354" i="2"/>
  <c r="BH342" i="2"/>
  <c r="BH359" i="2"/>
  <c r="BH351" i="2"/>
  <c r="BH356" i="2"/>
  <c r="BH348" i="2"/>
  <c r="BH361" i="2"/>
  <c r="BH353" i="2"/>
  <c r="BH358" i="2"/>
  <c r="BH350" i="2"/>
  <c r="BH343" i="2"/>
  <c r="BH355" i="2"/>
  <c r="BH345" i="2"/>
  <c r="BH344" i="2"/>
  <c r="BH341" i="2"/>
  <c r="BH340" i="2"/>
  <c r="BH339" i="2"/>
  <c r="BH338" i="2"/>
  <c r="BH337" i="2"/>
  <c r="BH336" i="2"/>
  <c r="BH335" i="2"/>
  <c r="BH334" i="2"/>
  <c r="BH333" i="2"/>
  <c r="BH332" i="2"/>
  <c r="BH331" i="2"/>
  <c r="BH330" i="2"/>
  <c r="BH329" i="2"/>
  <c r="BH328" i="2"/>
  <c r="BH327" i="2"/>
  <c r="BH326" i="2"/>
  <c r="BH325" i="2"/>
  <c r="BH324" i="2"/>
  <c r="BH323" i="2"/>
  <c r="BH322" i="2"/>
  <c r="BH321" i="2"/>
  <c r="BH320" i="2"/>
  <c r="BH319" i="2"/>
  <c r="BH318" i="2"/>
  <c r="BH317" i="2"/>
  <c r="BH316" i="2"/>
  <c r="BH315" i="2"/>
  <c r="BH314" i="2"/>
  <c r="BH313" i="2"/>
  <c r="BH312" i="2"/>
  <c r="BH311" i="2"/>
  <c r="BH310" i="2"/>
  <c r="BH309" i="2"/>
  <c r="BH308" i="2"/>
  <c r="BH307" i="2"/>
  <c r="BH306" i="2"/>
  <c r="BH305" i="2"/>
  <c r="BH304" i="2"/>
  <c r="BH303" i="2"/>
  <c r="BH302" i="2"/>
  <c r="BH301" i="2"/>
  <c r="BH300" i="2"/>
  <c r="BH299" i="2"/>
  <c r="BH298" i="2"/>
  <c r="BH297" i="2"/>
  <c r="BH296" i="2"/>
  <c r="BH295" i="2"/>
  <c r="BH294" i="2"/>
  <c r="BH293" i="2"/>
  <c r="BH292" i="2"/>
  <c r="BH291" i="2"/>
  <c r="BH290" i="2"/>
  <c r="BH289" i="2"/>
  <c r="BH288" i="2"/>
  <c r="BH287" i="2"/>
  <c r="BH286" i="2"/>
  <c r="BH285" i="2"/>
  <c r="BH284" i="2"/>
  <c r="BH360" i="2"/>
  <c r="BH283" i="2"/>
  <c r="BH282" i="2"/>
  <c r="BH281" i="2"/>
  <c r="BH280" i="2"/>
  <c r="BH279" i="2"/>
  <c r="BH278" i="2"/>
  <c r="BH277" i="2"/>
  <c r="BH276" i="2"/>
  <c r="BH275" i="2"/>
  <c r="BH274" i="2"/>
  <c r="BH273" i="2"/>
  <c r="BH272" i="2"/>
  <c r="BH271" i="2"/>
  <c r="BH352" i="2"/>
  <c r="BH346" i="2"/>
  <c r="BH270" i="2"/>
  <c r="BH269" i="2"/>
  <c r="BH268" i="2"/>
  <c r="BH267" i="2"/>
  <c r="BH266" i="2"/>
  <c r="BH265" i="2"/>
  <c r="BH264" i="2"/>
  <c r="BH263" i="2"/>
  <c r="BH262" i="2"/>
  <c r="BH261" i="2"/>
  <c r="BH260" i="2"/>
  <c r="BH259" i="2"/>
  <c r="BH258" i="2"/>
  <c r="BH257" i="2"/>
  <c r="BH256" i="2"/>
  <c r="BH255" i="2"/>
  <c r="BH254" i="2"/>
  <c r="BH253" i="2"/>
  <c r="BH252" i="2"/>
  <c r="BH251" i="2"/>
  <c r="BH250" i="2"/>
  <c r="BH249" i="2"/>
  <c r="BH248" i="2"/>
  <c r="BH247" i="2"/>
  <c r="BH245" i="2"/>
  <c r="BH242" i="2"/>
  <c r="BH240" i="2"/>
  <c r="BH220" i="2"/>
  <c r="BH219" i="2"/>
  <c r="BH218" i="2"/>
  <c r="BH217" i="2"/>
  <c r="BH216" i="2"/>
  <c r="BH215" i="2"/>
  <c r="BH214" i="2"/>
  <c r="BH213" i="2"/>
  <c r="BH212" i="2"/>
  <c r="BH211" i="2"/>
  <c r="BH210" i="2"/>
  <c r="BH209" i="2"/>
  <c r="BH208" i="2"/>
  <c r="BH207" i="2"/>
  <c r="BH206" i="2"/>
  <c r="BH205" i="2"/>
  <c r="BH204" i="2"/>
  <c r="BH203" i="2"/>
  <c r="BH202" i="2"/>
  <c r="BH201" i="2"/>
  <c r="BH200" i="2"/>
  <c r="BH199" i="2"/>
  <c r="BH198" i="2"/>
  <c r="BH197" i="2"/>
  <c r="BH196" i="2"/>
  <c r="BH195" i="2"/>
  <c r="BH194" i="2"/>
  <c r="BH193" i="2"/>
  <c r="BH192" i="2"/>
  <c r="BH191" i="2"/>
  <c r="BH190" i="2"/>
  <c r="BH189" i="2"/>
  <c r="BH188" i="2"/>
  <c r="BH187" i="2"/>
  <c r="BH186" i="2"/>
  <c r="BH185" i="2"/>
  <c r="BH184" i="2"/>
  <c r="BH183" i="2"/>
  <c r="BH182" i="2"/>
  <c r="BH181" i="2"/>
  <c r="BH180" i="2"/>
  <c r="BH179" i="2"/>
  <c r="BH178" i="2"/>
  <c r="BH246" i="2"/>
  <c r="BH243" i="2"/>
  <c r="BH241" i="2"/>
  <c r="BH239" i="2"/>
  <c r="BH238" i="2"/>
  <c r="BH237" i="2"/>
  <c r="BH236" i="2"/>
  <c r="BH235" i="2"/>
  <c r="BH234" i="2"/>
  <c r="BH233" i="2"/>
  <c r="BH232" i="2"/>
  <c r="BH231" i="2"/>
  <c r="BH230" i="2"/>
  <c r="BH229" i="2"/>
  <c r="BH228" i="2"/>
  <c r="BH227" i="2"/>
  <c r="BH226" i="2"/>
  <c r="BH225" i="2"/>
  <c r="BH224" i="2"/>
  <c r="BH223" i="2"/>
  <c r="BH222" i="2"/>
  <c r="BH221" i="2"/>
  <c r="BH244" i="2"/>
  <c r="BH175" i="2"/>
  <c r="BH172" i="2"/>
  <c r="BH168" i="2"/>
  <c r="BH164" i="2"/>
  <c r="BH160" i="2"/>
  <c r="BH156" i="2"/>
  <c r="BH152" i="2"/>
  <c r="BH148" i="2"/>
  <c r="BH144" i="2"/>
  <c r="BH140" i="2"/>
  <c r="BH136" i="2"/>
  <c r="BH132" i="2"/>
  <c r="BH128" i="2"/>
  <c r="BH177" i="2"/>
  <c r="BH176" i="2"/>
  <c r="BH171" i="2"/>
  <c r="BH167" i="2"/>
  <c r="BH163" i="2"/>
  <c r="BH159" i="2"/>
  <c r="BH155" i="2"/>
  <c r="BH151" i="2"/>
  <c r="BH147" i="2"/>
  <c r="BH143" i="2"/>
  <c r="BH139" i="2"/>
  <c r="BH135" i="2"/>
  <c r="BH124" i="2"/>
  <c r="BH123" i="2"/>
  <c r="BH129" i="2"/>
  <c r="BH125" i="2"/>
  <c r="BH174" i="2"/>
  <c r="BH170" i="2"/>
  <c r="BH166" i="2"/>
  <c r="BH162" i="2"/>
  <c r="BH158" i="2"/>
  <c r="BH154" i="2"/>
  <c r="BH150" i="2"/>
  <c r="BH146" i="2"/>
  <c r="BH142" i="2"/>
  <c r="BH138" i="2"/>
  <c r="BH134" i="2"/>
  <c r="BH121" i="2"/>
  <c r="BH120" i="2"/>
  <c r="BH119" i="2"/>
  <c r="BH118" i="2"/>
  <c r="BH117" i="2"/>
  <c r="BH116" i="2"/>
  <c r="BH115" i="2"/>
  <c r="BH114" i="2"/>
  <c r="BH113" i="2"/>
  <c r="BH112" i="2"/>
  <c r="BH111" i="2"/>
  <c r="BH110" i="2"/>
  <c r="BH109" i="2"/>
  <c r="BH108" i="2"/>
  <c r="BH107" i="2"/>
  <c r="BH106" i="2"/>
  <c r="BH105" i="2"/>
  <c r="BH104" i="2"/>
  <c r="BH103" i="2"/>
  <c r="BH102" i="2"/>
  <c r="BH101" i="2"/>
  <c r="BH100" i="2"/>
  <c r="BH99" i="2"/>
  <c r="BH98" i="2"/>
  <c r="BH97" i="2"/>
  <c r="BH96" i="2"/>
  <c r="BH95" i="2"/>
  <c r="BH94" i="2"/>
  <c r="BH93" i="2"/>
  <c r="BH92" i="2"/>
  <c r="BH91" i="2"/>
  <c r="BH90" i="2"/>
  <c r="BH89" i="2"/>
  <c r="BH88" i="2"/>
  <c r="BH87" i="2"/>
  <c r="BH86" i="2"/>
  <c r="BH85" i="2"/>
  <c r="BH84" i="2"/>
  <c r="BH83" i="2"/>
  <c r="BH82" i="2"/>
  <c r="BH81" i="2"/>
  <c r="BH80" i="2"/>
  <c r="BH79" i="2"/>
  <c r="BH78" i="2"/>
  <c r="BH77" i="2"/>
  <c r="BH76" i="2"/>
  <c r="BH75" i="2"/>
  <c r="BH74" i="2"/>
  <c r="BH73" i="2"/>
  <c r="BH72" i="2"/>
  <c r="BH71" i="2"/>
  <c r="BH70" i="2"/>
  <c r="BH69" i="2"/>
  <c r="BH68" i="2"/>
  <c r="BH67" i="2"/>
  <c r="BH66" i="2"/>
  <c r="BH65" i="2"/>
  <c r="BH64" i="2"/>
  <c r="BH63" i="2"/>
  <c r="BH62" i="2"/>
  <c r="BH130" i="2"/>
  <c r="BH126" i="2"/>
  <c r="BH122" i="2"/>
  <c r="BH145" i="2"/>
  <c r="BH173" i="2"/>
  <c r="BH141" i="2"/>
  <c r="BH131" i="2"/>
  <c r="BH60" i="2"/>
  <c r="BH59" i="2"/>
  <c r="BH58" i="2"/>
  <c r="BH57" i="2"/>
  <c r="BH56" i="2"/>
  <c r="BH55" i="2"/>
  <c r="BH54" i="2"/>
  <c r="BH53" i="2"/>
  <c r="BH52" i="2"/>
  <c r="BH51" i="2"/>
  <c r="BH50" i="2"/>
  <c r="BH49" i="2"/>
  <c r="BH48" i="2"/>
  <c r="BH47" i="2"/>
  <c r="BH46" i="2"/>
  <c r="BH45" i="2"/>
  <c r="BH44" i="2"/>
  <c r="BH43" i="2"/>
  <c r="BH42" i="2"/>
  <c r="BH41" i="2"/>
  <c r="BH40" i="2"/>
  <c r="BH39" i="2"/>
  <c r="BH38" i="2"/>
  <c r="BH37" i="2"/>
  <c r="BH36" i="2"/>
  <c r="BH35" i="2"/>
  <c r="BH34" i="2"/>
  <c r="BH33" i="2"/>
  <c r="BH32" i="2"/>
  <c r="BH31" i="2"/>
  <c r="BH30" i="2"/>
  <c r="BH29" i="2"/>
  <c r="BH28" i="2"/>
  <c r="BH27" i="2"/>
  <c r="BH26" i="2"/>
  <c r="BH25" i="2"/>
  <c r="BH24" i="2"/>
  <c r="BH23" i="2"/>
  <c r="BH22" i="2"/>
  <c r="BH21" i="2"/>
  <c r="BH20" i="2"/>
  <c r="BH169" i="2"/>
  <c r="BH137" i="2"/>
  <c r="P15" i="2"/>
  <c r="BH165" i="2"/>
  <c r="BH133" i="2"/>
  <c r="BH161" i="2"/>
  <c r="BH61" i="2"/>
  <c r="BH157" i="2"/>
  <c r="P16" i="2"/>
  <c r="BH149" i="2"/>
  <c r="BH153" i="2"/>
  <c r="BH127" i="2"/>
  <c r="BO531" i="2"/>
  <c r="BO530" i="2"/>
  <c r="BO522" i="2"/>
  <c r="BO529" i="2"/>
  <c r="BO521" i="2"/>
  <c r="BO527" i="2"/>
  <c r="BO533" i="2"/>
  <c r="BO526" i="2"/>
  <c r="BO518" i="2"/>
  <c r="BO525" i="2"/>
  <c r="BO517" i="2"/>
  <c r="BO528" i="2"/>
  <c r="BO511" i="2"/>
  <c r="BO532" i="2"/>
  <c r="BO524" i="2"/>
  <c r="BO523" i="2"/>
  <c r="BO516" i="2"/>
  <c r="BO515" i="2"/>
  <c r="BO509" i="2"/>
  <c r="BO508" i="2"/>
  <c r="BO507" i="2"/>
  <c r="BO520" i="2"/>
  <c r="BO519" i="2"/>
  <c r="BO513" i="2"/>
  <c r="BO497" i="2"/>
  <c r="BO496" i="2"/>
  <c r="BO510" i="2"/>
  <c r="BO502" i="2"/>
  <c r="BO494" i="2"/>
  <c r="BO512" i="2"/>
  <c r="BO501" i="2"/>
  <c r="BO504" i="2"/>
  <c r="BO491" i="2"/>
  <c r="BO483" i="2"/>
  <c r="BO500" i="2"/>
  <c r="BO499" i="2"/>
  <c r="BO498" i="2"/>
  <c r="BO490" i="2"/>
  <c r="BO493" i="2"/>
  <c r="BO489" i="2"/>
  <c r="BO487" i="2"/>
  <c r="BO506" i="2"/>
  <c r="BO505" i="2"/>
  <c r="BO503" i="2"/>
  <c r="BO486" i="2"/>
  <c r="BO514" i="2"/>
  <c r="BO485" i="2"/>
  <c r="BO478" i="2"/>
  <c r="BO495" i="2"/>
  <c r="BO492" i="2"/>
  <c r="BO477" i="2"/>
  <c r="BO488" i="2"/>
  <c r="BO475" i="2"/>
  <c r="BO482" i="2"/>
  <c r="BO474" i="2"/>
  <c r="BO470" i="2"/>
  <c r="BO462" i="2"/>
  <c r="BO484" i="2"/>
  <c r="BO469" i="2"/>
  <c r="BO461" i="2"/>
  <c r="BO476" i="2"/>
  <c r="BO468" i="2"/>
  <c r="BO467" i="2"/>
  <c r="BO459" i="2"/>
  <c r="BO466" i="2"/>
  <c r="BO481" i="2"/>
  <c r="BO480" i="2"/>
  <c r="BO479" i="2"/>
  <c r="BO473" i="2"/>
  <c r="BO465" i="2"/>
  <c r="BO464" i="2"/>
  <c r="BO452" i="2"/>
  <c r="BO444" i="2"/>
  <c r="BO436" i="2"/>
  <c r="BO428" i="2"/>
  <c r="BO451" i="2"/>
  <c r="BO443" i="2"/>
  <c r="BO435" i="2"/>
  <c r="BO460" i="2"/>
  <c r="BO458" i="2"/>
  <c r="BO450" i="2"/>
  <c r="BO442" i="2"/>
  <c r="BO434" i="2"/>
  <c r="BO457" i="2"/>
  <c r="BO449" i="2"/>
  <c r="BO456" i="2"/>
  <c r="BO448" i="2"/>
  <c r="BO440" i="2"/>
  <c r="BO432" i="2"/>
  <c r="BO455" i="2"/>
  <c r="BO447" i="2"/>
  <c r="BO439" i="2"/>
  <c r="BO431" i="2"/>
  <c r="BO472" i="2"/>
  <c r="BO454" i="2"/>
  <c r="BO453" i="2"/>
  <c r="BO446" i="2"/>
  <c r="BO437" i="2"/>
  <c r="BO429" i="2"/>
  <c r="BO427" i="2"/>
  <c r="BO419" i="2"/>
  <c r="BO411" i="2"/>
  <c r="BO430" i="2"/>
  <c r="BO418" i="2"/>
  <c r="BO463" i="2"/>
  <c r="BO433" i="2"/>
  <c r="BO424" i="2"/>
  <c r="BO416" i="2"/>
  <c r="BO445" i="2"/>
  <c r="BO438" i="2"/>
  <c r="BO426" i="2"/>
  <c r="BO423" i="2"/>
  <c r="BO415" i="2"/>
  <c r="BO425" i="2"/>
  <c r="BO417" i="2"/>
  <c r="BO441" i="2"/>
  <c r="BO422" i="2"/>
  <c r="BO421" i="2"/>
  <c r="BO410" i="2"/>
  <c r="BO406" i="2"/>
  <c r="BO420" i="2"/>
  <c r="BO414" i="2"/>
  <c r="BO413" i="2"/>
  <c r="BO403" i="2"/>
  <c r="BO405" i="2"/>
  <c r="BO408" i="2"/>
  <c r="BO402" i="2"/>
  <c r="BO399" i="2"/>
  <c r="BO391" i="2"/>
  <c r="BO396" i="2"/>
  <c r="BO388" i="2"/>
  <c r="BO409" i="2"/>
  <c r="BO401" i="2"/>
  <c r="BO398" i="2"/>
  <c r="BO390" i="2"/>
  <c r="BO471" i="2"/>
  <c r="BO395" i="2"/>
  <c r="BO387" i="2"/>
  <c r="BO404" i="2"/>
  <c r="BO377" i="2"/>
  <c r="BO392" i="2"/>
  <c r="BO380" i="2"/>
  <c r="BO372" i="2"/>
  <c r="BO367" i="2"/>
  <c r="BO366" i="2"/>
  <c r="BO365" i="2"/>
  <c r="BO364" i="2"/>
  <c r="BO363" i="2"/>
  <c r="BO362" i="2"/>
  <c r="BO400" i="2"/>
  <c r="BO394" i="2"/>
  <c r="BO393" i="2"/>
  <c r="BO386" i="2"/>
  <c r="BO385" i="2"/>
  <c r="BO383" i="2"/>
  <c r="BO375" i="2"/>
  <c r="BO368" i="2"/>
  <c r="BO407" i="2"/>
  <c r="BO397" i="2"/>
  <c r="BO389" i="2"/>
  <c r="BO378" i="2"/>
  <c r="BO369" i="2"/>
  <c r="BO381" i="2"/>
  <c r="BO373" i="2"/>
  <c r="BO370" i="2"/>
  <c r="BO412" i="2"/>
  <c r="BO384" i="2"/>
  <c r="BO376" i="2"/>
  <c r="BO379" i="2"/>
  <c r="BO371" i="2"/>
  <c r="BO359" i="2"/>
  <c r="BO351" i="2"/>
  <c r="BO382" i="2"/>
  <c r="BO374" i="2"/>
  <c r="BO356" i="2"/>
  <c r="BO348" i="2"/>
  <c r="BO361" i="2"/>
  <c r="BO353" i="2"/>
  <c r="BO344" i="2"/>
  <c r="BO358" i="2"/>
  <c r="BO350" i="2"/>
  <c r="BO345" i="2"/>
  <c r="BO342" i="2"/>
  <c r="BO355" i="2"/>
  <c r="BO346" i="2"/>
  <c r="BO360" i="2"/>
  <c r="BO352" i="2"/>
  <c r="BO347" i="2"/>
  <c r="BO357" i="2"/>
  <c r="BO349" i="2"/>
  <c r="BO354" i="2"/>
  <c r="BO340" i="2"/>
  <c r="BO332" i="2"/>
  <c r="BO329" i="2"/>
  <c r="BO326" i="2"/>
  <c r="BO311" i="2"/>
  <c r="BO303" i="2"/>
  <c r="BO295" i="2"/>
  <c r="BO289" i="2"/>
  <c r="BO339" i="2"/>
  <c r="BO331" i="2"/>
  <c r="BO321" i="2"/>
  <c r="BO318" i="2"/>
  <c r="BO310" i="2"/>
  <c r="BO302" i="2"/>
  <c r="BO294" i="2"/>
  <c r="BO286" i="2"/>
  <c r="BO338" i="2"/>
  <c r="BO324" i="2"/>
  <c r="BO317" i="2"/>
  <c r="BO309" i="2"/>
  <c r="BO301" i="2"/>
  <c r="BO291" i="2"/>
  <c r="BO337" i="2"/>
  <c r="BO330" i="2"/>
  <c r="BO319" i="2"/>
  <c r="BO316" i="2"/>
  <c r="BO308" i="2"/>
  <c r="BO300" i="2"/>
  <c r="BO288" i="2"/>
  <c r="BO336" i="2"/>
  <c r="BO322" i="2"/>
  <c r="BO315" i="2"/>
  <c r="BO307" i="2"/>
  <c r="BO299" i="2"/>
  <c r="BO293" i="2"/>
  <c r="BO285" i="2"/>
  <c r="BO343" i="2"/>
  <c r="BO335" i="2"/>
  <c r="BO328" i="2"/>
  <c r="BO325" i="2"/>
  <c r="BO314" i="2"/>
  <c r="BO306" i="2"/>
  <c r="BO298" i="2"/>
  <c r="BO290" i="2"/>
  <c r="BO334" i="2"/>
  <c r="BO327" i="2"/>
  <c r="BO320" i="2"/>
  <c r="BO313" i="2"/>
  <c r="BO305" i="2"/>
  <c r="BO297" i="2"/>
  <c r="BO287" i="2"/>
  <c r="BO283" i="2"/>
  <c r="BO282" i="2"/>
  <c r="BO281" i="2"/>
  <c r="BO280" i="2"/>
  <c r="BO279" i="2"/>
  <c r="BO278" i="2"/>
  <c r="BO277" i="2"/>
  <c r="BO276" i="2"/>
  <c r="BO304" i="2"/>
  <c r="BO275" i="2"/>
  <c r="BO246" i="2"/>
  <c r="BO341" i="2"/>
  <c r="BO272" i="2"/>
  <c r="BO312" i="2"/>
  <c r="BO296" i="2"/>
  <c r="BO274" i="2"/>
  <c r="BO270" i="2"/>
  <c r="BO269" i="2"/>
  <c r="BO268" i="2"/>
  <c r="BO267" i="2"/>
  <c r="BO266" i="2"/>
  <c r="BO265" i="2"/>
  <c r="BO264" i="2"/>
  <c r="BO263" i="2"/>
  <c r="BO262" i="2"/>
  <c r="BO261" i="2"/>
  <c r="BO260" i="2"/>
  <c r="BO259" i="2"/>
  <c r="BO258" i="2"/>
  <c r="BO257" i="2"/>
  <c r="BO256" i="2"/>
  <c r="BO255" i="2"/>
  <c r="BO254" i="2"/>
  <c r="BO253" i="2"/>
  <c r="BO252" i="2"/>
  <c r="BO251" i="2"/>
  <c r="BO250" i="2"/>
  <c r="BO249" i="2"/>
  <c r="BO248" i="2"/>
  <c r="BO247" i="2"/>
  <c r="BO323" i="2"/>
  <c r="BO292" i="2"/>
  <c r="BO284" i="2"/>
  <c r="BO271" i="2"/>
  <c r="BO333" i="2"/>
  <c r="BO244" i="2"/>
  <c r="BO243" i="2"/>
  <c r="BO241" i="2"/>
  <c r="BO239" i="2"/>
  <c r="BO245" i="2"/>
  <c r="BO242" i="2"/>
  <c r="BO240" i="2"/>
  <c r="BO220" i="2"/>
  <c r="BO219" i="2"/>
  <c r="BO218" i="2"/>
  <c r="BO217" i="2"/>
  <c r="BO216" i="2"/>
  <c r="BO215" i="2"/>
  <c r="BO214" i="2"/>
  <c r="BO213" i="2"/>
  <c r="BO212" i="2"/>
  <c r="BO211" i="2"/>
  <c r="BO210" i="2"/>
  <c r="BO209" i="2"/>
  <c r="BO208" i="2"/>
  <c r="BO207" i="2"/>
  <c r="BO206" i="2"/>
  <c r="BO205" i="2"/>
  <c r="BO204" i="2"/>
  <c r="BO203" i="2"/>
  <c r="BO202" i="2"/>
  <c r="BO201" i="2"/>
  <c r="BO200" i="2"/>
  <c r="BO199" i="2"/>
  <c r="BO198" i="2"/>
  <c r="BO197" i="2"/>
  <c r="BO196" i="2"/>
  <c r="BO195" i="2"/>
  <c r="BO194" i="2"/>
  <c r="BO193" i="2"/>
  <c r="BO192" i="2"/>
  <c r="BO191" i="2"/>
  <c r="BO190" i="2"/>
  <c r="BO189" i="2"/>
  <c r="BO188" i="2"/>
  <c r="BO187" i="2"/>
  <c r="BO186" i="2"/>
  <c r="BO185" i="2"/>
  <c r="BO184" i="2"/>
  <c r="BO183" i="2"/>
  <c r="BO182" i="2"/>
  <c r="BO181" i="2"/>
  <c r="BO180" i="2"/>
  <c r="BO179" i="2"/>
  <c r="BO178" i="2"/>
  <c r="BO177" i="2"/>
  <c r="BO176" i="2"/>
  <c r="BO273" i="2"/>
  <c r="BO238" i="2"/>
  <c r="BO237" i="2"/>
  <c r="BO236" i="2"/>
  <c r="BO232" i="2"/>
  <c r="BO224" i="2"/>
  <c r="BO174" i="2"/>
  <c r="BO173" i="2"/>
  <c r="BO172" i="2"/>
  <c r="BO171" i="2"/>
  <c r="BO170" i="2"/>
  <c r="BO169" i="2"/>
  <c r="BO168" i="2"/>
  <c r="BO167" i="2"/>
  <c r="BO166" i="2"/>
  <c r="BO165" i="2"/>
  <c r="BO164" i="2"/>
  <c r="BO163" i="2"/>
  <c r="BO162" i="2"/>
  <c r="BO161" i="2"/>
  <c r="BO160" i="2"/>
  <c r="BO159" i="2"/>
  <c r="BO158" i="2"/>
  <c r="BO157" i="2"/>
  <c r="BO156" i="2"/>
  <c r="BO155" i="2"/>
  <c r="BO154" i="2"/>
  <c r="BO153" i="2"/>
  <c r="BO152" i="2"/>
  <c r="BO151" i="2"/>
  <c r="BO150" i="2"/>
  <c r="BO149" i="2"/>
  <c r="BO148" i="2"/>
  <c r="BO147" i="2"/>
  <c r="BO146" i="2"/>
  <c r="BO145" i="2"/>
  <c r="BO144" i="2"/>
  <c r="BO143" i="2"/>
  <c r="BO142" i="2"/>
  <c r="BO141" i="2"/>
  <c r="BO140" i="2"/>
  <c r="BO139" i="2"/>
  <c r="BO138" i="2"/>
  <c r="BO137" i="2"/>
  <c r="BO136" i="2"/>
  <c r="BO135" i="2"/>
  <c r="BO134" i="2"/>
  <c r="BO133" i="2"/>
  <c r="BO132" i="2"/>
  <c r="BO131" i="2"/>
  <c r="BO130" i="2"/>
  <c r="BO129" i="2"/>
  <c r="BO128" i="2"/>
  <c r="BO127" i="2"/>
  <c r="BO126" i="2"/>
  <c r="BO125" i="2"/>
  <c r="BO124" i="2"/>
  <c r="BO233" i="2"/>
  <c r="BO225" i="2"/>
  <c r="BO234" i="2"/>
  <c r="BO226" i="2"/>
  <c r="BO235" i="2"/>
  <c r="BO227" i="2"/>
  <c r="BO228" i="2"/>
  <c r="BO175" i="2"/>
  <c r="BO229" i="2"/>
  <c r="BO221" i="2"/>
  <c r="BO230" i="2"/>
  <c r="BO222" i="2"/>
  <c r="BO223" i="2"/>
  <c r="BO121" i="2"/>
  <c r="BO120" i="2"/>
  <c r="BO119" i="2"/>
  <c r="BO118" i="2"/>
  <c r="BO117" i="2"/>
  <c r="BO116" i="2"/>
  <c r="BO115" i="2"/>
  <c r="BO114" i="2"/>
  <c r="BO113" i="2"/>
  <c r="BO112" i="2"/>
  <c r="BO111" i="2"/>
  <c r="BO110" i="2"/>
  <c r="BO109" i="2"/>
  <c r="BO108" i="2"/>
  <c r="BO107" i="2"/>
  <c r="BO106" i="2"/>
  <c r="BO105" i="2"/>
  <c r="BO104" i="2"/>
  <c r="BO103" i="2"/>
  <c r="BO102" i="2"/>
  <c r="BO101" i="2"/>
  <c r="BO100" i="2"/>
  <c r="BO99" i="2"/>
  <c r="BO98" i="2"/>
  <c r="BO97" i="2"/>
  <c r="BO96" i="2"/>
  <c r="BO95" i="2"/>
  <c r="BO94" i="2"/>
  <c r="BO93" i="2"/>
  <c r="BO92" i="2"/>
  <c r="BO91" i="2"/>
  <c r="BO90" i="2"/>
  <c r="BO89" i="2"/>
  <c r="BO88" i="2"/>
  <c r="BO87" i="2"/>
  <c r="BO86" i="2"/>
  <c r="BO85" i="2"/>
  <c r="BO84" i="2"/>
  <c r="BO83" i="2"/>
  <c r="BO82" i="2"/>
  <c r="BO81" i="2"/>
  <c r="BO80" i="2"/>
  <c r="BO79" i="2"/>
  <c r="BO78" i="2"/>
  <c r="BO77" i="2"/>
  <c r="BO76" i="2"/>
  <c r="BO75" i="2"/>
  <c r="BO74" i="2"/>
  <c r="BO73" i="2"/>
  <c r="BO72" i="2"/>
  <c r="BO71" i="2"/>
  <c r="BO70" i="2"/>
  <c r="BO69" i="2"/>
  <c r="BO68" i="2"/>
  <c r="BO67" i="2"/>
  <c r="BO66" i="2"/>
  <c r="BO65" i="2"/>
  <c r="BO64" i="2"/>
  <c r="BO63" i="2"/>
  <c r="BO62" i="2"/>
  <c r="BO61" i="2"/>
  <c r="BO60" i="2"/>
  <c r="BO59" i="2"/>
  <c r="BO58" i="2"/>
  <c r="BO57" i="2"/>
  <c r="BO56" i="2"/>
  <c r="BO55" i="2"/>
  <c r="BO54" i="2"/>
  <c r="BO53" i="2"/>
  <c r="BO52" i="2"/>
  <c r="BO51" i="2"/>
  <c r="BO50" i="2"/>
  <c r="BO49" i="2"/>
  <c r="BO48" i="2"/>
  <c r="BO47" i="2"/>
  <c r="BO46" i="2"/>
  <c r="BO45" i="2"/>
  <c r="BO44" i="2"/>
  <c r="BO43" i="2"/>
  <c r="BO42" i="2"/>
  <c r="BO41" i="2"/>
  <c r="BO40" i="2"/>
  <c r="BO39" i="2"/>
  <c r="BO38" i="2"/>
  <c r="BO37" i="2"/>
  <c r="BO36" i="2"/>
  <c r="BO35" i="2"/>
  <c r="BO34" i="2"/>
  <c r="BO33" i="2"/>
  <c r="BO32" i="2"/>
  <c r="BO31" i="2"/>
  <c r="BO30" i="2"/>
  <c r="BO29" i="2"/>
  <c r="BO28" i="2"/>
  <c r="BO27" i="2"/>
  <c r="BO26" i="2"/>
  <c r="BO25" i="2"/>
  <c r="BO24" i="2"/>
  <c r="BO23" i="2"/>
  <c r="BO22" i="2"/>
  <c r="BO21" i="2"/>
  <c r="BO20" i="2"/>
  <c r="BO231" i="2"/>
  <c r="W15" i="2"/>
  <c r="BO122" i="2"/>
  <c r="BO123" i="2"/>
  <c r="W16" i="2"/>
  <c r="BD524" i="2"/>
  <c r="BD516" i="2"/>
  <c r="BD523" i="2"/>
  <c r="BD529" i="2"/>
  <c r="BD532" i="2"/>
  <c r="BD528" i="2"/>
  <c r="BD520" i="2"/>
  <c r="BD527" i="2"/>
  <c r="BD519" i="2"/>
  <c r="BD515" i="2"/>
  <c r="BD513" i="2"/>
  <c r="BD505" i="2"/>
  <c r="BD526" i="2"/>
  <c r="BD517" i="2"/>
  <c r="BD518" i="2"/>
  <c r="BD511" i="2"/>
  <c r="BD510" i="2"/>
  <c r="BD525" i="2"/>
  <c r="BD509" i="2"/>
  <c r="BD531" i="2"/>
  <c r="BD522" i="2"/>
  <c r="BD512" i="2"/>
  <c r="BD499" i="2"/>
  <c r="BD506" i="2"/>
  <c r="BD498" i="2"/>
  <c r="BD496" i="2"/>
  <c r="BD530" i="2"/>
  <c r="BD508" i="2"/>
  <c r="BD504" i="2"/>
  <c r="BD503" i="2"/>
  <c r="BD495" i="2"/>
  <c r="BD533" i="2"/>
  <c r="BD514" i="2"/>
  <c r="BD507" i="2"/>
  <c r="BD485" i="2"/>
  <c r="BD502" i="2"/>
  <c r="BD501" i="2"/>
  <c r="BD492" i="2"/>
  <c r="BD484" i="2"/>
  <c r="BD521" i="2"/>
  <c r="BD493" i="2"/>
  <c r="BD491" i="2"/>
  <c r="BD494" i="2"/>
  <c r="BD489" i="2"/>
  <c r="BD497" i="2"/>
  <c r="BD488" i="2"/>
  <c r="BD480" i="2"/>
  <c r="BD483" i="2"/>
  <c r="BD479" i="2"/>
  <c r="BD490" i="2"/>
  <c r="BD487" i="2"/>
  <c r="BD477" i="2"/>
  <c r="BD500" i="2"/>
  <c r="BD476" i="2"/>
  <c r="BD472" i="2"/>
  <c r="BD464" i="2"/>
  <c r="BD478" i="2"/>
  <c r="BD471" i="2"/>
  <c r="BD463" i="2"/>
  <c r="BD470" i="2"/>
  <c r="BD462" i="2"/>
  <c r="BD481" i="2"/>
  <c r="BD473" i="2"/>
  <c r="BD469" i="2"/>
  <c r="BD461" i="2"/>
  <c r="BD486" i="2"/>
  <c r="BD468" i="2"/>
  <c r="BD474" i="2"/>
  <c r="BD467" i="2"/>
  <c r="BD482" i="2"/>
  <c r="BD475" i="2"/>
  <c r="BD466" i="2"/>
  <c r="BD454" i="2"/>
  <c r="BD446" i="2"/>
  <c r="BD438" i="2"/>
  <c r="BD430" i="2"/>
  <c r="BD460" i="2"/>
  <c r="BD453" i="2"/>
  <c r="BD445" i="2"/>
  <c r="BD437" i="2"/>
  <c r="BD452" i="2"/>
  <c r="BD444" i="2"/>
  <c r="BD436" i="2"/>
  <c r="BD451" i="2"/>
  <c r="BD459" i="2"/>
  <c r="BD458" i="2"/>
  <c r="BD450" i="2"/>
  <c r="BD442" i="2"/>
  <c r="BD434" i="2"/>
  <c r="BD457" i="2"/>
  <c r="BD449" i="2"/>
  <c r="BD441" i="2"/>
  <c r="BD433" i="2"/>
  <c r="BD448" i="2"/>
  <c r="BD439" i="2"/>
  <c r="BD429" i="2"/>
  <c r="BD421" i="2"/>
  <c r="BD413" i="2"/>
  <c r="BD432" i="2"/>
  <c r="BD427" i="2"/>
  <c r="BD420" i="2"/>
  <c r="BD412" i="2"/>
  <c r="BD435" i="2"/>
  <c r="BD465" i="2"/>
  <c r="BD447" i="2"/>
  <c r="BD418" i="2"/>
  <c r="BD440" i="2"/>
  <c r="BD431" i="2"/>
  <c r="BD425" i="2"/>
  <c r="BD417" i="2"/>
  <c r="BD443" i="2"/>
  <c r="BD419" i="2"/>
  <c r="BD422" i="2"/>
  <c r="BD423" i="2"/>
  <c r="BD411" i="2"/>
  <c r="BD410" i="2"/>
  <c r="BD456" i="2"/>
  <c r="BD424" i="2"/>
  <c r="BD415" i="2"/>
  <c r="BD406" i="2"/>
  <c r="BD402" i="2"/>
  <c r="BD401" i="2"/>
  <c r="BD400" i="2"/>
  <c r="BD399" i="2"/>
  <c r="BD398" i="2"/>
  <c r="BD397" i="2"/>
  <c r="BD396" i="2"/>
  <c r="BD395" i="2"/>
  <c r="BD394" i="2"/>
  <c r="BD393" i="2"/>
  <c r="BD392" i="2"/>
  <c r="BD391" i="2"/>
  <c r="BD390" i="2"/>
  <c r="BD389" i="2"/>
  <c r="BD388" i="2"/>
  <c r="BD387" i="2"/>
  <c r="BD386" i="2"/>
  <c r="BD409" i="2"/>
  <c r="BD455" i="2"/>
  <c r="BD428" i="2"/>
  <c r="BD405" i="2"/>
  <c r="BD416" i="2"/>
  <c r="BD414" i="2"/>
  <c r="BD403" i="2"/>
  <c r="BD426" i="2"/>
  <c r="BD407" i="2"/>
  <c r="BD404" i="2"/>
  <c r="BD385" i="2"/>
  <c r="BD408" i="2"/>
  <c r="BD383" i="2"/>
  <c r="BD375" i="2"/>
  <c r="BD378" i="2"/>
  <c r="BD381" i="2"/>
  <c r="BD373" i="2"/>
  <c r="BD368" i="2"/>
  <c r="BD384" i="2"/>
  <c r="BD376" i="2"/>
  <c r="BD369" i="2"/>
  <c r="BD367" i="2"/>
  <c r="BD366" i="2"/>
  <c r="BD365" i="2"/>
  <c r="BD364" i="2"/>
  <c r="BD363" i="2"/>
  <c r="BD362" i="2"/>
  <c r="BD361" i="2"/>
  <c r="BD360" i="2"/>
  <c r="BD359" i="2"/>
  <c r="BD358" i="2"/>
  <c r="BD357" i="2"/>
  <c r="BD356" i="2"/>
  <c r="BD355" i="2"/>
  <c r="BD354" i="2"/>
  <c r="BD353" i="2"/>
  <c r="BD352" i="2"/>
  <c r="BD351" i="2"/>
  <c r="BD350" i="2"/>
  <c r="BD349" i="2"/>
  <c r="BD348" i="2"/>
  <c r="BD347" i="2"/>
  <c r="BD346" i="2"/>
  <c r="BD345" i="2"/>
  <c r="BD344" i="2"/>
  <c r="BD343" i="2"/>
  <c r="BD342" i="2"/>
  <c r="BD379" i="2"/>
  <c r="BD370" i="2"/>
  <c r="BD382" i="2"/>
  <c r="BD374" i="2"/>
  <c r="BD371" i="2"/>
  <c r="BD377" i="2"/>
  <c r="BD341" i="2"/>
  <c r="BD340" i="2"/>
  <c r="BD339" i="2"/>
  <c r="BD338" i="2"/>
  <c r="BD337" i="2"/>
  <c r="BD336" i="2"/>
  <c r="BD335" i="2"/>
  <c r="BD334" i="2"/>
  <c r="BD333" i="2"/>
  <c r="BD332" i="2"/>
  <c r="BD331" i="2"/>
  <c r="BD330" i="2"/>
  <c r="BD329" i="2"/>
  <c r="BD319" i="2"/>
  <c r="BD318" i="2"/>
  <c r="BD310" i="2"/>
  <c r="BD302" i="2"/>
  <c r="BD294" i="2"/>
  <c r="BD292" i="2"/>
  <c r="BD284" i="2"/>
  <c r="BD283" i="2"/>
  <c r="BD282" i="2"/>
  <c r="BD281" i="2"/>
  <c r="BD280" i="2"/>
  <c r="BD279" i="2"/>
  <c r="BD278" i="2"/>
  <c r="BD277" i="2"/>
  <c r="BD276" i="2"/>
  <c r="BD275" i="2"/>
  <c r="BD328" i="2"/>
  <c r="BD322" i="2"/>
  <c r="BD317" i="2"/>
  <c r="BD309" i="2"/>
  <c r="BD301" i="2"/>
  <c r="BD289" i="2"/>
  <c r="BD327" i="2"/>
  <c r="BD325" i="2"/>
  <c r="BD316" i="2"/>
  <c r="BD308" i="2"/>
  <c r="BD300" i="2"/>
  <c r="BD286" i="2"/>
  <c r="BD320" i="2"/>
  <c r="BD315" i="2"/>
  <c r="BD307" i="2"/>
  <c r="BD299" i="2"/>
  <c r="BD291" i="2"/>
  <c r="BD323" i="2"/>
  <c r="BD314" i="2"/>
  <c r="BD306" i="2"/>
  <c r="BD298" i="2"/>
  <c r="BD288" i="2"/>
  <c r="BD380" i="2"/>
  <c r="BD326" i="2"/>
  <c r="BD313" i="2"/>
  <c r="BD305" i="2"/>
  <c r="BD297" i="2"/>
  <c r="BD293" i="2"/>
  <c r="BD285" i="2"/>
  <c r="BD321" i="2"/>
  <c r="BD312" i="2"/>
  <c r="BD304" i="2"/>
  <c r="BD296" i="2"/>
  <c r="BD290" i="2"/>
  <c r="BD273" i="2"/>
  <c r="BD303" i="2"/>
  <c r="BD372" i="2"/>
  <c r="BD287" i="2"/>
  <c r="BD272" i="2"/>
  <c r="BD246" i="2"/>
  <c r="BD245" i="2"/>
  <c r="BD244" i="2"/>
  <c r="BD311" i="2"/>
  <c r="BD295" i="2"/>
  <c r="BD274" i="2"/>
  <c r="BD324" i="2"/>
  <c r="BD271" i="2"/>
  <c r="BD270" i="2"/>
  <c r="BD269" i="2"/>
  <c r="BD268" i="2"/>
  <c r="BD267" i="2"/>
  <c r="BD266" i="2"/>
  <c r="BD265" i="2"/>
  <c r="BD264" i="2"/>
  <c r="BD263" i="2"/>
  <c r="BD262" i="2"/>
  <c r="BD261" i="2"/>
  <c r="BD260" i="2"/>
  <c r="BD259" i="2"/>
  <c r="BD258" i="2"/>
  <c r="BD257" i="2"/>
  <c r="BD256" i="2"/>
  <c r="BD255" i="2"/>
  <c r="BD254" i="2"/>
  <c r="BD253" i="2"/>
  <c r="BD252" i="2"/>
  <c r="BD251" i="2"/>
  <c r="BD250" i="2"/>
  <c r="BD249" i="2"/>
  <c r="BD248" i="2"/>
  <c r="BD247" i="2"/>
  <c r="BD243" i="2"/>
  <c r="BD241" i="2"/>
  <c r="BD239" i="2"/>
  <c r="BD238" i="2"/>
  <c r="BD237" i="2"/>
  <c r="BD236" i="2"/>
  <c r="BD235" i="2"/>
  <c r="BD234" i="2"/>
  <c r="BD233" i="2"/>
  <c r="BD232" i="2"/>
  <c r="BD231" i="2"/>
  <c r="BD230" i="2"/>
  <c r="BD229" i="2"/>
  <c r="BD228" i="2"/>
  <c r="BD227" i="2"/>
  <c r="BD226" i="2"/>
  <c r="BD225" i="2"/>
  <c r="BD224" i="2"/>
  <c r="BD223" i="2"/>
  <c r="BD222" i="2"/>
  <c r="BD221" i="2"/>
  <c r="BD220" i="2"/>
  <c r="BD219" i="2"/>
  <c r="BD218" i="2"/>
  <c r="BD217" i="2"/>
  <c r="BD216" i="2"/>
  <c r="BD215" i="2"/>
  <c r="BD214" i="2"/>
  <c r="BD213" i="2"/>
  <c r="BD212" i="2"/>
  <c r="BD211" i="2"/>
  <c r="BD210" i="2"/>
  <c r="BD209" i="2"/>
  <c r="BD208" i="2"/>
  <c r="BD207" i="2"/>
  <c r="BD206" i="2"/>
  <c r="BD205" i="2"/>
  <c r="BD204" i="2"/>
  <c r="BD203" i="2"/>
  <c r="BD202" i="2"/>
  <c r="BD201" i="2"/>
  <c r="BD200" i="2"/>
  <c r="BD199" i="2"/>
  <c r="BD198" i="2"/>
  <c r="BD197" i="2"/>
  <c r="BD196" i="2"/>
  <c r="BD195" i="2"/>
  <c r="BD194" i="2"/>
  <c r="BD193" i="2"/>
  <c r="BD192" i="2"/>
  <c r="BD191" i="2"/>
  <c r="BD190" i="2"/>
  <c r="BD189" i="2"/>
  <c r="BD188" i="2"/>
  <c r="BD187" i="2"/>
  <c r="BD186" i="2"/>
  <c r="BD185" i="2"/>
  <c r="BD184" i="2"/>
  <c r="BD183" i="2"/>
  <c r="BD182" i="2"/>
  <c r="BD181" i="2"/>
  <c r="BD180" i="2"/>
  <c r="BD179" i="2"/>
  <c r="BD178" i="2"/>
  <c r="BD177" i="2"/>
  <c r="BD176" i="2"/>
  <c r="BD175" i="2"/>
  <c r="BD174" i="2"/>
  <c r="BD173" i="2"/>
  <c r="BD172" i="2"/>
  <c r="BD171" i="2"/>
  <c r="BD170" i="2"/>
  <c r="BD169" i="2"/>
  <c r="BD168" i="2"/>
  <c r="BD167" i="2"/>
  <c r="BD166" i="2"/>
  <c r="BD165" i="2"/>
  <c r="BD164" i="2"/>
  <c r="BD163" i="2"/>
  <c r="BD162" i="2"/>
  <c r="BD161" i="2"/>
  <c r="BD160" i="2"/>
  <c r="BD159" i="2"/>
  <c r="BD158" i="2"/>
  <c r="BD157" i="2"/>
  <c r="BD156" i="2"/>
  <c r="BD155" i="2"/>
  <c r="BD154" i="2"/>
  <c r="BD153" i="2"/>
  <c r="BD152" i="2"/>
  <c r="BD151" i="2"/>
  <c r="BD150" i="2"/>
  <c r="BD149" i="2"/>
  <c r="BD148" i="2"/>
  <c r="BD147" i="2"/>
  <c r="BD146" i="2"/>
  <c r="BD145" i="2"/>
  <c r="BD144" i="2"/>
  <c r="BD143" i="2"/>
  <c r="BD142" i="2"/>
  <c r="BD141" i="2"/>
  <c r="BD140" i="2"/>
  <c r="BD139" i="2"/>
  <c r="BD138" i="2"/>
  <c r="BD137" i="2"/>
  <c r="BD136" i="2"/>
  <c r="BD135" i="2"/>
  <c r="BD134" i="2"/>
  <c r="BD133" i="2"/>
  <c r="BD132" i="2"/>
  <c r="BD131" i="2"/>
  <c r="BD130" i="2"/>
  <c r="BD129" i="2"/>
  <c r="BD128" i="2"/>
  <c r="BD127" i="2"/>
  <c r="BD126" i="2"/>
  <c r="BD125" i="2"/>
  <c r="BD124" i="2"/>
  <c r="BD123" i="2"/>
  <c r="BD122" i="2"/>
  <c r="BD242" i="2"/>
  <c r="BD240" i="2"/>
  <c r="BD120" i="2"/>
  <c r="BD112" i="2"/>
  <c r="BD104" i="2"/>
  <c r="BD96" i="2"/>
  <c r="BD88" i="2"/>
  <c r="BD78" i="2"/>
  <c r="BD74" i="2"/>
  <c r="BD70" i="2"/>
  <c r="BD66" i="2"/>
  <c r="BD115" i="2"/>
  <c r="BD107" i="2"/>
  <c r="BD99" i="2"/>
  <c r="BD91" i="2"/>
  <c r="BD83" i="2"/>
  <c r="BD101" i="2"/>
  <c r="BD85" i="2"/>
  <c r="BD118" i="2"/>
  <c r="BD110" i="2"/>
  <c r="BD102" i="2"/>
  <c r="BD94" i="2"/>
  <c r="BD86" i="2"/>
  <c r="BD77" i="2"/>
  <c r="BD73" i="2"/>
  <c r="BD69" i="2"/>
  <c r="BD121" i="2"/>
  <c r="BD113" i="2"/>
  <c r="BD105" i="2"/>
  <c r="BD97" i="2"/>
  <c r="BD89" i="2"/>
  <c r="BD116" i="2"/>
  <c r="BD108" i="2"/>
  <c r="BD100" i="2"/>
  <c r="BD92" i="2"/>
  <c r="BD80" i="2"/>
  <c r="BD76" i="2"/>
  <c r="BD72" i="2"/>
  <c r="BD68" i="2"/>
  <c r="BD62" i="2"/>
  <c r="BD60" i="2"/>
  <c r="BD59" i="2"/>
  <c r="BD58" i="2"/>
  <c r="BD57" i="2"/>
  <c r="BD56" i="2"/>
  <c r="BD55" i="2"/>
  <c r="BD54" i="2"/>
  <c r="BD53" i="2"/>
  <c r="BD52" i="2"/>
  <c r="BD51" i="2"/>
  <c r="BD50" i="2"/>
  <c r="BD49" i="2"/>
  <c r="BD48" i="2"/>
  <c r="BD47" i="2"/>
  <c r="BD46" i="2"/>
  <c r="BD45" i="2"/>
  <c r="BD44" i="2"/>
  <c r="BD43" i="2"/>
  <c r="BD42" i="2"/>
  <c r="BD41" i="2"/>
  <c r="BD40" i="2"/>
  <c r="BD39" i="2"/>
  <c r="BD38" i="2"/>
  <c r="BD37" i="2"/>
  <c r="BD36" i="2"/>
  <c r="BD35" i="2"/>
  <c r="BD34" i="2"/>
  <c r="BD33" i="2"/>
  <c r="BD32" i="2"/>
  <c r="BD31" i="2"/>
  <c r="BD30" i="2"/>
  <c r="BD29" i="2"/>
  <c r="BD28" i="2"/>
  <c r="BD27" i="2"/>
  <c r="BD26" i="2"/>
  <c r="BD25" i="2"/>
  <c r="BD24" i="2"/>
  <c r="BD23" i="2"/>
  <c r="BD22" i="2"/>
  <c r="BD21" i="2"/>
  <c r="BD20" i="2"/>
  <c r="BD109" i="2"/>
  <c r="BD93" i="2"/>
  <c r="BD65" i="2"/>
  <c r="BD119" i="2"/>
  <c r="BD111" i="2"/>
  <c r="BD103" i="2"/>
  <c r="BD95" i="2"/>
  <c r="BD87" i="2"/>
  <c r="BD84" i="2"/>
  <c r="BD81" i="2"/>
  <c r="BD63" i="2"/>
  <c r="BD117" i="2"/>
  <c r="BD82" i="2"/>
  <c r="BD114" i="2"/>
  <c r="BD106" i="2"/>
  <c r="BD98" i="2"/>
  <c r="BD90" i="2"/>
  <c r="BD79" i="2"/>
  <c r="BD75" i="2"/>
  <c r="BD71" i="2"/>
  <c r="BD67" i="2"/>
  <c r="BD64" i="2"/>
  <c r="BD61" i="2"/>
  <c r="AM10" i="2"/>
  <c r="AA10" i="2"/>
  <c r="BG531" i="2"/>
  <c r="BG530" i="2"/>
  <c r="BG522" i="2"/>
  <c r="BG529" i="2"/>
  <c r="BG521" i="2"/>
  <c r="BG527" i="2"/>
  <c r="BG533" i="2"/>
  <c r="BG526" i="2"/>
  <c r="BG518" i="2"/>
  <c r="BG525" i="2"/>
  <c r="BG517" i="2"/>
  <c r="BG511" i="2"/>
  <c r="BG520" i="2"/>
  <c r="BG519" i="2"/>
  <c r="BG509" i="2"/>
  <c r="BG528" i="2"/>
  <c r="BG508" i="2"/>
  <c r="BG507" i="2"/>
  <c r="BG524" i="2"/>
  <c r="BG523" i="2"/>
  <c r="BG516" i="2"/>
  <c r="BG513" i="2"/>
  <c r="BG497" i="2"/>
  <c r="BG515" i="2"/>
  <c r="BG514" i="2"/>
  <c r="BG496" i="2"/>
  <c r="BG504" i="2"/>
  <c r="BG502" i="2"/>
  <c r="BG494" i="2"/>
  <c r="BG501" i="2"/>
  <c r="BG512" i="2"/>
  <c r="BG506" i="2"/>
  <c r="BG505" i="2"/>
  <c r="BG493" i="2"/>
  <c r="BG491" i="2"/>
  <c r="BG483" i="2"/>
  <c r="BG503" i="2"/>
  <c r="BG490" i="2"/>
  <c r="BG510" i="2"/>
  <c r="BG495" i="2"/>
  <c r="BG489" i="2"/>
  <c r="BG532" i="2"/>
  <c r="BG487" i="2"/>
  <c r="BG500" i="2"/>
  <c r="BG499" i="2"/>
  <c r="BG498" i="2"/>
  <c r="BG486" i="2"/>
  <c r="BG478" i="2"/>
  <c r="BG477" i="2"/>
  <c r="BG484" i="2"/>
  <c r="BG475" i="2"/>
  <c r="BG492" i="2"/>
  <c r="BG482" i="2"/>
  <c r="BG474" i="2"/>
  <c r="BG470" i="2"/>
  <c r="BG462" i="2"/>
  <c r="BG481" i="2"/>
  <c r="BG480" i="2"/>
  <c r="BG479" i="2"/>
  <c r="BG473" i="2"/>
  <c r="BG469" i="2"/>
  <c r="BG461" i="2"/>
  <c r="BG488" i="2"/>
  <c r="BG468" i="2"/>
  <c r="BG467" i="2"/>
  <c r="BG459" i="2"/>
  <c r="BG466" i="2"/>
  <c r="BG465" i="2"/>
  <c r="BG485" i="2"/>
  <c r="BG476" i="2"/>
  <c r="BG472" i="2"/>
  <c r="BG464" i="2"/>
  <c r="BG471" i="2"/>
  <c r="BG460" i="2"/>
  <c r="BG452" i="2"/>
  <c r="BG444" i="2"/>
  <c r="BG436" i="2"/>
  <c r="BG428" i="2"/>
  <c r="BG463" i="2"/>
  <c r="BG451" i="2"/>
  <c r="BG443" i="2"/>
  <c r="BG435" i="2"/>
  <c r="BG458" i="2"/>
  <c r="BG450" i="2"/>
  <c r="BG442" i="2"/>
  <c r="BG434" i="2"/>
  <c r="BG457" i="2"/>
  <c r="BG456" i="2"/>
  <c r="BG448" i="2"/>
  <c r="BG440" i="2"/>
  <c r="BG432" i="2"/>
  <c r="BG455" i="2"/>
  <c r="BG447" i="2"/>
  <c r="BG439" i="2"/>
  <c r="BG431" i="2"/>
  <c r="BG445" i="2"/>
  <c r="BG438" i="2"/>
  <c r="BG429" i="2"/>
  <c r="BG419" i="2"/>
  <c r="BG411" i="2"/>
  <c r="BG441" i="2"/>
  <c r="BG418" i="2"/>
  <c r="BG454" i="2"/>
  <c r="BG453" i="2"/>
  <c r="BG446" i="2"/>
  <c r="BG437" i="2"/>
  <c r="BG426" i="2"/>
  <c r="BG424" i="2"/>
  <c r="BG416" i="2"/>
  <c r="BG449" i="2"/>
  <c r="BG430" i="2"/>
  <c r="BG423" i="2"/>
  <c r="BG415" i="2"/>
  <c r="BG420" i="2"/>
  <c r="BG414" i="2"/>
  <c r="BG427" i="2"/>
  <c r="BG403" i="2"/>
  <c r="BG425" i="2"/>
  <c r="BG413" i="2"/>
  <c r="BG401" i="2"/>
  <c r="BG410" i="2"/>
  <c r="BG405" i="2"/>
  <c r="BG398" i="2"/>
  <c r="BG390" i="2"/>
  <c r="BG412" i="2"/>
  <c r="BG407" i="2"/>
  <c r="BG404" i="2"/>
  <c r="BG395" i="2"/>
  <c r="BG387" i="2"/>
  <c r="BG385" i="2"/>
  <c r="BG422" i="2"/>
  <c r="BG408" i="2"/>
  <c r="BG406" i="2"/>
  <c r="BG400" i="2"/>
  <c r="BG397" i="2"/>
  <c r="BG389" i="2"/>
  <c r="BG402" i="2"/>
  <c r="BG394" i="2"/>
  <c r="BG386" i="2"/>
  <c r="BG409" i="2"/>
  <c r="BG381" i="2"/>
  <c r="BG373" i="2"/>
  <c r="BG368" i="2"/>
  <c r="BG433" i="2"/>
  <c r="BG421" i="2"/>
  <c r="BG384" i="2"/>
  <c r="BG376" i="2"/>
  <c r="BG369" i="2"/>
  <c r="BG367" i="2"/>
  <c r="BG366" i="2"/>
  <c r="BG365" i="2"/>
  <c r="BG364" i="2"/>
  <c r="BG363" i="2"/>
  <c r="BG379" i="2"/>
  <c r="BG370" i="2"/>
  <c r="BG391" i="2"/>
  <c r="BG382" i="2"/>
  <c r="BG374" i="2"/>
  <c r="BG371" i="2"/>
  <c r="BG392" i="2"/>
  <c r="BG377" i="2"/>
  <c r="BG399" i="2"/>
  <c r="BG396" i="2"/>
  <c r="BG393" i="2"/>
  <c r="BG388" i="2"/>
  <c r="BG380" i="2"/>
  <c r="BG372" i="2"/>
  <c r="BG417" i="2"/>
  <c r="BG383" i="2"/>
  <c r="BG375" i="2"/>
  <c r="BG360" i="2"/>
  <c r="BG352" i="2"/>
  <c r="BG346" i="2"/>
  <c r="BG357" i="2"/>
  <c r="BG349" i="2"/>
  <c r="BG347" i="2"/>
  <c r="BG354" i="2"/>
  <c r="BG342" i="2"/>
  <c r="BG359" i="2"/>
  <c r="BG351" i="2"/>
  <c r="BG356" i="2"/>
  <c r="BG348" i="2"/>
  <c r="BG378" i="2"/>
  <c r="BG361" i="2"/>
  <c r="BG353" i="2"/>
  <c r="BG362" i="2"/>
  <c r="BG358" i="2"/>
  <c r="BG350" i="2"/>
  <c r="BG343" i="2"/>
  <c r="BG341" i="2"/>
  <c r="BG333" i="2"/>
  <c r="BG328" i="2"/>
  <c r="BG322" i="2"/>
  <c r="BG316" i="2"/>
  <c r="BG308" i="2"/>
  <c r="BG300" i="2"/>
  <c r="BG286" i="2"/>
  <c r="BG340" i="2"/>
  <c r="BG332" i="2"/>
  <c r="BG327" i="2"/>
  <c r="BG325" i="2"/>
  <c r="BG315" i="2"/>
  <c r="BG307" i="2"/>
  <c r="BG299" i="2"/>
  <c r="BG291" i="2"/>
  <c r="BG355" i="2"/>
  <c r="BG339" i="2"/>
  <c r="BG331" i="2"/>
  <c r="BG329" i="2"/>
  <c r="BG320" i="2"/>
  <c r="BG314" i="2"/>
  <c r="BG306" i="2"/>
  <c r="BG298" i="2"/>
  <c r="BG288" i="2"/>
  <c r="BG338" i="2"/>
  <c r="BG323" i="2"/>
  <c r="BG313" i="2"/>
  <c r="BG305" i="2"/>
  <c r="BG297" i="2"/>
  <c r="BG293" i="2"/>
  <c r="BG285" i="2"/>
  <c r="BG337" i="2"/>
  <c r="BG326" i="2"/>
  <c r="BG312" i="2"/>
  <c r="BG304" i="2"/>
  <c r="BG296" i="2"/>
  <c r="BG290" i="2"/>
  <c r="BG336" i="2"/>
  <c r="BG330" i="2"/>
  <c r="BG321" i="2"/>
  <c r="BG311" i="2"/>
  <c r="BG303" i="2"/>
  <c r="BG295" i="2"/>
  <c r="BG287" i="2"/>
  <c r="BG345" i="2"/>
  <c r="BG344" i="2"/>
  <c r="BG335" i="2"/>
  <c r="BG324" i="2"/>
  <c r="BG318" i="2"/>
  <c r="BG310" i="2"/>
  <c r="BG302" i="2"/>
  <c r="BG294" i="2"/>
  <c r="BG292" i="2"/>
  <c r="BG284" i="2"/>
  <c r="BG283" i="2"/>
  <c r="BG282" i="2"/>
  <c r="BG281" i="2"/>
  <c r="BG280" i="2"/>
  <c r="BG279" i="2"/>
  <c r="BG278" i="2"/>
  <c r="BG277" i="2"/>
  <c r="BG276" i="2"/>
  <c r="BG334" i="2"/>
  <c r="BG317" i="2"/>
  <c r="BG301" i="2"/>
  <c r="BG289" i="2"/>
  <c r="BG319" i="2"/>
  <c r="BG272" i="2"/>
  <c r="BG274" i="2"/>
  <c r="BG309" i="2"/>
  <c r="BG271" i="2"/>
  <c r="BG270" i="2"/>
  <c r="BG269" i="2"/>
  <c r="BG268" i="2"/>
  <c r="BG267" i="2"/>
  <c r="BG266" i="2"/>
  <c r="BG265" i="2"/>
  <c r="BG264" i="2"/>
  <c r="BG263" i="2"/>
  <c r="BG262" i="2"/>
  <c r="BG261" i="2"/>
  <c r="BG260" i="2"/>
  <c r="BG259" i="2"/>
  <c r="BG258" i="2"/>
  <c r="BG257" i="2"/>
  <c r="BG256" i="2"/>
  <c r="BG255" i="2"/>
  <c r="BG254" i="2"/>
  <c r="BG253" i="2"/>
  <c r="BG252" i="2"/>
  <c r="BG251" i="2"/>
  <c r="BG250" i="2"/>
  <c r="BG249" i="2"/>
  <c r="BG248" i="2"/>
  <c r="BG247" i="2"/>
  <c r="BG275" i="2"/>
  <c r="BG273" i="2"/>
  <c r="BG245" i="2"/>
  <c r="BG242" i="2"/>
  <c r="BG240" i="2"/>
  <c r="BG220" i="2"/>
  <c r="BG219" i="2"/>
  <c r="BG218" i="2"/>
  <c r="BG217" i="2"/>
  <c r="BG216" i="2"/>
  <c r="BG215" i="2"/>
  <c r="BG214" i="2"/>
  <c r="BG213" i="2"/>
  <c r="BG212" i="2"/>
  <c r="BG211" i="2"/>
  <c r="BG210" i="2"/>
  <c r="BG209" i="2"/>
  <c r="BG208" i="2"/>
  <c r="BG207" i="2"/>
  <c r="BG206" i="2"/>
  <c r="BG205" i="2"/>
  <c r="BG204" i="2"/>
  <c r="BG203" i="2"/>
  <c r="BG202" i="2"/>
  <c r="BG201" i="2"/>
  <c r="BG200" i="2"/>
  <c r="BG199" i="2"/>
  <c r="BG198" i="2"/>
  <c r="BG197" i="2"/>
  <c r="BG196" i="2"/>
  <c r="BG195" i="2"/>
  <c r="BG194" i="2"/>
  <c r="BG193" i="2"/>
  <c r="BG192" i="2"/>
  <c r="BG191" i="2"/>
  <c r="BG190" i="2"/>
  <c r="BG189" i="2"/>
  <c r="BG188" i="2"/>
  <c r="BG187" i="2"/>
  <c r="BG186" i="2"/>
  <c r="BG185" i="2"/>
  <c r="BG184" i="2"/>
  <c r="BG183" i="2"/>
  <c r="BG182" i="2"/>
  <c r="BG181" i="2"/>
  <c r="BG180" i="2"/>
  <c r="BG179" i="2"/>
  <c r="BG178" i="2"/>
  <c r="BG177" i="2"/>
  <c r="BG176" i="2"/>
  <c r="BG244" i="2"/>
  <c r="BG243" i="2"/>
  <c r="BG241" i="2"/>
  <c r="BG239" i="2"/>
  <c r="BG238" i="2"/>
  <c r="BG237" i="2"/>
  <c r="BG236" i="2"/>
  <c r="BG246" i="2"/>
  <c r="BG230" i="2"/>
  <c r="BG222" i="2"/>
  <c r="BG174" i="2"/>
  <c r="BG173" i="2"/>
  <c r="BG172" i="2"/>
  <c r="BG171" i="2"/>
  <c r="BG170" i="2"/>
  <c r="BG169" i="2"/>
  <c r="BG168" i="2"/>
  <c r="BG167" i="2"/>
  <c r="BG166" i="2"/>
  <c r="BG165" i="2"/>
  <c r="BG164" i="2"/>
  <c r="BG163" i="2"/>
  <c r="BG162" i="2"/>
  <c r="BG161" i="2"/>
  <c r="BG160" i="2"/>
  <c r="BG159" i="2"/>
  <c r="BG158" i="2"/>
  <c r="BG157" i="2"/>
  <c r="BG156" i="2"/>
  <c r="BG155" i="2"/>
  <c r="BG154" i="2"/>
  <c r="BG153" i="2"/>
  <c r="BG152" i="2"/>
  <c r="BG151" i="2"/>
  <c r="BG150" i="2"/>
  <c r="BG149" i="2"/>
  <c r="BG148" i="2"/>
  <c r="BG147" i="2"/>
  <c r="BG146" i="2"/>
  <c r="BG145" i="2"/>
  <c r="BG144" i="2"/>
  <c r="BG143" i="2"/>
  <c r="BG142" i="2"/>
  <c r="BG141" i="2"/>
  <c r="BG140" i="2"/>
  <c r="BG139" i="2"/>
  <c r="BG138" i="2"/>
  <c r="BG137" i="2"/>
  <c r="BG136" i="2"/>
  <c r="BG135" i="2"/>
  <c r="BG134" i="2"/>
  <c r="BG133" i="2"/>
  <c r="BG132" i="2"/>
  <c r="BG131" i="2"/>
  <c r="BG130" i="2"/>
  <c r="BG129" i="2"/>
  <c r="BG128" i="2"/>
  <c r="BG127" i="2"/>
  <c r="BG126" i="2"/>
  <c r="BG125" i="2"/>
  <c r="BG231" i="2"/>
  <c r="BG223" i="2"/>
  <c r="BG232" i="2"/>
  <c r="BG224" i="2"/>
  <c r="BG233" i="2"/>
  <c r="BG225" i="2"/>
  <c r="BG175" i="2"/>
  <c r="BG234" i="2"/>
  <c r="BG226" i="2"/>
  <c r="BG235" i="2"/>
  <c r="BG227" i="2"/>
  <c r="BG228" i="2"/>
  <c r="BG124" i="2"/>
  <c r="BG123" i="2"/>
  <c r="BG229" i="2"/>
  <c r="BG121" i="2"/>
  <c r="BG120" i="2"/>
  <c r="BG119" i="2"/>
  <c r="BG118" i="2"/>
  <c r="BG117" i="2"/>
  <c r="BG116" i="2"/>
  <c r="BG115" i="2"/>
  <c r="BG114" i="2"/>
  <c r="BG113" i="2"/>
  <c r="BG112" i="2"/>
  <c r="BG111" i="2"/>
  <c r="BG110" i="2"/>
  <c r="BG109" i="2"/>
  <c r="BG108" i="2"/>
  <c r="BG107" i="2"/>
  <c r="BG106" i="2"/>
  <c r="BG105" i="2"/>
  <c r="BG104" i="2"/>
  <c r="BG103" i="2"/>
  <c r="BG102" i="2"/>
  <c r="BG101" i="2"/>
  <c r="BG100" i="2"/>
  <c r="BG99" i="2"/>
  <c r="BG98" i="2"/>
  <c r="BG97" i="2"/>
  <c r="BG96" i="2"/>
  <c r="BG95" i="2"/>
  <c r="BG94" i="2"/>
  <c r="BG93" i="2"/>
  <c r="BG92" i="2"/>
  <c r="BG91" i="2"/>
  <c r="BG90" i="2"/>
  <c r="BG89" i="2"/>
  <c r="BG88" i="2"/>
  <c r="BG87" i="2"/>
  <c r="BG86" i="2"/>
  <c r="BG85" i="2"/>
  <c r="BG84" i="2"/>
  <c r="BG83" i="2"/>
  <c r="BG82" i="2"/>
  <c r="BG81" i="2"/>
  <c r="BG80" i="2"/>
  <c r="BG79" i="2"/>
  <c r="BG78" i="2"/>
  <c r="BG77" i="2"/>
  <c r="BG76" i="2"/>
  <c r="BG75" i="2"/>
  <c r="BG74" i="2"/>
  <c r="BG73" i="2"/>
  <c r="BG72" i="2"/>
  <c r="BG71" i="2"/>
  <c r="BG70" i="2"/>
  <c r="BG69" i="2"/>
  <c r="BG68" i="2"/>
  <c r="BG67" i="2"/>
  <c r="BG66" i="2"/>
  <c r="BG65" i="2"/>
  <c r="BG64" i="2"/>
  <c r="BG63" i="2"/>
  <c r="BG62" i="2"/>
  <c r="BG61" i="2"/>
  <c r="BG221" i="2"/>
  <c r="BG60" i="2"/>
  <c r="BG59" i="2"/>
  <c r="BG58" i="2"/>
  <c r="BG57" i="2"/>
  <c r="BG56" i="2"/>
  <c r="BG55" i="2"/>
  <c r="BG54" i="2"/>
  <c r="BG53" i="2"/>
  <c r="BG52" i="2"/>
  <c r="BG51" i="2"/>
  <c r="BG50" i="2"/>
  <c r="BG49" i="2"/>
  <c r="BG48" i="2"/>
  <c r="BG47" i="2"/>
  <c r="BG46" i="2"/>
  <c r="BG45" i="2"/>
  <c r="BG44" i="2"/>
  <c r="BG43" i="2"/>
  <c r="BG42" i="2"/>
  <c r="BG41" i="2"/>
  <c r="BG40" i="2"/>
  <c r="BG39" i="2"/>
  <c r="BG38" i="2"/>
  <c r="BG37" i="2"/>
  <c r="BG36" i="2"/>
  <c r="BG35" i="2"/>
  <c r="BG34" i="2"/>
  <c r="BG33" i="2"/>
  <c r="BG32" i="2"/>
  <c r="BG31" i="2"/>
  <c r="BG30" i="2"/>
  <c r="BG29" i="2"/>
  <c r="BG28" i="2"/>
  <c r="BG27" i="2"/>
  <c r="BG26" i="2"/>
  <c r="BG25" i="2"/>
  <c r="BG24" i="2"/>
  <c r="BG23" i="2"/>
  <c r="BG22" i="2"/>
  <c r="BG21" i="2"/>
  <c r="BG20" i="2"/>
  <c r="O15" i="2"/>
  <c r="BG122" i="2"/>
  <c r="O16" i="2"/>
  <c r="CL4" i="2" a="1"/>
  <c r="CL4" i="2" s="1"/>
  <c r="BA527" i="2"/>
  <c r="BA519" i="2"/>
  <c r="BA533" i="2"/>
  <c r="BA526" i="2"/>
  <c r="BA518" i="2"/>
  <c r="BA523" i="2"/>
  <c r="BA515" i="2"/>
  <c r="BA531" i="2"/>
  <c r="BA530" i="2"/>
  <c r="BA522" i="2"/>
  <c r="BA508" i="2"/>
  <c r="BA524" i="2"/>
  <c r="BA516" i="2"/>
  <c r="BA529" i="2"/>
  <c r="BA517" i="2"/>
  <c r="BA514" i="2"/>
  <c r="BA506" i="2"/>
  <c r="BA513" i="2"/>
  <c r="BA512" i="2"/>
  <c r="BA521" i="2"/>
  <c r="BA510" i="2"/>
  <c r="BA502" i="2"/>
  <c r="BA494" i="2"/>
  <c r="BA501" i="2"/>
  <c r="BA493" i="2"/>
  <c r="BA525" i="2"/>
  <c r="BA499" i="2"/>
  <c r="BA511" i="2"/>
  <c r="BA498" i="2"/>
  <c r="BA528" i="2"/>
  <c r="BA500" i="2"/>
  <c r="BA488" i="2"/>
  <c r="BA520" i="2"/>
  <c r="BA505" i="2"/>
  <c r="BA487" i="2"/>
  <c r="BA507" i="2"/>
  <c r="BA486" i="2"/>
  <c r="BA532" i="2"/>
  <c r="BA503" i="2"/>
  <c r="BA492" i="2"/>
  <c r="BA495" i="2"/>
  <c r="BA491" i="2"/>
  <c r="BA496" i="2"/>
  <c r="BA485" i="2"/>
  <c r="BA475" i="2"/>
  <c r="BA482" i="2"/>
  <c r="BA474" i="2"/>
  <c r="BA497" i="2"/>
  <c r="BA509" i="2"/>
  <c r="BA490" i="2"/>
  <c r="BA480" i="2"/>
  <c r="BA504" i="2"/>
  <c r="BA484" i="2"/>
  <c r="BA483" i="2"/>
  <c r="BA479" i="2"/>
  <c r="BA467" i="2"/>
  <c r="BA476" i="2"/>
  <c r="BA466" i="2"/>
  <c r="BA489" i="2"/>
  <c r="BA478" i="2"/>
  <c r="BA477" i="2"/>
  <c r="BA465" i="2"/>
  <c r="BA472" i="2"/>
  <c r="BA464" i="2"/>
  <c r="BA481" i="2"/>
  <c r="BA473" i="2"/>
  <c r="BA471" i="2"/>
  <c r="BA463" i="2"/>
  <c r="BA470" i="2"/>
  <c r="BA469" i="2"/>
  <c r="BA461" i="2"/>
  <c r="BA468" i="2"/>
  <c r="BA462" i="2"/>
  <c r="BA457" i="2"/>
  <c r="BA449" i="2"/>
  <c r="BA441" i="2"/>
  <c r="BA433" i="2"/>
  <c r="BA456" i="2"/>
  <c r="BA448" i="2"/>
  <c r="BA440" i="2"/>
  <c r="BA432" i="2"/>
  <c r="BA455" i="2"/>
  <c r="BA447" i="2"/>
  <c r="BA439" i="2"/>
  <c r="BA431" i="2"/>
  <c r="BA460" i="2"/>
  <c r="BA454" i="2"/>
  <c r="BA453" i="2"/>
  <c r="BA445" i="2"/>
  <c r="BA437" i="2"/>
  <c r="BA452" i="2"/>
  <c r="BA444" i="2"/>
  <c r="BA436" i="2"/>
  <c r="BA450" i="2"/>
  <c r="BA451" i="2"/>
  <c r="BA428" i="2"/>
  <c r="BA426" i="2"/>
  <c r="BA424" i="2"/>
  <c r="BA416" i="2"/>
  <c r="BA442" i="2"/>
  <c r="BA438" i="2"/>
  <c r="BA423" i="2"/>
  <c r="BA415" i="2"/>
  <c r="BA435" i="2"/>
  <c r="BA429" i="2"/>
  <c r="BA421" i="2"/>
  <c r="BA413" i="2"/>
  <c r="BA458" i="2"/>
  <c r="BA427" i="2"/>
  <c r="BA420" i="2"/>
  <c r="BA412" i="2"/>
  <c r="BA417" i="2"/>
  <c r="BA443" i="2"/>
  <c r="BA419" i="2"/>
  <c r="BA418" i="2"/>
  <c r="BA422" i="2"/>
  <c r="BA414" i="2"/>
  <c r="BA408" i="2"/>
  <c r="BA459" i="2"/>
  <c r="BA446" i="2"/>
  <c r="BA409" i="2"/>
  <c r="BA407" i="2"/>
  <c r="BA434" i="2"/>
  <c r="BA396" i="2"/>
  <c r="BA388" i="2"/>
  <c r="BA430" i="2"/>
  <c r="BA401" i="2"/>
  <c r="BA393" i="2"/>
  <c r="BA410" i="2"/>
  <c r="BA395" i="2"/>
  <c r="BA387" i="2"/>
  <c r="BA411" i="2"/>
  <c r="BA406" i="2"/>
  <c r="BA405" i="2"/>
  <c r="BA404" i="2"/>
  <c r="BA403" i="2"/>
  <c r="BA400" i="2"/>
  <c r="BA392" i="2"/>
  <c r="BA380" i="2"/>
  <c r="BA372" i="2"/>
  <c r="BA383" i="2"/>
  <c r="BA375" i="2"/>
  <c r="BA378" i="2"/>
  <c r="BA381" i="2"/>
  <c r="BA373" i="2"/>
  <c r="BA384" i="2"/>
  <c r="BA376" i="2"/>
  <c r="BA368" i="2"/>
  <c r="BA398" i="2"/>
  <c r="BA394" i="2"/>
  <c r="BA391" i="2"/>
  <c r="BA390" i="2"/>
  <c r="BA386" i="2"/>
  <c r="BA379" i="2"/>
  <c r="BA369" i="2"/>
  <c r="BA425" i="2"/>
  <c r="BA397" i="2"/>
  <c r="BA389" i="2"/>
  <c r="BA382" i="2"/>
  <c r="BA374" i="2"/>
  <c r="BA370" i="2"/>
  <c r="BA367" i="2"/>
  <c r="BA366" i="2"/>
  <c r="BA365" i="2"/>
  <c r="BA364" i="2"/>
  <c r="BA363" i="2"/>
  <c r="BA362" i="2"/>
  <c r="BA361" i="2"/>
  <c r="BA360" i="2"/>
  <c r="BA359" i="2"/>
  <c r="BA358" i="2"/>
  <c r="BA357" i="2"/>
  <c r="BA356" i="2"/>
  <c r="BA355" i="2"/>
  <c r="BA354" i="2"/>
  <c r="BA353" i="2"/>
  <c r="BA352" i="2"/>
  <c r="BA351" i="2"/>
  <c r="BA350" i="2"/>
  <c r="BA349" i="2"/>
  <c r="BA348" i="2"/>
  <c r="BA399" i="2"/>
  <c r="BA345" i="2"/>
  <c r="BA346" i="2"/>
  <c r="BA344" i="2"/>
  <c r="BA347" i="2"/>
  <c r="BA343" i="2"/>
  <c r="BA341" i="2"/>
  <c r="BA340" i="2"/>
  <c r="BA339" i="2"/>
  <c r="BA338" i="2"/>
  <c r="BA337" i="2"/>
  <c r="BA336" i="2"/>
  <c r="BA335" i="2"/>
  <c r="BA334" i="2"/>
  <c r="BA333" i="2"/>
  <c r="BA332" i="2"/>
  <c r="BA331" i="2"/>
  <c r="BA330" i="2"/>
  <c r="BA329" i="2"/>
  <c r="BA328" i="2"/>
  <c r="BA327" i="2"/>
  <c r="BA385" i="2"/>
  <c r="BA377" i="2"/>
  <c r="BA342" i="2"/>
  <c r="BA321" i="2"/>
  <c r="BA312" i="2"/>
  <c r="BA304" i="2"/>
  <c r="BA296" i="2"/>
  <c r="BA293" i="2"/>
  <c r="BA285" i="2"/>
  <c r="BA324" i="2"/>
  <c r="BA311" i="2"/>
  <c r="BA303" i="2"/>
  <c r="BA295" i="2"/>
  <c r="BA290" i="2"/>
  <c r="BA319" i="2"/>
  <c r="BA318" i="2"/>
  <c r="BA310" i="2"/>
  <c r="BA302" i="2"/>
  <c r="BA294" i="2"/>
  <c r="BA287" i="2"/>
  <c r="BA322" i="2"/>
  <c r="BA317" i="2"/>
  <c r="BA309" i="2"/>
  <c r="BA301" i="2"/>
  <c r="BA292" i="2"/>
  <c r="BA284" i="2"/>
  <c r="BA283" i="2"/>
  <c r="BA282" i="2"/>
  <c r="BA281" i="2"/>
  <c r="BA280" i="2"/>
  <c r="BA279" i="2"/>
  <c r="BA278" i="2"/>
  <c r="BA402" i="2"/>
  <c r="BA325" i="2"/>
  <c r="BA316" i="2"/>
  <c r="BA308" i="2"/>
  <c r="BA300" i="2"/>
  <c r="BA289" i="2"/>
  <c r="BA371" i="2"/>
  <c r="BA320" i="2"/>
  <c r="BA315" i="2"/>
  <c r="BA307" i="2"/>
  <c r="BA299" i="2"/>
  <c r="BA286" i="2"/>
  <c r="BA323" i="2"/>
  <c r="BA314" i="2"/>
  <c r="BA306" i="2"/>
  <c r="BA298" i="2"/>
  <c r="BA291" i="2"/>
  <c r="BA275" i="2"/>
  <c r="BA274" i="2"/>
  <c r="BA326" i="2"/>
  <c r="BA305" i="2"/>
  <c r="BA271" i="2"/>
  <c r="BA270" i="2"/>
  <c r="BA269" i="2"/>
  <c r="BA268" i="2"/>
  <c r="BA267" i="2"/>
  <c r="BA266" i="2"/>
  <c r="BA265" i="2"/>
  <c r="BA264" i="2"/>
  <c r="BA263" i="2"/>
  <c r="BA262" i="2"/>
  <c r="BA261" i="2"/>
  <c r="BA260" i="2"/>
  <c r="BA259" i="2"/>
  <c r="BA258" i="2"/>
  <c r="BA257" i="2"/>
  <c r="BA256" i="2"/>
  <c r="BA255" i="2"/>
  <c r="BA254" i="2"/>
  <c r="BA253" i="2"/>
  <c r="BA252" i="2"/>
  <c r="BA251" i="2"/>
  <c r="BA250" i="2"/>
  <c r="BA249" i="2"/>
  <c r="BA248" i="2"/>
  <c r="BA247" i="2"/>
  <c r="BA288" i="2"/>
  <c r="BA273" i="2"/>
  <c r="BA277" i="2"/>
  <c r="BA313" i="2"/>
  <c r="BA297" i="2"/>
  <c r="BA276" i="2"/>
  <c r="BA272" i="2"/>
  <c r="BA246" i="2"/>
  <c r="BA245" i="2"/>
  <c r="BA244" i="2"/>
  <c r="BA220" i="2"/>
  <c r="BA219" i="2"/>
  <c r="BA218" i="2"/>
  <c r="BA217" i="2"/>
  <c r="BA216" i="2"/>
  <c r="BA215" i="2"/>
  <c r="BA214" i="2"/>
  <c r="BA213" i="2"/>
  <c r="BA212" i="2"/>
  <c r="BA211" i="2"/>
  <c r="BA210" i="2"/>
  <c r="BA209" i="2"/>
  <c r="BA208" i="2"/>
  <c r="BA207" i="2"/>
  <c r="BA206" i="2"/>
  <c r="BA205" i="2"/>
  <c r="BA204" i="2"/>
  <c r="BA203" i="2"/>
  <c r="BA202" i="2"/>
  <c r="BA201" i="2"/>
  <c r="BA200" i="2"/>
  <c r="BA199" i="2"/>
  <c r="BA198" i="2"/>
  <c r="BA197" i="2"/>
  <c r="BA196" i="2"/>
  <c r="BA195" i="2"/>
  <c r="BA194" i="2"/>
  <c r="BA193" i="2"/>
  <c r="BA192" i="2"/>
  <c r="BA191" i="2"/>
  <c r="BA190" i="2"/>
  <c r="BA189" i="2"/>
  <c r="BA188" i="2"/>
  <c r="BA187" i="2"/>
  <c r="BA186" i="2"/>
  <c r="BA185" i="2"/>
  <c r="BA243" i="2"/>
  <c r="BA241" i="2"/>
  <c r="BA239" i="2"/>
  <c r="BA238" i="2"/>
  <c r="BA237" i="2"/>
  <c r="BA236" i="2"/>
  <c r="BA235" i="2"/>
  <c r="BA234" i="2"/>
  <c r="BA233" i="2"/>
  <c r="BA232" i="2"/>
  <c r="BA231" i="2"/>
  <c r="BA230" i="2"/>
  <c r="BA229" i="2"/>
  <c r="BA228" i="2"/>
  <c r="BA227" i="2"/>
  <c r="BA226" i="2"/>
  <c r="BA225" i="2"/>
  <c r="BA224" i="2"/>
  <c r="BA223" i="2"/>
  <c r="BA222" i="2"/>
  <c r="BA221" i="2"/>
  <c r="BA242" i="2"/>
  <c r="BA240" i="2"/>
  <c r="BA178" i="2"/>
  <c r="BA184" i="2"/>
  <c r="BA179" i="2"/>
  <c r="BA177" i="2"/>
  <c r="BA176" i="2"/>
  <c r="BA183" i="2"/>
  <c r="BA182" i="2"/>
  <c r="BA180" i="2"/>
  <c r="BA174" i="2"/>
  <c r="BA173" i="2"/>
  <c r="BA172" i="2"/>
  <c r="BA171" i="2"/>
  <c r="BA170" i="2"/>
  <c r="BA169" i="2"/>
  <c r="BA168" i="2"/>
  <c r="BA167" i="2"/>
  <c r="BA166" i="2"/>
  <c r="BA165" i="2"/>
  <c r="BA164" i="2"/>
  <c r="BA163" i="2"/>
  <c r="BA162" i="2"/>
  <c r="BA161" i="2"/>
  <c r="BA160" i="2"/>
  <c r="BA159" i="2"/>
  <c r="BA158" i="2"/>
  <c r="BA157" i="2"/>
  <c r="BA156" i="2"/>
  <c r="BA155" i="2"/>
  <c r="BA154" i="2"/>
  <c r="BA153" i="2"/>
  <c r="BA152" i="2"/>
  <c r="BA151" i="2"/>
  <c r="BA150" i="2"/>
  <c r="BA149" i="2"/>
  <c r="BA148" i="2"/>
  <c r="BA147" i="2"/>
  <c r="BA146" i="2"/>
  <c r="BA145" i="2"/>
  <c r="BA144" i="2"/>
  <c r="BA143" i="2"/>
  <c r="BA142" i="2"/>
  <c r="BA141" i="2"/>
  <c r="BA140" i="2"/>
  <c r="BA139" i="2"/>
  <c r="BA138" i="2"/>
  <c r="BA137" i="2"/>
  <c r="BA136" i="2"/>
  <c r="BA135" i="2"/>
  <c r="BA134" i="2"/>
  <c r="BA133" i="2"/>
  <c r="BA131" i="2"/>
  <c r="BA127" i="2"/>
  <c r="BA132" i="2"/>
  <c r="BA128" i="2"/>
  <c r="BA122" i="2"/>
  <c r="BA121" i="2"/>
  <c r="BA120" i="2"/>
  <c r="BA119" i="2"/>
  <c r="BA118" i="2"/>
  <c r="BA117" i="2"/>
  <c r="BA116" i="2"/>
  <c r="BA115" i="2"/>
  <c r="BA114" i="2"/>
  <c r="BA113" i="2"/>
  <c r="BA112" i="2"/>
  <c r="BA111" i="2"/>
  <c r="BA110" i="2"/>
  <c r="BA109" i="2"/>
  <c r="BA108" i="2"/>
  <c r="BA107" i="2"/>
  <c r="BA106" i="2"/>
  <c r="BA105" i="2"/>
  <c r="BA104" i="2"/>
  <c r="BA103" i="2"/>
  <c r="BA102" i="2"/>
  <c r="BA101" i="2"/>
  <c r="BA100" i="2"/>
  <c r="BA99" i="2"/>
  <c r="BA98" i="2"/>
  <c r="BA97" i="2"/>
  <c r="BA96" i="2"/>
  <c r="BA95" i="2"/>
  <c r="BA94" i="2"/>
  <c r="BA93" i="2"/>
  <c r="BA92" i="2"/>
  <c r="BA91" i="2"/>
  <c r="BA90" i="2"/>
  <c r="BA89" i="2"/>
  <c r="BA88" i="2"/>
  <c r="BA87" i="2"/>
  <c r="BA86" i="2"/>
  <c r="BA85" i="2"/>
  <c r="BA84" i="2"/>
  <c r="BA83" i="2"/>
  <c r="BA82" i="2"/>
  <c r="BA81" i="2"/>
  <c r="BA181" i="2"/>
  <c r="BA175" i="2"/>
  <c r="BA129" i="2"/>
  <c r="BA125" i="2"/>
  <c r="BA124" i="2"/>
  <c r="BA130" i="2"/>
  <c r="BA123" i="2"/>
  <c r="BA79" i="2"/>
  <c r="BA75" i="2"/>
  <c r="BA71" i="2"/>
  <c r="BA67" i="2"/>
  <c r="BA63" i="2"/>
  <c r="BA64" i="2"/>
  <c r="BA61" i="2"/>
  <c r="X10" i="2"/>
  <c r="BA60" i="2"/>
  <c r="BA54" i="2"/>
  <c r="BA41" i="2"/>
  <c r="BA36" i="2"/>
  <c r="BA31" i="2"/>
  <c r="BA78" i="2"/>
  <c r="BA74" i="2"/>
  <c r="BA70" i="2"/>
  <c r="BA65" i="2"/>
  <c r="BA62" i="2"/>
  <c r="BA46" i="2"/>
  <c r="BA45" i="2"/>
  <c r="BA27" i="2"/>
  <c r="BA26" i="2"/>
  <c r="BA66" i="2"/>
  <c r="BA51" i="2"/>
  <c r="BA50" i="2"/>
  <c r="BA39" i="2"/>
  <c r="BA38" i="2"/>
  <c r="BA37" i="2"/>
  <c r="BA28" i="2"/>
  <c r="BA77" i="2"/>
  <c r="BA73" i="2"/>
  <c r="BA69" i="2"/>
  <c r="BA56" i="2"/>
  <c r="BA55" i="2"/>
  <c r="BA49" i="2"/>
  <c r="BA48" i="2"/>
  <c r="BA44" i="2"/>
  <c r="BA43" i="2"/>
  <c r="BA40" i="2"/>
  <c r="BA126" i="2"/>
  <c r="BA58" i="2"/>
  <c r="BA57" i="2"/>
  <c r="BA47" i="2"/>
  <c r="BA42" i="2"/>
  <c r="BA35" i="2"/>
  <c r="BA34" i="2"/>
  <c r="BA32" i="2"/>
  <c r="BA29" i="2"/>
  <c r="BA80" i="2"/>
  <c r="BA76" i="2"/>
  <c r="BA72" i="2"/>
  <c r="BA68" i="2"/>
  <c r="BA59" i="2"/>
  <c r="BA53" i="2"/>
  <c r="BA52" i="2"/>
  <c r="BA33" i="2"/>
  <c r="BA30" i="2"/>
  <c r="BA25" i="2"/>
  <c r="BA24" i="2"/>
  <c r="BA21" i="2"/>
  <c r="BA23" i="2"/>
  <c r="BA20" i="2"/>
  <c r="BA22" i="2"/>
  <c r="BK533" i="2"/>
  <c r="BK526" i="2"/>
  <c r="BK518" i="2"/>
  <c r="BK525" i="2"/>
  <c r="BK517" i="2"/>
  <c r="BK531" i="2"/>
  <c r="BK530" i="2"/>
  <c r="BK522" i="2"/>
  <c r="BK529" i="2"/>
  <c r="BK521" i="2"/>
  <c r="BK520" i="2"/>
  <c r="BK519" i="2"/>
  <c r="BK507" i="2"/>
  <c r="BK528" i="2"/>
  <c r="BK513" i="2"/>
  <c r="BK505" i="2"/>
  <c r="BK532" i="2"/>
  <c r="BK512" i="2"/>
  <c r="BK524" i="2"/>
  <c r="BK523" i="2"/>
  <c r="BK516" i="2"/>
  <c r="BK511" i="2"/>
  <c r="BK509" i="2"/>
  <c r="BK527" i="2"/>
  <c r="BK515" i="2"/>
  <c r="BK514" i="2"/>
  <c r="BK501" i="2"/>
  <c r="BK500" i="2"/>
  <c r="BK498" i="2"/>
  <c r="BK510" i="2"/>
  <c r="BK497" i="2"/>
  <c r="BK495" i="2"/>
  <c r="BK487" i="2"/>
  <c r="BK508" i="2"/>
  <c r="BK496" i="2"/>
  <c r="BK494" i="2"/>
  <c r="BK486" i="2"/>
  <c r="BK504" i="2"/>
  <c r="BK485" i="2"/>
  <c r="BK491" i="2"/>
  <c r="BK490" i="2"/>
  <c r="BK499" i="2"/>
  <c r="BK493" i="2"/>
  <c r="BK482" i="2"/>
  <c r="BK474" i="2"/>
  <c r="BK481" i="2"/>
  <c r="BK473" i="2"/>
  <c r="BK492" i="2"/>
  <c r="BK489" i="2"/>
  <c r="BK502" i="2"/>
  <c r="BK479" i="2"/>
  <c r="BK478" i="2"/>
  <c r="BK506" i="2"/>
  <c r="BK466" i="2"/>
  <c r="BK503" i="2"/>
  <c r="BK488" i="2"/>
  <c r="BK465" i="2"/>
  <c r="BK484" i="2"/>
  <c r="BK472" i="2"/>
  <c r="BK464" i="2"/>
  <c r="BK471" i="2"/>
  <c r="BK463" i="2"/>
  <c r="BK476" i="2"/>
  <c r="BK475" i="2"/>
  <c r="BK470" i="2"/>
  <c r="BK462" i="2"/>
  <c r="BK477" i="2"/>
  <c r="BK469" i="2"/>
  <c r="BK483" i="2"/>
  <c r="BK468" i="2"/>
  <c r="BK460" i="2"/>
  <c r="BK456" i="2"/>
  <c r="BK448" i="2"/>
  <c r="BK440" i="2"/>
  <c r="BK432" i="2"/>
  <c r="BK455" i="2"/>
  <c r="BK447" i="2"/>
  <c r="BK439" i="2"/>
  <c r="BK431" i="2"/>
  <c r="BK467" i="2"/>
  <c r="BK454" i="2"/>
  <c r="BK446" i="2"/>
  <c r="BK438" i="2"/>
  <c r="BK430" i="2"/>
  <c r="BK461" i="2"/>
  <c r="BK453" i="2"/>
  <c r="BK452" i="2"/>
  <c r="BK444" i="2"/>
  <c r="BK436" i="2"/>
  <c r="BK480" i="2"/>
  <c r="BK451" i="2"/>
  <c r="BK443" i="2"/>
  <c r="BK435" i="2"/>
  <c r="BK457" i="2"/>
  <c r="BK441" i="2"/>
  <c r="BK428" i="2"/>
  <c r="BK426" i="2"/>
  <c r="BK423" i="2"/>
  <c r="BK415" i="2"/>
  <c r="BK458" i="2"/>
  <c r="BK437" i="2"/>
  <c r="BK422" i="2"/>
  <c r="BK414" i="2"/>
  <c r="BK434" i="2"/>
  <c r="BK449" i="2"/>
  <c r="BK429" i="2"/>
  <c r="BK420" i="2"/>
  <c r="BK412" i="2"/>
  <c r="BK459" i="2"/>
  <c r="BK450" i="2"/>
  <c r="BK427" i="2"/>
  <c r="BK419" i="2"/>
  <c r="BK411" i="2"/>
  <c r="BK442" i="2"/>
  <c r="BK425" i="2"/>
  <c r="BK424" i="2"/>
  <c r="BK417" i="2"/>
  <c r="BK416" i="2"/>
  <c r="BK433" i="2"/>
  <c r="BK418" i="2"/>
  <c r="BK408" i="2"/>
  <c r="BK407" i="2"/>
  <c r="BK413" i="2"/>
  <c r="BK410" i="2"/>
  <c r="BK402" i="2"/>
  <c r="BK401" i="2"/>
  <c r="BK400" i="2"/>
  <c r="BK399" i="2"/>
  <c r="BK398" i="2"/>
  <c r="BK397" i="2"/>
  <c r="BK396" i="2"/>
  <c r="BK395" i="2"/>
  <c r="BK394" i="2"/>
  <c r="BK393" i="2"/>
  <c r="BK392" i="2"/>
  <c r="BK391" i="2"/>
  <c r="BK390" i="2"/>
  <c r="BK389" i="2"/>
  <c r="BK388" i="2"/>
  <c r="BK387" i="2"/>
  <c r="BK386" i="2"/>
  <c r="BK385" i="2"/>
  <c r="BK406" i="2"/>
  <c r="BK405" i="2"/>
  <c r="BK404" i="2"/>
  <c r="BK403" i="2"/>
  <c r="BK384" i="2"/>
  <c r="BK383" i="2"/>
  <c r="BK382" i="2"/>
  <c r="BK381" i="2"/>
  <c r="BK380" i="2"/>
  <c r="BK379" i="2"/>
  <c r="BK378" i="2"/>
  <c r="BK377" i="2"/>
  <c r="BK376" i="2"/>
  <c r="BK375" i="2"/>
  <c r="BK374" i="2"/>
  <c r="BK373" i="2"/>
  <c r="BK372" i="2"/>
  <c r="BK409" i="2"/>
  <c r="BK421" i="2"/>
  <c r="BK445" i="2"/>
  <c r="BK371" i="2"/>
  <c r="BK368" i="2"/>
  <c r="BK367" i="2"/>
  <c r="BK366" i="2"/>
  <c r="BK365" i="2"/>
  <c r="BK364" i="2"/>
  <c r="BK363" i="2"/>
  <c r="BK362" i="2"/>
  <c r="BK361" i="2"/>
  <c r="BK360" i="2"/>
  <c r="BK359" i="2"/>
  <c r="BK358" i="2"/>
  <c r="BK357" i="2"/>
  <c r="BK356" i="2"/>
  <c r="BK355" i="2"/>
  <c r="BK354" i="2"/>
  <c r="BK353" i="2"/>
  <c r="BK352" i="2"/>
  <c r="BK351" i="2"/>
  <c r="BK350" i="2"/>
  <c r="BK349" i="2"/>
  <c r="BK348" i="2"/>
  <c r="BK347" i="2"/>
  <c r="BK346" i="2"/>
  <c r="BK345" i="2"/>
  <c r="BK344" i="2"/>
  <c r="BK369" i="2"/>
  <c r="BK343" i="2"/>
  <c r="BK341" i="2"/>
  <c r="BK340" i="2"/>
  <c r="BK339" i="2"/>
  <c r="BK338" i="2"/>
  <c r="BK337" i="2"/>
  <c r="BK336" i="2"/>
  <c r="BK335" i="2"/>
  <c r="BK334" i="2"/>
  <c r="BK333" i="2"/>
  <c r="BK332" i="2"/>
  <c r="BK331" i="2"/>
  <c r="BK330" i="2"/>
  <c r="BK329" i="2"/>
  <c r="BK328" i="2"/>
  <c r="BK327" i="2"/>
  <c r="BK326" i="2"/>
  <c r="BK325" i="2"/>
  <c r="BK324" i="2"/>
  <c r="BK323" i="2"/>
  <c r="BK322" i="2"/>
  <c r="BK321" i="2"/>
  <c r="BK320" i="2"/>
  <c r="BK319" i="2"/>
  <c r="BK318" i="2"/>
  <c r="BK317" i="2"/>
  <c r="BK316" i="2"/>
  <c r="BK315" i="2"/>
  <c r="BK314" i="2"/>
  <c r="BK313" i="2"/>
  <c r="BK312" i="2"/>
  <c r="BK311" i="2"/>
  <c r="BK310" i="2"/>
  <c r="BK309" i="2"/>
  <c r="BK308" i="2"/>
  <c r="BK307" i="2"/>
  <c r="BK306" i="2"/>
  <c r="BK305" i="2"/>
  <c r="BK304" i="2"/>
  <c r="BK303" i="2"/>
  <c r="BK302" i="2"/>
  <c r="BK301" i="2"/>
  <c r="BK300" i="2"/>
  <c r="BK299" i="2"/>
  <c r="BK298" i="2"/>
  <c r="BK297" i="2"/>
  <c r="BK296" i="2"/>
  <c r="BK295" i="2"/>
  <c r="BK294" i="2"/>
  <c r="BK370" i="2"/>
  <c r="BK342" i="2"/>
  <c r="BK293" i="2"/>
  <c r="BK285" i="2"/>
  <c r="BK290" i="2"/>
  <c r="BK287" i="2"/>
  <c r="BK283" i="2"/>
  <c r="BK282" i="2"/>
  <c r="BK281" i="2"/>
  <c r="BK280" i="2"/>
  <c r="BK279" i="2"/>
  <c r="BK278" i="2"/>
  <c r="BK277" i="2"/>
  <c r="BK276" i="2"/>
  <c r="BK292" i="2"/>
  <c r="BK284" i="2"/>
  <c r="BK289" i="2"/>
  <c r="BK286" i="2"/>
  <c r="BK291" i="2"/>
  <c r="BK274" i="2"/>
  <c r="BK270" i="2"/>
  <c r="BK269" i="2"/>
  <c r="BK268" i="2"/>
  <c r="BK267" i="2"/>
  <c r="BK266" i="2"/>
  <c r="BK265" i="2"/>
  <c r="BK264" i="2"/>
  <c r="BK263" i="2"/>
  <c r="BK262" i="2"/>
  <c r="BK261" i="2"/>
  <c r="BK260" i="2"/>
  <c r="BK259" i="2"/>
  <c r="BK258" i="2"/>
  <c r="BK257" i="2"/>
  <c r="BK256" i="2"/>
  <c r="BK255" i="2"/>
  <c r="BK288" i="2"/>
  <c r="BK271" i="2"/>
  <c r="BK275" i="2"/>
  <c r="BK273" i="2"/>
  <c r="BK272" i="2"/>
  <c r="BK254" i="2"/>
  <c r="BK250" i="2"/>
  <c r="BK220" i="2"/>
  <c r="BK219" i="2"/>
  <c r="BK218" i="2"/>
  <c r="BK217" i="2"/>
  <c r="BK216" i="2"/>
  <c r="BK215" i="2"/>
  <c r="BK214" i="2"/>
  <c r="BK213" i="2"/>
  <c r="BK212" i="2"/>
  <c r="BK211" i="2"/>
  <c r="BK210" i="2"/>
  <c r="BK209" i="2"/>
  <c r="BK208" i="2"/>
  <c r="BK207" i="2"/>
  <c r="BK206" i="2"/>
  <c r="BK205" i="2"/>
  <c r="BK204" i="2"/>
  <c r="BK203" i="2"/>
  <c r="BK202" i="2"/>
  <c r="BK201" i="2"/>
  <c r="BK200" i="2"/>
  <c r="BK199" i="2"/>
  <c r="BK198" i="2"/>
  <c r="BK197" i="2"/>
  <c r="BK196" i="2"/>
  <c r="BK195" i="2"/>
  <c r="BK194" i="2"/>
  <c r="BK193" i="2"/>
  <c r="BK192" i="2"/>
  <c r="BK191" i="2"/>
  <c r="BK190" i="2"/>
  <c r="BK189" i="2"/>
  <c r="BK188" i="2"/>
  <c r="BK187" i="2"/>
  <c r="BK186" i="2"/>
  <c r="BK185" i="2"/>
  <c r="BK184" i="2"/>
  <c r="BK183" i="2"/>
  <c r="BK182" i="2"/>
  <c r="BK181" i="2"/>
  <c r="BK253" i="2"/>
  <c r="BK249" i="2"/>
  <c r="BK246" i="2"/>
  <c r="BK244" i="2"/>
  <c r="BK243" i="2"/>
  <c r="BK241" i="2"/>
  <c r="BK239" i="2"/>
  <c r="BK238" i="2"/>
  <c r="BK237" i="2"/>
  <c r="BK236" i="2"/>
  <c r="BK235" i="2"/>
  <c r="BK234" i="2"/>
  <c r="BK233" i="2"/>
  <c r="BK232" i="2"/>
  <c r="BK231" i="2"/>
  <c r="BK230" i="2"/>
  <c r="BK229" i="2"/>
  <c r="BK228" i="2"/>
  <c r="BK227" i="2"/>
  <c r="BK226" i="2"/>
  <c r="BK225" i="2"/>
  <c r="BK224" i="2"/>
  <c r="BK223" i="2"/>
  <c r="BK222" i="2"/>
  <c r="BK221" i="2"/>
  <c r="BK252" i="2"/>
  <c r="BK248" i="2"/>
  <c r="BK251" i="2"/>
  <c r="BK245" i="2"/>
  <c r="BK247" i="2"/>
  <c r="BK242" i="2"/>
  <c r="BK240" i="2"/>
  <c r="BK180" i="2"/>
  <c r="BK178" i="2"/>
  <c r="BK176" i="2"/>
  <c r="BK174" i="2"/>
  <c r="BK173" i="2"/>
  <c r="BK172" i="2"/>
  <c r="BK171" i="2"/>
  <c r="BK170" i="2"/>
  <c r="BK169" i="2"/>
  <c r="BK168" i="2"/>
  <c r="BK167" i="2"/>
  <c r="BK166" i="2"/>
  <c r="BK165" i="2"/>
  <c r="BK164" i="2"/>
  <c r="BK163" i="2"/>
  <c r="BK162" i="2"/>
  <c r="BK161" i="2"/>
  <c r="BK160" i="2"/>
  <c r="BK159" i="2"/>
  <c r="BK158" i="2"/>
  <c r="BK157" i="2"/>
  <c r="BK156" i="2"/>
  <c r="BK155" i="2"/>
  <c r="BK154" i="2"/>
  <c r="BK153" i="2"/>
  <c r="BK152" i="2"/>
  <c r="BK151" i="2"/>
  <c r="BK150" i="2"/>
  <c r="BK149" i="2"/>
  <c r="BK148" i="2"/>
  <c r="BK147" i="2"/>
  <c r="BK146" i="2"/>
  <c r="BK145" i="2"/>
  <c r="BK144" i="2"/>
  <c r="BK143" i="2"/>
  <c r="BK142" i="2"/>
  <c r="BK141" i="2"/>
  <c r="BK140" i="2"/>
  <c r="BK139" i="2"/>
  <c r="BK138" i="2"/>
  <c r="BK137" i="2"/>
  <c r="BK136" i="2"/>
  <c r="BK135" i="2"/>
  <c r="BK134" i="2"/>
  <c r="BK133" i="2"/>
  <c r="BK132" i="2"/>
  <c r="BK131" i="2"/>
  <c r="BK130" i="2"/>
  <c r="BK129" i="2"/>
  <c r="BK128" i="2"/>
  <c r="BK127" i="2"/>
  <c r="BK126" i="2"/>
  <c r="BK125" i="2"/>
  <c r="BK124" i="2"/>
  <c r="BK177" i="2"/>
  <c r="BK179" i="2"/>
  <c r="BK121" i="2"/>
  <c r="BK120" i="2"/>
  <c r="BK119" i="2"/>
  <c r="BK118" i="2"/>
  <c r="BK117" i="2"/>
  <c r="BK116" i="2"/>
  <c r="BK115" i="2"/>
  <c r="BK114" i="2"/>
  <c r="BK113" i="2"/>
  <c r="BK112" i="2"/>
  <c r="BK111" i="2"/>
  <c r="BK110" i="2"/>
  <c r="BK109" i="2"/>
  <c r="BK108" i="2"/>
  <c r="BK107" i="2"/>
  <c r="BK106" i="2"/>
  <c r="BK105" i="2"/>
  <c r="BK104" i="2"/>
  <c r="BK103" i="2"/>
  <c r="BK102" i="2"/>
  <c r="BK101" i="2"/>
  <c r="BK100" i="2"/>
  <c r="BK99" i="2"/>
  <c r="BK98" i="2"/>
  <c r="BK97" i="2"/>
  <c r="BK96" i="2"/>
  <c r="BK95" i="2"/>
  <c r="BK94" i="2"/>
  <c r="BK93" i="2"/>
  <c r="BK92" i="2"/>
  <c r="BK91" i="2"/>
  <c r="BK90" i="2"/>
  <c r="BK89" i="2"/>
  <c r="BK88" i="2"/>
  <c r="BK87" i="2"/>
  <c r="BK86" i="2"/>
  <c r="BK85" i="2"/>
  <c r="BK84" i="2"/>
  <c r="BK83" i="2"/>
  <c r="BK82" i="2"/>
  <c r="BK81" i="2"/>
  <c r="BK80" i="2"/>
  <c r="BK79" i="2"/>
  <c r="BK78" i="2"/>
  <c r="BK77" i="2"/>
  <c r="BK76" i="2"/>
  <c r="BK75" i="2"/>
  <c r="BK74" i="2"/>
  <c r="BK73" i="2"/>
  <c r="BK72" i="2"/>
  <c r="BK71" i="2"/>
  <c r="BK70" i="2"/>
  <c r="BK69" i="2"/>
  <c r="BK68" i="2"/>
  <c r="BK67" i="2"/>
  <c r="BK66" i="2"/>
  <c r="BK175" i="2"/>
  <c r="BK122" i="2"/>
  <c r="BK62" i="2"/>
  <c r="BK63" i="2"/>
  <c r="BK61" i="2"/>
  <c r="BK64" i="2"/>
  <c r="S16" i="2"/>
  <c r="BK65" i="2"/>
  <c r="BK123" i="2"/>
  <c r="BK60" i="2"/>
  <c r="BK59" i="2"/>
  <c r="BK58" i="2"/>
  <c r="BK57" i="2"/>
  <c r="BK56" i="2"/>
  <c r="BK55" i="2"/>
  <c r="BK54" i="2"/>
  <c r="BK53" i="2"/>
  <c r="BK52" i="2"/>
  <c r="BK51" i="2"/>
  <c r="BK50" i="2"/>
  <c r="BK49" i="2"/>
  <c r="BK48" i="2"/>
  <c r="BK47" i="2"/>
  <c r="BK46" i="2"/>
  <c r="BK45" i="2"/>
  <c r="BK44" i="2"/>
  <c r="BK43" i="2"/>
  <c r="BK42" i="2"/>
  <c r="BK41" i="2"/>
  <c r="BK40" i="2"/>
  <c r="BK39" i="2"/>
  <c r="BK38" i="2"/>
  <c r="BK37" i="2"/>
  <c r="BK36" i="2"/>
  <c r="BK35" i="2"/>
  <c r="BK34" i="2"/>
  <c r="BK33" i="2"/>
  <c r="BK32" i="2"/>
  <c r="BK31" i="2"/>
  <c r="BK30" i="2"/>
  <c r="BK29" i="2"/>
  <c r="BK28" i="2"/>
  <c r="BK27" i="2"/>
  <c r="BK26" i="2"/>
  <c r="BK25" i="2"/>
  <c r="BK24" i="2"/>
  <c r="BK23" i="2"/>
  <c r="BK22" i="2"/>
  <c r="BK21" i="2"/>
  <c r="BK20" i="2"/>
  <c r="S15" i="2"/>
  <c r="AM523" i="2"/>
  <c r="AM531" i="2"/>
  <c r="AM530" i="2"/>
  <c r="AM522" i="2"/>
  <c r="AM532" i="2"/>
  <c r="AM528" i="2"/>
  <c r="AM527" i="2"/>
  <c r="AM519" i="2"/>
  <c r="AM533" i="2"/>
  <c r="AM526" i="2"/>
  <c r="AM518" i="2"/>
  <c r="AM517" i="2"/>
  <c r="AM512" i="2"/>
  <c r="AM525" i="2"/>
  <c r="AM510" i="2"/>
  <c r="AM520" i="2"/>
  <c r="AM509" i="2"/>
  <c r="AM521" i="2"/>
  <c r="AM508" i="2"/>
  <c r="AM514" i="2"/>
  <c r="AM516" i="2"/>
  <c r="AM498" i="2"/>
  <c r="AM511" i="2"/>
  <c r="AM497" i="2"/>
  <c r="AM503" i="2"/>
  <c r="AM495" i="2"/>
  <c r="AM502" i="2"/>
  <c r="AM529" i="2"/>
  <c r="AM501" i="2"/>
  <c r="AM492" i="2"/>
  <c r="AM484" i="2"/>
  <c r="AM491" i="2"/>
  <c r="AM490" i="2"/>
  <c r="AM524" i="2"/>
  <c r="AM496" i="2"/>
  <c r="AM488" i="2"/>
  <c r="AM515" i="2"/>
  <c r="AM507" i="2"/>
  <c r="AM506" i="2"/>
  <c r="AM494" i="2"/>
  <c r="AM487" i="2"/>
  <c r="AM493" i="2"/>
  <c r="AM485" i="2"/>
  <c r="AM479" i="2"/>
  <c r="AM478" i="2"/>
  <c r="AM505" i="2"/>
  <c r="AM489" i="2"/>
  <c r="AM476" i="2"/>
  <c r="AM499" i="2"/>
  <c r="AM486" i="2"/>
  <c r="AM475" i="2"/>
  <c r="AM500" i="2"/>
  <c r="AM477" i="2"/>
  <c r="AM471" i="2"/>
  <c r="AM463" i="2"/>
  <c r="AM513" i="2"/>
  <c r="AM470" i="2"/>
  <c r="AM462" i="2"/>
  <c r="AM504" i="2"/>
  <c r="AM483" i="2"/>
  <c r="AM481" i="2"/>
  <c r="AM480" i="2"/>
  <c r="AM473" i="2"/>
  <c r="AM469" i="2"/>
  <c r="AM468" i="2"/>
  <c r="AM460" i="2"/>
  <c r="AM482" i="2"/>
  <c r="AM474" i="2"/>
  <c r="AM467" i="2"/>
  <c r="AM466" i="2"/>
  <c r="AM465" i="2"/>
  <c r="AM453" i="2"/>
  <c r="AM445" i="2"/>
  <c r="AM437" i="2"/>
  <c r="AM429" i="2"/>
  <c r="AM472" i="2"/>
  <c r="AM452" i="2"/>
  <c r="AM444" i="2"/>
  <c r="AM436" i="2"/>
  <c r="AM459" i="2"/>
  <c r="AM451" i="2"/>
  <c r="AM443" i="2"/>
  <c r="AM435" i="2"/>
  <c r="AM458" i="2"/>
  <c r="AM450" i="2"/>
  <c r="AM457" i="2"/>
  <c r="AM449" i="2"/>
  <c r="AM441" i="2"/>
  <c r="AM433" i="2"/>
  <c r="AM456" i="2"/>
  <c r="AM448" i="2"/>
  <c r="AM440" i="2"/>
  <c r="AM432" i="2"/>
  <c r="AM454" i="2"/>
  <c r="AM447" i="2"/>
  <c r="AM420" i="2"/>
  <c r="AM412" i="2"/>
  <c r="AM455" i="2"/>
  <c r="AM431" i="2"/>
  <c r="AM419" i="2"/>
  <c r="AM446" i="2"/>
  <c r="AM434" i="2"/>
  <c r="AM425" i="2"/>
  <c r="AM417" i="2"/>
  <c r="AM464" i="2"/>
  <c r="AM439" i="2"/>
  <c r="AM430" i="2"/>
  <c r="AM424" i="2"/>
  <c r="AM416" i="2"/>
  <c r="AM422" i="2"/>
  <c r="AM421" i="2"/>
  <c r="AM414" i="2"/>
  <c r="AM442" i="2"/>
  <c r="AM427" i="2"/>
  <c r="AM423" i="2"/>
  <c r="AM415" i="2"/>
  <c r="AM408" i="2"/>
  <c r="AM405" i="2"/>
  <c r="AM409" i="2"/>
  <c r="AM438" i="2"/>
  <c r="AM428" i="2"/>
  <c r="AM426" i="2"/>
  <c r="AM411" i="2"/>
  <c r="AM404" i="2"/>
  <c r="AM410" i="2"/>
  <c r="AM396" i="2"/>
  <c r="AM388" i="2"/>
  <c r="AM401" i="2"/>
  <c r="AM393" i="2"/>
  <c r="AM407" i="2"/>
  <c r="AM406" i="2"/>
  <c r="AM461" i="2"/>
  <c r="AM403" i="2"/>
  <c r="AM395" i="2"/>
  <c r="AM387" i="2"/>
  <c r="AM400" i="2"/>
  <c r="AM392" i="2"/>
  <c r="AM418" i="2"/>
  <c r="AM381" i="2"/>
  <c r="AM373" i="2"/>
  <c r="AM402" i="2"/>
  <c r="AM398" i="2"/>
  <c r="AM394" i="2"/>
  <c r="AM391" i="2"/>
  <c r="AM390" i="2"/>
  <c r="AM386" i="2"/>
  <c r="AM384" i="2"/>
  <c r="AM376" i="2"/>
  <c r="AM367" i="2"/>
  <c r="AM366" i="2"/>
  <c r="AM365" i="2"/>
  <c r="AM364" i="2"/>
  <c r="AM363" i="2"/>
  <c r="AM399" i="2"/>
  <c r="AM397" i="2"/>
  <c r="AM389" i="2"/>
  <c r="AM379" i="2"/>
  <c r="AM382" i="2"/>
  <c r="AM374" i="2"/>
  <c r="AM377" i="2"/>
  <c r="AM368" i="2"/>
  <c r="AM413" i="2"/>
  <c r="AM385" i="2"/>
  <c r="AM380" i="2"/>
  <c r="AM372" i="2"/>
  <c r="AM369" i="2"/>
  <c r="AM383" i="2"/>
  <c r="AM375" i="2"/>
  <c r="AM370" i="2"/>
  <c r="AM371" i="2"/>
  <c r="AM354" i="2"/>
  <c r="AM346" i="2"/>
  <c r="AM342" i="2"/>
  <c r="AM359" i="2"/>
  <c r="AM351" i="2"/>
  <c r="AM347" i="2"/>
  <c r="AM344" i="2"/>
  <c r="AM362" i="2"/>
  <c r="AM356" i="2"/>
  <c r="AM348" i="2"/>
  <c r="AM361" i="2"/>
  <c r="AM353" i="2"/>
  <c r="AM358" i="2"/>
  <c r="AM350" i="2"/>
  <c r="AM343" i="2"/>
  <c r="AM355" i="2"/>
  <c r="AM378" i="2"/>
  <c r="AM360" i="2"/>
  <c r="AM352" i="2"/>
  <c r="AM335" i="2"/>
  <c r="AM322" i="2"/>
  <c r="AM318" i="2"/>
  <c r="AM310" i="2"/>
  <c r="AM302" i="2"/>
  <c r="AM294" i="2"/>
  <c r="AM288" i="2"/>
  <c r="AM334" i="2"/>
  <c r="AM330" i="2"/>
  <c r="AM325" i="2"/>
  <c r="AM317" i="2"/>
  <c r="AM309" i="2"/>
  <c r="AM301" i="2"/>
  <c r="AM293" i="2"/>
  <c r="AM285" i="2"/>
  <c r="AM341" i="2"/>
  <c r="AM333" i="2"/>
  <c r="AM320" i="2"/>
  <c r="AM316" i="2"/>
  <c r="AM308" i="2"/>
  <c r="AM300" i="2"/>
  <c r="AM290" i="2"/>
  <c r="AM349" i="2"/>
  <c r="AM340" i="2"/>
  <c r="AM332" i="2"/>
  <c r="AM323" i="2"/>
  <c r="AM315" i="2"/>
  <c r="AM307" i="2"/>
  <c r="AM299" i="2"/>
  <c r="AM287" i="2"/>
  <c r="AM339" i="2"/>
  <c r="AM331" i="2"/>
  <c r="AM326" i="2"/>
  <c r="AM314" i="2"/>
  <c r="AM306" i="2"/>
  <c r="AM298" i="2"/>
  <c r="AM292" i="2"/>
  <c r="AM357" i="2"/>
  <c r="AM338" i="2"/>
  <c r="AM321" i="2"/>
  <c r="AM313" i="2"/>
  <c r="AM305" i="2"/>
  <c r="AM297" i="2"/>
  <c r="AM289" i="2"/>
  <c r="AM337" i="2"/>
  <c r="AM329" i="2"/>
  <c r="AM328" i="2"/>
  <c r="AM324" i="2"/>
  <c r="AM312" i="2"/>
  <c r="AM304" i="2"/>
  <c r="AM296" i="2"/>
  <c r="AM286" i="2"/>
  <c r="AM284" i="2"/>
  <c r="AM283" i="2"/>
  <c r="AM282" i="2"/>
  <c r="AM281" i="2"/>
  <c r="AM280" i="2"/>
  <c r="AM279" i="2"/>
  <c r="AM278" i="2"/>
  <c r="AM277" i="2"/>
  <c r="AM291" i="2"/>
  <c r="AM345" i="2"/>
  <c r="AM274" i="2"/>
  <c r="AM327" i="2"/>
  <c r="AM319" i="2"/>
  <c r="AM303" i="2"/>
  <c r="AM336" i="2"/>
  <c r="AM276" i="2"/>
  <c r="AM273" i="2"/>
  <c r="AM271" i="2"/>
  <c r="AM270" i="2"/>
  <c r="AM269" i="2"/>
  <c r="AM268" i="2"/>
  <c r="AM267" i="2"/>
  <c r="AM266" i="2"/>
  <c r="AM265" i="2"/>
  <c r="AM264" i="2"/>
  <c r="AM263" i="2"/>
  <c r="AM262" i="2"/>
  <c r="AM261" i="2"/>
  <c r="AM260" i="2"/>
  <c r="AM259" i="2"/>
  <c r="AM258" i="2"/>
  <c r="AM257" i="2"/>
  <c r="AM256" i="2"/>
  <c r="AM255" i="2"/>
  <c r="AM254" i="2"/>
  <c r="AM253" i="2"/>
  <c r="AM252" i="2"/>
  <c r="AM251" i="2"/>
  <c r="AM250" i="2"/>
  <c r="AM249" i="2"/>
  <c r="AM248" i="2"/>
  <c r="AM247" i="2"/>
  <c r="AM311" i="2"/>
  <c r="AM295" i="2"/>
  <c r="AM242" i="2"/>
  <c r="AM240" i="2"/>
  <c r="AM244" i="2"/>
  <c r="AM272" i="2"/>
  <c r="AM245" i="2"/>
  <c r="AM220" i="2"/>
  <c r="AM219" i="2"/>
  <c r="AM218" i="2"/>
  <c r="AM217" i="2"/>
  <c r="AM216" i="2"/>
  <c r="AM215" i="2"/>
  <c r="AM214" i="2"/>
  <c r="AM213" i="2"/>
  <c r="AM212" i="2"/>
  <c r="AM211" i="2"/>
  <c r="AM210" i="2"/>
  <c r="AM209" i="2"/>
  <c r="AM208" i="2"/>
  <c r="AM207" i="2"/>
  <c r="AM206" i="2"/>
  <c r="AM205" i="2"/>
  <c r="AM204" i="2"/>
  <c r="AM203" i="2"/>
  <c r="AM202" i="2"/>
  <c r="AM201" i="2"/>
  <c r="AM200" i="2"/>
  <c r="AM199" i="2"/>
  <c r="AM198" i="2"/>
  <c r="AM197" i="2"/>
  <c r="AM196" i="2"/>
  <c r="AM195" i="2"/>
  <c r="AM194" i="2"/>
  <c r="AM193" i="2"/>
  <c r="AM192" i="2"/>
  <c r="AM191" i="2"/>
  <c r="AM190" i="2"/>
  <c r="AM189" i="2"/>
  <c r="AM188" i="2"/>
  <c r="AM187" i="2"/>
  <c r="AM186" i="2"/>
  <c r="AM185" i="2"/>
  <c r="AM184" i="2"/>
  <c r="AM183" i="2"/>
  <c r="AM182" i="2"/>
  <c r="AM181" i="2"/>
  <c r="AM180" i="2"/>
  <c r="AM179" i="2"/>
  <c r="AM178" i="2"/>
  <c r="AM177" i="2"/>
  <c r="AM275" i="2"/>
  <c r="AM246" i="2"/>
  <c r="AM239" i="2"/>
  <c r="AM238" i="2"/>
  <c r="AM237" i="2"/>
  <c r="AM236" i="2"/>
  <c r="AM234" i="2"/>
  <c r="AM226" i="2"/>
  <c r="AM174" i="2"/>
  <c r="AM173" i="2"/>
  <c r="AM172" i="2"/>
  <c r="AM171" i="2"/>
  <c r="AM170" i="2"/>
  <c r="AM169" i="2"/>
  <c r="AM168" i="2"/>
  <c r="AM167" i="2"/>
  <c r="AM166" i="2"/>
  <c r="AM165" i="2"/>
  <c r="AM164" i="2"/>
  <c r="AM163" i="2"/>
  <c r="AM162" i="2"/>
  <c r="AM161" i="2"/>
  <c r="AM160" i="2"/>
  <c r="AM159" i="2"/>
  <c r="AM158" i="2"/>
  <c r="AM157" i="2"/>
  <c r="AM156" i="2"/>
  <c r="AM155" i="2"/>
  <c r="AM154" i="2"/>
  <c r="AM153" i="2"/>
  <c r="AM152" i="2"/>
  <c r="AM151" i="2"/>
  <c r="AM150" i="2"/>
  <c r="AM149" i="2"/>
  <c r="AM148" i="2"/>
  <c r="AM147" i="2"/>
  <c r="AM146" i="2"/>
  <c r="AM145" i="2"/>
  <c r="AM144" i="2"/>
  <c r="AM143" i="2"/>
  <c r="AM142" i="2"/>
  <c r="AM141" i="2"/>
  <c r="AM140" i="2"/>
  <c r="AM139" i="2"/>
  <c r="AM138" i="2"/>
  <c r="AM137" i="2"/>
  <c r="AM136" i="2"/>
  <c r="AM135" i="2"/>
  <c r="AM134" i="2"/>
  <c r="AM133" i="2"/>
  <c r="AM132" i="2"/>
  <c r="AM131" i="2"/>
  <c r="AM130" i="2"/>
  <c r="AM129" i="2"/>
  <c r="AM128" i="2"/>
  <c r="AM127" i="2"/>
  <c r="AM126" i="2"/>
  <c r="AM125" i="2"/>
  <c r="AM235" i="2"/>
  <c r="AM227" i="2"/>
  <c r="AM175" i="2"/>
  <c r="AM228" i="2"/>
  <c r="AM229" i="2"/>
  <c r="AM221" i="2"/>
  <c r="AM230" i="2"/>
  <c r="AM222" i="2"/>
  <c r="AM243" i="2"/>
  <c r="AM231" i="2"/>
  <c r="AM223" i="2"/>
  <c r="AM176" i="2"/>
  <c r="AM232" i="2"/>
  <c r="AM224" i="2"/>
  <c r="AM123" i="2"/>
  <c r="AM233" i="2"/>
  <c r="AM225" i="2"/>
  <c r="AM241" i="2"/>
  <c r="AM124" i="2"/>
  <c r="AM122" i="2"/>
  <c r="AM121" i="2"/>
  <c r="AM120" i="2"/>
  <c r="AM119" i="2"/>
  <c r="AM118" i="2"/>
  <c r="AM117" i="2"/>
  <c r="AM116" i="2"/>
  <c r="AM115" i="2"/>
  <c r="AM114" i="2"/>
  <c r="AM113" i="2"/>
  <c r="AM112" i="2"/>
  <c r="AM111" i="2"/>
  <c r="AM110" i="2"/>
  <c r="AM109" i="2"/>
  <c r="AM108" i="2"/>
  <c r="AM107" i="2"/>
  <c r="AM106" i="2"/>
  <c r="AM105" i="2"/>
  <c r="AM104" i="2"/>
  <c r="AM103" i="2"/>
  <c r="AM102" i="2"/>
  <c r="AM101" i="2"/>
  <c r="AM100" i="2"/>
  <c r="AM99" i="2"/>
  <c r="AM98" i="2"/>
  <c r="AM97" i="2"/>
  <c r="AM96" i="2"/>
  <c r="AM95" i="2"/>
  <c r="AM94" i="2"/>
  <c r="AM93" i="2"/>
  <c r="AM92" i="2"/>
  <c r="AM91" i="2"/>
  <c r="AM90" i="2"/>
  <c r="AM89" i="2"/>
  <c r="AM88" i="2"/>
  <c r="AM87" i="2"/>
  <c r="AM86" i="2"/>
  <c r="AM85" i="2"/>
  <c r="AM84" i="2"/>
  <c r="AM83" i="2"/>
  <c r="AM82" i="2"/>
  <c r="AM81" i="2"/>
  <c r="AM80" i="2"/>
  <c r="AM79" i="2"/>
  <c r="AM78" i="2"/>
  <c r="AM77" i="2"/>
  <c r="AM76" i="2"/>
  <c r="AM75" i="2"/>
  <c r="AM74" i="2"/>
  <c r="AM73" i="2"/>
  <c r="AM72" i="2"/>
  <c r="AM71" i="2"/>
  <c r="AM70" i="2"/>
  <c r="AM69" i="2"/>
  <c r="AM68" i="2"/>
  <c r="AM67" i="2"/>
  <c r="AM66" i="2"/>
  <c r="AM65" i="2"/>
  <c r="AM64" i="2"/>
  <c r="AM63" i="2"/>
  <c r="AM62" i="2"/>
  <c r="AM61" i="2"/>
  <c r="AM60" i="2"/>
  <c r="AM59" i="2"/>
  <c r="AM58" i="2"/>
  <c r="AM57" i="2"/>
  <c r="AM56" i="2"/>
  <c r="AM55" i="2"/>
  <c r="AM54" i="2"/>
  <c r="AM53" i="2"/>
  <c r="AM52" i="2"/>
  <c r="AM51" i="2"/>
  <c r="AM50" i="2"/>
  <c r="AM49" i="2"/>
  <c r="AM48" i="2"/>
  <c r="AM47" i="2"/>
  <c r="AM46" i="2"/>
  <c r="AM45" i="2"/>
  <c r="AM44" i="2"/>
  <c r="AM43" i="2"/>
  <c r="AM42" i="2"/>
  <c r="AM41" i="2"/>
  <c r="AM40" i="2"/>
  <c r="AM39" i="2"/>
  <c r="AM38" i="2"/>
  <c r="AM37" i="2"/>
  <c r="AM36" i="2"/>
  <c r="AM35" i="2"/>
  <c r="AM34" i="2"/>
  <c r="AM33" i="2"/>
  <c r="AM32" i="2"/>
  <c r="AM31" i="2"/>
  <c r="AM30" i="2"/>
  <c r="AM29" i="2"/>
  <c r="AM28" i="2"/>
  <c r="AM27" i="2"/>
  <c r="AM26" i="2"/>
  <c r="AM25" i="2"/>
  <c r="AM24" i="2"/>
  <c r="AM23" i="2"/>
  <c r="AM22" i="2"/>
  <c r="AM21" i="2"/>
  <c r="AM20" i="2"/>
  <c r="BT525" i="2"/>
  <c r="BT517" i="2"/>
  <c r="BT524" i="2"/>
  <c r="BT516" i="2"/>
  <c r="BT531" i="2"/>
  <c r="BT530" i="2"/>
  <c r="BT529" i="2"/>
  <c r="BT521" i="2"/>
  <c r="BT532" i="2"/>
  <c r="BT528" i="2"/>
  <c r="BT520" i="2"/>
  <c r="BT533" i="2"/>
  <c r="BT514" i="2"/>
  <c r="BT506" i="2"/>
  <c r="BT527" i="2"/>
  <c r="BT512" i="2"/>
  <c r="BT504" i="2"/>
  <c r="BT519" i="2"/>
  <c r="BT518" i="2"/>
  <c r="BT511" i="2"/>
  <c r="BT526" i="2"/>
  <c r="BT510" i="2"/>
  <c r="BT508" i="2"/>
  <c r="BT500" i="2"/>
  <c r="BT499" i="2"/>
  <c r="BT509" i="2"/>
  <c r="BT497" i="2"/>
  <c r="BT507" i="2"/>
  <c r="BT496" i="2"/>
  <c r="BT486" i="2"/>
  <c r="BT513" i="2"/>
  <c r="BT485" i="2"/>
  <c r="BT523" i="2"/>
  <c r="BT503" i="2"/>
  <c r="BT502" i="2"/>
  <c r="BT501" i="2"/>
  <c r="BT492" i="2"/>
  <c r="BT484" i="2"/>
  <c r="BT522" i="2"/>
  <c r="BT515" i="2"/>
  <c r="BT505" i="2"/>
  <c r="BT490" i="2"/>
  <c r="BT489" i="2"/>
  <c r="BT482" i="2"/>
  <c r="BT495" i="2"/>
  <c r="BT481" i="2"/>
  <c r="BT473" i="2"/>
  <c r="BT488" i="2"/>
  <c r="BT480" i="2"/>
  <c r="BT498" i="2"/>
  <c r="BT491" i="2"/>
  <c r="BT478" i="2"/>
  <c r="BT477" i="2"/>
  <c r="BT465" i="2"/>
  <c r="BT464" i="2"/>
  <c r="BT494" i="2"/>
  <c r="BT487" i="2"/>
  <c r="BT479" i="2"/>
  <c r="BT471" i="2"/>
  <c r="BT463" i="2"/>
  <c r="BT493" i="2"/>
  <c r="BT472" i="2"/>
  <c r="BT470" i="2"/>
  <c r="BT462" i="2"/>
  <c r="BT469" i="2"/>
  <c r="BT483" i="2"/>
  <c r="BT468" i="2"/>
  <c r="BT474" i="2"/>
  <c r="BT467" i="2"/>
  <c r="BT455" i="2"/>
  <c r="BT447" i="2"/>
  <c r="BT439" i="2"/>
  <c r="BT431" i="2"/>
  <c r="BT454" i="2"/>
  <c r="BT446" i="2"/>
  <c r="BT438" i="2"/>
  <c r="BT430" i="2"/>
  <c r="BT453" i="2"/>
  <c r="BT445" i="2"/>
  <c r="BT437" i="2"/>
  <c r="BT466" i="2"/>
  <c r="BT452" i="2"/>
  <c r="BT476" i="2"/>
  <c r="BT451" i="2"/>
  <c r="BT443" i="2"/>
  <c r="BT435" i="2"/>
  <c r="BT475" i="2"/>
  <c r="BT458" i="2"/>
  <c r="BT450" i="2"/>
  <c r="BT442" i="2"/>
  <c r="BT434" i="2"/>
  <c r="BT440" i="2"/>
  <c r="BT449" i="2"/>
  <c r="BT428" i="2"/>
  <c r="BT426" i="2"/>
  <c r="BT422" i="2"/>
  <c r="BT414" i="2"/>
  <c r="BT433" i="2"/>
  <c r="BT421" i="2"/>
  <c r="BT413" i="2"/>
  <c r="BT461" i="2"/>
  <c r="BT459" i="2"/>
  <c r="BT448" i="2"/>
  <c r="BT436" i="2"/>
  <c r="BT456" i="2"/>
  <c r="BT419" i="2"/>
  <c r="BT441" i="2"/>
  <c r="BT432" i="2"/>
  <c r="BT429" i="2"/>
  <c r="BT427" i="2"/>
  <c r="BT418" i="2"/>
  <c r="BT410" i="2"/>
  <c r="BT409" i="2"/>
  <c r="BT408" i="2"/>
  <c r="BT407" i="2"/>
  <c r="BT420" i="2"/>
  <c r="BT460" i="2"/>
  <c r="BT457" i="2"/>
  <c r="BT423" i="2"/>
  <c r="BT444" i="2"/>
  <c r="BT417" i="2"/>
  <c r="BT416" i="2"/>
  <c r="BT395" i="2"/>
  <c r="BT387" i="2"/>
  <c r="BT383" i="2"/>
  <c r="BT382" i="2"/>
  <c r="BT381" i="2"/>
  <c r="BT380" i="2"/>
  <c r="BT379" i="2"/>
  <c r="BT378" i="2"/>
  <c r="BT377" i="2"/>
  <c r="BT376" i="2"/>
  <c r="BT375" i="2"/>
  <c r="BT374" i="2"/>
  <c r="BT373" i="2"/>
  <c r="BT372" i="2"/>
  <c r="BT371" i="2"/>
  <c r="BT370" i="2"/>
  <c r="BT369" i="2"/>
  <c r="BT368" i="2"/>
  <c r="BT367" i="2"/>
  <c r="BT400" i="2"/>
  <c r="BT392" i="2"/>
  <c r="BT384" i="2"/>
  <c r="BT425" i="2"/>
  <c r="BT406" i="2"/>
  <c r="BT405" i="2"/>
  <c r="BT404" i="2"/>
  <c r="BT403" i="2"/>
  <c r="BT402" i="2"/>
  <c r="BT394" i="2"/>
  <c r="BT386" i="2"/>
  <c r="BT415" i="2"/>
  <c r="BT399" i="2"/>
  <c r="BT391" i="2"/>
  <c r="BT398" i="2"/>
  <c r="BT396" i="2"/>
  <c r="BT393" i="2"/>
  <c r="BT390" i="2"/>
  <c r="BT388" i="2"/>
  <c r="BT385" i="2"/>
  <c r="BT397" i="2"/>
  <c r="BT389" i="2"/>
  <c r="BT412" i="2"/>
  <c r="BT366" i="2"/>
  <c r="BT365" i="2"/>
  <c r="BT364" i="2"/>
  <c r="BT363" i="2"/>
  <c r="BT362" i="2"/>
  <c r="BT361" i="2"/>
  <c r="BT360" i="2"/>
  <c r="BT359" i="2"/>
  <c r="BT358" i="2"/>
  <c r="BT357" i="2"/>
  <c r="BT356" i="2"/>
  <c r="BT355" i="2"/>
  <c r="BT354" i="2"/>
  <c r="BT353" i="2"/>
  <c r="BT352" i="2"/>
  <c r="BT351" i="2"/>
  <c r="BT350" i="2"/>
  <c r="BT349" i="2"/>
  <c r="BT348" i="2"/>
  <c r="BT347" i="2"/>
  <c r="BT346" i="2"/>
  <c r="BT345" i="2"/>
  <c r="BT344" i="2"/>
  <c r="BT411" i="2"/>
  <c r="BT424" i="2"/>
  <c r="BT343" i="2"/>
  <c r="BT341" i="2"/>
  <c r="BT340" i="2"/>
  <c r="BT339" i="2"/>
  <c r="BT338" i="2"/>
  <c r="BT337" i="2"/>
  <c r="BT336" i="2"/>
  <c r="BT335" i="2"/>
  <c r="BT334" i="2"/>
  <c r="BT333" i="2"/>
  <c r="BT332" i="2"/>
  <c r="BT331" i="2"/>
  <c r="BT401" i="2"/>
  <c r="BT342" i="2"/>
  <c r="BT324" i="2"/>
  <c r="BT317" i="2"/>
  <c r="BT309" i="2"/>
  <c r="BT301" i="2"/>
  <c r="BT293" i="2"/>
  <c r="BT285" i="2"/>
  <c r="BT319" i="2"/>
  <c r="BT316" i="2"/>
  <c r="BT308" i="2"/>
  <c r="BT300" i="2"/>
  <c r="BT290" i="2"/>
  <c r="BT283" i="2"/>
  <c r="BT282" i="2"/>
  <c r="BT281" i="2"/>
  <c r="BT280" i="2"/>
  <c r="BT279" i="2"/>
  <c r="BT278" i="2"/>
  <c r="BT277" i="2"/>
  <c r="BT276" i="2"/>
  <c r="BT275" i="2"/>
  <c r="BT330" i="2"/>
  <c r="BT322" i="2"/>
  <c r="BT315" i="2"/>
  <c r="BT307" i="2"/>
  <c r="BT299" i="2"/>
  <c r="BT287" i="2"/>
  <c r="BT325" i="2"/>
  <c r="BT314" i="2"/>
  <c r="BT306" i="2"/>
  <c r="BT298" i="2"/>
  <c r="BT292" i="2"/>
  <c r="BT284" i="2"/>
  <c r="BT328" i="2"/>
  <c r="BT320" i="2"/>
  <c r="BT313" i="2"/>
  <c r="BT305" i="2"/>
  <c r="BT297" i="2"/>
  <c r="BT289" i="2"/>
  <c r="BT327" i="2"/>
  <c r="BT323" i="2"/>
  <c r="BT312" i="2"/>
  <c r="BT304" i="2"/>
  <c r="BT296" i="2"/>
  <c r="BT286" i="2"/>
  <c r="BT326" i="2"/>
  <c r="BT311" i="2"/>
  <c r="BT303" i="2"/>
  <c r="BT295" i="2"/>
  <c r="BT291" i="2"/>
  <c r="BT318" i="2"/>
  <c r="BT302" i="2"/>
  <c r="BT288" i="2"/>
  <c r="BT274" i="2"/>
  <c r="BT271" i="2"/>
  <c r="BT321" i="2"/>
  <c r="BT273" i="2"/>
  <c r="BT329" i="2"/>
  <c r="BT310" i="2"/>
  <c r="BT294" i="2"/>
  <c r="BT246" i="2"/>
  <c r="BT245" i="2"/>
  <c r="BT244" i="2"/>
  <c r="BT243" i="2"/>
  <c r="BT242" i="2"/>
  <c r="BT241" i="2"/>
  <c r="BT240" i="2"/>
  <c r="BT239" i="2"/>
  <c r="BT272" i="2"/>
  <c r="BT256" i="2"/>
  <c r="BT252" i="2"/>
  <c r="BT248" i="2"/>
  <c r="BT267" i="2"/>
  <c r="BT263" i="2"/>
  <c r="BT259" i="2"/>
  <c r="BT257" i="2"/>
  <c r="BT251" i="2"/>
  <c r="BT247" i="2"/>
  <c r="BT238" i="2"/>
  <c r="BT237" i="2"/>
  <c r="BT236" i="2"/>
  <c r="BT235" i="2"/>
  <c r="BT234" i="2"/>
  <c r="BT233" i="2"/>
  <c r="BT232" i="2"/>
  <c r="BT231" i="2"/>
  <c r="BT230" i="2"/>
  <c r="BT229" i="2"/>
  <c r="BT228" i="2"/>
  <c r="BT227" i="2"/>
  <c r="BT226" i="2"/>
  <c r="BT225" i="2"/>
  <c r="BT224" i="2"/>
  <c r="BT223" i="2"/>
  <c r="BT222" i="2"/>
  <c r="BT221" i="2"/>
  <c r="BT270" i="2"/>
  <c r="BT266" i="2"/>
  <c r="BT262" i="2"/>
  <c r="BT258" i="2"/>
  <c r="BT254" i="2"/>
  <c r="BT250" i="2"/>
  <c r="BT255" i="2"/>
  <c r="BT253" i="2"/>
  <c r="BT249" i="2"/>
  <c r="BT268" i="2"/>
  <c r="BT264" i="2"/>
  <c r="BT260" i="2"/>
  <c r="BT220" i="2"/>
  <c r="BT216" i="2"/>
  <c r="BT212" i="2"/>
  <c r="BT208" i="2"/>
  <c r="BT204" i="2"/>
  <c r="BT200" i="2"/>
  <c r="BT196" i="2"/>
  <c r="BT190" i="2"/>
  <c r="BT193" i="2"/>
  <c r="BT185" i="2"/>
  <c r="BT179" i="2"/>
  <c r="BT269" i="2"/>
  <c r="BT217" i="2"/>
  <c r="BT213" i="2"/>
  <c r="BT209" i="2"/>
  <c r="BT205" i="2"/>
  <c r="BT201" i="2"/>
  <c r="BT197" i="2"/>
  <c r="BT188" i="2"/>
  <c r="BT191" i="2"/>
  <c r="BT180" i="2"/>
  <c r="BT174" i="2"/>
  <c r="BT173" i="2"/>
  <c r="BT172" i="2"/>
  <c r="BT171" i="2"/>
  <c r="BT170" i="2"/>
  <c r="BT169" i="2"/>
  <c r="BT168" i="2"/>
  <c r="BT167" i="2"/>
  <c r="BT166" i="2"/>
  <c r="BT165" i="2"/>
  <c r="BT164" i="2"/>
  <c r="BT163" i="2"/>
  <c r="BT162" i="2"/>
  <c r="BT161" i="2"/>
  <c r="BT160" i="2"/>
  <c r="BT159" i="2"/>
  <c r="BT158" i="2"/>
  <c r="BT157" i="2"/>
  <c r="BT156" i="2"/>
  <c r="BT155" i="2"/>
  <c r="BT154" i="2"/>
  <c r="BT153" i="2"/>
  <c r="BT152" i="2"/>
  <c r="BT151" i="2"/>
  <c r="BT150" i="2"/>
  <c r="BT149" i="2"/>
  <c r="BT148" i="2"/>
  <c r="BT147" i="2"/>
  <c r="BT146" i="2"/>
  <c r="BT145" i="2"/>
  <c r="BT144" i="2"/>
  <c r="BT143" i="2"/>
  <c r="BT142" i="2"/>
  <c r="BT141" i="2"/>
  <c r="BT140" i="2"/>
  <c r="BT139" i="2"/>
  <c r="BT138" i="2"/>
  <c r="BT137" i="2"/>
  <c r="BT136" i="2"/>
  <c r="BT135" i="2"/>
  <c r="BT134" i="2"/>
  <c r="BT133" i="2"/>
  <c r="BT132" i="2"/>
  <c r="BT131" i="2"/>
  <c r="BT130" i="2"/>
  <c r="BT129" i="2"/>
  <c r="BT128" i="2"/>
  <c r="BT127" i="2"/>
  <c r="BT126" i="2"/>
  <c r="BT125" i="2"/>
  <c r="BT124" i="2"/>
  <c r="BT123" i="2"/>
  <c r="BT265" i="2"/>
  <c r="BT218" i="2"/>
  <c r="BT214" i="2"/>
  <c r="BT210" i="2"/>
  <c r="BT206" i="2"/>
  <c r="BT202" i="2"/>
  <c r="BT198" i="2"/>
  <c r="BT194" i="2"/>
  <c r="BT186" i="2"/>
  <c r="BT189" i="2"/>
  <c r="BT183" i="2"/>
  <c r="BT176" i="2"/>
  <c r="BT261" i="2"/>
  <c r="BT219" i="2"/>
  <c r="BT215" i="2"/>
  <c r="BT211" i="2"/>
  <c r="BT207" i="2"/>
  <c r="BT203" i="2"/>
  <c r="BT199" i="2"/>
  <c r="BT195" i="2"/>
  <c r="BT192" i="2"/>
  <c r="BT184" i="2"/>
  <c r="BT182" i="2"/>
  <c r="BT178" i="2"/>
  <c r="BT121" i="2"/>
  <c r="BT120" i="2"/>
  <c r="BT119" i="2"/>
  <c r="BT118" i="2"/>
  <c r="BT117" i="2"/>
  <c r="BT116" i="2"/>
  <c r="BT115" i="2"/>
  <c r="BT114" i="2"/>
  <c r="BT113" i="2"/>
  <c r="BT112" i="2"/>
  <c r="BT111" i="2"/>
  <c r="BT110" i="2"/>
  <c r="BT109" i="2"/>
  <c r="BT108" i="2"/>
  <c r="BT107" i="2"/>
  <c r="BT106" i="2"/>
  <c r="BT105" i="2"/>
  <c r="BT104" i="2"/>
  <c r="BT103" i="2"/>
  <c r="BT102" i="2"/>
  <c r="BT101" i="2"/>
  <c r="BT100" i="2"/>
  <c r="BT99" i="2"/>
  <c r="BT98" i="2"/>
  <c r="BT97" i="2"/>
  <c r="BT96" i="2"/>
  <c r="BT95" i="2"/>
  <c r="BT94" i="2"/>
  <c r="BT93" i="2"/>
  <c r="BT92" i="2"/>
  <c r="BT91" i="2"/>
  <c r="BT90" i="2"/>
  <c r="BT89" i="2"/>
  <c r="BT88" i="2"/>
  <c r="BT87" i="2"/>
  <c r="BT86" i="2"/>
  <c r="BT85" i="2"/>
  <c r="BT84" i="2"/>
  <c r="BT177" i="2"/>
  <c r="BT175" i="2"/>
  <c r="BT181" i="2"/>
  <c r="BT122" i="2"/>
  <c r="BT187" i="2"/>
  <c r="BT82" i="2"/>
  <c r="BT77" i="2"/>
  <c r="BT73" i="2"/>
  <c r="BT69" i="2"/>
  <c r="BT62" i="2"/>
  <c r="BT61" i="2"/>
  <c r="AB16" i="2"/>
  <c r="BT83" i="2"/>
  <c r="BT63" i="2"/>
  <c r="CK4" i="2" a="1"/>
  <c r="CK4" i="2" s="1"/>
  <c r="BT76" i="2"/>
  <c r="BT72" i="2"/>
  <c r="BT68" i="2"/>
  <c r="BT64" i="2"/>
  <c r="BT80" i="2"/>
  <c r="BT65" i="2"/>
  <c r="BT74" i="2"/>
  <c r="BT66" i="2"/>
  <c r="BT79" i="2"/>
  <c r="BT75" i="2"/>
  <c r="BT71" i="2"/>
  <c r="BT67" i="2"/>
  <c r="BT60" i="2"/>
  <c r="BT59" i="2"/>
  <c r="BT58" i="2"/>
  <c r="BT57" i="2"/>
  <c r="BT56" i="2"/>
  <c r="BT55" i="2"/>
  <c r="BT54" i="2"/>
  <c r="BT53" i="2"/>
  <c r="BT52" i="2"/>
  <c r="BT51" i="2"/>
  <c r="BT50" i="2"/>
  <c r="BT49" i="2"/>
  <c r="BT48" i="2"/>
  <c r="BT47" i="2"/>
  <c r="BT46" i="2"/>
  <c r="BT45" i="2"/>
  <c r="BT44" i="2"/>
  <c r="BT43" i="2"/>
  <c r="BT42" i="2"/>
  <c r="BT41" i="2"/>
  <c r="BT40" i="2"/>
  <c r="BT39" i="2"/>
  <c r="BT38" i="2"/>
  <c r="BT37" i="2"/>
  <c r="BT36" i="2"/>
  <c r="BT35" i="2"/>
  <c r="BT34" i="2"/>
  <c r="BT33" i="2"/>
  <c r="BT32" i="2"/>
  <c r="BT31" i="2"/>
  <c r="BT30" i="2"/>
  <c r="BT29" i="2"/>
  <c r="BT28" i="2"/>
  <c r="BT27" i="2"/>
  <c r="BT26" i="2"/>
  <c r="BT25" i="2"/>
  <c r="BT24" i="2"/>
  <c r="BT23" i="2"/>
  <c r="BT22" i="2"/>
  <c r="BT21" i="2"/>
  <c r="BT20" i="2"/>
  <c r="BT70" i="2"/>
  <c r="BT81" i="2"/>
  <c r="AB15" i="2"/>
  <c r="BT78" i="2"/>
  <c r="AN531" i="2"/>
  <c r="AN530" i="2"/>
  <c r="AN522" i="2"/>
  <c r="AN529" i="2"/>
  <c r="AN521" i="2"/>
  <c r="AN527" i="2"/>
  <c r="AN533" i="2"/>
  <c r="AN526" i="2"/>
  <c r="AN518" i="2"/>
  <c r="AN525" i="2"/>
  <c r="AN517" i="2"/>
  <c r="AN511" i="2"/>
  <c r="AN528" i="2"/>
  <c r="AN520" i="2"/>
  <c r="AN519" i="2"/>
  <c r="AN509" i="2"/>
  <c r="AN508" i="2"/>
  <c r="AN532" i="2"/>
  <c r="AN515" i="2"/>
  <c r="AN507" i="2"/>
  <c r="AN524" i="2"/>
  <c r="AN523" i="2"/>
  <c r="AN516" i="2"/>
  <c r="AN513" i="2"/>
  <c r="AN497" i="2"/>
  <c r="AN506" i="2"/>
  <c r="AN504" i="2"/>
  <c r="AN496" i="2"/>
  <c r="AN502" i="2"/>
  <c r="AN494" i="2"/>
  <c r="AN510" i="2"/>
  <c r="AN501" i="2"/>
  <c r="AN491" i="2"/>
  <c r="AN483" i="2"/>
  <c r="AN503" i="2"/>
  <c r="AN490" i="2"/>
  <c r="AN495" i="2"/>
  <c r="AN489" i="2"/>
  <c r="AN514" i="2"/>
  <c r="AN512" i="2"/>
  <c r="AN487" i="2"/>
  <c r="AN500" i="2"/>
  <c r="AN499" i="2"/>
  <c r="AN498" i="2"/>
  <c r="AN486" i="2"/>
  <c r="AN485" i="2"/>
  <c r="AN478" i="2"/>
  <c r="AN505" i="2"/>
  <c r="AN477" i="2"/>
  <c r="AN492" i="2"/>
  <c r="AN475" i="2"/>
  <c r="AN488" i="2"/>
  <c r="AN484" i="2"/>
  <c r="AN482" i="2"/>
  <c r="AN474" i="2"/>
  <c r="AN470" i="2"/>
  <c r="AN481" i="2"/>
  <c r="AN480" i="2"/>
  <c r="AN479" i="2"/>
  <c r="AN473" i="2"/>
  <c r="AN469" i="2"/>
  <c r="AN461" i="2"/>
  <c r="AN468" i="2"/>
  <c r="AN467" i="2"/>
  <c r="AN466" i="2"/>
  <c r="AN493" i="2"/>
  <c r="AN465" i="2"/>
  <c r="AN476" i="2"/>
  <c r="AN472" i="2"/>
  <c r="AN464" i="2"/>
  <c r="AN452" i="2"/>
  <c r="AN444" i="2"/>
  <c r="AN436" i="2"/>
  <c r="AN428" i="2"/>
  <c r="AN459" i="2"/>
  <c r="AN451" i="2"/>
  <c r="AN443" i="2"/>
  <c r="AN435" i="2"/>
  <c r="AN471" i="2"/>
  <c r="AN458" i="2"/>
  <c r="AN450" i="2"/>
  <c r="AN442" i="2"/>
  <c r="AN434" i="2"/>
  <c r="AN457" i="2"/>
  <c r="AN460" i="2"/>
  <c r="AN456" i="2"/>
  <c r="AN448" i="2"/>
  <c r="AN440" i="2"/>
  <c r="AN432" i="2"/>
  <c r="AN463" i="2"/>
  <c r="AN462" i="2"/>
  <c r="AN455" i="2"/>
  <c r="AN447" i="2"/>
  <c r="AN439" i="2"/>
  <c r="AN431" i="2"/>
  <c r="AN441" i="2"/>
  <c r="AN419" i="2"/>
  <c r="AN411" i="2"/>
  <c r="AN410" i="2"/>
  <c r="AN409" i="2"/>
  <c r="AN408" i="2"/>
  <c r="AN407" i="2"/>
  <c r="AN406" i="2"/>
  <c r="AN405" i="2"/>
  <c r="AN404" i="2"/>
  <c r="AN446" i="2"/>
  <c r="AN437" i="2"/>
  <c r="AN426" i="2"/>
  <c r="AN418" i="2"/>
  <c r="AN449" i="2"/>
  <c r="AN430" i="2"/>
  <c r="AN424" i="2"/>
  <c r="AN416" i="2"/>
  <c r="AN433" i="2"/>
  <c r="AN423" i="2"/>
  <c r="AN415" i="2"/>
  <c r="AN445" i="2"/>
  <c r="AN420" i="2"/>
  <c r="AN414" i="2"/>
  <c r="AN427" i="2"/>
  <c r="AN429" i="2"/>
  <c r="AN454" i="2"/>
  <c r="AN453" i="2"/>
  <c r="AN425" i="2"/>
  <c r="AN421" i="2"/>
  <c r="AN417" i="2"/>
  <c r="AN401" i="2"/>
  <c r="AN393" i="2"/>
  <c r="AN438" i="2"/>
  <c r="AN398" i="2"/>
  <c r="AN390" i="2"/>
  <c r="AN403" i="2"/>
  <c r="AN400" i="2"/>
  <c r="AN392" i="2"/>
  <c r="AN422" i="2"/>
  <c r="AN413" i="2"/>
  <c r="AN397" i="2"/>
  <c r="AN389" i="2"/>
  <c r="AN384" i="2"/>
  <c r="AN383" i="2"/>
  <c r="AN382" i="2"/>
  <c r="AN381" i="2"/>
  <c r="AN380" i="2"/>
  <c r="AN379" i="2"/>
  <c r="AN378" i="2"/>
  <c r="AN377" i="2"/>
  <c r="AN376" i="2"/>
  <c r="AN375" i="2"/>
  <c r="AN374" i="2"/>
  <c r="AN373" i="2"/>
  <c r="AN372" i="2"/>
  <c r="AN371" i="2"/>
  <c r="AN370" i="2"/>
  <c r="AN369" i="2"/>
  <c r="AN368" i="2"/>
  <c r="AN402" i="2"/>
  <c r="AN395" i="2"/>
  <c r="AN394" i="2"/>
  <c r="AN391" i="2"/>
  <c r="AN387" i="2"/>
  <c r="AN386" i="2"/>
  <c r="AN367" i="2"/>
  <c r="AN366" i="2"/>
  <c r="AN365" i="2"/>
  <c r="AN364" i="2"/>
  <c r="AN363" i="2"/>
  <c r="AN362" i="2"/>
  <c r="AN399" i="2"/>
  <c r="AN396" i="2"/>
  <c r="AN388" i="2"/>
  <c r="AN385" i="2"/>
  <c r="AN359" i="2"/>
  <c r="AN351" i="2"/>
  <c r="AN347" i="2"/>
  <c r="AN344" i="2"/>
  <c r="AN356" i="2"/>
  <c r="AN348" i="2"/>
  <c r="AN361" i="2"/>
  <c r="AN353" i="2"/>
  <c r="AN358" i="2"/>
  <c r="AN350" i="2"/>
  <c r="AN343" i="2"/>
  <c r="AN412" i="2"/>
  <c r="AN355" i="2"/>
  <c r="AN360" i="2"/>
  <c r="AN352" i="2"/>
  <c r="AN357" i="2"/>
  <c r="AN349" i="2"/>
  <c r="AN345" i="2"/>
  <c r="AN341" i="2"/>
  <c r="AN340" i="2"/>
  <c r="AN339" i="2"/>
  <c r="AN338" i="2"/>
  <c r="AN337" i="2"/>
  <c r="AN336" i="2"/>
  <c r="AN335" i="2"/>
  <c r="AN334" i="2"/>
  <c r="AN333" i="2"/>
  <c r="AN332" i="2"/>
  <c r="AN331" i="2"/>
  <c r="AN330" i="2"/>
  <c r="AN329" i="2"/>
  <c r="AN328" i="2"/>
  <c r="AN327" i="2"/>
  <c r="AN326" i="2"/>
  <c r="AN325" i="2"/>
  <c r="AN324" i="2"/>
  <c r="AN323" i="2"/>
  <c r="AN322" i="2"/>
  <c r="AN321" i="2"/>
  <c r="AN320" i="2"/>
  <c r="AN319" i="2"/>
  <c r="AN318" i="2"/>
  <c r="AN317" i="2"/>
  <c r="AN316" i="2"/>
  <c r="AN315" i="2"/>
  <c r="AN314" i="2"/>
  <c r="AN313" i="2"/>
  <c r="AN312" i="2"/>
  <c r="AN311" i="2"/>
  <c r="AN310" i="2"/>
  <c r="AN309" i="2"/>
  <c r="AN308" i="2"/>
  <c r="AN307" i="2"/>
  <c r="AN306" i="2"/>
  <c r="AN305" i="2"/>
  <c r="AN304" i="2"/>
  <c r="AN303" i="2"/>
  <c r="AN302" i="2"/>
  <c r="AN301" i="2"/>
  <c r="AN300" i="2"/>
  <c r="AN299" i="2"/>
  <c r="AN298" i="2"/>
  <c r="AN297" i="2"/>
  <c r="AN296" i="2"/>
  <c r="AN295" i="2"/>
  <c r="AN294" i="2"/>
  <c r="AN293" i="2"/>
  <c r="AN292" i="2"/>
  <c r="AN291" i="2"/>
  <c r="AN290" i="2"/>
  <c r="AN289" i="2"/>
  <c r="AN288" i="2"/>
  <c r="AN287" i="2"/>
  <c r="AN286" i="2"/>
  <c r="AN285" i="2"/>
  <c r="AN346" i="2"/>
  <c r="AN354" i="2"/>
  <c r="AN342" i="2"/>
  <c r="AN284" i="2"/>
  <c r="AN283" i="2"/>
  <c r="AN282" i="2"/>
  <c r="AN281" i="2"/>
  <c r="AN280" i="2"/>
  <c r="AN279" i="2"/>
  <c r="AN278" i="2"/>
  <c r="AN277" i="2"/>
  <c r="AN276" i="2"/>
  <c r="AN275" i="2"/>
  <c r="AN274" i="2"/>
  <c r="AN273" i="2"/>
  <c r="AN272" i="2"/>
  <c r="AN271" i="2"/>
  <c r="AN270" i="2"/>
  <c r="AN269" i="2"/>
  <c r="AN268" i="2"/>
  <c r="AN267" i="2"/>
  <c r="AN266" i="2"/>
  <c r="AN265" i="2"/>
  <c r="AN264" i="2"/>
  <c r="AN263" i="2"/>
  <c r="AN262" i="2"/>
  <c r="AN261" i="2"/>
  <c r="AN260" i="2"/>
  <c r="AN259" i="2"/>
  <c r="AN258" i="2"/>
  <c r="AN257" i="2"/>
  <c r="AN256" i="2"/>
  <c r="AN255" i="2"/>
  <c r="AN254" i="2"/>
  <c r="AN253" i="2"/>
  <c r="AN252" i="2"/>
  <c r="AN251" i="2"/>
  <c r="AN250" i="2"/>
  <c r="AN249" i="2"/>
  <c r="AN248" i="2"/>
  <c r="AN247" i="2"/>
  <c r="AN242" i="2"/>
  <c r="AN240" i="2"/>
  <c r="AN244" i="2"/>
  <c r="AN245" i="2"/>
  <c r="AN220" i="2"/>
  <c r="AN219" i="2"/>
  <c r="AN218" i="2"/>
  <c r="AN217" i="2"/>
  <c r="AN216" i="2"/>
  <c r="AN215" i="2"/>
  <c r="AN214" i="2"/>
  <c r="AN213" i="2"/>
  <c r="AN212" i="2"/>
  <c r="AN211" i="2"/>
  <c r="AN210" i="2"/>
  <c r="AN209" i="2"/>
  <c r="AN208" i="2"/>
  <c r="AN207" i="2"/>
  <c r="AN206" i="2"/>
  <c r="AN205" i="2"/>
  <c r="AN204" i="2"/>
  <c r="AN203" i="2"/>
  <c r="AN202" i="2"/>
  <c r="AN201" i="2"/>
  <c r="AN200" i="2"/>
  <c r="AN199" i="2"/>
  <c r="AN198" i="2"/>
  <c r="AN197" i="2"/>
  <c r="AN196" i="2"/>
  <c r="AN195" i="2"/>
  <c r="AN194" i="2"/>
  <c r="AN193" i="2"/>
  <c r="AN192" i="2"/>
  <c r="AN191" i="2"/>
  <c r="AN190" i="2"/>
  <c r="AN189" i="2"/>
  <c r="AN188" i="2"/>
  <c r="AN187" i="2"/>
  <c r="AN186" i="2"/>
  <c r="AN185" i="2"/>
  <c r="AN184" i="2"/>
  <c r="AN183" i="2"/>
  <c r="AN182" i="2"/>
  <c r="AN181" i="2"/>
  <c r="AN180" i="2"/>
  <c r="AN179" i="2"/>
  <c r="AN243" i="2"/>
  <c r="AN241" i="2"/>
  <c r="AN246" i="2"/>
  <c r="AN239" i="2"/>
  <c r="AN238" i="2"/>
  <c r="AN237" i="2"/>
  <c r="AN236" i="2"/>
  <c r="AN235" i="2"/>
  <c r="AN234" i="2"/>
  <c r="AN233" i="2"/>
  <c r="AN232" i="2"/>
  <c r="AN231" i="2"/>
  <c r="AN230" i="2"/>
  <c r="AN229" i="2"/>
  <c r="AN228" i="2"/>
  <c r="AN227" i="2"/>
  <c r="AN226" i="2"/>
  <c r="AN225" i="2"/>
  <c r="AN224" i="2"/>
  <c r="AN223" i="2"/>
  <c r="AN222" i="2"/>
  <c r="AN221" i="2"/>
  <c r="AN175" i="2"/>
  <c r="AN177" i="2"/>
  <c r="AN176" i="2"/>
  <c r="AN178" i="2"/>
  <c r="AN173" i="2"/>
  <c r="AN169" i="2"/>
  <c r="AN165" i="2"/>
  <c r="AN161" i="2"/>
  <c r="AN157" i="2"/>
  <c r="AN153" i="2"/>
  <c r="AN149" i="2"/>
  <c r="AN145" i="2"/>
  <c r="AN141" i="2"/>
  <c r="AN137" i="2"/>
  <c r="AN133" i="2"/>
  <c r="AN130" i="2"/>
  <c r="AN126" i="2"/>
  <c r="AN172" i="2"/>
  <c r="AN168" i="2"/>
  <c r="AN164" i="2"/>
  <c r="AN160" i="2"/>
  <c r="AN156" i="2"/>
  <c r="AN152" i="2"/>
  <c r="AN148" i="2"/>
  <c r="AN144" i="2"/>
  <c r="AN140" i="2"/>
  <c r="AN136" i="2"/>
  <c r="AN124" i="2"/>
  <c r="AN131" i="2"/>
  <c r="AN127" i="2"/>
  <c r="AN171" i="2"/>
  <c r="AN167" i="2"/>
  <c r="AN163" i="2"/>
  <c r="AN159" i="2"/>
  <c r="AN155" i="2"/>
  <c r="AN151" i="2"/>
  <c r="AN147" i="2"/>
  <c r="AN143" i="2"/>
  <c r="AN139" i="2"/>
  <c r="AN135" i="2"/>
  <c r="AN122" i="2"/>
  <c r="AN121" i="2"/>
  <c r="AN120" i="2"/>
  <c r="AN119" i="2"/>
  <c r="AN118" i="2"/>
  <c r="AN117" i="2"/>
  <c r="AN116" i="2"/>
  <c r="AN115" i="2"/>
  <c r="AN114" i="2"/>
  <c r="AN113" i="2"/>
  <c r="AN112" i="2"/>
  <c r="AN111" i="2"/>
  <c r="AN110" i="2"/>
  <c r="AN109" i="2"/>
  <c r="AN108" i="2"/>
  <c r="AN107" i="2"/>
  <c r="AN106" i="2"/>
  <c r="AN105" i="2"/>
  <c r="AN104" i="2"/>
  <c r="AN103" i="2"/>
  <c r="AN102" i="2"/>
  <c r="AN101" i="2"/>
  <c r="AN100" i="2"/>
  <c r="AN99" i="2"/>
  <c r="AN98" i="2"/>
  <c r="AN97" i="2"/>
  <c r="AN96" i="2"/>
  <c r="AN95" i="2"/>
  <c r="AN94" i="2"/>
  <c r="AN93" i="2"/>
  <c r="AN92" i="2"/>
  <c r="AN91" i="2"/>
  <c r="AN90" i="2"/>
  <c r="AN89" i="2"/>
  <c r="AN88" i="2"/>
  <c r="AN87" i="2"/>
  <c r="AN86" i="2"/>
  <c r="AN85" i="2"/>
  <c r="AN84" i="2"/>
  <c r="AN83" i="2"/>
  <c r="AN82" i="2"/>
  <c r="AN81" i="2"/>
  <c r="AN80" i="2"/>
  <c r="AN79" i="2"/>
  <c r="AN78" i="2"/>
  <c r="AN77" i="2"/>
  <c r="AN76" i="2"/>
  <c r="AN75" i="2"/>
  <c r="AN74" i="2"/>
  <c r="AN73" i="2"/>
  <c r="AN72" i="2"/>
  <c r="AN71" i="2"/>
  <c r="AN70" i="2"/>
  <c r="AN69" i="2"/>
  <c r="AN68" i="2"/>
  <c r="AN67" i="2"/>
  <c r="AN66" i="2"/>
  <c r="AN65" i="2"/>
  <c r="AN64" i="2"/>
  <c r="AN63" i="2"/>
  <c r="AN62" i="2"/>
  <c r="AN132" i="2"/>
  <c r="AN128" i="2"/>
  <c r="AN154" i="2"/>
  <c r="AN129" i="2"/>
  <c r="AN150" i="2"/>
  <c r="AN60" i="2"/>
  <c r="AN59" i="2"/>
  <c r="AN58" i="2"/>
  <c r="AN57" i="2"/>
  <c r="AN56" i="2"/>
  <c r="AN55" i="2"/>
  <c r="AN54" i="2"/>
  <c r="AN53" i="2"/>
  <c r="AN52" i="2"/>
  <c r="AN51" i="2"/>
  <c r="AN50" i="2"/>
  <c r="AN49" i="2"/>
  <c r="AN48" i="2"/>
  <c r="AN47" i="2"/>
  <c r="AN46" i="2"/>
  <c r="AN45" i="2"/>
  <c r="AN44" i="2"/>
  <c r="AN43" i="2"/>
  <c r="AN42" i="2"/>
  <c r="AN41" i="2"/>
  <c r="AN40" i="2"/>
  <c r="AN39" i="2"/>
  <c r="AN38" i="2"/>
  <c r="AN37" i="2"/>
  <c r="AN36" i="2"/>
  <c r="AN35" i="2"/>
  <c r="AN34" i="2"/>
  <c r="AN33" i="2"/>
  <c r="AN32" i="2"/>
  <c r="AN31" i="2"/>
  <c r="AN30" i="2"/>
  <c r="AN29" i="2"/>
  <c r="AN28" i="2"/>
  <c r="AN27" i="2"/>
  <c r="AN26" i="2"/>
  <c r="AN25" i="2"/>
  <c r="AN24" i="2"/>
  <c r="AN23" i="2"/>
  <c r="AN22" i="2"/>
  <c r="AN21" i="2"/>
  <c r="AN20" i="2"/>
  <c r="AN146" i="2"/>
  <c r="AN61" i="2"/>
  <c r="AN174" i="2"/>
  <c r="AN142" i="2"/>
  <c r="AN123" i="2"/>
  <c r="AN170" i="2"/>
  <c r="AN138" i="2"/>
  <c r="AN166" i="2"/>
  <c r="AN134" i="2"/>
  <c r="AN125" i="2"/>
  <c r="AN158" i="2"/>
  <c r="AN162" i="2"/>
  <c r="BL525" i="2"/>
  <c r="BL517" i="2"/>
  <c r="BL524" i="2"/>
  <c r="BL516" i="2"/>
  <c r="BL531" i="2"/>
  <c r="BL530" i="2"/>
  <c r="BL529" i="2"/>
  <c r="BL521" i="2"/>
  <c r="BL532" i="2"/>
  <c r="BL528" i="2"/>
  <c r="BL520" i="2"/>
  <c r="BL514" i="2"/>
  <c r="BL506" i="2"/>
  <c r="BL512" i="2"/>
  <c r="BL504" i="2"/>
  <c r="BL533" i="2"/>
  <c r="BL523" i="2"/>
  <c r="BL522" i="2"/>
  <c r="BL511" i="2"/>
  <c r="BL527" i="2"/>
  <c r="BL515" i="2"/>
  <c r="BL510" i="2"/>
  <c r="BL508" i="2"/>
  <c r="BL500" i="2"/>
  <c r="BL507" i="2"/>
  <c r="BL499" i="2"/>
  <c r="BL497" i="2"/>
  <c r="BL496" i="2"/>
  <c r="BL494" i="2"/>
  <c r="BL486" i="2"/>
  <c r="BL485" i="2"/>
  <c r="BL513" i="2"/>
  <c r="BL498" i="2"/>
  <c r="BL492" i="2"/>
  <c r="BL484" i="2"/>
  <c r="BL519" i="2"/>
  <c r="BL518" i="2"/>
  <c r="BL526" i="2"/>
  <c r="BL509" i="2"/>
  <c r="BL490" i="2"/>
  <c r="BL493" i="2"/>
  <c r="BL489" i="2"/>
  <c r="BL482" i="2"/>
  <c r="BL501" i="2"/>
  <c r="BL487" i="2"/>
  <c r="BL481" i="2"/>
  <c r="BL473" i="2"/>
  <c r="BL480" i="2"/>
  <c r="BL502" i="2"/>
  <c r="BL495" i="2"/>
  <c r="BL478" i="2"/>
  <c r="BL488" i="2"/>
  <c r="BL483" i="2"/>
  <c r="BL477" i="2"/>
  <c r="BL505" i="2"/>
  <c r="BL503" i="2"/>
  <c r="BL465" i="2"/>
  <c r="BL472" i="2"/>
  <c r="BL464" i="2"/>
  <c r="BL474" i="2"/>
  <c r="BL471" i="2"/>
  <c r="BL463" i="2"/>
  <c r="BL476" i="2"/>
  <c r="BL475" i="2"/>
  <c r="BL470" i="2"/>
  <c r="BL462" i="2"/>
  <c r="BL469" i="2"/>
  <c r="BL468" i="2"/>
  <c r="BL491" i="2"/>
  <c r="BL479" i="2"/>
  <c r="BL467" i="2"/>
  <c r="BL455" i="2"/>
  <c r="BL447" i="2"/>
  <c r="BL439" i="2"/>
  <c r="BL431" i="2"/>
  <c r="BL454" i="2"/>
  <c r="BL446" i="2"/>
  <c r="BL438" i="2"/>
  <c r="BL430" i="2"/>
  <c r="BL461" i="2"/>
  <c r="BL453" i="2"/>
  <c r="BL445" i="2"/>
  <c r="BL437" i="2"/>
  <c r="BL452" i="2"/>
  <c r="BL466" i="2"/>
  <c r="BL460" i="2"/>
  <c r="BL451" i="2"/>
  <c r="BL443" i="2"/>
  <c r="BL435" i="2"/>
  <c r="BL458" i="2"/>
  <c r="BL450" i="2"/>
  <c r="BL442" i="2"/>
  <c r="BL434" i="2"/>
  <c r="BL457" i="2"/>
  <c r="BL441" i="2"/>
  <c r="BL432" i="2"/>
  <c r="BL444" i="2"/>
  <c r="BL422" i="2"/>
  <c r="BL414" i="2"/>
  <c r="BL421" i="2"/>
  <c r="BL413" i="2"/>
  <c r="BL449" i="2"/>
  <c r="BL440" i="2"/>
  <c r="BL429" i="2"/>
  <c r="BL459" i="2"/>
  <c r="BL427" i="2"/>
  <c r="BL419" i="2"/>
  <c r="BL433" i="2"/>
  <c r="BL418" i="2"/>
  <c r="BL410" i="2"/>
  <c r="BL409" i="2"/>
  <c r="BL408" i="2"/>
  <c r="BL423" i="2"/>
  <c r="BL448" i="2"/>
  <c r="BL436" i="2"/>
  <c r="BL425" i="2"/>
  <c r="BL424" i="2"/>
  <c r="BL415" i="2"/>
  <c r="BL417" i="2"/>
  <c r="BL456" i="2"/>
  <c r="BL407" i="2"/>
  <c r="BL404" i="2"/>
  <c r="BL412" i="2"/>
  <c r="BL406" i="2"/>
  <c r="BL420" i="2"/>
  <c r="BL428" i="2"/>
  <c r="BL411" i="2"/>
  <c r="BL402" i="2"/>
  <c r="BL394" i="2"/>
  <c r="BL386" i="2"/>
  <c r="BL384" i="2"/>
  <c r="BL383" i="2"/>
  <c r="BL382" i="2"/>
  <c r="BL381" i="2"/>
  <c r="BL380" i="2"/>
  <c r="BL379" i="2"/>
  <c r="BL378" i="2"/>
  <c r="BL377" i="2"/>
  <c r="BL376" i="2"/>
  <c r="BL375" i="2"/>
  <c r="BL374" i="2"/>
  <c r="BL373" i="2"/>
  <c r="BL372" i="2"/>
  <c r="BL371" i="2"/>
  <c r="BL370" i="2"/>
  <c r="BL369" i="2"/>
  <c r="BL368" i="2"/>
  <c r="BL416" i="2"/>
  <c r="BL399" i="2"/>
  <c r="BL391" i="2"/>
  <c r="BL426" i="2"/>
  <c r="BL401" i="2"/>
  <c r="BL393" i="2"/>
  <c r="BL398" i="2"/>
  <c r="BL390" i="2"/>
  <c r="BL395" i="2"/>
  <c r="BL387" i="2"/>
  <c r="BL392" i="2"/>
  <c r="BL403" i="2"/>
  <c r="BL400" i="2"/>
  <c r="BL396" i="2"/>
  <c r="BL388" i="2"/>
  <c r="BL385" i="2"/>
  <c r="BL397" i="2"/>
  <c r="BL389" i="2"/>
  <c r="BL367" i="2"/>
  <c r="BL366" i="2"/>
  <c r="BL365" i="2"/>
  <c r="BL364" i="2"/>
  <c r="BL363" i="2"/>
  <c r="BL362" i="2"/>
  <c r="BL361" i="2"/>
  <c r="BL360" i="2"/>
  <c r="BL359" i="2"/>
  <c r="BL358" i="2"/>
  <c r="BL357" i="2"/>
  <c r="BL356" i="2"/>
  <c r="BL355" i="2"/>
  <c r="BL354" i="2"/>
  <c r="BL353" i="2"/>
  <c r="BL352" i="2"/>
  <c r="BL351" i="2"/>
  <c r="BL350" i="2"/>
  <c r="BL349" i="2"/>
  <c r="BL348" i="2"/>
  <c r="BL347" i="2"/>
  <c r="BL346" i="2"/>
  <c r="BL345" i="2"/>
  <c r="BL344" i="2"/>
  <c r="BL343" i="2"/>
  <c r="BL341" i="2"/>
  <c r="BL340" i="2"/>
  <c r="BL339" i="2"/>
  <c r="BL338" i="2"/>
  <c r="BL337" i="2"/>
  <c r="BL336" i="2"/>
  <c r="BL335" i="2"/>
  <c r="BL334" i="2"/>
  <c r="BL333" i="2"/>
  <c r="BL332" i="2"/>
  <c r="BL331" i="2"/>
  <c r="BL342" i="2"/>
  <c r="BL405" i="2"/>
  <c r="BL327" i="2"/>
  <c r="BL320" i="2"/>
  <c r="BL314" i="2"/>
  <c r="BL306" i="2"/>
  <c r="BL298" i="2"/>
  <c r="BL290" i="2"/>
  <c r="BL329" i="2"/>
  <c r="BL323" i="2"/>
  <c r="BL313" i="2"/>
  <c r="BL305" i="2"/>
  <c r="BL297" i="2"/>
  <c r="BL287" i="2"/>
  <c r="BL283" i="2"/>
  <c r="BL282" i="2"/>
  <c r="BL281" i="2"/>
  <c r="BL280" i="2"/>
  <c r="BL279" i="2"/>
  <c r="BL278" i="2"/>
  <c r="BL277" i="2"/>
  <c r="BL276" i="2"/>
  <c r="BL275" i="2"/>
  <c r="BL326" i="2"/>
  <c r="BL312" i="2"/>
  <c r="BL304" i="2"/>
  <c r="BL296" i="2"/>
  <c r="BL292" i="2"/>
  <c r="BL284" i="2"/>
  <c r="BL321" i="2"/>
  <c r="BL311" i="2"/>
  <c r="BL303" i="2"/>
  <c r="BL295" i="2"/>
  <c r="BL289" i="2"/>
  <c r="BL330" i="2"/>
  <c r="BL324" i="2"/>
  <c r="BL318" i="2"/>
  <c r="BL310" i="2"/>
  <c r="BL302" i="2"/>
  <c r="BL294" i="2"/>
  <c r="BL286" i="2"/>
  <c r="BL319" i="2"/>
  <c r="BL317" i="2"/>
  <c r="BL309" i="2"/>
  <c r="BL301" i="2"/>
  <c r="BL291" i="2"/>
  <c r="BL322" i="2"/>
  <c r="BL316" i="2"/>
  <c r="BL308" i="2"/>
  <c r="BL300" i="2"/>
  <c r="BL288" i="2"/>
  <c r="BL271" i="2"/>
  <c r="BL328" i="2"/>
  <c r="BL307" i="2"/>
  <c r="BL273" i="2"/>
  <c r="BL293" i="2"/>
  <c r="BL285" i="2"/>
  <c r="BL246" i="2"/>
  <c r="BL245" i="2"/>
  <c r="BL244" i="2"/>
  <c r="BL243" i="2"/>
  <c r="BL242" i="2"/>
  <c r="BL241" i="2"/>
  <c r="BL240" i="2"/>
  <c r="BL239" i="2"/>
  <c r="BL272" i="2"/>
  <c r="BL315" i="2"/>
  <c r="BL299" i="2"/>
  <c r="BL268" i="2"/>
  <c r="BL264" i="2"/>
  <c r="BL260" i="2"/>
  <c r="BL255" i="2"/>
  <c r="BL253" i="2"/>
  <c r="BL249" i="2"/>
  <c r="BL267" i="2"/>
  <c r="BL263" i="2"/>
  <c r="BL259" i="2"/>
  <c r="BL256" i="2"/>
  <c r="BL238" i="2"/>
  <c r="BL237" i="2"/>
  <c r="BL236" i="2"/>
  <c r="BL235" i="2"/>
  <c r="BL234" i="2"/>
  <c r="BL233" i="2"/>
  <c r="BL232" i="2"/>
  <c r="BL231" i="2"/>
  <c r="BL230" i="2"/>
  <c r="BL229" i="2"/>
  <c r="BL228" i="2"/>
  <c r="BL227" i="2"/>
  <c r="BL226" i="2"/>
  <c r="BL225" i="2"/>
  <c r="BL224" i="2"/>
  <c r="BL223" i="2"/>
  <c r="BL222" i="2"/>
  <c r="BL221" i="2"/>
  <c r="BL252" i="2"/>
  <c r="BL248" i="2"/>
  <c r="BL325" i="2"/>
  <c r="BL270" i="2"/>
  <c r="BL266" i="2"/>
  <c r="BL262" i="2"/>
  <c r="BL257" i="2"/>
  <c r="BL269" i="2"/>
  <c r="BL265" i="2"/>
  <c r="BL261" i="2"/>
  <c r="BL258" i="2"/>
  <c r="BL247" i="2"/>
  <c r="BL254" i="2"/>
  <c r="BL250" i="2"/>
  <c r="BL219" i="2"/>
  <c r="BL215" i="2"/>
  <c r="BL211" i="2"/>
  <c r="BL207" i="2"/>
  <c r="BL203" i="2"/>
  <c r="BL199" i="2"/>
  <c r="BL195" i="2"/>
  <c r="BL192" i="2"/>
  <c r="BL184" i="2"/>
  <c r="BL183" i="2"/>
  <c r="BL187" i="2"/>
  <c r="BL182" i="2"/>
  <c r="BL274" i="2"/>
  <c r="BL220" i="2"/>
  <c r="BL216" i="2"/>
  <c r="BL212" i="2"/>
  <c r="BL208" i="2"/>
  <c r="BL204" i="2"/>
  <c r="BL200" i="2"/>
  <c r="BL196" i="2"/>
  <c r="BL190" i="2"/>
  <c r="BL181" i="2"/>
  <c r="BL193" i="2"/>
  <c r="BL185" i="2"/>
  <c r="BL178" i="2"/>
  <c r="BL176" i="2"/>
  <c r="BL174" i="2"/>
  <c r="BL173" i="2"/>
  <c r="BL172" i="2"/>
  <c r="BL171" i="2"/>
  <c r="BL170" i="2"/>
  <c r="BL169" i="2"/>
  <c r="BL168" i="2"/>
  <c r="BL167" i="2"/>
  <c r="BL166" i="2"/>
  <c r="BL165" i="2"/>
  <c r="BL164" i="2"/>
  <c r="BL163" i="2"/>
  <c r="BL162" i="2"/>
  <c r="BL161" i="2"/>
  <c r="BL160" i="2"/>
  <c r="BL159" i="2"/>
  <c r="BL158" i="2"/>
  <c r="BL157" i="2"/>
  <c r="BL156" i="2"/>
  <c r="BL155" i="2"/>
  <c r="BL154" i="2"/>
  <c r="BL153" i="2"/>
  <c r="BL152" i="2"/>
  <c r="BL151" i="2"/>
  <c r="BL150" i="2"/>
  <c r="BL149" i="2"/>
  <c r="BL148" i="2"/>
  <c r="BL147" i="2"/>
  <c r="BL146" i="2"/>
  <c r="BL145" i="2"/>
  <c r="BL144" i="2"/>
  <c r="BL143" i="2"/>
  <c r="BL142" i="2"/>
  <c r="BL141" i="2"/>
  <c r="BL140" i="2"/>
  <c r="BL139" i="2"/>
  <c r="BL138" i="2"/>
  <c r="BL137" i="2"/>
  <c r="BL136" i="2"/>
  <c r="BL135" i="2"/>
  <c r="BL134" i="2"/>
  <c r="BL133" i="2"/>
  <c r="BL132" i="2"/>
  <c r="BL131" i="2"/>
  <c r="BL130" i="2"/>
  <c r="BL129" i="2"/>
  <c r="BL128" i="2"/>
  <c r="BL127" i="2"/>
  <c r="BL126" i="2"/>
  <c r="BL125" i="2"/>
  <c r="BL124" i="2"/>
  <c r="BL123" i="2"/>
  <c r="BL251" i="2"/>
  <c r="BL217" i="2"/>
  <c r="BL213" i="2"/>
  <c r="BL209" i="2"/>
  <c r="BL205" i="2"/>
  <c r="BL201" i="2"/>
  <c r="BL197" i="2"/>
  <c r="BL188" i="2"/>
  <c r="BL177" i="2"/>
  <c r="BL191" i="2"/>
  <c r="BL179" i="2"/>
  <c r="BL218" i="2"/>
  <c r="BL214" i="2"/>
  <c r="BL210" i="2"/>
  <c r="BL206" i="2"/>
  <c r="BL202" i="2"/>
  <c r="BL198" i="2"/>
  <c r="BL194" i="2"/>
  <c r="BL186" i="2"/>
  <c r="BL175" i="2"/>
  <c r="BL121" i="2"/>
  <c r="BL120" i="2"/>
  <c r="BL119" i="2"/>
  <c r="BL118" i="2"/>
  <c r="BL117" i="2"/>
  <c r="BL116" i="2"/>
  <c r="BL115" i="2"/>
  <c r="BL114" i="2"/>
  <c r="BL113" i="2"/>
  <c r="BL112" i="2"/>
  <c r="BL111" i="2"/>
  <c r="BL110" i="2"/>
  <c r="BL109" i="2"/>
  <c r="BL108" i="2"/>
  <c r="BL107" i="2"/>
  <c r="BL106" i="2"/>
  <c r="BL105" i="2"/>
  <c r="BL104" i="2"/>
  <c r="BL103" i="2"/>
  <c r="BL102" i="2"/>
  <c r="BL101" i="2"/>
  <c r="BL100" i="2"/>
  <c r="BL99" i="2"/>
  <c r="BL98" i="2"/>
  <c r="BL97" i="2"/>
  <c r="BL96" i="2"/>
  <c r="BL95" i="2"/>
  <c r="BL94" i="2"/>
  <c r="BL93" i="2"/>
  <c r="BL92" i="2"/>
  <c r="BL91" i="2"/>
  <c r="BL90" i="2"/>
  <c r="BL89" i="2"/>
  <c r="BL88" i="2"/>
  <c r="BL87" i="2"/>
  <c r="BL86" i="2"/>
  <c r="BL85" i="2"/>
  <c r="BL84" i="2"/>
  <c r="BL180" i="2"/>
  <c r="BL122" i="2"/>
  <c r="BL80" i="2"/>
  <c r="BL76" i="2"/>
  <c r="BL72" i="2"/>
  <c r="BL68" i="2"/>
  <c r="BL63" i="2"/>
  <c r="BL61" i="2"/>
  <c r="BL64" i="2"/>
  <c r="T16" i="2"/>
  <c r="BL189" i="2"/>
  <c r="BL81" i="2"/>
  <c r="BL79" i="2"/>
  <c r="BL75" i="2"/>
  <c r="BL71" i="2"/>
  <c r="BL67" i="2"/>
  <c r="BL65" i="2"/>
  <c r="BL82" i="2"/>
  <c r="BL78" i="2"/>
  <c r="BL74" i="2"/>
  <c r="BL70" i="2"/>
  <c r="BL66" i="2"/>
  <c r="BL60" i="2"/>
  <c r="BL59" i="2"/>
  <c r="BL58" i="2"/>
  <c r="BL57" i="2"/>
  <c r="BL56" i="2"/>
  <c r="BL55" i="2"/>
  <c r="BL54" i="2"/>
  <c r="BL53" i="2"/>
  <c r="BL52" i="2"/>
  <c r="BL51" i="2"/>
  <c r="BL50" i="2"/>
  <c r="BL49" i="2"/>
  <c r="BL48" i="2"/>
  <c r="BL47" i="2"/>
  <c r="BL46" i="2"/>
  <c r="BL45" i="2"/>
  <c r="BL44" i="2"/>
  <c r="BL43" i="2"/>
  <c r="BL42" i="2"/>
  <c r="BL41" i="2"/>
  <c r="BL40" i="2"/>
  <c r="BL39" i="2"/>
  <c r="BL38" i="2"/>
  <c r="BL37" i="2"/>
  <c r="BL36" i="2"/>
  <c r="BL35" i="2"/>
  <c r="BL34" i="2"/>
  <c r="BL33" i="2"/>
  <c r="BL32" i="2"/>
  <c r="BL31" i="2"/>
  <c r="BL30" i="2"/>
  <c r="BL29" i="2"/>
  <c r="BL28" i="2"/>
  <c r="BL27" i="2"/>
  <c r="BL26" i="2"/>
  <c r="BL25" i="2"/>
  <c r="BL24" i="2"/>
  <c r="BL23" i="2"/>
  <c r="BL22" i="2"/>
  <c r="BL21" i="2"/>
  <c r="BL20" i="2"/>
  <c r="BL83" i="2"/>
  <c r="BL77" i="2"/>
  <c r="BL73" i="2"/>
  <c r="BL69" i="2"/>
  <c r="T15" i="2"/>
  <c r="BL62" i="2"/>
  <c r="AF8" i="2"/>
  <c r="AF7" i="2"/>
  <c r="AF5" i="2"/>
  <c r="AF3" i="2"/>
  <c r="AF6" i="2"/>
  <c r="AF2" i="2"/>
  <c r="AF11" i="2" s="1"/>
  <c r="AF4" i="2"/>
  <c r="CP16" i="2" a="1"/>
  <c r="CP16" i="2" s="1"/>
  <c r="CP15" i="2" a="1"/>
  <c r="CP15" i="2" s="1"/>
  <c r="CP17" i="2" a="1"/>
  <c r="CP17" i="2" s="1"/>
  <c r="AQ14" i="3" l="1"/>
  <c r="AP14" i="3"/>
  <c r="BR191" i="3"/>
  <c r="BR190" i="3"/>
  <c r="BR189" i="3"/>
  <c r="BR188" i="3"/>
  <c r="BR187" i="3"/>
  <c r="BR186" i="3"/>
  <c r="BR185" i="3"/>
  <c r="BR184" i="3"/>
  <c r="BR183" i="3"/>
  <c r="BR182" i="3"/>
  <c r="BR181" i="3"/>
  <c r="BR180" i="3"/>
  <c r="BR177" i="3"/>
  <c r="BR179" i="3"/>
  <c r="BR176" i="3"/>
  <c r="BR178" i="3"/>
  <c r="BR172" i="3"/>
  <c r="BR174" i="3"/>
  <c r="BR169" i="3"/>
  <c r="BR175" i="3"/>
  <c r="BR166" i="3"/>
  <c r="BR165" i="3"/>
  <c r="BR164" i="3"/>
  <c r="BR163" i="3"/>
  <c r="BR162" i="3"/>
  <c r="BR161" i="3"/>
  <c r="BR160" i="3"/>
  <c r="BR159" i="3"/>
  <c r="BR173" i="3"/>
  <c r="BR168" i="3"/>
  <c r="BR167" i="3"/>
  <c r="BR170" i="3"/>
  <c r="BR155" i="3"/>
  <c r="BR150" i="3"/>
  <c r="BR154" i="3"/>
  <c r="BR153" i="3"/>
  <c r="BR149" i="3"/>
  <c r="BR148" i="3"/>
  <c r="BR147" i="3"/>
  <c r="BR146" i="3"/>
  <c r="BR145" i="3"/>
  <c r="BR144" i="3"/>
  <c r="BR143" i="3"/>
  <c r="BR142" i="3"/>
  <c r="BR141" i="3"/>
  <c r="BR140" i="3"/>
  <c r="BR139" i="3"/>
  <c r="BR138" i="3"/>
  <c r="BR137" i="3"/>
  <c r="BR136" i="3"/>
  <c r="BR135" i="3"/>
  <c r="BR134" i="3"/>
  <c r="BR133" i="3"/>
  <c r="BR151" i="3"/>
  <c r="BR152" i="3"/>
  <c r="BR130" i="3"/>
  <c r="BR157" i="3"/>
  <c r="BR128" i="3"/>
  <c r="BR127" i="3"/>
  <c r="BR126" i="3"/>
  <c r="BR125" i="3"/>
  <c r="BR124" i="3"/>
  <c r="BR123" i="3"/>
  <c r="BR122" i="3"/>
  <c r="BR121" i="3"/>
  <c r="BR120" i="3"/>
  <c r="BR119" i="3"/>
  <c r="BR118" i="3"/>
  <c r="BR117" i="3"/>
  <c r="BR116" i="3"/>
  <c r="BR115" i="3"/>
  <c r="BR114" i="3"/>
  <c r="BR113" i="3"/>
  <c r="BR112" i="3"/>
  <c r="BR111" i="3"/>
  <c r="BR110" i="3"/>
  <c r="BR109" i="3"/>
  <c r="BR108" i="3"/>
  <c r="BR107" i="3"/>
  <c r="BR106" i="3"/>
  <c r="BR132" i="3"/>
  <c r="BR171" i="3"/>
  <c r="BR129" i="3"/>
  <c r="BR156" i="3"/>
  <c r="BR131" i="3"/>
  <c r="BR158" i="3"/>
  <c r="BR105" i="3"/>
  <c r="BR104" i="3"/>
  <c r="BR103" i="3"/>
  <c r="BR102" i="3"/>
  <c r="BR101" i="3"/>
  <c r="BR100" i="3"/>
  <c r="BR99" i="3"/>
  <c r="BR98" i="3"/>
  <c r="BR97" i="3"/>
  <c r="BR96" i="3"/>
  <c r="BR95" i="3"/>
  <c r="BR94" i="3"/>
  <c r="BR93" i="3"/>
  <c r="BR92" i="3"/>
  <c r="BR91" i="3"/>
  <c r="BR90" i="3"/>
  <c r="BR89" i="3"/>
  <c r="BR88" i="3"/>
  <c r="BR87" i="3"/>
  <c r="BR86" i="3"/>
  <c r="BR85" i="3"/>
  <c r="BR84" i="3"/>
  <c r="BR83" i="3"/>
  <c r="BR82" i="3"/>
  <c r="BR81" i="3"/>
  <c r="BR80" i="3"/>
  <c r="BR79" i="3"/>
  <c r="BR78" i="3"/>
  <c r="BR77" i="3"/>
  <c r="BR76" i="3"/>
  <c r="BR75" i="3"/>
  <c r="BR74" i="3"/>
  <c r="BR73" i="3"/>
  <c r="BR72" i="3"/>
  <c r="BR71" i="3"/>
  <c r="BR70" i="3"/>
  <c r="BR61" i="3"/>
  <c r="BR58" i="3"/>
  <c r="BR64" i="3"/>
  <c r="BR63" i="3"/>
  <c r="BR65" i="3"/>
  <c r="BR66" i="3"/>
  <c r="BR57" i="3"/>
  <c r="BR67" i="3"/>
  <c r="BR62" i="3"/>
  <c r="BR54" i="3"/>
  <c r="BR68" i="3"/>
  <c r="BR55" i="3"/>
  <c r="BR51" i="3"/>
  <c r="BR47" i="3"/>
  <c r="BR56" i="3"/>
  <c r="BR45" i="3"/>
  <c r="BR42" i="3"/>
  <c r="BR50" i="3"/>
  <c r="BR60" i="3"/>
  <c r="BR46" i="3"/>
  <c r="BR44" i="3"/>
  <c r="BR59" i="3"/>
  <c r="BR49" i="3"/>
  <c r="BR48" i="3"/>
  <c r="BR40" i="3"/>
  <c r="BR32" i="3"/>
  <c r="BR24" i="3"/>
  <c r="BR38" i="3"/>
  <c r="BR30" i="3"/>
  <c r="BR69" i="3"/>
  <c r="BR53" i="3"/>
  <c r="BR43" i="3"/>
  <c r="BR37" i="3"/>
  <c r="BR29" i="3"/>
  <c r="BR34" i="3"/>
  <c r="BR26" i="3"/>
  <c r="BR35" i="3"/>
  <c r="BR27" i="3"/>
  <c r="Z16" i="3"/>
  <c r="BR39" i="3"/>
  <c r="BR31" i="3"/>
  <c r="BR23" i="3"/>
  <c r="BR22" i="3"/>
  <c r="BR21" i="3"/>
  <c r="BR20" i="3"/>
  <c r="CJ4" i="3" a="1"/>
  <c r="CJ4" i="3" s="1"/>
  <c r="BR52" i="3"/>
  <c r="BR41" i="3"/>
  <c r="BR36" i="3"/>
  <c r="BR28" i="3"/>
  <c r="Z15" i="3"/>
  <c r="BR33" i="3"/>
  <c r="BR25" i="3"/>
  <c r="AF10" i="3"/>
  <c r="AF15" i="3" s="1"/>
  <c r="AC191" i="3"/>
  <c r="AC190" i="3"/>
  <c r="AC189" i="3"/>
  <c r="AC188" i="3"/>
  <c r="AC187" i="3"/>
  <c r="AC186" i="3"/>
  <c r="AC185" i="3"/>
  <c r="AC184" i="3"/>
  <c r="AC183" i="3"/>
  <c r="AC182" i="3"/>
  <c r="AC181" i="3"/>
  <c r="AC180" i="3"/>
  <c r="AC179" i="3"/>
  <c r="AC178" i="3"/>
  <c r="AC177" i="3"/>
  <c r="AC176" i="3"/>
  <c r="AC175" i="3"/>
  <c r="AC174" i="3"/>
  <c r="AC173" i="3"/>
  <c r="AC172" i="3"/>
  <c r="AC171" i="3"/>
  <c r="AC170" i="3"/>
  <c r="AC169" i="3"/>
  <c r="AC168" i="3"/>
  <c r="AC167" i="3"/>
  <c r="AC163" i="3"/>
  <c r="AC166" i="3"/>
  <c r="AC164" i="3"/>
  <c r="AC160" i="3"/>
  <c r="AC157" i="3"/>
  <c r="AC156" i="3"/>
  <c r="AC151" i="3"/>
  <c r="AC155" i="3"/>
  <c r="AC153" i="3"/>
  <c r="AC165" i="3"/>
  <c r="AC159" i="3"/>
  <c r="AC158" i="3"/>
  <c r="AC150" i="3"/>
  <c r="AC146" i="3"/>
  <c r="AC142" i="3"/>
  <c r="AC139" i="3"/>
  <c r="AC145" i="3"/>
  <c r="AC141" i="3"/>
  <c r="AC152" i="3"/>
  <c r="AC148" i="3"/>
  <c r="AC144" i="3"/>
  <c r="AC140" i="3"/>
  <c r="AC137" i="3"/>
  <c r="AC133" i="3"/>
  <c r="AC132" i="3"/>
  <c r="AC131" i="3"/>
  <c r="AC130" i="3"/>
  <c r="AC149" i="3"/>
  <c r="AC143" i="3"/>
  <c r="AC134" i="3"/>
  <c r="AC147" i="3"/>
  <c r="AC136" i="3"/>
  <c r="AC129" i="3"/>
  <c r="AC128" i="3"/>
  <c r="AC127" i="3"/>
  <c r="AC125" i="3"/>
  <c r="AC124" i="3"/>
  <c r="AC126" i="3"/>
  <c r="AC123" i="3"/>
  <c r="AC122" i="3"/>
  <c r="AC121" i="3"/>
  <c r="AC120" i="3"/>
  <c r="AC119" i="3"/>
  <c r="AC118" i="3"/>
  <c r="AC117" i="3"/>
  <c r="AC116" i="3"/>
  <c r="AC115" i="3"/>
  <c r="AC114" i="3"/>
  <c r="AC113" i="3"/>
  <c r="AC112" i="3"/>
  <c r="AC111" i="3"/>
  <c r="AC110" i="3"/>
  <c r="AC109" i="3"/>
  <c r="AC108" i="3"/>
  <c r="AC107" i="3"/>
  <c r="AC154" i="3"/>
  <c r="AC135" i="3"/>
  <c r="AC138" i="3"/>
  <c r="AC97" i="3"/>
  <c r="AC89" i="3"/>
  <c r="AC94" i="3"/>
  <c r="AC85" i="3"/>
  <c r="AC104" i="3"/>
  <c r="AC103" i="3"/>
  <c r="AC102" i="3"/>
  <c r="AC101" i="3"/>
  <c r="AC100" i="3"/>
  <c r="AC99" i="3"/>
  <c r="AC91" i="3"/>
  <c r="AC96" i="3"/>
  <c r="AC88" i="3"/>
  <c r="AC161" i="3"/>
  <c r="AC93" i="3"/>
  <c r="AC84" i="3"/>
  <c r="AC86" i="3"/>
  <c r="AC83" i="3"/>
  <c r="AC82" i="3"/>
  <c r="AC81" i="3"/>
  <c r="AC80" i="3"/>
  <c r="AC79" i="3"/>
  <c r="AC78" i="3"/>
  <c r="AC77" i="3"/>
  <c r="AC76" i="3"/>
  <c r="AC75" i="3"/>
  <c r="AC162" i="3"/>
  <c r="AC98" i="3"/>
  <c r="AC90" i="3"/>
  <c r="AC105" i="3"/>
  <c r="AC74" i="3"/>
  <c r="AC68" i="3"/>
  <c r="AC60" i="3"/>
  <c r="AC69" i="3"/>
  <c r="AC73" i="3"/>
  <c r="AC70" i="3"/>
  <c r="AC62" i="3"/>
  <c r="AC95" i="3"/>
  <c r="AC92" i="3"/>
  <c r="AC72" i="3"/>
  <c r="AC64" i="3"/>
  <c r="AC57" i="3"/>
  <c r="AC56" i="3"/>
  <c r="AC55" i="3"/>
  <c r="AC54" i="3"/>
  <c r="AC53" i="3"/>
  <c r="AC52" i="3"/>
  <c r="AC51" i="3"/>
  <c r="AC50" i="3"/>
  <c r="AC49" i="3"/>
  <c r="AC48" i="3"/>
  <c r="AC47" i="3"/>
  <c r="AC46" i="3"/>
  <c r="AC45" i="3"/>
  <c r="AC44" i="3"/>
  <c r="AC43" i="3"/>
  <c r="AC106" i="3"/>
  <c r="AC65" i="3"/>
  <c r="AC61" i="3"/>
  <c r="AC42" i="3"/>
  <c r="AC41" i="3"/>
  <c r="AC40" i="3"/>
  <c r="AC39" i="3"/>
  <c r="AC38" i="3"/>
  <c r="AC37" i="3"/>
  <c r="AC36" i="3"/>
  <c r="AC35" i="3"/>
  <c r="AC34" i="3"/>
  <c r="AC33" i="3"/>
  <c r="AC32" i="3"/>
  <c r="AC31" i="3"/>
  <c r="AC30" i="3"/>
  <c r="AC29" i="3"/>
  <c r="AC28" i="3"/>
  <c r="AC27" i="3"/>
  <c r="AC26" i="3"/>
  <c r="AC25" i="3"/>
  <c r="AC24" i="3"/>
  <c r="AC63" i="3"/>
  <c r="AC59" i="3"/>
  <c r="AC87" i="3"/>
  <c r="AC66" i="3"/>
  <c r="AC71" i="3"/>
  <c r="AC67" i="3"/>
  <c r="AC58" i="3"/>
  <c r="AC23" i="3"/>
  <c r="AC22" i="3"/>
  <c r="AC21" i="3"/>
  <c r="AC20" i="3"/>
  <c r="BS191" i="3"/>
  <c r="BS190" i="3"/>
  <c r="BS189" i="3"/>
  <c r="BS188" i="3"/>
  <c r="BS187" i="3"/>
  <c r="BS186" i="3"/>
  <c r="BS185" i="3"/>
  <c r="BS174" i="3"/>
  <c r="BS173" i="3"/>
  <c r="BS184" i="3"/>
  <c r="BS179" i="3"/>
  <c r="BS183" i="3"/>
  <c r="BS176" i="3"/>
  <c r="BS182" i="3"/>
  <c r="BS169" i="3"/>
  <c r="BS177" i="3"/>
  <c r="BS175" i="3"/>
  <c r="BS166" i="3"/>
  <c r="BS165" i="3"/>
  <c r="BS171" i="3"/>
  <c r="BS167" i="3"/>
  <c r="BS164" i="3"/>
  <c r="BS160" i="3"/>
  <c r="BS172" i="3"/>
  <c r="BS170" i="3"/>
  <c r="BS181" i="3"/>
  <c r="BS168" i="3"/>
  <c r="BS161" i="3"/>
  <c r="BS178" i="3"/>
  <c r="BS154" i="3"/>
  <c r="BS153" i="3"/>
  <c r="BS149" i="3"/>
  <c r="BS148" i="3"/>
  <c r="BS147" i="3"/>
  <c r="BS146" i="3"/>
  <c r="BS145" i="3"/>
  <c r="BS144" i="3"/>
  <c r="BS143" i="3"/>
  <c r="BS142" i="3"/>
  <c r="BS141" i="3"/>
  <c r="BS140" i="3"/>
  <c r="BS139" i="3"/>
  <c r="BS152" i="3"/>
  <c r="BS158" i="3"/>
  <c r="BS151" i="3"/>
  <c r="BS163" i="3"/>
  <c r="BS150" i="3"/>
  <c r="BS137" i="3"/>
  <c r="BS180" i="3"/>
  <c r="BS159" i="3"/>
  <c r="BS157" i="3"/>
  <c r="BS155" i="3"/>
  <c r="BS138" i="3"/>
  <c r="BS128" i="3"/>
  <c r="BS127" i="3"/>
  <c r="BS126" i="3"/>
  <c r="BS125" i="3"/>
  <c r="BS124" i="3"/>
  <c r="BS123" i="3"/>
  <c r="BS122" i="3"/>
  <c r="BS121" i="3"/>
  <c r="BS120" i="3"/>
  <c r="BS119" i="3"/>
  <c r="BS118" i="3"/>
  <c r="BS117" i="3"/>
  <c r="BS116" i="3"/>
  <c r="BS115" i="3"/>
  <c r="BS114" i="3"/>
  <c r="BS113" i="3"/>
  <c r="BS112" i="3"/>
  <c r="BS111" i="3"/>
  <c r="BS110" i="3"/>
  <c r="BS109" i="3"/>
  <c r="BS132" i="3"/>
  <c r="BS162" i="3"/>
  <c r="BS134" i="3"/>
  <c r="BS129" i="3"/>
  <c r="BS156" i="3"/>
  <c r="BS131" i="3"/>
  <c r="BS108" i="3"/>
  <c r="BS136" i="3"/>
  <c r="BS130" i="3"/>
  <c r="BS133" i="3"/>
  <c r="BS135" i="3"/>
  <c r="BS106" i="3"/>
  <c r="BS103" i="3"/>
  <c r="BS102" i="3"/>
  <c r="BS101" i="3"/>
  <c r="BS100" i="3"/>
  <c r="BS99" i="3"/>
  <c r="BS98" i="3"/>
  <c r="BS90" i="3"/>
  <c r="BS95" i="3"/>
  <c r="BS87" i="3"/>
  <c r="BS107" i="3"/>
  <c r="BS92" i="3"/>
  <c r="BS84" i="3"/>
  <c r="BS83" i="3"/>
  <c r="BS82" i="3"/>
  <c r="BS81" i="3"/>
  <c r="BS80" i="3"/>
  <c r="BS79" i="3"/>
  <c r="BS78" i="3"/>
  <c r="BS77" i="3"/>
  <c r="BS76" i="3"/>
  <c r="BS75" i="3"/>
  <c r="BS74" i="3"/>
  <c r="BS73" i="3"/>
  <c r="BS72" i="3"/>
  <c r="BS71" i="3"/>
  <c r="BS70" i="3"/>
  <c r="BS69" i="3"/>
  <c r="BS68" i="3"/>
  <c r="BS67" i="3"/>
  <c r="BS66" i="3"/>
  <c r="BS65" i="3"/>
  <c r="BS64" i="3"/>
  <c r="BS97" i="3"/>
  <c r="BS89" i="3"/>
  <c r="BS94" i="3"/>
  <c r="BS86" i="3"/>
  <c r="BS105" i="3"/>
  <c r="BS104" i="3"/>
  <c r="BS91" i="3"/>
  <c r="BS88" i="3"/>
  <c r="BS58" i="3"/>
  <c r="BS85" i="3"/>
  <c r="BS63" i="3"/>
  <c r="BS60" i="3"/>
  <c r="BS56" i="3"/>
  <c r="BS55" i="3"/>
  <c r="BS54" i="3"/>
  <c r="BS53" i="3"/>
  <c r="BS52" i="3"/>
  <c r="BS51" i="3"/>
  <c r="BS50" i="3"/>
  <c r="BS49" i="3"/>
  <c r="BS48" i="3"/>
  <c r="BS47" i="3"/>
  <c r="BS62" i="3"/>
  <c r="BS59" i="3"/>
  <c r="BS93" i="3"/>
  <c r="BS45" i="3"/>
  <c r="BS42" i="3"/>
  <c r="BS57" i="3"/>
  <c r="BS46" i="3"/>
  <c r="BS44" i="3"/>
  <c r="BS61" i="3"/>
  <c r="BS43" i="3"/>
  <c r="BS37" i="3"/>
  <c r="BS29" i="3"/>
  <c r="BS27" i="3"/>
  <c r="AA16" i="3"/>
  <c r="BS34" i="3"/>
  <c r="BS26" i="3"/>
  <c r="BS39" i="3"/>
  <c r="BS31" i="3"/>
  <c r="BS23" i="3"/>
  <c r="BS22" i="3"/>
  <c r="BS21" i="3"/>
  <c r="BS20" i="3"/>
  <c r="BS96" i="3"/>
  <c r="BS41" i="3"/>
  <c r="BS36" i="3"/>
  <c r="BS28" i="3"/>
  <c r="AA15" i="3"/>
  <c r="BS32" i="3"/>
  <c r="BS24" i="3"/>
  <c r="BS33" i="3"/>
  <c r="BS25" i="3"/>
  <c r="BS38" i="3"/>
  <c r="BS30" i="3"/>
  <c r="BS35" i="3"/>
  <c r="BS40" i="3"/>
  <c r="BQ191" i="3"/>
  <c r="BQ190" i="3"/>
  <c r="BQ189" i="3"/>
  <c r="BQ188" i="3"/>
  <c r="BQ187" i="3"/>
  <c r="BQ186" i="3"/>
  <c r="BQ185" i="3"/>
  <c r="BQ184" i="3"/>
  <c r="BQ183" i="3"/>
  <c r="BQ182" i="3"/>
  <c r="BQ181" i="3"/>
  <c r="BQ180" i="3"/>
  <c r="BQ179" i="3"/>
  <c r="BQ178" i="3"/>
  <c r="BQ177" i="3"/>
  <c r="BQ176" i="3"/>
  <c r="BQ175" i="3"/>
  <c r="BQ174" i="3"/>
  <c r="BQ173" i="3"/>
  <c r="BQ172" i="3"/>
  <c r="BQ171" i="3"/>
  <c r="BQ170" i="3"/>
  <c r="BQ169" i="3"/>
  <c r="BQ168" i="3"/>
  <c r="BQ167" i="3"/>
  <c r="BQ163" i="3"/>
  <c r="BQ159" i="3"/>
  <c r="BQ164" i="3"/>
  <c r="BQ160" i="3"/>
  <c r="BQ161" i="3"/>
  <c r="BQ156" i="3"/>
  <c r="BQ155" i="3"/>
  <c r="BQ150" i="3"/>
  <c r="BQ166" i="3"/>
  <c r="BQ154" i="3"/>
  <c r="BQ152" i="3"/>
  <c r="BQ162" i="3"/>
  <c r="BQ165" i="3"/>
  <c r="BQ147" i="3"/>
  <c r="BQ143" i="3"/>
  <c r="BQ139" i="3"/>
  <c r="BQ151" i="3"/>
  <c r="BQ149" i="3"/>
  <c r="BQ145" i="3"/>
  <c r="BQ141" i="3"/>
  <c r="BQ137" i="3"/>
  <c r="BQ133" i="3"/>
  <c r="BQ132" i="3"/>
  <c r="BQ131" i="3"/>
  <c r="BQ130" i="3"/>
  <c r="BQ129" i="3"/>
  <c r="BQ158" i="3"/>
  <c r="BQ140" i="3"/>
  <c r="BQ136" i="3"/>
  <c r="BQ135" i="3"/>
  <c r="BQ138" i="3"/>
  <c r="BQ157" i="3"/>
  <c r="BQ153" i="3"/>
  <c r="BQ144" i="3"/>
  <c r="BQ128" i="3"/>
  <c r="BQ127" i="3"/>
  <c r="BQ126" i="3"/>
  <c r="BQ125" i="3"/>
  <c r="BQ124" i="3"/>
  <c r="BQ123" i="3"/>
  <c r="BQ122" i="3"/>
  <c r="BQ121" i="3"/>
  <c r="BQ120" i="3"/>
  <c r="BQ119" i="3"/>
  <c r="BQ118" i="3"/>
  <c r="BQ117" i="3"/>
  <c r="BQ116" i="3"/>
  <c r="BQ115" i="3"/>
  <c r="BQ114" i="3"/>
  <c r="BQ113" i="3"/>
  <c r="BQ112" i="3"/>
  <c r="BQ111" i="3"/>
  <c r="BQ110" i="3"/>
  <c r="BQ109" i="3"/>
  <c r="BQ108" i="3"/>
  <c r="BQ107" i="3"/>
  <c r="BQ106" i="3"/>
  <c r="BQ134" i="3"/>
  <c r="BQ148" i="3"/>
  <c r="BQ142" i="3"/>
  <c r="BQ146" i="3"/>
  <c r="BQ93" i="3"/>
  <c r="BQ85" i="3"/>
  <c r="BQ103" i="3"/>
  <c r="BQ102" i="3"/>
  <c r="BQ101" i="3"/>
  <c r="BQ100" i="3"/>
  <c r="BQ99" i="3"/>
  <c r="BQ98" i="3"/>
  <c r="BQ90" i="3"/>
  <c r="BQ95" i="3"/>
  <c r="BQ87" i="3"/>
  <c r="BQ92" i="3"/>
  <c r="BQ97" i="3"/>
  <c r="BQ89" i="3"/>
  <c r="BQ84" i="3"/>
  <c r="BQ83" i="3"/>
  <c r="BQ82" i="3"/>
  <c r="BQ81" i="3"/>
  <c r="BQ80" i="3"/>
  <c r="BQ79" i="3"/>
  <c r="BQ78" i="3"/>
  <c r="BQ77" i="3"/>
  <c r="BQ76" i="3"/>
  <c r="BQ75" i="3"/>
  <c r="BQ74" i="3"/>
  <c r="BQ94" i="3"/>
  <c r="BQ86" i="3"/>
  <c r="BQ69" i="3"/>
  <c r="BQ91" i="3"/>
  <c r="BQ88" i="3"/>
  <c r="BQ71" i="3"/>
  <c r="BQ61" i="3"/>
  <c r="BQ105" i="3"/>
  <c r="BQ58" i="3"/>
  <c r="BQ70" i="3"/>
  <c r="BQ64" i="3"/>
  <c r="BQ63" i="3"/>
  <c r="BQ65" i="3"/>
  <c r="BQ60" i="3"/>
  <c r="BQ56" i="3"/>
  <c r="BQ55" i="3"/>
  <c r="BQ54" i="3"/>
  <c r="BQ53" i="3"/>
  <c r="BQ52" i="3"/>
  <c r="BQ51" i="3"/>
  <c r="BQ50" i="3"/>
  <c r="BQ49" i="3"/>
  <c r="BQ48" i="3"/>
  <c r="BQ47" i="3"/>
  <c r="BQ46" i="3"/>
  <c r="BQ45" i="3"/>
  <c r="BQ44" i="3"/>
  <c r="BQ43" i="3"/>
  <c r="BQ42" i="3"/>
  <c r="BQ104" i="3"/>
  <c r="BQ73" i="3"/>
  <c r="BQ66" i="3"/>
  <c r="BQ96" i="3"/>
  <c r="BQ41" i="3"/>
  <c r="BQ40" i="3"/>
  <c r="BQ39" i="3"/>
  <c r="BQ38" i="3"/>
  <c r="BQ37" i="3"/>
  <c r="BQ36" i="3"/>
  <c r="BQ35" i="3"/>
  <c r="BQ34" i="3"/>
  <c r="BQ33" i="3"/>
  <c r="BQ32" i="3"/>
  <c r="BQ31" i="3"/>
  <c r="BQ30" i="3"/>
  <c r="BQ29" i="3"/>
  <c r="BQ28" i="3"/>
  <c r="BQ27" i="3"/>
  <c r="BQ26" i="3"/>
  <c r="BQ25" i="3"/>
  <c r="BQ24" i="3"/>
  <c r="BQ68" i="3"/>
  <c r="BQ57" i="3"/>
  <c r="BQ72" i="3"/>
  <c r="Y16" i="3"/>
  <c r="BQ23" i="3"/>
  <c r="BQ22" i="3"/>
  <c r="BQ21" i="3"/>
  <c r="BQ20" i="3"/>
  <c r="BQ59" i="3"/>
  <c r="Y15" i="3"/>
  <c r="BQ67" i="3"/>
  <c r="BQ62" i="3"/>
  <c r="AC531" i="2"/>
  <c r="AC530" i="2"/>
  <c r="AC522" i="2"/>
  <c r="AC529" i="2"/>
  <c r="AC521" i="2"/>
  <c r="AC527" i="2"/>
  <c r="AC533" i="2"/>
  <c r="AC526" i="2"/>
  <c r="AC518" i="2"/>
  <c r="AC525" i="2"/>
  <c r="AC517" i="2"/>
  <c r="AC532" i="2"/>
  <c r="AC511" i="2"/>
  <c r="AC509" i="2"/>
  <c r="AC524" i="2"/>
  <c r="AC523" i="2"/>
  <c r="AC516" i="2"/>
  <c r="AC515" i="2"/>
  <c r="AC507" i="2"/>
  <c r="AC513" i="2"/>
  <c r="AC508" i="2"/>
  <c r="AC497" i="2"/>
  <c r="AC504" i="2"/>
  <c r="AC496" i="2"/>
  <c r="AC514" i="2"/>
  <c r="AC502" i="2"/>
  <c r="AC494" i="2"/>
  <c r="AC528" i="2"/>
  <c r="AC501" i="2"/>
  <c r="AC519" i="2"/>
  <c r="AC506" i="2"/>
  <c r="AC491" i="2"/>
  <c r="AC483" i="2"/>
  <c r="AC490" i="2"/>
  <c r="AC499" i="2"/>
  <c r="AC498" i="2"/>
  <c r="AC489" i="2"/>
  <c r="AC487" i="2"/>
  <c r="AC512" i="2"/>
  <c r="AC478" i="2"/>
  <c r="AC488" i="2"/>
  <c r="AC486" i="2"/>
  <c r="AC477" i="2"/>
  <c r="AC495" i="2"/>
  <c r="AC484" i="2"/>
  <c r="AC500" i="2"/>
  <c r="AC493" i="2"/>
  <c r="AC475" i="2"/>
  <c r="AC520" i="2"/>
  <c r="AC482" i="2"/>
  <c r="AC474" i="2"/>
  <c r="AC470" i="2"/>
  <c r="AC469" i="2"/>
  <c r="AC461" i="2"/>
  <c r="AC492" i="2"/>
  <c r="AC468" i="2"/>
  <c r="AC476" i="2"/>
  <c r="AC467" i="2"/>
  <c r="AC466" i="2"/>
  <c r="AC505" i="2"/>
  <c r="AC503" i="2"/>
  <c r="AC485" i="2"/>
  <c r="AC465" i="2"/>
  <c r="AC480" i="2"/>
  <c r="AC479" i="2"/>
  <c r="AC472" i="2"/>
  <c r="AC464" i="2"/>
  <c r="AC463" i="2"/>
  <c r="AC452" i="2"/>
  <c r="AC444" i="2"/>
  <c r="AC436" i="2"/>
  <c r="AC428" i="2"/>
  <c r="AC481" i="2"/>
  <c r="AC459" i="2"/>
  <c r="AC451" i="2"/>
  <c r="AC443" i="2"/>
  <c r="AC435" i="2"/>
  <c r="AC473" i="2"/>
  <c r="AC462" i="2"/>
  <c r="AC458" i="2"/>
  <c r="AC450" i="2"/>
  <c r="AC442" i="2"/>
  <c r="AC434" i="2"/>
  <c r="AC460" i="2"/>
  <c r="AC457" i="2"/>
  <c r="AC456" i="2"/>
  <c r="AC448" i="2"/>
  <c r="AC440" i="2"/>
  <c r="AC432" i="2"/>
  <c r="AC510" i="2"/>
  <c r="AC471" i="2"/>
  <c r="AC455" i="2"/>
  <c r="AC447" i="2"/>
  <c r="AC439" i="2"/>
  <c r="AC431" i="2"/>
  <c r="AC433" i="2"/>
  <c r="AC430" i="2"/>
  <c r="AC419" i="2"/>
  <c r="AC411" i="2"/>
  <c r="AC410" i="2"/>
  <c r="AC409" i="2"/>
  <c r="AC408" i="2"/>
  <c r="AC407" i="2"/>
  <c r="AC406" i="2"/>
  <c r="AC405" i="2"/>
  <c r="AC404" i="2"/>
  <c r="AC445" i="2"/>
  <c r="AC426" i="2"/>
  <c r="AC418" i="2"/>
  <c r="AC453" i="2"/>
  <c r="AC438" i="2"/>
  <c r="AC454" i="2"/>
  <c r="AC441" i="2"/>
  <c r="AC424" i="2"/>
  <c r="AC416" i="2"/>
  <c r="AC429" i="2"/>
  <c r="AC427" i="2"/>
  <c r="AC423" i="2"/>
  <c r="AC415" i="2"/>
  <c r="AC446" i="2"/>
  <c r="AC425" i="2"/>
  <c r="AC414" i="2"/>
  <c r="AC413" i="2"/>
  <c r="AC412" i="2"/>
  <c r="AC403" i="2"/>
  <c r="AC422" i="2"/>
  <c r="AC400" i="2"/>
  <c r="AC392" i="2"/>
  <c r="AC397" i="2"/>
  <c r="AC389" i="2"/>
  <c r="AC402" i="2"/>
  <c r="AC421" i="2"/>
  <c r="AC399" i="2"/>
  <c r="AC391" i="2"/>
  <c r="AC417" i="2"/>
  <c r="AC396" i="2"/>
  <c r="AC388" i="2"/>
  <c r="AC384" i="2"/>
  <c r="AC383" i="2"/>
  <c r="AC382" i="2"/>
  <c r="AC381" i="2"/>
  <c r="AC380" i="2"/>
  <c r="AC379" i="2"/>
  <c r="AC378" i="2"/>
  <c r="AC377" i="2"/>
  <c r="AC376" i="2"/>
  <c r="AC375" i="2"/>
  <c r="AC374" i="2"/>
  <c r="AC373" i="2"/>
  <c r="AC372" i="2"/>
  <c r="AC371" i="2"/>
  <c r="AC370" i="2"/>
  <c r="AC369" i="2"/>
  <c r="AC368" i="2"/>
  <c r="AC385" i="2"/>
  <c r="AC367" i="2"/>
  <c r="AC366" i="2"/>
  <c r="AC365" i="2"/>
  <c r="AC364" i="2"/>
  <c r="AC363" i="2"/>
  <c r="AC362" i="2"/>
  <c r="AC449" i="2"/>
  <c r="AC437" i="2"/>
  <c r="AC420" i="2"/>
  <c r="AC395" i="2"/>
  <c r="AC394" i="2"/>
  <c r="AC393" i="2"/>
  <c r="AC387" i="2"/>
  <c r="AC386" i="2"/>
  <c r="AC398" i="2"/>
  <c r="AC390" i="2"/>
  <c r="AC401" i="2"/>
  <c r="AC358" i="2"/>
  <c r="AC350" i="2"/>
  <c r="AC355" i="2"/>
  <c r="AC360" i="2"/>
  <c r="AC352" i="2"/>
  <c r="AC343" i="2"/>
  <c r="AC357" i="2"/>
  <c r="AC349" i="2"/>
  <c r="AC345" i="2"/>
  <c r="AC354" i="2"/>
  <c r="AC346" i="2"/>
  <c r="AC359" i="2"/>
  <c r="AC351" i="2"/>
  <c r="AC347" i="2"/>
  <c r="AC356" i="2"/>
  <c r="AC348" i="2"/>
  <c r="AC344" i="2"/>
  <c r="AC342" i="2"/>
  <c r="AC341" i="2"/>
  <c r="AC340" i="2"/>
  <c r="AC339" i="2"/>
  <c r="AC338" i="2"/>
  <c r="AC337" i="2"/>
  <c r="AC336" i="2"/>
  <c r="AC335" i="2"/>
  <c r="AC334" i="2"/>
  <c r="AC333" i="2"/>
  <c r="AC332" i="2"/>
  <c r="AC331" i="2"/>
  <c r="AC330" i="2"/>
  <c r="AC329" i="2"/>
  <c r="AC328" i="2"/>
  <c r="AC327" i="2"/>
  <c r="AC326" i="2"/>
  <c r="AC325" i="2"/>
  <c r="AC324" i="2"/>
  <c r="AC323" i="2"/>
  <c r="AC322" i="2"/>
  <c r="AC321" i="2"/>
  <c r="AC320" i="2"/>
  <c r="AC319" i="2"/>
  <c r="AC318" i="2"/>
  <c r="AC317" i="2"/>
  <c r="AC316" i="2"/>
  <c r="AC315" i="2"/>
  <c r="AC314" i="2"/>
  <c r="AC313" i="2"/>
  <c r="AC312" i="2"/>
  <c r="AC311" i="2"/>
  <c r="AC310" i="2"/>
  <c r="AC309" i="2"/>
  <c r="AC308" i="2"/>
  <c r="AC307" i="2"/>
  <c r="AC306" i="2"/>
  <c r="AC305" i="2"/>
  <c r="AC304" i="2"/>
  <c r="AC303" i="2"/>
  <c r="AC302" i="2"/>
  <c r="AC301" i="2"/>
  <c r="AC300" i="2"/>
  <c r="AC299" i="2"/>
  <c r="AC298" i="2"/>
  <c r="AC297" i="2"/>
  <c r="AC296" i="2"/>
  <c r="AC295" i="2"/>
  <c r="AC294" i="2"/>
  <c r="AC293" i="2"/>
  <c r="AC292" i="2"/>
  <c r="AC291" i="2"/>
  <c r="AC290" i="2"/>
  <c r="AC289" i="2"/>
  <c r="AC288" i="2"/>
  <c r="AC287" i="2"/>
  <c r="AC286" i="2"/>
  <c r="AC285" i="2"/>
  <c r="AC353" i="2"/>
  <c r="AC361" i="2"/>
  <c r="AC284" i="2"/>
  <c r="AC283" i="2"/>
  <c r="AC282" i="2"/>
  <c r="AC281" i="2"/>
  <c r="AC280" i="2"/>
  <c r="AC279" i="2"/>
  <c r="AC278" i="2"/>
  <c r="AC277" i="2"/>
  <c r="AC276" i="2"/>
  <c r="AC275" i="2"/>
  <c r="AC274" i="2"/>
  <c r="AC273" i="2"/>
  <c r="AC272" i="2"/>
  <c r="AC271" i="2"/>
  <c r="AC270" i="2"/>
  <c r="AC269" i="2"/>
  <c r="AC268" i="2"/>
  <c r="AC267" i="2"/>
  <c r="AC266" i="2"/>
  <c r="AC265" i="2"/>
  <c r="AC264" i="2"/>
  <c r="AC263" i="2"/>
  <c r="AC262" i="2"/>
  <c r="AC261" i="2"/>
  <c r="AC260" i="2"/>
  <c r="AC259" i="2"/>
  <c r="AC258" i="2"/>
  <c r="AC257" i="2"/>
  <c r="AC256" i="2"/>
  <c r="AC255" i="2"/>
  <c r="AC254" i="2"/>
  <c r="AC253" i="2"/>
  <c r="AC252" i="2"/>
  <c r="AC251" i="2"/>
  <c r="AC250" i="2"/>
  <c r="AC249" i="2"/>
  <c r="AC248" i="2"/>
  <c r="AC247" i="2"/>
  <c r="AC244" i="2"/>
  <c r="AC242" i="2"/>
  <c r="AC240" i="2"/>
  <c r="AC245" i="2"/>
  <c r="AC220" i="2"/>
  <c r="AC219" i="2"/>
  <c r="AC218" i="2"/>
  <c r="AC217" i="2"/>
  <c r="AC216" i="2"/>
  <c r="AC215" i="2"/>
  <c r="AC214" i="2"/>
  <c r="AC213" i="2"/>
  <c r="AC212" i="2"/>
  <c r="AC211" i="2"/>
  <c r="AC210" i="2"/>
  <c r="AC209" i="2"/>
  <c r="AC208" i="2"/>
  <c r="AC207" i="2"/>
  <c r="AC206" i="2"/>
  <c r="AC205" i="2"/>
  <c r="AC204" i="2"/>
  <c r="AC203" i="2"/>
  <c r="AC202" i="2"/>
  <c r="AC201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243" i="2"/>
  <c r="AC241" i="2"/>
  <c r="AC239" i="2"/>
  <c r="AC238" i="2"/>
  <c r="AC237" i="2"/>
  <c r="AC236" i="2"/>
  <c r="AC235" i="2"/>
  <c r="AC234" i="2"/>
  <c r="AC233" i="2"/>
  <c r="AC232" i="2"/>
  <c r="AC231" i="2"/>
  <c r="AC230" i="2"/>
  <c r="AC229" i="2"/>
  <c r="AC228" i="2"/>
  <c r="AC227" i="2"/>
  <c r="AC226" i="2"/>
  <c r="AC225" i="2"/>
  <c r="AC224" i="2"/>
  <c r="AC223" i="2"/>
  <c r="AC222" i="2"/>
  <c r="AC221" i="2"/>
  <c r="AC177" i="2"/>
  <c r="AC178" i="2"/>
  <c r="AC176" i="2"/>
  <c r="AC246" i="2"/>
  <c r="AC132" i="2"/>
  <c r="AC128" i="2"/>
  <c r="AC174" i="2"/>
  <c r="AC170" i="2"/>
  <c r="AC166" i="2"/>
  <c r="AC162" i="2"/>
  <c r="AC158" i="2"/>
  <c r="AC154" i="2"/>
  <c r="AC150" i="2"/>
  <c r="AC146" i="2"/>
  <c r="AC142" i="2"/>
  <c r="AC138" i="2"/>
  <c r="AC134" i="2"/>
  <c r="AC129" i="2"/>
  <c r="AC125" i="2"/>
  <c r="AC173" i="2"/>
  <c r="AC169" i="2"/>
  <c r="AC165" i="2"/>
  <c r="AC161" i="2"/>
  <c r="AC157" i="2"/>
  <c r="AC153" i="2"/>
  <c r="AC149" i="2"/>
  <c r="AC145" i="2"/>
  <c r="AC141" i="2"/>
  <c r="AC137" i="2"/>
  <c r="AC133" i="2"/>
  <c r="AC130" i="2"/>
  <c r="AC126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AC110" i="2"/>
  <c r="AC109" i="2"/>
  <c r="AC108" i="2"/>
  <c r="AC107" i="2"/>
  <c r="AC106" i="2"/>
  <c r="AC105" i="2"/>
  <c r="AC104" i="2"/>
  <c r="AC103" i="2"/>
  <c r="AC102" i="2"/>
  <c r="AC101" i="2"/>
  <c r="AC100" i="2"/>
  <c r="AC99" i="2"/>
  <c r="AC98" i="2"/>
  <c r="AC97" i="2"/>
  <c r="AC96" i="2"/>
  <c r="AC95" i="2"/>
  <c r="AC94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172" i="2"/>
  <c r="AC168" i="2"/>
  <c r="AC164" i="2"/>
  <c r="AC160" i="2"/>
  <c r="AC156" i="2"/>
  <c r="AC152" i="2"/>
  <c r="AC148" i="2"/>
  <c r="AC144" i="2"/>
  <c r="AC140" i="2"/>
  <c r="AC136" i="2"/>
  <c r="AC171" i="2"/>
  <c r="AC139" i="2"/>
  <c r="AC167" i="2"/>
  <c r="AC135" i="2"/>
  <c r="AC127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75" i="2"/>
  <c r="AC123" i="2"/>
  <c r="AC163" i="2"/>
  <c r="AC124" i="2"/>
  <c r="AC159" i="2"/>
  <c r="AC155" i="2"/>
  <c r="AC131" i="2"/>
  <c r="AC151" i="2"/>
  <c r="AC62" i="2"/>
  <c r="AD62" i="2" s="1"/>
  <c r="AC147" i="2"/>
  <c r="AC143" i="2"/>
  <c r="BP529" i="2"/>
  <c r="BP521" i="2"/>
  <c r="BP532" i="2"/>
  <c r="BP528" i="2"/>
  <c r="BP520" i="2"/>
  <c r="BP533" i="2"/>
  <c r="BP526" i="2"/>
  <c r="BP525" i="2"/>
  <c r="BP517" i="2"/>
  <c r="BP524" i="2"/>
  <c r="BP516" i="2"/>
  <c r="BP510" i="2"/>
  <c r="BP523" i="2"/>
  <c r="BP522" i="2"/>
  <c r="BP515" i="2"/>
  <c r="BP531" i="2"/>
  <c r="BP508" i="2"/>
  <c r="BP530" i="2"/>
  <c r="BP527" i="2"/>
  <c r="BP514" i="2"/>
  <c r="BP506" i="2"/>
  <c r="BP512" i="2"/>
  <c r="BP513" i="2"/>
  <c r="BP496" i="2"/>
  <c r="BP518" i="2"/>
  <c r="BP503" i="2"/>
  <c r="BP495" i="2"/>
  <c r="BP501" i="2"/>
  <c r="BP493" i="2"/>
  <c r="BP505" i="2"/>
  <c r="BP504" i="2"/>
  <c r="BP500" i="2"/>
  <c r="BP499" i="2"/>
  <c r="BP498" i="2"/>
  <c r="BP497" i="2"/>
  <c r="BP490" i="2"/>
  <c r="BP489" i="2"/>
  <c r="BP519" i="2"/>
  <c r="BP488" i="2"/>
  <c r="BP511" i="2"/>
  <c r="BP502" i="2"/>
  <c r="BP486" i="2"/>
  <c r="BP507" i="2"/>
  <c r="BP494" i="2"/>
  <c r="BP485" i="2"/>
  <c r="BP492" i="2"/>
  <c r="BP477" i="2"/>
  <c r="BP476" i="2"/>
  <c r="BP509" i="2"/>
  <c r="BP483" i="2"/>
  <c r="BP482" i="2"/>
  <c r="BP474" i="2"/>
  <c r="BP491" i="2"/>
  <c r="BP484" i="2"/>
  <c r="BP481" i="2"/>
  <c r="BP473" i="2"/>
  <c r="BP469" i="2"/>
  <c r="BP475" i="2"/>
  <c r="BP468" i="2"/>
  <c r="BP467" i="2"/>
  <c r="BP487" i="2"/>
  <c r="BP466" i="2"/>
  <c r="BP480" i="2"/>
  <c r="BP479" i="2"/>
  <c r="BP478" i="2"/>
  <c r="BP465" i="2"/>
  <c r="BP464" i="2"/>
  <c r="BP472" i="2"/>
  <c r="BP471" i="2"/>
  <c r="BP463" i="2"/>
  <c r="BP451" i="2"/>
  <c r="BP443" i="2"/>
  <c r="BP435" i="2"/>
  <c r="BP427" i="2"/>
  <c r="BP470" i="2"/>
  <c r="BP461" i="2"/>
  <c r="BP460" i="2"/>
  <c r="BP458" i="2"/>
  <c r="BP450" i="2"/>
  <c r="BP442" i="2"/>
  <c r="BP434" i="2"/>
  <c r="BP457" i="2"/>
  <c r="BP449" i="2"/>
  <c r="BP441" i="2"/>
  <c r="BP433" i="2"/>
  <c r="BP459" i="2"/>
  <c r="BP456" i="2"/>
  <c r="BP455" i="2"/>
  <c r="BP447" i="2"/>
  <c r="BP439" i="2"/>
  <c r="BP431" i="2"/>
  <c r="BP462" i="2"/>
  <c r="BP454" i="2"/>
  <c r="BP446" i="2"/>
  <c r="BP438" i="2"/>
  <c r="BP430" i="2"/>
  <c r="BP453" i="2"/>
  <c r="BP452" i="2"/>
  <c r="BP444" i="2"/>
  <c r="BP437" i="2"/>
  <c r="BP429" i="2"/>
  <c r="BP440" i="2"/>
  <c r="BP418" i="2"/>
  <c r="BP410" i="2"/>
  <c r="BP409" i="2"/>
  <c r="BP408" i="2"/>
  <c r="BP407" i="2"/>
  <c r="BP406" i="2"/>
  <c r="BP405" i="2"/>
  <c r="BP404" i="2"/>
  <c r="BP403" i="2"/>
  <c r="BP425" i="2"/>
  <c r="BP417" i="2"/>
  <c r="BP448" i="2"/>
  <c r="BP445" i="2"/>
  <c r="BP426" i="2"/>
  <c r="BP423" i="2"/>
  <c r="BP415" i="2"/>
  <c r="BP436" i="2"/>
  <c r="BP428" i="2"/>
  <c r="BP422" i="2"/>
  <c r="BP414" i="2"/>
  <c r="BP416" i="2"/>
  <c r="BP421" i="2"/>
  <c r="BP420" i="2"/>
  <c r="BP419" i="2"/>
  <c r="BP413" i="2"/>
  <c r="BP432" i="2"/>
  <c r="BP412" i="2"/>
  <c r="BP411" i="2"/>
  <c r="BP399" i="2"/>
  <c r="BP396" i="2"/>
  <c r="BP388" i="2"/>
  <c r="BP401" i="2"/>
  <c r="BP393" i="2"/>
  <c r="BP385" i="2"/>
  <c r="BP395" i="2"/>
  <c r="BP387" i="2"/>
  <c r="BP400" i="2"/>
  <c r="BP392" i="2"/>
  <c r="BP384" i="2"/>
  <c r="BP383" i="2"/>
  <c r="BP382" i="2"/>
  <c r="BP381" i="2"/>
  <c r="BP380" i="2"/>
  <c r="BP379" i="2"/>
  <c r="BP378" i="2"/>
  <c r="BP377" i="2"/>
  <c r="BP376" i="2"/>
  <c r="BP375" i="2"/>
  <c r="BP374" i="2"/>
  <c r="BP373" i="2"/>
  <c r="BP372" i="2"/>
  <c r="BP371" i="2"/>
  <c r="BP370" i="2"/>
  <c r="BP369" i="2"/>
  <c r="BP368" i="2"/>
  <c r="BP367" i="2"/>
  <c r="BP366" i="2"/>
  <c r="BP365" i="2"/>
  <c r="BP364" i="2"/>
  <c r="BP363" i="2"/>
  <c r="BP362" i="2"/>
  <c r="BP361" i="2"/>
  <c r="BP398" i="2"/>
  <c r="BP394" i="2"/>
  <c r="BP391" i="2"/>
  <c r="BP390" i="2"/>
  <c r="BP386" i="2"/>
  <c r="BP397" i="2"/>
  <c r="BP389" i="2"/>
  <c r="BP402" i="2"/>
  <c r="BP356" i="2"/>
  <c r="BP348" i="2"/>
  <c r="BP424" i="2"/>
  <c r="BP353" i="2"/>
  <c r="BP344" i="2"/>
  <c r="BP358" i="2"/>
  <c r="BP350" i="2"/>
  <c r="BP345" i="2"/>
  <c r="BP342" i="2"/>
  <c r="BP355" i="2"/>
  <c r="BP346" i="2"/>
  <c r="BP360" i="2"/>
  <c r="BP352" i="2"/>
  <c r="BP347" i="2"/>
  <c r="BP357" i="2"/>
  <c r="BP349" i="2"/>
  <c r="BP354" i="2"/>
  <c r="BP343" i="2"/>
  <c r="BP341" i="2"/>
  <c r="BP340" i="2"/>
  <c r="BP339" i="2"/>
  <c r="BP338" i="2"/>
  <c r="BP337" i="2"/>
  <c r="BP336" i="2"/>
  <c r="BP335" i="2"/>
  <c r="BP334" i="2"/>
  <c r="BP333" i="2"/>
  <c r="BP332" i="2"/>
  <c r="BP331" i="2"/>
  <c r="BP330" i="2"/>
  <c r="BP329" i="2"/>
  <c r="BP328" i="2"/>
  <c r="BP327" i="2"/>
  <c r="BP326" i="2"/>
  <c r="BP325" i="2"/>
  <c r="BP324" i="2"/>
  <c r="BP323" i="2"/>
  <c r="BP322" i="2"/>
  <c r="BP321" i="2"/>
  <c r="BP320" i="2"/>
  <c r="BP319" i="2"/>
  <c r="BP318" i="2"/>
  <c r="BP317" i="2"/>
  <c r="BP316" i="2"/>
  <c r="BP315" i="2"/>
  <c r="BP314" i="2"/>
  <c r="BP313" i="2"/>
  <c r="BP312" i="2"/>
  <c r="BP311" i="2"/>
  <c r="BP310" i="2"/>
  <c r="BP309" i="2"/>
  <c r="BP308" i="2"/>
  <c r="BP307" i="2"/>
  <c r="BP306" i="2"/>
  <c r="BP305" i="2"/>
  <c r="BP304" i="2"/>
  <c r="BP303" i="2"/>
  <c r="BP302" i="2"/>
  <c r="BP301" i="2"/>
  <c r="BP300" i="2"/>
  <c r="BP299" i="2"/>
  <c r="BP298" i="2"/>
  <c r="BP297" i="2"/>
  <c r="BP296" i="2"/>
  <c r="BP295" i="2"/>
  <c r="BP294" i="2"/>
  <c r="BP293" i="2"/>
  <c r="BP292" i="2"/>
  <c r="BP291" i="2"/>
  <c r="BP290" i="2"/>
  <c r="BP289" i="2"/>
  <c r="BP288" i="2"/>
  <c r="BP287" i="2"/>
  <c r="BP286" i="2"/>
  <c r="BP285" i="2"/>
  <c r="BP284" i="2"/>
  <c r="BP351" i="2"/>
  <c r="BP283" i="2"/>
  <c r="BP282" i="2"/>
  <c r="BP281" i="2"/>
  <c r="BP280" i="2"/>
  <c r="BP279" i="2"/>
  <c r="BP278" i="2"/>
  <c r="BP277" i="2"/>
  <c r="BP276" i="2"/>
  <c r="BP275" i="2"/>
  <c r="BP274" i="2"/>
  <c r="BP273" i="2"/>
  <c r="BP272" i="2"/>
  <c r="BP271" i="2"/>
  <c r="BP359" i="2"/>
  <c r="BP270" i="2"/>
  <c r="BP269" i="2"/>
  <c r="BP268" i="2"/>
  <c r="BP267" i="2"/>
  <c r="BP266" i="2"/>
  <c r="BP265" i="2"/>
  <c r="BP264" i="2"/>
  <c r="BP263" i="2"/>
  <c r="BP262" i="2"/>
  <c r="BP261" i="2"/>
  <c r="BP260" i="2"/>
  <c r="BP259" i="2"/>
  <c r="BP258" i="2"/>
  <c r="BP257" i="2"/>
  <c r="BP256" i="2"/>
  <c r="BP255" i="2"/>
  <c r="BP254" i="2"/>
  <c r="BP253" i="2"/>
  <c r="BP252" i="2"/>
  <c r="BP251" i="2"/>
  <c r="BP250" i="2"/>
  <c r="BP249" i="2"/>
  <c r="BP248" i="2"/>
  <c r="BP247" i="2"/>
  <c r="BP246" i="2"/>
  <c r="BP245" i="2"/>
  <c r="BP242" i="2"/>
  <c r="BP240" i="2"/>
  <c r="BP220" i="2"/>
  <c r="BP219" i="2"/>
  <c r="BP218" i="2"/>
  <c r="BP217" i="2"/>
  <c r="BP216" i="2"/>
  <c r="BP215" i="2"/>
  <c r="BP214" i="2"/>
  <c r="BP213" i="2"/>
  <c r="BP212" i="2"/>
  <c r="BP211" i="2"/>
  <c r="BP210" i="2"/>
  <c r="BP209" i="2"/>
  <c r="BP208" i="2"/>
  <c r="BP207" i="2"/>
  <c r="BP206" i="2"/>
  <c r="BP205" i="2"/>
  <c r="BP204" i="2"/>
  <c r="BP203" i="2"/>
  <c r="BP202" i="2"/>
  <c r="BP201" i="2"/>
  <c r="BP200" i="2"/>
  <c r="BP199" i="2"/>
  <c r="BP198" i="2"/>
  <c r="BP197" i="2"/>
  <c r="BP196" i="2"/>
  <c r="BP195" i="2"/>
  <c r="BP194" i="2"/>
  <c r="BP193" i="2"/>
  <c r="BP192" i="2"/>
  <c r="BP191" i="2"/>
  <c r="BP190" i="2"/>
  <c r="BP189" i="2"/>
  <c r="BP188" i="2"/>
  <c r="BP187" i="2"/>
  <c r="BP186" i="2"/>
  <c r="BP185" i="2"/>
  <c r="BP184" i="2"/>
  <c r="BP183" i="2"/>
  <c r="BP182" i="2"/>
  <c r="BP181" i="2"/>
  <c r="BP180" i="2"/>
  <c r="BP179" i="2"/>
  <c r="BP178" i="2"/>
  <c r="BP238" i="2"/>
  <c r="BP237" i="2"/>
  <c r="BP236" i="2"/>
  <c r="BP235" i="2"/>
  <c r="BP234" i="2"/>
  <c r="BP233" i="2"/>
  <c r="BP232" i="2"/>
  <c r="BP231" i="2"/>
  <c r="BP230" i="2"/>
  <c r="BP229" i="2"/>
  <c r="BP228" i="2"/>
  <c r="BP227" i="2"/>
  <c r="BP226" i="2"/>
  <c r="BP225" i="2"/>
  <c r="BP224" i="2"/>
  <c r="BP223" i="2"/>
  <c r="BP222" i="2"/>
  <c r="BP221" i="2"/>
  <c r="BP244" i="2"/>
  <c r="BP243" i="2"/>
  <c r="BP241" i="2"/>
  <c r="BP239" i="2"/>
  <c r="BP176" i="2"/>
  <c r="BP177" i="2"/>
  <c r="BP175" i="2"/>
  <c r="BP171" i="2"/>
  <c r="BP167" i="2"/>
  <c r="BP163" i="2"/>
  <c r="BP159" i="2"/>
  <c r="BP155" i="2"/>
  <c r="BP151" i="2"/>
  <c r="BP147" i="2"/>
  <c r="BP143" i="2"/>
  <c r="BP139" i="2"/>
  <c r="BP135" i="2"/>
  <c r="BP129" i="2"/>
  <c r="BP125" i="2"/>
  <c r="BP174" i="2"/>
  <c r="BP170" i="2"/>
  <c r="BP166" i="2"/>
  <c r="BP162" i="2"/>
  <c r="BP158" i="2"/>
  <c r="BP154" i="2"/>
  <c r="BP150" i="2"/>
  <c r="BP146" i="2"/>
  <c r="BP142" i="2"/>
  <c r="BP138" i="2"/>
  <c r="BP134" i="2"/>
  <c r="BP130" i="2"/>
  <c r="BP126" i="2"/>
  <c r="BP121" i="2"/>
  <c r="BP120" i="2"/>
  <c r="BP119" i="2"/>
  <c r="BP118" i="2"/>
  <c r="BP117" i="2"/>
  <c r="BP116" i="2"/>
  <c r="BP115" i="2"/>
  <c r="BP114" i="2"/>
  <c r="BP113" i="2"/>
  <c r="BP112" i="2"/>
  <c r="BP111" i="2"/>
  <c r="BP110" i="2"/>
  <c r="BP109" i="2"/>
  <c r="BP108" i="2"/>
  <c r="BP107" i="2"/>
  <c r="BP106" i="2"/>
  <c r="BP105" i="2"/>
  <c r="BP104" i="2"/>
  <c r="BP103" i="2"/>
  <c r="BP102" i="2"/>
  <c r="BP101" i="2"/>
  <c r="BP100" i="2"/>
  <c r="BP99" i="2"/>
  <c r="BP98" i="2"/>
  <c r="BP97" i="2"/>
  <c r="BP96" i="2"/>
  <c r="BP95" i="2"/>
  <c r="BP94" i="2"/>
  <c r="BP93" i="2"/>
  <c r="BP92" i="2"/>
  <c r="BP91" i="2"/>
  <c r="BP90" i="2"/>
  <c r="BP89" i="2"/>
  <c r="BP88" i="2"/>
  <c r="BP87" i="2"/>
  <c r="BP86" i="2"/>
  <c r="BP85" i="2"/>
  <c r="BP84" i="2"/>
  <c r="BP83" i="2"/>
  <c r="BP82" i="2"/>
  <c r="BP81" i="2"/>
  <c r="BP80" i="2"/>
  <c r="BP79" i="2"/>
  <c r="BP78" i="2"/>
  <c r="BP77" i="2"/>
  <c r="BP76" i="2"/>
  <c r="BP75" i="2"/>
  <c r="BP74" i="2"/>
  <c r="BP73" i="2"/>
  <c r="BP72" i="2"/>
  <c r="BP71" i="2"/>
  <c r="BP70" i="2"/>
  <c r="BP69" i="2"/>
  <c r="BP68" i="2"/>
  <c r="BP67" i="2"/>
  <c r="BP66" i="2"/>
  <c r="BP65" i="2"/>
  <c r="BP64" i="2"/>
  <c r="BP63" i="2"/>
  <c r="BP62" i="2"/>
  <c r="BP173" i="2"/>
  <c r="BP169" i="2"/>
  <c r="BP165" i="2"/>
  <c r="BP161" i="2"/>
  <c r="BP157" i="2"/>
  <c r="BP153" i="2"/>
  <c r="BP149" i="2"/>
  <c r="BP145" i="2"/>
  <c r="BP141" i="2"/>
  <c r="BP137" i="2"/>
  <c r="BP133" i="2"/>
  <c r="BP131" i="2"/>
  <c r="BP127" i="2"/>
  <c r="BP123" i="2"/>
  <c r="BP172" i="2"/>
  <c r="BP140" i="2"/>
  <c r="BP168" i="2"/>
  <c r="BP136" i="2"/>
  <c r="BP60" i="2"/>
  <c r="BP59" i="2"/>
  <c r="BP58" i="2"/>
  <c r="BP57" i="2"/>
  <c r="BP56" i="2"/>
  <c r="BP55" i="2"/>
  <c r="BP54" i="2"/>
  <c r="BP53" i="2"/>
  <c r="BP52" i="2"/>
  <c r="BP51" i="2"/>
  <c r="BP50" i="2"/>
  <c r="BP49" i="2"/>
  <c r="BP48" i="2"/>
  <c r="BP47" i="2"/>
  <c r="BP46" i="2"/>
  <c r="BP45" i="2"/>
  <c r="BP44" i="2"/>
  <c r="BP43" i="2"/>
  <c r="BP42" i="2"/>
  <c r="BP41" i="2"/>
  <c r="BP40" i="2"/>
  <c r="BP39" i="2"/>
  <c r="BP38" i="2"/>
  <c r="BP37" i="2"/>
  <c r="BP36" i="2"/>
  <c r="BP35" i="2"/>
  <c r="BP34" i="2"/>
  <c r="BP33" i="2"/>
  <c r="BP32" i="2"/>
  <c r="BP31" i="2"/>
  <c r="BP30" i="2"/>
  <c r="BP29" i="2"/>
  <c r="BP28" i="2"/>
  <c r="BP27" i="2"/>
  <c r="BP26" i="2"/>
  <c r="BP25" i="2"/>
  <c r="BP24" i="2"/>
  <c r="BP23" i="2"/>
  <c r="BP22" i="2"/>
  <c r="BP21" i="2"/>
  <c r="BP20" i="2"/>
  <c r="BP128" i="2"/>
  <c r="BP164" i="2"/>
  <c r="BP132" i="2"/>
  <c r="X15" i="2"/>
  <c r="BP160" i="2"/>
  <c r="BP122" i="2"/>
  <c r="BP156" i="2"/>
  <c r="BP124" i="2"/>
  <c r="BP152" i="2"/>
  <c r="BP61" i="2"/>
  <c r="X16" i="2"/>
  <c r="BP144" i="2"/>
  <c r="BP148" i="2"/>
  <c r="BS533" i="2"/>
  <c r="BS526" i="2"/>
  <c r="BS518" i="2"/>
  <c r="BS525" i="2"/>
  <c r="BS517" i="2"/>
  <c r="BS531" i="2"/>
  <c r="BS530" i="2"/>
  <c r="BS522" i="2"/>
  <c r="BS529" i="2"/>
  <c r="BS521" i="2"/>
  <c r="BS532" i="2"/>
  <c r="BS523" i="2"/>
  <c r="BS516" i="2"/>
  <c r="BS515" i="2"/>
  <c r="BS507" i="2"/>
  <c r="BS524" i="2"/>
  <c r="BS527" i="2"/>
  <c r="BS513" i="2"/>
  <c r="BS505" i="2"/>
  <c r="BS512" i="2"/>
  <c r="BS520" i="2"/>
  <c r="BS519" i="2"/>
  <c r="BS511" i="2"/>
  <c r="BS528" i="2"/>
  <c r="BS509" i="2"/>
  <c r="BS506" i="2"/>
  <c r="BS501" i="2"/>
  <c r="BS510" i="2"/>
  <c r="BS504" i="2"/>
  <c r="BS500" i="2"/>
  <c r="BS498" i="2"/>
  <c r="BS497" i="2"/>
  <c r="BS508" i="2"/>
  <c r="BS493" i="2"/>
  <c r="BS487" i="2"/>
  <c r="BS486" i="2"/>
  <c r="BS485" i="2"/>
  <c r="BS495" i="2"/>
  <c r="BS494" i="2"/>
  <c r="BS491" i="2"/>
  <c r="BS514" i="2"/>
  <c r="BS496" i="2"/>
  <c r="BS490" i="2"/>
  <c r="BS499" i="2"/>
  <c r="BS492" i="2"/>
  <c r="BS489" i="2"/>
  <c r="BS483" i="2"/>
  <c r="BS482" i="2"/>
  <c r="BS474" i="2"/>
  <c r="BS502" i="2"/>
  <c r="BS484" i="2"/>
  <c r="BS481" i="2"/>
  <c r="BS473" i="2"/>
  <c r="BS488" i="2"/>
  <c r="BS479" i="2"/>
  <c r="BS503" i="2"/>
  <c r="BS478" i="2"/>
  <c r="BS476" i="2"/>
  <c r="BS475" i="2"/>
  <c r="BS466" i="2"/>
  <c r="BS477" i="2"/>
  <c r="BS465" i="2"/>
  <c r="BS464" i="2"/>
  <c r="BS480" i="2"/>
  <c r="BS471" i="2"/>
  <c r="BS463" i="2"/>
  <c r="BS472" i="2"/>
  <c r="BS470" i="2"/>
  <c r="BS462" i="2"/>
  <c r="BS469" i="2"/>
  <c r="BS468" i="2"/>
  <c r="BS460" i="2"/>
  <c r="BS459" i="2"/>
  <c r="BS456" i="2"/>
  <c r="BS448" i="2"/>
  <c r="BS440" i="2"/>
  <c r="BS432" i="2"/>
  <c r="BS467" i="2"/>
  <c r="BS455" i="2"/>
  <c r="BS447" i="2"/>
  <c r="BS439" i="2"/>
  <c r="BS431" i="2"/>
  <c r="BS454" i="2"/>
  <c r="BS446" i="2"/>
  <c r="BS438" i="2"/>
  <c r="BS430" i="2"/>
  <c r="BS453" i="2"/>
  <c r="BS452" i="2"/>
  <c r="BS444" i="2"/>
  <c r="BS436" i="2"/>
  <c r="BS451" i="2"/>
  <c r="BS443" i="2"/>
  <c r="BS435" i="2"/>
  <c r="BS458" i="2"/>
  <c r="BS434" i="2"/>
  <c r="BS423" i="2"/>
  <c r="BS415" i="2"/>
  <c r="BS449" i="2"/>
  <c r="BS428" i="2"/>
  <c r="BS426" i="2"/>
  <c r="BS422" i="2"/>
  <c r="BS414" i="2"/>
  <c r="BS450" i="2"/>
  <c r="BS445" i="2"/>
  <c r="BS442" i="2"/>
  <c r="BS433" i="2"/>
  <c r="BS461" i="2"/>
  <c r="BS420" i="2"/>
  <c r="BS412" i="2"/>
  <c r="BS419" i="2"/>
  <c r="BS411" i="2"/>
  <c r="BS418" i="2"/>
  <c r="BS441" i="2"/>
  <c r="BS421" i="2"/>
  <c r="BS405" i="2"/>
  <c r="BS457" i="2"/>
  <c r="BS429" i="2"/>
  <c r="BS425" i="2"/>
  <c r="BS424" i="2"/>
  <c r="BS408" i="2"/>
  <c r="BS404" i="2"/>
  <c r="BS402" i="2"/>
  <c r="BS401" i="2"/>
  <c r="BS400" i="2"/>
  <c r="BS399" i="2"/>
  <c r="BS398" i="2"/>
  <c r="BS397" i="2"/>
  <c r="BS396" i="2"/>
  <c r="BS395" i="2"/>
  <c r="BS394" i="2"/>
  <c r="BS393" i="2"/>
  <c r="BS392" i="2"/>
  <c r="BS391" i="2"/>
  <c r="BS390" i="2"/>
  <c r="BS389" i="2"/>
  <c r="BS388" i="2"/>
  <c r="BS387" i="2"/>
  <c r="BS386" i="2"/>
  <c r="BS385" i="2"/>
  <c r="BS384" i="2"/>
  <c r="BS409" i="2"/>
  <c r="BS437" i="2"/>
  <c r="BS427" i="2"/>
  <c r="BS416" i="2"/>
  <c r="BS383" i="2"/>
  <c r="BS382" i="2"/>
  <c r="BS381" i="2"/>
  <c r="BS380" i="2"/>
  <c r="BS379" i="2"/>
  <c r="BS378" i="2"/>
  <c r="BS377" i="2"/>
  <c r="BS376" i="2"/>
  <c r="BS375" i="2"/>
  <c r="BS374" i="2"/>
  <c r="BS373" i="2"/>
  <c r="BS372" i="2"/>
  <c r="BS371" i="2"/>
  <c r="BS410" i="2"/>
  <c r="BS407" i="2"/>
  <c r="BS406" i="2"/>
  <c r="BS403" i="2"/>
  <c r="BS417" i="2"/>
  <c r="BS413" i="2"/>
  <c r="BS369" i="2"/>
  <c r="BS370" i="2"/>
  <c r="BS366" i="2"/>
  <c r="BS365" i="2"/>
  <c r="BS364" i="2"/>
  <c r="BS363" i="2"/>
  <c r="BS362" i="2"/>
  <c r="BS361" i="2"/>
  <c r="BS360" i="2"/>
  <c r="BS359" i="2"/>
  <c r="BS358" i="2"/>
  <c r="BS357" i="2"/>
  <c r="BS356" i="2"/>
  <c r="BS355" i="2"/>
  <c r="BS354" i="2"/>
  <c r="BS353" i="2"/>
  <c r="BS352" i="2"/>
  <c r="BS351" i="2"/>
  <c r="BS350" i="2"/>
  <c r="BS349" i="2"/>
  <c r="BS348" i="2"/>
  <c r="BS347" i="2"/>
  <c r="BS346" i="2"/>
  <c r="BS345" i="2"/>
  <c r="BS344" i="2"/>
  <c r="BS367" i="2"/>
  <c r="BS368" i="2"/>
  <c r="BS343" i="2"/>
  <c r="BS341" i="2"/>
  <c r="BS340" i="2"/>
  <c r="BS339" i="2"/>
  <c r="BS338" i="2"/>
  <c r="BS337" i="2"/>
  <c r="BS336" i="2"/>
  <c r="BS335" i="2"/>
  <c r="BS334" i="2"/>
  <c r="BS333" i="2"/>
  <c r="BS332" i="2"/>
  <c r="BS331" i="2"/>
  <c r="BS330" i="2"/>
  <c r="BS329" i="2"/>
  <c r="BS328" i="2"/>
  <c r="BS327" i="2"/>
  <c r="BS326" i="2"/>
  <c r="BS325" i="2"/>
  <c r="BS324" i="2"/>
  <c r="BS323" i="2"/>
  <c r="BS322" i="2"/>
  <c r="BS321" i="2"/>
  <c r="BS320" i="2"/>
  <c r="BS319" i="2"/>
  <c r="BS318" i="2"/>
  <c r="BS317" i="2"/>
  <c r="BS316" i="2"/>
  <c r="BS315" i="2"/>
  <c r="BS314" i="2"/>
  <c r="BS313" i="2"/>
  <c r="BS312" i="2"/>
  <c r="BS311" i="2"/>
  <c r="BS310" i="2"/>
  <c r="BS309" i="2"/>
  <c r="BS308" i="2"/>
  <c r="BS307" i="2"/>
  <c r="BS306" i="2"/>
  <c r="BS305" i="2"/>
  <c r="BS304" i="2"/>
  <c r="BS303" i="2"/>
  <c r="BS302" i="2"/>
  <c r="BS301" i="2"/>
  <c r="BS300" i="2"/>
  <c r="BS299" i="2"/>
  <c r="BS298" i="2"/>
  <c r="BS297" i="2"/>
  <c r="BS296" i="2"/>
  <c r="BS295" i="2"/>
  <c r="BS294" i="2"/>
  <c r="BS288" i="2"/>
  <c r="BS293" i="2"/>
  <c r="BS285" i="2"/>
  <c r="BS290" i="2"/>
  <c r="BS283" i="2"/>
  <c r="BS282" i="2"/>
  <c r="BS281" i="2"/>
  <c r="BS280" i="2"/>
  <c r="BS279" i="2"/>
  <c r="BS278" i="2"/>
  <c r="BS277" i="2"/>
  <c r="BS276" i="2"/>
  <c r="BS287" i="2"/>
  <c r="BS292" i="2"/>
  <c r="BS284" i="2"/>
  <c r="BS289" i="2"/>
  <c r="BS342" i="2"/>
  <c r="BS286" i="2"/>
  <c r="BS270" i="2"/>
  <c r="BS269" i="2"/>
  <c r="BS268" i="2"/>
  <c r="BS267" i="2"/>
  <c r="BS266" i="2"/>
  <c r="BS265" i="2"/>
  <c r="BS264" i="2"/>
  <c r="BS263" i="2"/>
  <c r="BS262" i="2"/>
  <c r="BS261" i="2"/>
  <c r="BS260" i="2"/>
  <c r="BS259" i="2"/>
  <c r="BS258" i="2"/>
  <c r="BS257" i="2"/>
  <c r="BS256" i="2"/>
  <c r="BS255" i="2"/>
  <c r="BS274" i="2"/>
  <c r="BS271" i="2"/>
  <c r="BS273" i="2"/>
  <c r="BS291" i="2"/>
  <c r="BS275" i="2"/>
  <c r="BS272" i="2"/>
  <c r="BS242" i="2"/>
  <c r="BS240" i="2"/>
  <c r="BS220" i="2"/>
  <c r="BS219" i="2"/>
  <c r="BS218" i="2"/>
  <c r="BS217" i="2"/>
  <c r="BS216" i="2"/>
  <c r="BS215" i="2"/>
  <c r="BS214" i="2"/>
  <c r="BS213" i="2"/>
  <c r="BS212" i="2"/>
  <c r="BS211" i="2"/>
  <c r="BS210" i="2"/>
  <c r="BS209" i="2"/>
  <c r="BS208" i="2"/>
  <c r="BS207" i="2"/>
  <c r="BS206" i="2"/>
  <c r="BS205" i="2"/>
  <c r="BS204" i="2"/>
  <c r="BS203" i="2"/>
  <c r="BS202" i="2"/>
  <c r="BS201" i="2"/>
  <c r="BS200" i="2"/>
  <c r="BS199" i="2"/>
  <c r="BS198" i="2"/>
  <c r="BS197" i="2"/>
  <c r="BS196" i="2"/>
  <c r="BS195" i="2"/>
  <c r="BS194" i="2"/>
  <c r="BS193" i="2"/>
  <c r="BS192" i="2"/>
  <c r="BS191" i="2"/>
  <c r="BS190" i="2"/>
  <c r="BS189" i="2"/>
  <c r="BS188" i="2"/>
  <c r="BS187" i="2"/>
  <c r="BS186" i="2"/>
  <c r="BS185" i="2"/>
  <c r="BS184" i="2"/>
  <c r="BS183" i="2"/>
  <c r="BS182" i="2"/>
  <c r="BS181" i="2"/>
  <c r="BS252" i="2"/>
  <c r="BS248" i="2"/>
  <c r="BS245" i="2"/>
  <c r="BS251" i="2"/>
  <c r="BS247" i="2"/>
  <c r="BS238" i="2"/>
  <c r="BS237" i="2"/>
  <c r="BS236" i="2"/>
  <c r="BS235" i="2"/>
  <c r="BS234" i="2"/>
  <c r="BS233" i="2"/>
  <c r="BS232" i="2"/>
  <c r="BS231" i="2"/>
  <c r="BS230" i="2"/>
  <c r="BS229" i="2"/>
  <c r="BS228" i="2"/>
  <c r="BS227" i="2"/>
  <c r="BS226" i="2"/>
  <c r="BS225" i="2"/>
  <c r="BS224" i="2"/>
  <c r="BS223" i="2"/>
  <c r="BS222" i="2"/>
  <c r="BS221" i="2"/>
  <c r="BS243" i="2"/>
  <c r="BS241" i="2"/>
  <c r="BS239" i="2"/>
  <c r="BS246" i="2"/>
  <c r="BS253" i="2"/>
  <c r="BS249" i="2"/>
  <c r="BS178" i="2"/>
  <c r="BS177" i="2"/>
  <c r="BS175" i="2"/>
  <c r="BS244" i="2"/>
  <c r="BS179" i="2"/>
  <c r="BS250" i="2"/>
  <c r="BS180" i="2"/>
  <c r="BS174" i="2"/>
  <c r="BS173" i="2"/>
  <c r="BS172" i="2"/>
  <c r="BS171" i="2"/>
  <c r="BS170" i="2"/>
  <c r="BS169" i="2"/>
  <c r="BS168" i="2"/>
  <c r="BS167" i="2"/>
  <c r="BS166" i="2"/>
  <c r="BS165" i="2"/>
  <c r="BS164" i="2"/>
  <c r="BS163" i="2"/>
  <c r="BS162" i="2"/>
  <c r="BS161" i="2"/>
  <c r="BS160" i="2"/>
  <c r="BS159" i="2"/>
  <c r="BS158" i="2"/>
  <c r="BS157" i="2"/>
  <c r="BS156" i="2"/>
  <c r="BS155" i="2"/>
  <c r="BS154" i="2"/>
  <c r="BS153" i="2"/>
  <c r="BS152" i="2"/>
  <c r="BS151" i="2"/>
  <c r="BS150" i="2"/>
  <c r="BS149" i="2"/>
  <c r="BS148" i="2"/>
  <c r="BS147" i="2"/>
  <c r="BS146" i="2"/>
  <c r="BS145" i="2"/>
  <c r="BS144" i="2"/>
  <c r="BS143" i="2"/>
  <c r="BS142" i="2"/>
  <c r="BS141" i="2"/>
  <c r="BS140" i="2"/>
  <c r="BS139" i="2"/>
  <c r="BS138" i="2"/>
  <c r="BS137" i="2"/>
  <c r="BS136" i="2"/>
  <c r="BS135" i="2"/>
  <c r="BS134" i="2"/>
  <c r="BS133" i="2"/>
  <c r="BS132" i="2"/>
  <c r="BS131" i="2"/>
  <c r="BS130" i="2"/>
  <c r="BS129" i="2"/>
  <c r="BS128" i="2"/>
  <c r="BS127" i="2"/>
  <c r="BS126" i="2"/>
  <c r="BS125" i="2"/>
  <c r="BS124" i="2"/>
  <c r="BS123" i="2"/>
  <c r="BS254" i="2"/>
  <c r="BS176" i="2"/>
  <c r="BS121" i="2"/>
  <c r="BS120" i="2"/>
  <c r="BS119" i="2"/>
  <c r="BS118" i="2"/>
  <c r="BS117" i="2"/>
  <c r="BS116" i="2"/>
  <c r="BS115" i="2"/>
  <c r="BS114" i="2"/>
  <c r="BS113" i="2"/>
  <c r="BS112" i="2"/>
  <c r="BS111" i="2"/>
  <c r="BS110" i="2"/>
  <c r="BS109" i="2"/>
  <c r="BS108" i="2"/>
  <c r="BS107" i="2"/>
  <c r="BS106" i="2"/>
  <c r="BS105" i="2"/>
  <c r="BS104" i="2"/>
  <c r="BS103" i="2"/>
  <c r="BS102" i="2"/>
  <c r="BS101" i="2"/>
  <c r="BS100" i="2"/>
  <c r="BS99" i="2"/>
  <c r="BS98" i="2"/>
  <c r="BS97" i="2"/>
  <c r="BS96" i="2"/>
  <c r="BS95" i="2"/>
  <c r="BS94" i="2"/>
  <c r="BS93" i="2"/>
  <c r="BS92" i="2"/>
  <c r="BS91" i="2"/>
  <c r="BS90" i="2"/>
  <c r="BS89" i="2"/>
  <c r="BS88" i="2"/>
  <c r="BS87" i="2"/>
  <c r="BS86" i="2"/>
  <c r="BS85" i="2"/>
  <c r="BS84" i="2"/>
  <c r="BS83" i="2"/>
  <c r="BS82" i="2"/>
  <c r="BS81" i="2"/>
  <c r="BS80" i="2"/>
  <c r="BS79" i="2"/>
  <c r="BS78" i="2"/>
  <c r="BS77" i="2"/>
  <c r="BS76" i="2"/>
  <c r="BS75" i="2"/>
  <c r="BS74" i="2"/>
  <c r="BS73" i="2"/>
  <c r="BS72" i="2"/>
  <c r="BS71" i="2"/>
  <c r="BS70" i="2"/>
  <c r="BS69" i="2"/>
  <c r="BS68" i="2"/>
  <c r="BS67" i="2"/>
  <c r="BS66" i="2"/>
  <c r="BS122" i="2"/>
  <c r="BS62" i="2"/>
  <c r="BS61" i="2"/>
  <c r="AA16" i="2"/>
  <c r="BS63" i="2"/>
  <c r="BS64" i="2"/>
  <c r="BS65" i="2"/>
  <c r="BS60" i="2"/>
  <c r="BS59" i="2"/>
  <c r="BS58" i="2"/>
  <c r="BS57" i="2"/>
  <c r="BS56" i="2"/>
  <c r="BS55" i="2"/>
  <c r="BS54" i="2"/>
  <c r="BS53" i="2"/>
  <c r="BS52" i="2"/>
  <c r="BS51" i="2"/>
  <c r="BS50" i="2"/>
  <c r="BS49" i="2"/>
  <c r="BS48" i="2"/>
  <c r="BS47" i="2"/>
  <c r="BS46" i="2"/>
  <c r="BS45" i="2"/>
  <c r="BS44" i="2"/>
  <c r="BS43" i="2"/>
  <c r="BS42" i="2"/>
  <c r="BS41" i="2"/>
  <c r="BS40" i="2"/>
  <c r="BS39" i="2"/>
  <c r="BS38" i="2"/>
  <c r="BS37" i="2"/>
  <c r="BS36" i="2"/>
  <c r="BS35" i="2"/>
  <c r="BS34" i="2"/>
  <c r="BS33" i="2"/>
  <c r="BS32" i="2"/>
  <c r="BS31" i="2"/>
  <c r="BS30" i="2"/>
  <c r="BS29" i="2"/>
  <c r="BS28" i="2"/>
  <c r="BS27" i="2"/>
  <c r="BS26" i="2"/>
  <c r="BS25" i="2"/>
  <c r="BS24" i="2"/>
  <c r="BS23" i="2"/>
  <c r="BS22" i="2"/>
  <c r="BS21" i="2"/>
  <c r="BS20" i="2"/>
  <c r="AA15" i="2"/>
  <c r="AF10" i="2"/>
  <c r="AF15" i="2" s="1"/>
  <c r="AD58" i="3" l="1"/>
  <c r="AD35" i="2"/>
  <c r="AD51" i="2"/>
  <c r="AD43" i="2"/>
  <c r="AD27" i="2"/>
  <c r="AD175" i="2"/>
  <c r="AD90" i="3"/>
  <c r="AD71" i="3"/>
  <c r="AD27" i="3"/>
  <c r="AD35" i="3"/>
  <c r="AD61" i="3"/>
  <c r="AD48" i="3"/>
  <c r="AD56" i="3"/>
  <c r="AD73" i="3"/>
  <c r="AD162" i="3"/>
  <c r="AD82" i="3"/>
  <c r="AD91" i="3"/>
  <c r="AD94" i="3"/>
  <c r="AD109" i="3"/>
  <c r="AD117" i="3"/>
  <c r="AD124" i="3"/>
  <c r="AD143" i="3"/>
  <c r="AD144" i="3"/>
  <c r="AD150" i="3"/>
  <c r="AD157" i="3"/>
  <c r="AD170" i="3"/>
  <c r="AD178" i="3"/>
  <c r="AD186" i="3"/>
  <c r="AD67" i="3"/>
  <c r="AD55" i="3"/>
  <c r="AD81" i="3"/>
  <c r="AD116" i="3"/>
  <c r="AD140" i="3"/>
  <c r="AD177" i="3"/>
  <c r="AD66" i="3"/>
  <c r="AD28" i="3"/>
  <c r="AD36" i="3"/>
  <c r="AD65" i="3"/>
  <c r="AD49" i="3"/>
  <c r="AD57" i="3"/>
  <c r="AD69" i="3"/>
  <c r="AD75" i="3"/>
  <c r="AD83" i="3"/>
  <c r="AD99" i="3"/>
  <c r="AD89" i="3"/>
  <c r="AD110" i="3"/>
  <c r="AD118" i="3"/>
  <c r="AD125" i="3"/>
  <c r="AD149" i="3"/>
  <c r="AD148" i="3"/>
  <c r="AD158" i="3"/>
  <c r="AD160" i="3"/>
  <c r="AD171" i="3"/>
  <c r="AD179" i="3"/>
  <c r="AD187" i="3"/>
  <c r="AD41" i="3"/>
  <c r="AD62" i="3"/>
  <c r="AD104" i="3"/>
  <c r="AD115" i="3"/>
  <c r="AD142" i="3"/>
  <c r="AD47" i="3"/>
  <c r="AC15" i="3"/>
  <c r="AD20" i="3"/>
  <c r="AD87" i="3"/>
  <c r="AD29" i="3"/>
  <c r="AD37" i="3"/>
  <c r="AD106" i="3"/>
  <c r="AD50" i="3"/>
  <c r="AD64" i="3"/>
  <c r="AD60" i="3"/>
  <c r="AD76" i="3"/>
  <c r="AD86" i="3"/>
  <c r="AD100" i="3"/>
  <c r="AD97" i="3"/>
  <c r="AD111" i="3"/>
  <c r="AD119" i="3"/>
  <c r="AD127" i="3"/>
  <c r="AD130" i="3"/>
  <c r="AD152" i="3"/>
  <c r="AD159" i="3"/>
  <c r="AD164" i="3"/>
  <c r="AD172" i="3"/>
  <c r="AD180" i="3"/>
  <c r="AD188" i="3"/>
  <c r="AD33" i="3"/>
  <c r="AD54" i="3"/>
  <c r="AD88" i="3"/>
  <c r="AD123" i="3"/>
  <c r="AD151" i="3"/>
  <c r="AD42" i="3"/>
  <c r="AD21" i="3"/>
  <c r="AD59" i="3"/>
  <c r="AD30" i="3"/>
  <c r="AD38" i="3"/>
  <c r="AD43" i="3"/>
  <c r="AD51" i="3"/>
  <c r="AD72" i="3"/>
  <c r="AD68" i="3"/>
  <c r="AD77" i="3"/>
  <c r="AD84" i="3"/>
  <c r="AD101" i="3"/>
  <c r="AD138" i="3"/>
  <c r="AD112" i="3"/>
  <c r="AD120" i="3"/>
  <c r="AD128" i="3"/>
  <c r="AD131" i="3"/>
  <c r="AD141" i="3"/>
  <c r="AD165" i="3"/>
  <c r="AD166" i="3"/>
  <c r="AD173" i="3"/>
  <c r="AD181" i="3"/>
  <c r="AD189" i="3"/>
  <c r="AD34" i="3"/>
  <c r="AD70" i="3"/>
  <c r="AD96" i="3"/>
  <c r="AD108" i="3"/>
  <c r="AD134" i="3"/>
  <c r="AD156" i="3"/>
  <c r="AD169" i="3"/>
  <c r="AD22" i="3"/>
  <c r="AD63" i="3"/>
  <c r="AD31" i="3"/>
  <c r="AD39" i="3"/>
  <c r="AD44" i="3"/>
  <c r="AD52" i="3"/>
  <c r="AD92" i="3"/>
  <c r="AD74" i="3"/>
  <c r="AD78" i="3"/>
  <c r="AD93" i="3"/>
  <c r="AD102" i="3"/>
  <c r="AD135" i="3"/>
  <c r="AD113" i="3"/>
  <c r="AD121" i="3"/>
  <c r="AD129" i="3"/>
  <c r="AD132" i="3"/>
  <c r="AD145" i="3"/>
  <c r="AD153" i="3"/>
  <c r="AD163" i="3"/>
  <c r="AD174" i="3"/>
  <c r="AD182" i="3"/>
  <c r="AD190" i="3"/>
  <c r="AD25" i="3"/>
  <c r="AD46" i="3"/>
  <c r="AD80" i="3"/>
  <c r="AD107" i="3"/>
  <c r="AD147" i="3"/>
  <c r="AD137" i="3"/>
  <c r="AD168" i="3"/>
  <c r="AD176" i="3"/>
  <c r="AD184" i="3"/>
  <c r="AD26" i="3"/>
  <c r="AD98" i="3"/>
  <c r="AD85" i="3"/>
  <c r="AD126" i="3"/>
  <c r="AD146" i="3"/>
  <c r="AD185" i="3"/>
  <c r="AD23" i="3"/>
  <c r="AD24" i="3"/>
  <c r="AD32" i="3"/>
  <c r="AD40" i="3"/>
  <c r="AD45" i="3"/>
  <c r="AD53" i="3"/>
  <c r="AD95" i="3"/>
  <c r="AD105" i="3"/>
  <c r="AD79" i="3"/>
  <c r="AD161" i="3"/>
  <c r="AD103" i="3"/>
  <c r="AD154" i="3"/>
  <c r="AD114" i="3"/>
  <c r="AD122" i="3"/>
  <c r="AD136" i="3"/>
  <c r="AD133" i="3"/>
  <c r="AD139" i="3"/>
  <c r="AD155" i="3"/>
  <c r="AD167" i="3"/>
  <c r="AD175" i="3"/>
  <c r="AD183" i="3"/>
  <c r="AD191" i="3"/>
  <c r="AD136" i="2"/>
  <c r="AD109" i="2"/>
  <c r="AD223" i="2"/>
  <c r="AD216" i="2"/>
  <c r="AD300" i="2"/>
  <c r="AD359" i="2"/>
  <c r="AD396" i="2"/>
  <c r="AD454" i="2"/>
  <c r="AD433" i="2"/>
  <c r="AD458" i="2"/>
  <c r="AD480" i="2"/>
  <c r="AD526" i="2"/>
  <c r="AD151" i="2"/>
  <c r="AD20" i="2"/>
  <c r="AC15" i="2"/>
  <c r="AD28" i="2"/>
  <c r="AD36" i="2"/>
  <c r="AD44" i="2"/>
  <c r="AD52" i="2"/>
  <c r="AD60" i="2"/>
  <c r="AD140" i="2"/>
  <c r="AD172" i="2"/>
  <c r="AD70" i="2"/>
  <c r="AD78" i="2"/>
  <c r="AD86" i="2"/>
  <c r="AD94" i="2"/>
  <c r="AD102" i="2"/>
  <c r="AD110" i="2"/>
  <c r="AD118" i="2"/>
  <c r="AD137" i="2"/>
  <c r="AD169" i="2"/>
  <c r="AD150" i="2"/>
  <c r="AD132" i="2"/>
  <c r="AD224" i="2"/>
  <c r="AD232" i="2"/>
  <c r="AD241" i="2"/>
  <c r="AD185" i="2"/>
  <c r="AD193" i="2"/>
  <c r="AD201" i="2"/>
  <c r="AD209" i="2"/>
  <c r="AD217" i="2"/>
  <c r="AD247" i="2"/>
  <c r="AD255" i="2"/>
  <c r="AD263" i="2"/>
  <c r="AD271" i="2"/>
  <c r="AD279" i="2"/>
  <c r="AD285" i="2"/>
  <c r="AD293" i="2"/>
  <c r="AD301" i="2"/>
  <c r="AD309" i="2"/>
  <c r="AD317" i="2"/>
  <c r="AD325" i="2"/>
  <c r="AD333" i="2"/>
  <c r="AD341" i="2"/>
  <c r="AD346" i="2"/>
  <c r="AD355" i="2"/>
  <c r="AD393" i="2"/>
  <c r="AD364" i="2"/>
  <c r="AD371" i="2"/>
  <c r="AD379" i="2"/>
  <c r="AD417" i="2"/>
  <c r="AD400" i="2"/>
  <c r="AD415" i="2"/>
  <c r="AD438" i="2"/>
  <c r="AD407" i="2"/>
  <c r="AD431" i="2"/>
  <c r="AD448" i="2"/>
  <c r="AD462" i="2"/>
  <c r="AD436" i="2"/>
  <c r="AD465" i="2"/>
  <c r="AD492" i="2"/>
  <c r="AD493" i="2"/>
  <c r="AD512" i="2"/>
  <c r="AD506" i="2"/>
  <c r="AD504" i="2"/>
  <c r="AD524" i="2"/>
  <c r="AD533" i="2"/>
  <c r="AD93" i="2"/>
  <c r="AD128" i="2"/>
  <c r="AD208" i="2"/>
  <c r="AD353" i="2"/>
  <c r="AD363" i="2"/>
  <c r="AD496" i="2"/>
  <c r="AD131" i="2"/>
  <c r="AD21" i="2"/>
  <c r="AD29" i="2"/>
  <c r="AD37" i="2"/>
  <c r="AD45" i="2"/>
  <c r="AD53" i="2"/>
  <c r="AD61" i="2"/>
  <c r="AD144" i="2"/>
  <c r="AD63" i="2"/>
  <c r="AD71" i="2"/>
  <c r="AD79" i="2"/>
  <c r="AD87" i="2"/>
  <c r="AD95" i="2"/>
  <c r="AD103" i="2"/>
  <c r="AD111" i="2"/>
  <c r="AD119" i="2"/>
  <c r="AD141" i="2"/>
  <c r="AD173" i="2"/>
  <c r="AD154" i="2"/>
  <c r="AD246" i="2"/>
  <c r="AD225" i="2"/>
  <c r="AD233" i="2"/>
  <c r="AD243" i="2"/>
  <c r="AD186" i="2"/>
  <c r="AD194" i="2"/>
  <c r="AD202" i="2"/>
  <c r="AD210" i="2"/>
  <c r="AD218" i="2"/>
  <c r="AD248" i="2"/>
  <c r="AD256" i="2"/>
  <c r="AD264" i="2"/>
  <c r="AD272" i="2"/>
  <c r="AD280" i="2"/>
  <c r="AD286" i="2"/>
  <c r="AD294" i="2"/>
  <c r="AD302" i="2"/>
  <c r="AD310" i="2"/>
  <c r="AD318" i="2"/>
  <c r="AD326" i="2"/>
  <c r="AD334" i="2"/>
  <c r="AD342" i="2"/>
  <c r="AD354" i="2"/>
  <c r="AD350" i="2"/>
  <c r="AD394" i="2"/>
  <c r="AD365" i="2"/>
  <c r="AD372" i="2"/>
  <c r="AD380" i="2"/>
  <c r="AD391" i="2"/>
  <c r="AD422" i="2"/>
  <c r="AD423" i="2"/>
  <c r="AD453" i="2"/>
  <c r="AD408" i="2"/>
  <c r="AD439" i="2"/>
  <c r="AD456" i="2"/>
  <c r="AD473" i="2"/>
  <c r="AD444" i="2"/>
  <c r="AD485" i="2"/>
  <c r="AD461" i="2"/>
  <c r="AD500" i="2"/>
  <c r="AD487" i="2"/>
  <c r="AD519" i="2"/>
  <c r="AD497" i="2"/>
  <c r="AD509" i="2"/>
  <c r="AD527" i="2"/>
  <c r="AD77" i="2"/>
  <c r="AD165" i="2"/>
  <c r="AD192" i="2"/>
  <c r="AD270" i="2"/>
  <c r="AD324" i="2"/>
  <c r="AD370" i="2"/>
  <c r="AD491" i="2"/>
  <c r="AD155" i="2"/>
  <c r="AD22" i="2"/>
  <c r="AD30" i="2"/>
  <c r="AD38" i="2"/>
  <c r="AD46" i="2"/>
  <c r="AD54" i="2"/>
  <c r="AD127" i="2"/>
  <c r="AD148" i="2"/>
  <c r="AD64" i="2"/>
  <c r="AD72" i="2"/>
  <c r="AD80" i="2"/>
  <c r="AD88" i="2"/>
  <c r="AD96" i="2"/>
  <c r="AD104" i="2"/>
  <c r="AD112" i="2"/>
  <c r="AD120" i="2"/>
  <c r="AD145" i="2"/>
  <c r="AD125" i="2"/>
  <c r="AD158" i="2"/>
  <c r="AD176" i="2"/>
  <c r="AD226" i="2"/>
  <c r="AD234" i="2"/>
  <c r="AD179" i="2"/>
  <c r="AD187" i="2"/>
  <c r="AD195" i="2"/>
  <c r="AD203" i="2"/>
  <c r="AD211" i="2"/>
  <c r="AD219" i="2"/>
  <c r="AD249" i="2"/>
  <c r="AD257" i="2"/>
  <c r="AD265" i="2"/>
  <c r="AD273" i="2"/>
  <c r="AD281" i="2"/>
  <c r="AD287" i="2"/>
  <c r="AD295" i="2"/>
  <c r="AD303" i="2"/>
  <c r="AD311" i="2"/>
  <c r="AD319" i="2"/>
  <c r="AD327" i="2"/>
  <c r="AD335" i="2"/>
  <c r="AD344" i="2"/>
  <c r="AD345" i="2"/>
  <c r="AD358" i="2"/>
  <c r="AD395" i="2"/>
  <c r="AD366" i="2"/>
  <c r="AD373" i="2"/>
  <c r="AD381" i="2"/>
  <c r="AD399" i="2"/>
  <c r="AD403" i="2"/>
  <c r="AD427" i="2"/>
  <c r="AD418" i="2"/>
  <c r="AD409" i="2"/>
  <c r="AD447" i="2"/>
  <c r="AD457" i="2"/>
  <c r="AD435" i="2"/>
  <c r="AD452" i="2"/>
  <c r="AD503" i="2"/>
  <c r="AD469" i="2"/>
  <c r="AD484" i="2"/>
  <c r="AD489" i="2"/>
  <c r="AD501" i="2"/>
  <c r="AD508" i="2"/>
  <c r="AD511" i="2"/>
  <c r="AD521" i="2"/>
  <c r="AD69" i="2"/>
  <c r="AD117" i="2"/>
  <c r="AD184" i="2"/>
  <c r="AD254" i="2"/>
  <c r="AD308" i="2"/>
  <c r="AD360" i="2"/>
  <c r="AD475" i="2"/>
  <c r="AD159" i="2"/>
  <c r="AD23" i="2"/>
  <c r="AD31" i="2"/>
  <c r="AD39" i="2"/>
  <c r="AD47" i="2"/>
  <c r="AD55" i="2"/>
  <c r="AD135" i="2"/>
  <c r="AD152" i="2"/>
  <c r="AD65" i="2"/>
  <c r="AD73" i="2"/>
  <c r="AD81" i="2"/>
  <c r="AD89" i="2"/>
  <c r="AD97" i="2"/>
  <c r="AD105" i="2"/>
  <c r="AD113" i="2"/>
  <c r="AD121" i="2"/>
  <c r="AD149" i="2"/>
  <c r="AD129" i="2"/>
  <c r="AD162" i="2"/>
  <c r="AD178" i="2"/>
  <c r="AD227" i="2"/>
  <c r="AD235" i="2"/>
  <c r="AD180" i="2"/>
  <c r="AD188" i="2"/>
  <c r="AD196" i="2"/>
  <c r="AD204" i="2"/>
  <c r="AD212" i="2"/>
  <c r="AD220" i="2"/>
  <c r="AD250" i="2"/>
  <c r="AD258" i="2"/>
  <c r="AD266" i="2"/>
  <c r="AD274" i="2"/>
  <c r="AD282" i="2"/>
  <c r="AD288" i="2"/>
  <c r="AD296" i="2"/>
  <c r="AD304" i="2"/>
  <c r="AD312" i="2"/>
  <c r="AD320" i="2"/>
  <c r="AD328" i="2"/>
  <c r="AD336" i="2"/>
  <c r="AD348" i="2"/>
  <c r="AD349" i="2"/>
  <c r="AD401" i="2"/>
  <c r="AD420" i="2"/>
  <c r="AD367" i="2"/>
  <c r="AD374" i="2"/>
  <c r="AD382" i="2"/>
  <c r="AD421" i="2"/>
  <c r="AD412" i="2"/>
  <c r="AD429" i="2"/>
  <c r="AD426" i="2"/>
  <c r="AD410" i="2"/>
  <c r="AD455" i="2"/>
  <c r="AD460" i="2"/>
  <c r="AD443" i="2"/>
  <c r="AD463" i="2"/>
  <c r="AD505" i="2"/>
  <c r="AD470" i="2"/>
  <c r="AD495" i="2"/>
  <c r="AD498" i="2"/>
  <c r="AD528" i="2"/>
  <c r="AD513" i="2"/>
  <c r="AD532" i="2"/>
  <c r="AD529" i="2"/>
  <c r="AD59" i="2"/>
  <c r="AD101" i="2"/>
  <c r="AD231" i="2"/>
  <c r="AD244" i="2"/>
  <c r="AD292" i="2"/>
  <c r="AD340" i="2"/>
  <c r="AD392" i="2"/>
  <c r="AD446" i="2"/>
  <c r="AD406" i="2"/>
  <c r="AD440" i="2"/>
  <c r="AD428" i="2"/>
  <c r="AD523" i="2"/>
  <c r="AD124" i="2"/>
  <c r="AD24" i="2"/>
  <c r="AD32" i="2"/>
  <c r="AD40" i="2"/>
  <c r="AD48" i="2"/>
  <c r="AD56" i="2"/>
  <c r="AD167" i="2"/>
  <c r="AD156" i="2"/>
  <c r="AD66" i="2"/>
  <c r="AD74" i="2"/>
  <c r="AD82" i="2"/>
  <c r="AD90" i="2"/>
  <c r="AD98" i="2"/>
  <c r="AD106" i="2"/>
  <c r="AD114" i="2"/>
  <c r="AD122" i="2"/>
  <c r="AD153" i="2"/>
  <c r="AD134" i="2"/>
  <c r="AD166" i="2"/>
  <c r="AD177" i="2"/>
  <c r="AD228" i="2"/>
  <c r="AD236" i="2"/>
  <c r="AD181" i="2"/>
  <c r="AD189" i="2"/>
  <c r="AD197" i="2"/>
  <c r="AD205" i="2"/>
  <c r="AD213" i="2"/>
  <c r="AD245" i="2"/>
  <c r="AD251" i="2"/>
  <c r="AD259" i="2"/>
  <c r="AD267" i="2"/>
  <c r="AD275" i="2"/>
  <c r="AD283" i="2"/>
  <c r="AD289" i="2"/>
  <c r="AD297" i="2"/>
  <c r="AD305" i="2"/>
  <c r="AD313" i="2"/>
  <c r="AD321" i="2"/>
  <c r="AD329" i="2"/>
  <c r="AD337" i="2"/>
  <c r="AD356" i="2"/>
  <c r="AD357" i="2"/>
  <c r="AD390" i="2"/>
  <c r="AD437" i="2"/>
  <c r="AD385" i="2"/>
  <c r="AD375" i="2"/>
  <c r="AD383" i="2"/>
  <c r="AD402" i="2"/>
  <c r="AD413" i="2"/>
  <c r="AD416" i="2"/>
  <c r="AD445" i="2"/>
  <c r="AD411" i="2"/>
  <c r="AD471" i="2"/>
  <c r="AD434" i="2"/>
  <c r="AD451" i="2"/>
  <c r="AD464" i="2"/>
  <c r="AD466" i="2"/>
  <c r="AD474" i="2"/>
  <c r="AD477" i="2"/>
  <c r="AD499" i="2"/>
  <c r="AD494" i="2"/>
  <c r="AD507" i="2"/>
  <c r="AD517" i="2"/>
  <c r="AD522" i="2"/>
  <c r="AD168" i="2"/>
  <c r="AD133" i="2"/>
  <c r="AD239" i="2"/>
  <c r="AD262" i="2"/>
  <c r="AD316" i="2"/>
  <c r="AD387" i="2"/>
  <c r="AD478" i="2"/>
  <c r="AD143" i="2"/>
  <c r="AD163" i="2"/>
  <c r="AD25" i="2"/>
  <c r="AD33" i="2"/>
  <c r="AD41" i="2"/>
  <c r="AD49" i="2"/>
  <c r="AD57" i="2"/>
  <c r="AD139" i="2"/>
  <c r="AD160" i="2"/>
  <c r="AD67" i="2"/>
  <c r="AD75" i="2"/>
  <c r="AD83" i="2"/>
  <c r="AD91" i="2"/>
  <c r="AD99" i="2"/>
  <c r="AD107" i="2"/>
  <c r="AD115" i="2"/>
  <c r="AD126" i="2"/>
  <c r="AD157" i="2"/>
  <c r="AD138" i="2"/>
  <c r="AD170" i="2"/>
  <c r="AD221" i="2"/>
  <c r="AD229" i="2"/>
  <c r="AD237" i="2"/>
  <c r="AD182" i="2"/>
  <c r="AD190" i="2"/>
  <c r="AD198" i="2"/>
  <c r="AD206" i="2"/>
  <c r="AD214" i="2"/>
  <c r="AD240" i="2"/>
  <c r="AD252" i="2"/>
  <c r="AD260" i="2"/>
  <c r="AD268" i="2"/>
  <c r="AD276" i="2"/>
  <c r="AD284" i="2"/>
  <c r="AD290" i="2"/>
  <c r="AD298" i="2"/>
  <c r="AD306" i="2"/>
  <c r="AD314" i="2"/>
  <c r="AD322" i="2"/>
  <c r="AD330" i="2"/>
  <c r="AD338" i="2"/>
  <c r="AD347" i="2"/>
  <c r="AD343" i="2"/>
  <c r="AD398" i="2"/>
  <c r="AD449" i="2"/>
  <c r="AD368" i="2"/>
  <c r="AD376" i="2"/>
  <c r="AD384" i="2"/>
  <c r="AD389" i="2"/>
  <c r="AD414" i="2"/>
  <c r="AD424" i="2"/>
  <c r="AD404" i="2"/>
  <c r="AD419" i="2"/>
  <c r="AD510" i="2"/>
  <c r="AD442" i="2"/>
  <c r="AD459" i="2"/>
  <c r="AD472" i="2"/>
  <c r="AD467" i="2"/>
  <c r="AD482" i="2"/>
  <c r="AD486" i="2"/>
  <c r="AD490" i="2"/>
  <c r="AD502" i="2"/>
  <c r="AD515" i="2"/>
  <c r="AD525" i="2"/>
  <c r="AD530" i="2"/>
  <c r="AD85" i="2"/>
  <c r="AD146" i="2"/>
  <c r="AD200" i="2"/>
  <c r="AD278" i="2"/>
  <c r="AD332" i="2"/>
  <c r="AD378" i="2"/>
  <c r="AD468" i="2"/>
  <c r="AD147" i="2"/>
  <c r="AD123" i="2"/>
  <c r="AD26" i="2"/>
  <c r="AD34" i="2"/>
  <c r="AD42" i="2"/>
  <c r="AD50" i="2"/>
  <c r="AD58" i="2"/>
  <c r="AD171" i="2"/>
  <c r="AD164" i="2"/>
  <c r="AD68" i="2"/>
  <c r="AD76" i="2"/>
  <c r="AD84" i="2"/>
  <c r="AD92" i="2"/>
  <c r="AD100" i="2"/>
  <c r="AD108" i="2"/>
  <c r="AD116" i="2"/>
  <c r="AD130" i="2"/>
  <c r="AD161" i="2"/>
  <c r="AD142" i="2"/>
  <c r="AD174" i="2"/>
  <c r="AD222" i="2"/>
  <c r="AD230" i="2"/>
  <c r="AD238" i="2"/>
  <c r="AD183" i="2"/>
  <c r="AD191" i="2"/>
  <c r="AD199" i="2"/>
  <c r="AD207" i="2"/>
  <c r="AD215" i="2"/>
  <c r="AD242" i="2"/>
  <c r="AD253" i="2"/>
  <c r="AD261" i="2"/>
  <c r="AD269" i="2"/>
  <c r="AD277" i="2"/>
  <c r="AD361" i="2"/>
  <c r="AD291" i="2"/>
  <c r="AD299" i="2"/>
  <c r="AD307" i="2"/>
  <c r="AD315" i="2"/>
  <c r="AD323" i="2"/>
  <c r="AD331" i="2"/>
  <c r="AD339" i="2"/>
  <c r="AD351" i="2"/>
  <c r="AD352" i="2"/>
  <c r="AD386" i="2"/>
  <c r="AD362" i="2"/>
  <c r="AD369" i="2"/>
  <c r="AD377" i="2"/>
  <c r="AD388" i="2"/>
  <c r="AD397" i="2"/>
  <c r="AD425" i="2"/>
  <c r="AD441" i="2"/>
  <c r="AD405" i="2"/>
  <c r="AD430" i="2"/>
  <c r="AD432" i="2"/>
  <c r="AD450" i="2"/>
  <c r="AD481" i="2"/>
  <c r="AD479" i="2"/>
  <c r="AD476" i="2"/>
  <c r="AD520" i="2"/>
  <c r="AD488" i="2"/>
  <c r="AD483" i="2"/>
  <c r="AD514" i="2"/>
  <c r="AD516" i="2"/>
  <c r="AD518" i="2"/>
  <c r="AD531" i="2"/>
  <c r="CI4" i="3" l="1" a="1"/>
  <c r="CI4" i="3" s="1"/>
  <c r="AD15" i="3"/>
  <c r="CI4" i="2" a="1"/>
  <c r="CI4" i="2" s="1"/>
  <c r="AD1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tc={F977CB38-0FFA-4C3E-832F-990D38702B5E}</author>
    <author>tc={0BAB9A71-A9A8-4037-BCE9-1925A67350AB}</author>
  </authors>
  <commentList>
    <comment ref="AN9" authorId="0" shapeId="0" xr:uid="{F977CB38-0FFA-4C3E-832F-990D38702B5E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these units, shouldn't they be ml/g?
Reply:
    This what Stefan provided</t>
      </text>
    </comment>
    <comment ref="AB19" authorId="1" shapeId="0" xr:uid="{0BAB9A71-A9A8-4037-BCE9-1925A67350AB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these units, shouldn't they be ml/g?
Reply:
    This what Stefan provided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tc={D44B3EB4-3011-488E-895D-BD01B838659D}</author>
    <author>tc={590B3D88-7DB0-4C24-B6FB-09C1B5AB3F35}</author>
  </authors>
  <commentList>
    <comment ref="AN9" authorId="0" shapeId="0" xr:uid="{D44B3EB4-3011-488E-895D-BD01B838659D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these units, shouldn't they be ml/g?
Reply:
    This what Stefan provided</t>
      </text>
    </comment>
    <comment ref="AB19" authorId="1" shapeId="0" xr:uid="{590B3D88-7DB0-4C24-B6FB-09C1B5AB3F35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these units, shouldn't they be ml/g?
Reply:
    This what Stefan provided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tc={7316DA26-4D5F-4F10-A219-4B1DF78A054B}</author>
  </authors>
  <commentList>
    <comment ref="N1" authorId="0" shapeId="0" xr:uid="{7316DA26-4D5F-4F10-A219-4B1DF78A054B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these units, shouldn't they be ml/g?
Reply:
    This what Stefan provided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<sst xmlns="http://schemas.openxmlformats.org/spreadsheetml/2006/main" count="7394" uniqueCount="665">
  <si>
    <t>GP [ml/g]</t>
  </si>
  <si>
    <t>SCFA [mmol/g]</t>
  </si>
  <si>
    <t>Acetate [%]</t>
  </si>
  <si>
    <t>Propionate [%]</t>
  </si>
  <si>
    <t>Butyrate [%]</t>
  </si>
  <si>
    <t>Valerate [%]</t>
  </si>
  <si>
    <t>Caproate [%]</t>
  </si>
  <si>
    <t>Isobutyrate [%]</t>
  </si>
  <si>
    <t>Isovalerate [%]</t>
  </si>
  <si>
    <t>CH4 [g/mmol SCFA]</t>
  </si>
  <si>
    <t>DMD [mg/g]</t>
  </si>
  <si>
    <t>CH4 [ml/g]</t>
  </si>
  <si>
    <t>CH4 [% GP]</t>
  </si>
  <si>
    <t>CH4 [g/g DDM]</t>
  </si>
  <si>
    <t>Column1</t>
  </si>
  <si>
    <t>Column2</t>
  </si>
  <si>
    <t>Column3</t>
  </si>
  <si>
    <t>Column4</t>
  </si>
  <si>
    <t>Column5</t>
  </si>
  <si>
    <t>Column6</t>
  </si>
  <si>
    <t>stdev</t>
  </si>
  <si>
    <t>option 1</t>
  </si>
  <si>
    <t>Corr</t>
  </si>
  <si>
    <t>min</t>
  </si>
  <si>
    <t>&lt;</t>
  </si>
  <si>
    <t>&gt;</t>
  </si>
  <si>
    <t>Weight</t>
  </si>
  <si>
    <t>max</t>
  </si>
  <si>
    <t>CH4ml/g</t>
  </si>
  <si>
    <t>CH4/DMD</t>
  </si>
  <si>
    <t>DMD</t>
  </si>
  <si>
    <t>median</t>
  </si>
  <si>
    <t>Option 1</t>
  </si>
  <si>
    <t>Average</t>
  </si>
  <si>
    <t>Option 2</t>
  </si>
  <si>
    <t>N</t>
  </si>
  <si>
    <t>Variance</t>
  </si>
  <si>
    <t>Cov</t>
  </si>
  <si>
    <t>Target</t>
  </si>
  <si>
    <t>Desiered gain</t>
  </si>
  <si>
    <t>%</t>
  </si>
  <si>
    <t xml:space="preserve">count </t>
  </si>
  <si>
    <t>X StDev</t>
  </si>
  <si>
    <t>Direction</t>
  </si>
  <si>
    <t>Tree</t>
  </si>
  <si>
    <t>min to reject</t>
  </si>
  <si>
    <t>Gain</t>
  </si>
  <si>
    <t>Count</t>
  </si>
  <si>
    <t>browse</t>
  </si>
  <si>
    <t>Average of rejected</t>
  </si>
  <si>
    <t>Selection Average</t>
  </si>
  <si>
    <t>legume</t>
  </si>
  <si>
    <t>grass</t>
  </si>
  <si>
    <t>Source</t>
  </si>
  <si>
    <t>Substrate ID</t>
  </si>
  <si>
    <t>Gene Bank ID</t>
  </si>
  <si>
    <t>Genus</t>
  </si>
  <si>
    <t>Species</t>
  </si>
  <si>
    <t>Tax Name</t>
  </si>
  <si>
    <t>Family</t>
  </si>
  <si>
    <t>Order</t>
  </si>
  <si>
    <t>Functional Group</t>
  </si>
  <si>
    <t>Rep</t>
  </si>
  <si>
    <t>Substrate</t>
  </si>
  <si>
    <t>Exp ID</t>
  </si>
  <si>
    <t>Index</t>
  </si>
  <si>
    <t>Rank</t>
  </si>
  <si>
    <t>APB</t>
  </si>
  <si>
    <t>ch4/APB</t>
  </si>
  <si>
    <t>P/A</t>
  </si>
  <si>
    <t>ILRI</t>
  </si>
  <si>
    <t>ILRI−21682−24</t>
  </si>
  <si>
    <t xml:space="preserve">Leucaena pallida  </t>
  </si>
  <si>
    <t>Fabaceae</t>
  </si>
  <si>
    <t>fabales</t>
  </si>
  <si>
    <t>Legume</t>
  </si>
  <si>
    <t>AMC 07</t>
  </si>
  <si>
    <t>ILRI−15143−38</t>
  </si>
  <si>
    <t xml:space="preserve">Calliandra calothyrsus    </t>
  </si>
  <si>
    <t>tree</t>
  </si>
  <si>
    <t>AMC 06</t>
  </si>
  <si>
    <t>AMC 04</t>
  </si>
  <si>
    <t>ILRI−20145−46</t>
  </si>
  <si>
    <t>Flemingia macrophylla</t>
  </si>
  <si>
    <t>AMC 08</t>
  </si>
  <si>
    <t>AMC 05</t>
  </si>
  <si>
    <t>CIAT</t>
  </si>
  <si>
    <t>ABC-20893-1</t>
  </si>
  <si>
    <t xml:space="preserve">Cajanus </t>
  </si>
  <si>
    <t xml:space="preserve">Cajan </t>
  </si>
  <si>
    <t xml:space="preserve">Cajanus  Cajan </t>
  </si>
  <si>
    <t>Cajanus cajan</t>
  </si>
  <si>
    <t>ILRI−16507−39</t>
  </si>
  <si>
    <t xml:space="preserve">Leucaena diversifolia    </t>
  </si>
  <si>
    <t>ILRI−12344−30</t>
  </si>
  <si>
    <t>Grona heterocarpa</t>
  </si>
  <si>
    <t>Flemingia</t>
  </si>
  <si>
    <t>macrophylla</t>
  </si>
  <si>
    <t>AMC 11</t>
  </si>
  <si>
    <t>AMC 12</t>
  </si>
  <si>
    <t>ILRI−312−19</t>
  </si>
  <si>
    <t xml:space="preserve">Desmanthus leptophyllus  </t>
  </si>
  <si>
    <t>ABC-8034-1</t>
  </si>
  <si>
    <t>Cratylia</t>
  </si>
  <si>
    <t>mollis</t>
  </si>
  <si>
    <t>Cratylia mollis</t>
  </si>
  <si>
    <t>Climber</t>
  </si>
  <si>
    <t>ILRI−16555−48</t>
  </si>
  <si>
    <t>Cajanus  cajan</t>
  </si>
  <si>
    <t>ABC-21812-1</t>
  </si>
  <si>
    <t>Albizzia</t>
  </si>
  <si>
    <t>saman</t>
  </si>
  <si>
    <t>Albizzia saman</t>
  </si>
  <si>
    <t>ILRI−21739−41</t>
  </si>
  <si>
    <t xml:space="preserve">Leucaena trichodes  </t>
  </si>
  <si>
    <t>Desmodium</t>
  </si>
  <si>
    <t>heterocarpon</t>
  </si>
  <si>
    <t>Desmodium heterocarpon</t>
  </si>
  <si>
    <t>ILRI−16339−33</t>
  </si>
  <si>
    <t xml:space="preserve">Codariocalyx gyroides    </t>
  </si>
  <si>
    <t>ABC-21505-1</t>
  </si>
  <si>
    <t>Enterolobium</t>
  </si>
  <si>
    <t>cyclocarpum</t>
  </si>
  <si>
    <t>Enterolobium cyclocarpum</t>
  </si>
  <si>
    <t>AMC 13</t>
  </si>
  <si>
    <t>ABC-22192-1</t>
  </si>
  <si>
    <t>Leucaena</t>
  </si>
  <si>
    <t>diversifolia</t>
  </si>
  <si>
    <t>Leucaena diversifolia</t>
  </si>
  <si>
    <t>ILRI−10299−42</t>
  </si>
  <si>
    <t xml:space="preserve">Erythrina abyssinica  </t>
  </si>
  <si>
    <t>ILRI−2273−27</t>
  </si>
  <si>
    <t>Trifolium burchellianum</t>
  </si>
  <si>
    <t>ABC-21258-1</t>
  </si>
  <si>
    <t>Erythrina</t>
  </si>
  <si>
    <t>peruviana</t>
  </si>
  <si>
    <t>Erythrina peruviana</t>
  </si>
  <si>
    <t>ILRI−17772−28</t>
  </si>
  <si>
    <t>Bouffordia dichotoma</t>
  </si>
  <si>
    <t>ABC-16080-1</t>
  </si>
  <si>
    <t>Paspalum</t>
  </si>
  <si>
    <t>corypheum</t>
  </si>
  <si>
    <t>Paspalum corypheum</t>
  </si>
  <si>
    <t>Poaceae</t>
  </si>
  <si>
    <t>poales</t>
  </si>
  <si>
    <t>AMC 09</t>
  </si>
  <si>
    <t>ILRI−70−47</t>
  </si>
  <si>
    <t>Leucaena leucocephala</t>
  </si>
  <si>
    <t>ILRI−9856−32</t>
  </si>
  <si>
    <t xml:space="preserve">Centrosema pascuorum  </t>
  </si>
  <si>
    <t>ABC-21260-1</t>
  </si>
  <si>
    <t>fusca</t>
  </si>
  <si>
    <t>Erythrina fusca</t>
  </si>
  <si>
    <t>argentea</t>
  </si>
  <si>
    <t>Cratylia argentea</t>
  </si>
  <si>
    <t>ILRI−23049−34</t>
  </si>
  <si>
    <t>Neustanthus  phaseoloides</t>
  </si>
  <si>
    <t>ABC-20401-1</t>
  </si>
  <si>
    <t>Calliandra</t>
  </si>
  <si>
    <t>magdalenae</t>
  </si>
  <si>
    <t>Calliandra magdalenae</t>
  </si>
  <si>
    <t>Leucaena </t>
  </si>
  <si>
    <t>Leucaena  macrophylla</t>
  </si>
  <si>
    <t>Leucaena macrophylla</t>
  </si>
  <si>
    <t>Brachiaria</t>
  </si>
  <si>
    <t xml:space="preserve"> brizantha</t>
  </si>
  <si>
    <t>Brachiaria brizantha</t>
  </si>
  <si>
    <t>ILRI−12184−35</t>
  </si>
  <si>
    <t>Centrosema  acutifolium</t>
  </si>
  <si>
    <t>ILRI−20578−54</t>
  </si>
  <si>
    <t xml:space="preserve">Hyparrhenia hirta    </t>
  </si>
  <si>
    <t>AMC 14</t>
  </si>
  <si>
    <t>ILRI−6765−10</t>
  </si>
  <si>
    <t xml:space="preserve">Desmodium uncinatum </t>
  </si>
  <si>
    <t>ILRI−248−36</t>
  </si>
  <si>
    <t>Centrosema molle</t>
  </si>
  <si>
    <t>ILRI−13946−29</t>
  </si>
  <si>
    <t>Stylosanthes  fruticosa</t>
  </si>
  <si>
    <t>ILRI−24300−14</t>
  </si>
  <si>
    <t>Teramnus  uncinatus</t>
  </si>
  <si>
    <t>AMC 03</t>
  </si>
  <si>
    <t>ILRI−181−37</t>
  </si>
  <si>
    <t xml:space="preserve">Centrosema macrocarpum    </t>
  </si>
  <si>
    <t>ABC-22028-1</t>
  </si>
  <si>
    <t>Bauhinia</t>
  </si>
  <si>
    <t>sp.</t>
  </si>
  <si>
    <t>Bauhinia sp.</t>
  </si>
  <si>
    <t>ILRI−14539−40</t>
  </si>
  <si>
    <t>Centrosema   virginianum</t>
  </si>
  <si>
    <t>ABC-43253-1</t>
  </si>
  <si>
    <t>scorpiurus</t>
  </si>
  <si>
    <t>Desmodium scorpiurus</t>
  </si>
  <si>
    <t>ABC-21813-1</t>
  </si>
  <si>
    <t>Prosopis</t>
  </si>
  <si>
    <t>juliflora</t>
  </si>
  <si>
    <t>Prosopis juliflora</t>
  </si>
  <si>
    <t>ILRI−19196−31</t>
  </si>
  <si>
    <t xml:space="preserve">Calopogonium caeruleum    </t>
  </si>
  <si>
    <t>ILRI−16791−53</t>
  </si>
  <si>
    <t>Cenchrus  Purpureues</t>
  </si>
  <si>
    <t>ICARDA</t>
  </si>
  <si>
    <t>ICARDA-T-216003</t>
  </si>
  <si>
    <t xml:space="preserve">Rhus </t>
  </si>
  <si>
    <t xml:space="preserve">tripartita </t>
  </si>
  <si>
    <r>
      <t>Rhus tripartita</t>
    </r>
    <r>
      <rPr>
        <sz val="11"/>
        <color rgb="FF000000"/>
        <rFont val="Calibri"/>
        <family val="2"/>
      </rPr>
      <t xml:space="preserve"> (Ucria) Grande</t>
    </r>
  </si>
  <si>
    <t>Anacardiaceae</t>
  </si>
  <si>
    <t>Sapindales</t>
  </si>
  <si>
    <t xml:space="preserve">Rhus tripartita </t>
  </si>
  <si>
    <t>AMC 20</t>
  </si>
  <si>
    <t>ILRI−11548−45</t>
  </si>
  <si>
    <t>Centrosema  pascuorum</t>
  </si>
  <si>
    <t>ICARDA-156292</t>
  </si>
  <si>
    <t>Trifolium</t>
  </si>
  <si>
    <t>pratense</t>
  </si>
  <si>
    <t>Trifolium pratense</t>
  </si>
  <si>
    <t>Trifolium pratense-292</t>
  </si>
  <si>
    <t>ILRI−4−21</t>
  </si>
  <si>
    <t xml:space="preserve">Stylosanthes guianensis  </t>
  </si>
  <si>
    <t>ABC-9108-1</t>
  </si>
  <si>
    <t>Canavalia</t>
  </si>
  <si>
    <t>ensiformis</t>
  </si>
  <si>
    <t>Canavalia ensiformis</t>
  </si>
  <si>
    <t>ILRI−6852−25</t>
  </si>
  <si>
    <t>Listia  bainesii</t>
  </si>
  <si>
    <t>ILRI−15917−44</t>
  </si>
  <si>
    <t>Stylosanthes hamata</t>
  </si>
  <si>
    <t>ILRI−22344−9</t>
  </si>
  <si>
    <t>Neonotonia wightii</t>
  </si>
  <si>
    <t>ILRI−104−7</t>
  </si>
  <si>
    <t xml:space="preserve">Desmodium intortum </t>
  </si>
  <si>
    <t>ILRI−7153−57</t>
  </si>
  <si>
    <t xml:space="preserve">Panicum coloratum    </t>
  </si>
  <si>
    <t>ICARDA-101094</t>
  </si>
  <si>
    <t xml:space="preserve">Medicago </t>
  </si>
  <si>
    <t>sativa</t>
  </si>
  <si>
    <t>Medicago sativa</t>
  </si>
  <si>
    <t>Medicago Sativa-094</t>
  </si>
  <si>
    <t>AMC 15</t>
  </si>
  <si>
    <t>ILRI−21879−12</t>
  </si>
  <si>
    <t>Macroptilium  atropurpureum</t>
  </si>
  <si>
    <t>ILRI−24633−13</t>
  </si>
  <si>
    <t xml:space="preserve">Chamaecrista rotundifolia    </t>
  </si>
  <si>
    <t xml:space="preserve"> leucocephala</t>
  </si>
  <si>
    <t>ICARDA-101063</t>
  </si>
  <si>
    <t>Medicago Sativa-063</t>
  </si>
  <si>
    <t>AMC 16</t>
  </si>
  <si>
    <t>ABC-16181-1</t>
  </si>
  <si>
    <t>humidicola</t>
  </si>
  <si>
    <t>Brachiaria humidicola</t>
  </si>
  <si>
    <t>ICARDA-101076</t>
  </si>
  <si>
    <t>Medicago Sativa-076</t>
  </si>
  <si>
    <t>ICARDA-101077</t>
  </si>
  <si>
    <t>Medicago Sativa-077</t>
  </si>
  <si>
    <t>ILRI−15150−50</t>
  </si>
  <si>
    <t>Sesbania  grandiflora</t>
  </si>
  <si>
    <t>ILRI−851−8</t>
  </si>
  <si>
    <t>Calopogonium  mucunoides</t>
  </si>
  <si>
    <t>ILRI−6984−4</t>
  </si>
  <si>
    <t xml:space="preserve">Medicago sativa </t>
  </si>
  <si>
    <t>ILRI−5408−22</t>
  </si>
  <si>
    <t>Lathyrus  sativus</t>
  </si>
  <si>
    <t>ICARDA-171152</t>
  </si>
  <si>
    <t xml:space="preserve">Lathyrus </t>
  </si>
  <si>
    <t>pratensis</t>
  </si>
  <si>
    <t>Lathyrus pratensis</t>
  </si>
  <si>
    <t>ABC-33084-1</t>
  </si>
  <si>
    <t>oblongum</t>
  </si>
  <si>
    <t>Desmodium oblongum</t>
  </si>
  <si>
    <t>ICARDA-101065</t>
  </si>
  <si>
    <t>Medicago Sativa-065</t>
  </si>
  <si>
    <t>ICARDA-101095</t>
  </si>
  <si>
    <t>Medicago Sativa-095</t>
  </si>
  <si>
    <t>ILRI−10865−51</t>
  </si>
  <si>
    <t xml:space="preserve">Sesbania sesban var. bicolor  </t>
  </si>
  <si>
    <t>Shrub</t>
  </si>
  <si>
    <t>ABC-17431-1</t>
  </si>
  <si>
    <t>Galactia</t>
  </si>
  <si>
    <t>striata</t>
  </si>
  <si>
    <t>Galactia striata</t>
  </si>
  <si>
    <t>ILRI−24148−15</t>
  </si>
  <si>
    <t>Teramnus  labialis</t>
  </si>
  <si>
    <t>ICARDA-168125</t>
  </si>
  <si>
    <t>sylvestris</t>
  </si>
  <si>
    <t>Lathyrus sylvestris</t>
  </si>
  <si>
    <t>ABC-18540-1</t>
  </si>
  <si>
    <t>Aeschynomene</t>
  </si>
  <si>
    <t>brasiliana</t>
  </si>
  <si>
    <t>Aeschynomene brasiliana</t>
  </si>
  <si>
    <t>ABC-36099-1</t>
  </si>
  <si>
    <t>Cenchrus</t>
  </si>
  <si>
    <t>ciliaris</t>
  </si>
  <si>
    <t>Cenchrus ciliaris</t>
  </si>
  <si>
    <t>ABC-26973-1</t>
  </si>
  <si>
    <t>Axonopus</t>
  </si>
  <si>
    <t>scoparius</t>
  </si>
  <si>
    <t>Axonopus scoparius</t>
  </si>
  <si>
    <t>ILRI−15477−49</t>
  </si>
  <si>
    <t xml:space="preserve">Gliricidia sepium  </t>
  </si>
  <si>
    <t>ABC-16666-1</t>
  </si>
  <si>
    <t>Chloris</t>
  </si>
  <si>
    <t>gayana</t>
  </si>
  <si>
    <t>Chloris gayana</t>
  </si>
  <si>
    <t>ABC-25156-1</t>
  </si>
  <si>
    <t>Centrosema</t>
  </si>
  <si>
    <t>platycarpum</t>
  </si>
  <si>
    <t>Centrosema platycarpum</t>
  </si>
  <si>
    <t>ILRI−122−26</t>
  </si>
  <si>
    <t>Centrosema   schottii</t>
  </si>
  <si>
    <t>ILRI−6756−20</t>
  </si>
  <si>
    <t xml:space="preserve">Macrotyloma axillare  </t>
  </si>
  <si>
    <t>ICARDA-101097</t>
  </si>
  <si>
    <t>Medicago Sativa-097</t>
  </si>
  <si>
    <t>ICARDA-T-216011</t>
  </si>
  <si>
    <t xml:space="preserve">Calligonum </t>
  </si>
  <si>
    <t>comosum</t>
  </si>
  <si>
    <r>
      <t xml:space="preserve">Calligonum comosum  </t>
    </r>
    <r>
      <rPr>
        <sz val="11"/>
        <rFont val="Calibri"/>
        <family val="2"/>
      </rPr>
      <t>L'Hér</t>
    </r>
  </si>
  <si>
    <t>Polygonaceae</t>
  </si>
  <si>
    <t>Caryophyllales</t>
  </si>
  <si>
    <t>Calligonum comosum</t>
  </si>
  <si>
    <t>ILRI−6633−55</t>
  </si>
  <si>
    <t xml:space="preserve">Chloris </t>
  </si>
  <si>
    <t xml:space="preserve"> gayana</t>
  </si>
  <si>
    <t>Chloris gayana_2</t>
  </si>
  <si>
    <t xml:space="preserve">Gliricidia </t>
  </si>
  <si>
    <t xml:space="preserve"> sepium</t>
  </si>
  <si>
    <t>Gliricidia sepium</t>
  </si>
  <si>
    <t>ICARDA-T-216010</t>
  </si>
  <si>
    <t xml:space="preserve">Retama </t>
  </si>
  <si>
    <t xml:space="preserve">raetam </t>
  </si>
  <si>
    <r>
      <t xml:space="preserve">Retama raetam </t>
    </r>
    <r>
      <rPr>
        <sz val="11"/>
        <color rgb="FF000000"/>
        <rFont val="Calibri"/>
        <family val="2"/>
      </rPr>
      <t>(Forssk.) Webb.</t>
    </r>
  </si>
  <si>
    <t xml:space="preserve">Retama raetam </t>
  </si>
  <si>
    <t>ABC-606-1</t>
  </si>
  <si>
    <t>decumbens</t>
  </si>
  <si>
    <t>Brachiaria decumbens</t>
  </si>
  <si>
    <t>ILRI−12688−11</t>
  </si>
  <si>
    <t xml:space="preserve">Vigna unguiculata </t>
  </si>
  <si>
    <t>ILRI−144−56</t>
  </si>
  <si>
    <t xml:space="preserve">Megathyrsus maximus    </t>
  </si>
  <si>
    <t>ABC-36061-1</t>
  </si>
  <si>
    <t>xruziziensis x decumbens</t>
  </si>
  <si>
    <t>Brachiaria xruziziensis x decumbens</t>
  </si>
  <si>
    <t>Brachiaria xruziziensisxdecumbe</t>
  </si>
  <si>
    <t>AMC 22</t>
  </si>
  <si>
    <t>ILRI−5127−6</t>
  </si>
  <si>
    <t>Vicia sativa</t>
  </si>
  <si>
    <t>ICARDA-J-15</t>
  </si>
  <si>
    <t>Geranium </t>
  </si>
  <si>
    <t>rotundifolium</t>
  </si>
  <si>
    <t>Geranium rotundifolium</t>
  </si>
  <si>
    <t>Geraniaceae</t>
  </si>
  <si>
    <t>Geraniales</t>
  </si>
  <si>
    <t>Geranium</t>
  </si>
  <si>
    <t>AMC 17</t>
  </si>
  <si>
    <t>ICARDA-J-14</t>
  </si>
  <si>
    <t>Lamium </t>
  </si>
  <si>
    <t>amplexicaule</t>
  </si>
  <si>
    <t>Lamium amplexicaule</t>
  </si>
  <si>
    <t>Lamiaceae</t>
  </si>
  <si>
    <t>Lamiales</t>
  </si>
  <si>
    <t>Lamium</t>
  </si>
  <si>
    <t>ICARDA-171123</t>
  </si>
  <si>
    <t>latifolius</t>
  </si>
  <si>
    <t>Lathyrus latifolius</t>
  </si>
  <si>
    <t>AMC 19</t>
  </si>
  <si>
    <t>ABC-26877-1</t>
  </si>
  <si>
    <t>Echinochloa</t>
  </si>
  <si>
    <t>pyramidalis</t>
  </si>
  <si>
    <t>Echinochloa pyramidalis</t>
  </si>
  <si>
    <t>ILRI−24721−43</t>
  </si>
  <si>
    <t>Clitoria ternatea</t>
  </si>
  <si>
    <t>ILRI−6792−1</t>
  </si>
  <si>
    <t>Vicia villosa</t>
  </si>
  <si>
    <t>ILRI−7384−52</t>
  </si>
  <si>
    <t xml:space="preserve">Chloris  </t>
  </si>
  <si>
    <t xml:space="preserve"> gayana    </t>
  </si>
  <si>
    <t xml:space="preserve">Chloris gayana    </t>
  </si>
  <si>
    <t>ABC-20698-1</t>
  </si>
  <si>
    <t>Senna</t>
  </si>
  <si>
    <t>siamea</t>
  </si>
  <si>
    <t>Senna siamea</t>
  </si>
  <si>
    <t>ICARDA-156276</t>
  </si>
  <si>
    <t>Trifolium pratense-276</t>
  </si>
  <si>
    <t>ILRI−10920−16</t>
  </si>
  <si>
    <t xml:space="preserve">Arachis pintoi    </t>
  </si>
  <si>
    <t>ILRI−15991−23</t>
  </si>
  <si>
    <t xml:space="preserve">Trifolium pratense  </t>
  </si>
  <si>
    <t>ABC-6055-1</t>
  </si>
  <si>
    <t>Andropogon</t>
  </si>
  <si>
    <t>gayanus</t>
  </si>
  <si>
    <t>Andropogon gayanus</t>
  </si>
  <si>
    <t>ICARDA-ICB-ENT63</t>
  </si>
  <si>
    <t xml:space="preserve">Hordeum </t>
  </si>
  <si>
    <t xml:space="preserve">vulgare </t>
  </si>
  <si>
    <t>Hordeum vulgare</t>
  </si>
  <si>
    <t>Hordeum vulgare(ICB-63)</t>
  </si>
  <si>
    <t>ICARDA-101045</t>
  </si>
  <si>
    <t>sativa subsp. sativa</t>
  </si>
  <si>
    <t>Medicago sativa subsp. sativa</t>
  </si>
  <si>
    <t>Medicago Sativa-045</t>
  </si>
  <si>
    <t>ILRI−22063−5</t>
  </si>
  <si>
    <t>Macroptilium  lathyroides</t>
  </si>
  <si>
    <t>ICARDA-J-10</t>
  </si>
  <si>
    <t>Asperugo </t>
  </si>
  <si>
    <t xml:space="preserve">procumbens </t>
  </si>
  <si>
    <t xml:space="preserve">Asperugo procumbens </t>
  </si>
  <si>
    <t>Boraginaceae</t>
  </si>
  <si>
    <t>Asparugo</t>
  </si>
  <si>
    <t>ICARDA-165511</t>
  </si>
  <si>
    <t xml:space="preserve">Trifolium </t>
  </si>
  <si>
    <t>Trifolium pratense-511</t>
  </si>
  <si>
    <t>ICARDA-IFLA-ENT22</t>
  </si>
  <si>
    <t xml:space="preserve">sativus </t>
  </si>
  <si>
    <t>Lathyrus sativus</t>
  </si>
  <si>
    <t>Lathyrus sativus (IFLA-22)</t>
  </si>
  <si>
    <t>ICARDA-ICB-ENT35</t>
  </si>
  <si>
    <t>Hordeum vulgare(ICB-35)</t>
  </si>
  <si>
    <t>ABC-22157-1</t>
  </si>
  <si>
    <t>Arachis</t>
  </si>
  <si>
    <t>pintoi</t>
  </si>
  <si>
    <t>Arachis pintoi</t>
  </si>
  <si>
    <t>ICARDA-ICB-ENT16</t>
  </si>
  <si>
    <t>Hordeum vulgare(ICB-16)</t>
  </si>
  <si>
    <t>ABC-6291-1</t>
  </si>
  <si>
    <t>ruziziensis</t>
  </si>
  <si>
    <t>Brachiaria ruziziensis</t>
  </si>
  <si>
    <t>ICARDA-156283</t>
  </si>
  <si>
    <t>Trifolium pratense-283</t>
  </si>
  <si>
    <t>ICARDA-IFLA-ENT11</t>
  </si>
  <si>
    <t>Lathyrus sativus (IFLA-11)</t>
  </si>
  <si>
    <t>ICARDA-ICB-ENT19</t>
  </si>
  <si>
    <t>Hordeum vulgare(ICB-19)</t>
  </si>
  <si>
    <t>ICARDA-165072</t>
  </si>
  <si>
    <t xml:space="preserve">Vicia </t>
  </si>
  <si>
    <t>tenuifolia</t>
  </si>
  <si>
    <t>Vicia tenuifolia</t>
  </si>
  <si>
    <t>Vicia Tenuifolia</t>
  </si>
  <si>
    <t>ILRI−6529−2</t>
  </si>
  <si>
    <t xml:space="preserve">Labalab purpureues </t>
  </si>
  <si>
    <t>ICARDA-T-216006</t>
  </si>
  <si>
    <t xml:space="preserve">Opuntia </t>
  </si>
  <si>
    <t>ficus-indica</t>
  </si>
  <si>
    <r>
      <t xml:space="preserve">Opuntia ficus-indica </t>
    </r>
    <r>
      <rPr>
        <sz val="11"/>
        <color rgb="FF000000"/>
        <rFont val="Calibri"/>
        <family val="2"/>
      </rPr>
      <t>(L.) Mill</t>
    </r>
  </si>
  <si>
    <t>Cactaceae</t>
  </si>
  <si>
    <t>Opuntia ficus-indica</t>
  </si>
  <si>
    <t>ABC-21694-1</t>
  </si>
  <si>
    <t>velutina</t>
  </si>
  <si>
    <t>Erythrina velutina</t>
  </si>
  <si>
    <t>ILRI−10925−3</t>
  </si>
  <si>
    <t xml:space="preserve">Arachis glabrata    </t>
  </si>
  <si>
    <t>ABC-26069-1</t>
  </si>
  <si>
    <t>Setaria</t>
  </si>
  <si>
    <t>sphacelata</t>
  </si>
  <si>
    <t>Setaria sphacelata</t>
  </si>
  <si>
    <t>ICARDA-J-19</t>
  </si>
  <si>
    <t xml:space="preserve">Calendula </t>
  </si>
  <si>
    <t xml:space="preserve"> arvensis </t>
  </si>
  <si>
    <t xml:space="preserve">Calendula arvensis </t>
  </si>
  <si>
    <t>Asteraceae</t>
  </si>
  <si>
    <t>Asterales</t>
  </si>
  <si>
    <t>Calendula</t>
  </si>
  <si>
    <t>ICARDA-ICB-ENT46</t>
  </si>
  <si>
    <t>Hordeum vulgare(ICB-46)</t>
  </si>
  <si>
    <t>ILRI−8597−17</t>
  </si>
  <si>
    <t>Trifolium semipilosum</t>
  </si>
  <si>
    <t>ICARDA-J-2</t>
  </si>
  <si>
    <t>Cirsium </t>
  </si>
  <si>
    <t xml:space="preserve">arvense </t>
  </si>
  <si>
    <t xml:space="preserve">Cirsium arvense </t>
  </si>
  <si>
    <t>Cirsium</t>
  </si>
  <si>
    <t>ABC-7975-1</t>
  </si>
  <si>
    <t>silvestris</t>
  </si>
  <si>
    <t>Senna silvestris</t>
  </si>
  <si>
    <t>ABC-6818-1</t>
  </si>
  <si>
    <t>Panicum</t>
  </si>
  <si>
    <t>maximum</t>
  </si>
  <si>
    <t>Panicum maximum</t>
  </si>
  <si>
    <t>ICARDA-ICB-ENT65</t>
  </si>
  <si>
    <t>Hordeum vulgare(ICB-65)</t>
  </si>
  <si>
    <t>ICARDA-ICB-ENT74</t>
  </si>
  <si>
    <t>Hordeum vulgare(ICB-74)</t>
  </si>
  <si>
    <t>ICARDA-IFLA-ENT32</t>
  </si>
  <si>
    <t>Lathyrus sativus (IFLA-32)</t>
  </si>
  <si>
    <t>ICARDA-IFLA-ENT27</t>
  </si>
  <si>
    <t>Lathyrus sativus (IFLA-27)</t>
  </si>
  <si>
    <t>ICARDA-IFLA-ENT3</t>
  </si>
  <si>
    <t>Lathyrus sativus (IFLA-3)</t>
  </si>
  <si>
    <t>ICARDA-J-9</t>
  </si>
  <si>
    <t>Fumaria </t>
  </si>
  <si>
    <t xml:space="preserve">bracteosa  </t>
  </si>
  <si>
    <t xml:space="preserve">Fumaria bracteosa  </t>
  </si>
  <si>
    <t>Papaveraceae</t>
  </si>
  <si>
    <t>Ranunculales</t>
  </si>
  <si>
    <t>Fumaria</t>
  </si>
  <si>
    <t>ABC-1853-1</t>
  </si>
  <si>
    <t>Stylosanthes</t>
  </si>
  <si>
    <t>guianensis</t>
  </si>
  <si>
    <t>Stylosanthes guianensis</t>
  </si>
  <si>
    <t>ICARDA-165563</t>
  </si>
  <si>
    <t>Trifolium pratense-563</t>
  </si>
  <si>
    <t>ILRI−7049−18</t>
  </si>
  <si>
    <t xml:space="preserve">Trifolium repens  </t>
  </si>
  <si>
    <t>ICARDA-T-216004</t>
  </si>
  <si>
    <t xml:space="preserve">narbonensis </t>
  </si>
  <si>
    <r>
      <t xml:space="preserve">Vicia narbonensis </t>
    </r>
    <r>
      <rPr>
        <sz val="11"/>
        <color rgb="FF000000"/>
        <rFont val="Calibri"/>
        <family val="2"/>
      </rPr>
      <t>L.</t>
    </r>
  </si>
  <si>
    <t xml:space="preserve">Vicia narbonensis </t>
  </si>
  <si>
    <t>ABC-22752-1</t>
  </si>
  <si>
    <t>Lablab</t>
  </si>
  <si>
    <t>purpureus</t>
  </si>
  <si>
    <t>Lablab purpureus</t>
  </si>
  <si>
    <t>ICARDA-T-216008</t>
  </si>
  <si>
    <t xml:space="preserve">Hedysarum </t>
  </si>
  <si>
    <t>coronarium</t>
  </si>
  <si>
    <r>
      <t xml:space="preserve">Hedysarum coronarium </t>
    </r>
    <r>
      <rPr>
        <sz val="11"/>
        <color rgb="FF000000"/>
        <rFont val="Calibri"/>
        <family val="2"/>
      </rPr>
      <t xml:space="preserve">L. </t>
    </r>
  </si>
  <si>
    <t>Hedysarum coronarium</t>
  </si>
  <si>
    <t>ICARDA-IFLA-ENT29</t>
  </si>
  <si>
    <t>Lathyrus sativus (IFLA-29)</t>
  </si>
  <si>
    <t>ABC-10625-1</t>
  </si>
  <si>
    <t>scabra</t>
  </si>
  <si>
    <t>Stylosanthes scabra</t>
  </si>
  <si>
    <t>ICARDA-ICB-ENT87</t>
  </si>
  <si>
    <t>Hordeum vulgare(ICB-87)</t>
  </si>
  <si>
    <t>ICARDA-156302</t>
  </si>
  <si>
    <t>repens</t>
  </si>
  <si>
    <t>Trifolium repens</t>
  </si>
  <si>
    <t>Trifolium repens-302</t>
  </si>
  <si>
    <t>ICARDA-IFLA-ENT33</t>
  </si>
  <si>
    <t>Lathyrus sativus (IFLA-33)</t>
  </si>
  <si>
    <t>ICARDA-J-11</t>
  </si>
  <si>
    <t>Erodium </t>
  </si>
  <si>
    <t xml:space="preserve">botrys </t>
  </si>
  <si>
    <t xml:space="preserve">Erodium botrys </t>
  </si>
  <si>
    <t>Erodium</t>
  </si>
  <si>
    <t>ICARDA-ICB-ENT29</t>
  </si>
  <si>
    <t>Hordeum vulgare(ICB-29)</t>
  </si>
  <si>
    <t>ICARDA-J-17</t>
  </si>
  <si>
    <t xml:space="preserve">Cardaria </t>
  </si>
  <si>
    <t xml:space="preserve"> draba  </t>
  </si>
  <si>
    <t xml:space="preserve">Cardaria draba  </t>
  </si>
  <si>
    <t>bracicaseae</t>
  </si>
  <si>
    <t>brasicales</t>
  </si>
  <si>
    <t>Cardaria</t>
  </si>
  <si>
    <t>ICARDA-T-216005</t>
  </si>
  <si>
    <t>Vicia</t>
  </si>
  <si>
    <t xml:space="preserve">sativa </t>
  </si>
  <si>
    <r>
      <t>Vicia sativa</t>
    </r>
    <r>
      <rPr>
        <sz val="11"/>
        <color rgb="FF000000"/>
        <rFont val="Calibri"/>
        <family val="2"/>
      </rPr>
      <t xml:space="preserve"> L.</t>
    </r>
  </si>
  <si>
    <t xml:space="preserve">Viciasativa </t>
  </si>
  <si>
    <t>ICARDA-T-216009</t>
  </si>
  <si>
    <t xml:space="preserve">carnosum </t>
  </si>
  <si>
    <r>
      <t xml:space="preserve">Hedysarum carnosum </t>
    </r>
    <r>
      <rPr>
        <sz val="11"/>
        <color rgb="FF000000"/>
        <rFont val="Calibri"/>
        <family val="2"/>
      </rPr>
      <t xml:space="preserve">Desf. </t>
    </r>
  </si>
  <si>
    <t xml:space="preserve">Hedysarum carnosum </t>
  </si>
  <si>
    <t xml:space="preserve">Vicia sativa </t>
  </si>
  <si>
    <t>ICARDA-IFLA-ENT24</t>
  </si>
  <si>
    <t>Lathyrus sativus (IFLA-24)</t>
  </si>
  <si>
    <t>ICARDA-T-216001</t>
  </si>
  <si>
    <t xml:space="preserve">arborea </t>
  </si>
  <si>
    <r>
      <t xml:space="preserve">Medicago arborea </t>
    </r>
    <r>
      <rPr>
        <sz val="11"/>
        <color rgb="FF000000"/>
        <rFont val="Calibri"/>
        <family val="2"/>
      </rPr>
      <t xml:space="preserve">L. </t>
    </r>
  </si>
  <si>
    <t xml:space="preserve">Medicago arborea </t>
  </si>
  <si>
    <t>ICARDA-T-216002</t>
  </si>
  <si>
    <t xml:space="preserve">Periploca </t>
  </si>
  <si>
    <t xml:space="preserve">angustifolia </t>
  </si>
  <si>
    <r>
      <t xml:space="preserve">Periploca angustifolia </t>
    </r>
    <r>
      <rPr>
        <sz val="11"/>
        <color rgb="FF000000"/>
        <rFont val="Calibri"/>
        <family val="2"/>
      </rPr>
      <t xml:space="preserve">L. </t>
    </r>
  </si>
  <si>
    <t>Apocynaceae</t>
  </si>
  <si>
    <t>Gentianales</t>
  </si>
  <si>
    <t xml:space="preserve">Periploca angustifolia </t>
  </si>
  <si>
    <t>ICARDA-J-7</t>
  </si>
  <si>
    <t>Trigonella </t>
  </si>
  <si>
    <t xml:space="preserve">caelesyriaca </t>
  </si>
  <si>
    <t xml:space="preserve">Trigonella caelesyriaca </t>
  </si>
  <si>
    <t>Trigonellla</t>
  </si>
  <si>
    <t>ICARDA-J-18</t>
  </si>
  <si>
    <t xml:space="preserve">Centauria  </t>
  </si>
  <si>
    <t xml:space="preserve"> procurrence  </t>
  </si>
  <si>
    <t xml:space="preserve">Centauria procurrence  </t>
  </si>
  <si>
    <t>Centauria</t>
  </si>
  <si>
    <t>ICARDA-156298</t>
  </si>
  <si>
    <t>Trifolium repens-298</t>
  </si>
  <si>
    <t>ICARDA-J-12</t>
  </si>
  <si>
    <t>Tetragonolobus </t>
  </si>
  <si>
    <t xml:space="preserve">palaestinus </t>
  </si>
  <si>
    <t xml:space="preserve">Tetragonolobus palaestinus </t>
  </si>
  <si>
    <t>Tetragonolobus</t>
  </si>
  <si>
    <t>ICARDA-J-1</t>
  </si>
  <si>
    <t>Silybum </t>
  </si>
  <si>
    <t xml:space="preserve">marianum </t>
  </si>
  <si>
    <t xml:space="preserve">Silybum marianum </t>
  </si>
  <si>
    <t>Silybum</t>
  </si>
  <si>
    <t>ICARDA-T-216007</t>
  </si>
  <si>
    <t xml:space="preserve">Lupinus </t>
  </si>
  <si>
    <t>albus</t>
  </si>
  <si>
    <r>
      <t>Lupinus albus</t>
    </r>
    <r>
      <rPr>
        <sz val="11"/>
        <color rgb="FF000000"/>
        <rFont val="Calibri"/>
        <family val="2"/>
      </rPr>
      <t xml:space="preserve"> L.</t>
    </r>
    <r>
      <rPr>
        <i/>
        <sz val="11"/>
        <color rgb="FF000000"/>
        <rFont val="Calibri"/>
        <family val="2"/>
      </rPr>
      <t xml:space="preserve"> </t>
    </r>
  </si>
  <si>
    <t>Lupinus albus</t>
  </si>
  <si>
    <t>ICARDA-J-6</t>
  </si>
  <si>
    <t>Sinapis </t>
  </si>
  <si>
    <t xml:space="preserve">arvensis </t>
  </si>
  <si>
    <t xml:space="preserve">Sinapis arvensis </t>
  </si>
  <si>
    <t>Brassicaceae</t>
  </si>
  <si>
    <t>Sinapsis</t>
  </si>
  <si>
    <t>ICARDA-J-5</t>
  </si>
  <si>
    <t>Malva</t>
  </si>
  <si>
    <t xml:space="preserve">nicaeensis </t>
  </si>
  <si>
    <t xml:space="preserve">Malva nicaeensis </t>
  </si>
  <si>
    <t>malvaseae</t>
  </si>
  <si>
    <t>malvales</t>
  </si>
  <si>
    <t>ICARDA-J-3</t>
  </si>
  <si>
    <t>Scolymus </t>
  </si>
  <si>
    <t xml:space="preserve">maculatus </t>
  </si>
  <si>
    <t xml:space="preserve">Scolymus maculatus </t>
  </si>
  <si>
    <t>Caryophyllaceae</t>
  </si>
  <si>
    <t>Scolimus</t>
  </si>
  <si>
    <t>ICARDA-J-4</t>
  </si>
  <si>
    <t>Beta </t>
  </si>
  <si>
    <t xml:space="preserve">vulgaris </t>
  </si>
  <si>
    <t xml:space="preserve">Beta vulgaris </t>
  </si>
  <si>
    <t>Amaranthaceae</t>
  </si>
  <si>
    <t>Beta</t>
  </si>
  <si>
    <t>Daveas</t>
  </si>
  <si>
    <t>ICARDA-J-13</t>
  </si>
  <si>
    <t xml:space="preserve">Cichorium </t>
  </si>
  <si>
    <t xml:space="preserve">pumilum </t>
  </si>
  <si>
    <t xml:space="preserve">Cichorium pumilum </t>
  </si>
  <si>
    <t>Cichorium</t>
  </si>
  <si>
    <t>Option1</t>
  </si>
  <si>
    <t>Option2</t>
  </si>
  <si>
    <t>Option3</t>
  </si>
  <si>
    <t>reject %</t>
  </si>
  <si>
    <t>Digestibility</t>
  </si>
  <si>
    <t>Omics</t>
  </si>
  <si>
    <t>Yes</t>
  </si>
  <si>
    <t>Legumes</t>
  </si>
  <si>
    <t>Metabolomics</t>
  </si>
  <si>
    <t>log2FC</t>
  </si>
  <si>
    <t>p_value</t>
  </si>
  <si>
    <t>-log10(p_value)</t>
  </si>
  <si>
    <t>Change</t>
  </si>
  <si>
    <t>burchellianum</t>
  </si>
  <si>
    <t>pallida</t>
  </si>
  <si>
    <t>leucocephala</t>
  </si>
  <si>
    <t>abyssinica</t>
  </si>
  <si>
    <t>coloratum</t>
  </si>
  <si>
    <t>fruticosa</t>
  </si>
  <si>
    <t>Lathyrus</t>
  </si>
  <si>
    <t>sativus</t>
  </si>
  <si>
    <t>Vicia narbonensis L.</t>
  </si>
  <si>
    <t>narbonensis</t>
  </si>
  <si>
    <t>Purpureues</t>
  </si>
  <si>
    <t>Cajanus</t>
  </si>
  <si>
    <t>Cajan</t>
  </si>
  <si>
    <t>cajan</t>
  </si>
  <si>
    <t>Leucaena pallida  </t>
  </si>
  <si>
    <t>Erythrina abyssinica  </t>
  </si>
  <si>
    <t>Grass</t>
  </si>
  <si>
    <t>Panicum coloratum    </t>
  </si>
  <si>
    <t>Chloris gayana    </t>
  </si>
  <si>
    <t>Cenchrus purpureues</t>
  </si>
  <si>
    <t>Browse</t>
  </si>
  <si>
    <t>Cajanus cajan </t>
  </si>
  <si>
    <t xml:space="preserve">Hedysarum carnosum Desf.   </t>
  </si>
  <si>
    <t xml:space="preserve">   Hedysarum</t>
  </si>
  <si>
    <t xml:space="preserve"> carnosum</t>
  </si>
  <si>
    <t>Hedysarum coronarium L.</t>
  </si>
  <si>
    <t xml:space="preserve"> coronarium</t>
  </si>
  <si>
    <t>H</t>
  </si>
  <si>
    <t>L</t>
  </si>
  <si>
    <t>Methane_production</t>
  </si>
  <si>
    <t>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</si>
</sst>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0.000"/>
    <numFmt numFmtId="166" formatCode="0.0000"/>
  </numFmts>
  <fonts count="3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b/>
      <sz val="11"/>
      <color rgb="FF002060"/>
      <name val="Aptos Narrow"/>
      <family val="2"/>
      <scheme val="minor"/>
    </font>
    <font>
      <sz val="11"/>
      <color rgb="FFFF0000"/>
      <name val="Calibri"/>
      <family val="2"/>
    </font>
    <font>
      <sz val="11"/>
      <color rgb="FF000000"/>
      <name val="Aptos Narrow"/>
      <family val="2"/>
    </font>
    <font>
      <i/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0"/>
      <color rgb="FFFFFF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theme="7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sz val="11"/>
      <color theme="7"/>
      <name val="Calibri"/>
      <family val="2"/>
    </font>
    <font>
      <sz val="11"/>
      <color rgb="FFFF0000"/>
      <name val="Aptos Narrow"/>
      <family val="2"/>
    </font>
    <font>
      <i/>
      <sz val="11"/>
      <color theme="1"/>
      <name val="Aptos Narrow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b/>
      <sz val="11"/>
      <color theme="4"/>
      <name val="Aptos Narrow"/>
      <family val="2"/>
      <scheme val="minor"/>
    </font>
    <font>
      <u/>
      <sz val="11"/>
      <color rgb="FFFF0000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i/>
      <sz val="11"/>
      <color rgb="FF000000"/>
      <name val="Aptos Narrow"/>
      <scheme val="minor"/>
    </font>
    <font>
      <sz val="11"/>
      <color theme="1"/>
      <name val="Aptos Narrow"/>
      <scheme val="minor"/>
    </font>
    <font>
      <sz val="11"/>
      <color rgb="FF212121"/>
      <name val="Aptos"/>
    </font>
    <font>
      <sz val="9"/>
      <color rgb="FF156082"/>
      <name val="Aptos"/>
      <family val="2"/>
    </font>
  </fonts>
  <fills count="3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FFC7CE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/>
        <bgColor theme="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theme="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499984740745262"/>
        <bgColor theme="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/>
        <bgColor theme="4"/>
      </patternFill>
    </fill>
    <fill>
      <patternFill patternType="solid">
        <fgColor rgb="FFF8F9F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A7132"/>
        <bgColor indexed="64"/>
      </patternFill>
    </fill>
    <fill>
      <patternFill patternType="solid">
        <fgColor rgb="FFF1AA82"/>
        <bgColor indexed="64"/>
      </patternFill>
    </fill>
    <fill>
      <patternFill patternType="solid">
        <fgColor rgb="FFD9D9D9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theme="1"/>
      </top>
      <bottom style="thin">
        <color theme="4" tint="0.39997558519241921"/>
      </bottom>
      <diagonal/>
    </border>
    <border>
      <left/>
      <right/>
      <top style="thin">
        <color rgb="FF156082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thin">
        <color rgb="FF156082"/>
      </top>
      <bottom style="medium">
        <color theme="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/>
      </right>
      <top/>
      <bottom style="thin">
        <color theme="4" tint="0.39997558519241921"/>
      </bottom>
      <diagonal/>
    </border>
    <border>
      <left style="thin">
        <color theme="6"/>
      </left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43" fontId="11" fillId="0" borderId="0" applyFont="0" applyFill="0" applyBorder="0" applyAlignment="0" applyProtection="0"/>
    <xf numFmtId="0" fontId="12" fillId="11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20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4" fillId="2" borderId="1" xfId="0" applyFont="1" applyFill="1" applyBorder="1"/>
    <xf numFmtId="0" fontId="3" fillId="5" borderId="0" xfId="0" applyFont="1" applyFill="1"/>
    <xf numFmtId="0" fontId="3" fillId="5" borderId="0" xfId="0" applyFont="1" applyFill="1" applyAlignment="1">
      <alignment horizontal="center"/>
    </xf>
    <xf numFmtId="0" fontId="5" fillId="6" borderId="0" xfId="0" applyFont="1" applyFill="1" applyAlignment="1">
      <alignment horizontal="left" vertical="center"/>
    </xf>
    <xf numFmtId="0" fontId="6" fillId="5" borderId="0" xfId="0" applyFont="1" applyFill="1"/>
    <xf numFmtId="164" fontId="0" fillId="5" borderId="0" xfId="0" applyNumberFormat="1" applyFill="1" applyAlignment="1">
      <alignment horizontal="center"/>
    </xf>
    <xf numFmtId="164" fontId="0" fillId="5" borderId="0" xfId="0" applyNumberFormat="1" applyFill="1"/>
    <xf numFmtId="164" fontId="7" fillId="7" borderId="0" xfId="0" applyNumberFormat="1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8" borderId="0" xfId="0" applyFont="1" applyFill="1" applyAlignment="1">
      <alignment horizontal="left" vertical="center"/>
    </xf>
    <xf numFmtId="0" fontId="0" fillId="0" borderId="2" xfId="0" applyBorder="1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7" fillId="9" borderId="0" xfId="0" applyNumberFormat="1" applyFont="1" applyFill="1" applyAlignment="1">
      <alignment horizontal="center"/>
    </xf>
    <xf numFmtId="0" fontId="8" fillId="8" borderId="0" xfId="0" applyFont="1" applyFill="1" applyAlignment="1">
      <alignment horizontal="left" vertical="center"/>
    </xf>
    <xf numFmtId="0" fontId="0" fillId="5" borderId="2" xfId="0" applyFill="1" applyBorder="1"/>
    <xf numFmtId="0" fontId="5" fillId="5" borderId="0" xfId="0" applyFont="1" applyFill="1" applyAlignment="1">
      <alignment horizontal="left" vertical="center"/>
    </xf>
    <xf numFmtId="0" fontId="6" fillId="0" borderId="2" xfId="0" applyFont="1" applyBorder="1"/>
    <xf numFmtId="0" fontId="2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6" fillId="5" borderId="2" xfId="0" applyFont="1" applyFill="1" applyBorder="1"/>
    <xf numFmtId="0" fontId="6" fillId="5" borderId="0" xfId="0" applyFont="1" applyFill="1" applyAlignment="1">
      <alignment horizontal="left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0" fillId="5" borderId="0" xfId="0" applyFill="1"/>
    <xf numFmtId="0" fontId="5" fillId="10" borderId="0" xfId="0" applyFont="1" applyFill="1" applyAlignment="1">
      <alignment horizontal="left" vertical="center"/>
    </xf>
    <xf numFmtId="0" fontId="5" fillId="10" borderId="0" xfId="0" applyFont="1" applyFill="1" applyAlignment="1">
      <alignment horizontal="left"/>
    </xf>
    <xf numFmtId="0" fontId="10" fillId="10" borderId="0" xfId="0" applyFont="1" applyFill="1" applyAlignment="1">
      <alignment horizontal="left"/>
    </xf>
    <xf numFmtId="0" fontId="3" fillId="5" borderId="3" xfId="0" applyFont="1" applyFill="1" applyBorder="1"/>
    <xf numFmtId="0" fontId="3" fillId="5" borderId="3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left" vertical="center"/>
    </xf>
    <xf numFmtId="0" fontId="0" fillId="5" borderId="4" xfId="0" applyFill="1" applyBorder="1"/>
    <xf numFmtId="0" fontId="0" fillId="5" borderId="3" xfId="0" applyFill="1" applyBorder="1" applyAlignment="1">
      <alignment horizontal="left"/>
    </xf>
    <xf numFmtId="164" fontId="0" fillId="5" borderId="3" xfId="0" applyNumberFormat="1" applyFill="1" applyBorder="1" applyAlignment="1">
      <alignment horizontal="center"/>
    </xf>
    <xf numFmtId="164" fontId="0" fillId="5" borderId="3" xfId="0" applyNumberFormat="1" applyFill="1" applyBorder="1"/>
    <xf numFmtId="164" fontId="7" fillId="7" borderId="3" xfId="0" applyNumberFormat="1" applyFont="1" applyFill="1" applyBorder="1" applyAlignment="1">
      <alignment horizontal="center"/>
    </xf>
    <xf numFmtId="0" fontId="1" fillId="12" borderId="0" xfId="0" applyFont="1" applyFill="1"/>
    <xf numFmtId="2" fontId="0" fillId="13" borderId="0" xfId="0" applyNumberFormat="1" applyFill="1"/>
    <xf numFmtId="0" fontId="3" fillId="14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1" fillId="15" borderId="0" xfId="0" applyFont="1" applyFill="1"/>
    <xf numFmtId="2" fontId="0" fillId="0" borderId="0" xfId="0" applyNumberFormat="1"/>
    <xf numFmtId="0" fontId="13" fillId="16" borderId="0" xfId="0" applyFont="1" applyFill="1"/>
    <xf numFmtId="0" fontId="14" fillId="0" borderId="0" xfId="3"/>
    <xf numFmtId="2" fontId="0" fillId="17" borderId="0" xfId="0" applyNumberFormat="1" applyFill="1"/>
    <xf numFmtId="0" fontId="0" fillId="13" borderId="0" xfId="0" applyFill="1"/>
    <xf numFmtId="0" fontId="15" fillId="18" borderId="0" xfId="0" applyFont="1" applyFill="1"/>
    <xf numFmtId="0" fontId="16" fillId="2" borderId="5" xfId="0" applyFont="1" applyFill="1" applyBorder="1"/>
    <xf numFmtId="0" fontId="16" fillId="2" borderId="1" xfId="0" applyFont="1" applyFill="1" applyBorder="1"/>
    <xf numFmtId="2" fontId="0" fillId="19" borderId="0" xfId="0" applyNumberFormat="1" applyFill="1"/>
    <xf numFmtId="2" fontId="0" fillId="20" borderId="0" xfId="0" applyNumberFormat="1" applyFill="1"/>
    <xf numFmtId="9" fontId="0" fillId="20" borderId="0" xfId="0" applyNumberFormat="1" applyFill="1"/>
    <xf numFmtId="0" fontId="0" fillId="21" borderId="0" xfId="0" applyFill="1"/>
    <xf numFmtId="1" fontId="0" fillId="21" borderId="0" xfId="0" applyNumberFormat="1" applyFill="1"/>
    <xf numFmtId="0" fontId="3" fillId="22" borderId="0" xfId="0" applyFont="1" applyFill="1"/>
    <xf numFmtId="0" fontId="0" fillId="23" borderId="0" xfId="0" applyFill="1"/>
    <xf numFmtId="0" fontId="0" fillId="23" borderId="0" xfId="0" applyFill="1" applyAlignment="1">
      <alignment horizontal="right"/>
    </xf>
    <xf numFmtId="9" fontId="0" fillId="24" borderId="0" xfId="0" applyNumberFormat="1" applyFill="1"/>
    <xf numFmtId="0" fontId="0" fillId="25" borderId="0" xfId="0" applyFill="1"/>
    <xf numFmtId="2" fontId="12" fillId="11" borderId="0" xfId="2" applyNumberFormat="1"/>
    <xf numFmtId="0" fontId="0" fillId="0" borderId="0" xfId="0" applyAlignment="1">
      <alignment horizontal="right"/>
    </xf>
    <xf numFmtId="0" fontId="0" fillId="24" borderId="0" xfId="0" applyFill="1"/>
    <xf numFmtId="2" fontId="15" fillId="21" borderId="0" xfId="0" applyNumberFormat="1" applyFont="1" applyFill="1"/>
    <xf numFmtId="0" fontId="1" fillId="26" borderId="5" xfId="0" applyFont="1" applyFill="1" applyBorder="1"/>
    <xf numFmtId="2" fontId="13" fillId="26" borderId="5" xfId="0" applyNumberFormat="1" applyFont="1" applyFill="1" applyBorder="1"/>
    <xf numFmtId="0" fontId="0" fillId="22" borderId="0" xfId="0" applyFill="1"/>
    <xf numFmtId="2" fontId="0" fillId="21" borderId="0" xfId="0" applyNumberFormat="1" applyFill="1"/>
    <xf numFmtId="2" fontId="17" fillId="27" borderId="0" xfId="0" applyNumberFormat="1" applyFont="1" applyFill="1"/>
    <xf numFmtId="0" fontId="0" fillId="17" borderId="0" xfId="0" applyFill="1"/>
    <xf numFmtId="0" fontId="0" fillId="0" borderId="7" xfId="0" applyBorder="1"/>
    <xf numFmtId="2" fontId="0" fillId="27" borderId="0" xfId="0" applyNumberFormat="1" applyFill="1"/>
    <xf numFmtId="0" fontId="0" fillId="28" borderId="0" xfId="0" applyFill="1"/>
    <xf numFmtId="0" fontId="3" fillId="0" borderId="8" xfId="0" applyFont="1" applyBorder="1"/>
    <xf numFmtId="0" fontId="3" fillId="3" borderId="8" xfId="0" applyFont="1" applyFill="1" applyBorder="1"/>
    <xf numFmtId="0" fontId="3" fillId="4" borderId="8" xfId="0" applyFont="1" applyFill="1" applyBorder="1"/>
    <xf numFmtId="0" fontId="18" fillId="0" borderId="8" xfId="0" applyFont="1" applyBorder="1"/>
    <xf numFmtId="0" fontId="4" fillId="0" borderId="8" xfId="0" applyFont="1" applyBorder="1"/>
    <xf numFmtId="0" fontId="3" fillId="29" borderId="8" xfId="0" applyFont="1" applyFill="1" applyBorder="1"/>
    <xf numFmtId="0" fontId="1" fillId="30" borderId="8" xfId="0" applyFont="1" applyFill="1" applyBorder="1"/>
    <xf numFmtId="0" fontId="4" fillId="30" borderId="8" xfId="0" applyFont="1" applyFill="1" applyBorder="1"/>
    <xf numFmtId="0" fontId="4" fillId="30" borderId="9" xfId="0" applyFont="1" applyFill="1" applyBorder="1"/>
    <xf numFmtId="0" fontId="1" fillId="15" borderId="10" xfId="0" applyFont="1" applyFill="1" applyBorder="1"/>
    <xf numFmtId="0" fontId="1" fillId="15" borderId="8" xfId="0" applyFont="1" applyFill="1" applyBorder="1"/>
    <xf numFmtId="0" fontId="4" fillId="15" borderId="8" xfId="0" applyFont="1" applyFill="1" applyBorder="1"/>
    <xf numFmtId="0" fontId="4" fillId="28" borderId="8" xfId="0" applyFont="1" applyFill="1" applyBorder="1"/>
    <xf numFmtId="0" fontId="4" fillId="28" borderId="9" xfId="0" applyFont="1" applyFill="1" applyBorder="1"/>
    <xf numFmtId="0" fontId="5" fillId="8" borderId="0" xfId="0" applyFont="1" applyFill="1" applyAlignment="1">
      <alignment vertical="center"/>
    </xf>
    <xf numFmtId="10" fontId="0" fillId="0" borderId="0" xfId="0" applyNumberFormat="1"/>
    <xf numFmtId="0" fontId="8" fillId="8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164" fontId="0" fillId="4" borderId="0" xfId="0" applyNumberFormat="1" applyFill="1"/>
    <xf numFmtId="0" fontId="9" fillId="0" borderId="0" xfId="0" applyFont="1" applyAlignment="1">
      <alignment vertical="center"/>
    </xf>
    <xf numFmtId="0" fontId="2" fillId="0" borderId="0" xfId="0" applyFont="1"/>
    <xf numFmtId="0" fontId="5" fillId="6" borderId="0" xfId="0" applyFont="1" applyFill="1" applyAlignment="1">
      <alignment vertical="center"/>
    </xf>
    <xf numFmtId="0" fontId="19" fillId="0" borderId="0" xfId="0" applyFont="1" applyAlignment="1">
      <alignment horizontal="center"/>
    </xf>
    <xf numFmtId="0" fontId="8" fillId="6" borderId="0" xfId="0" applyFont="1" applyFill="1" applyAlignment="1">
      <alignment vertical="center"/>
    </xf>
    <xf numFmtId="0" fontId="14" fillId="0" borderId="0" xfId="3" applyFill="1" applyAlignment="1">
      <alignment horizontal="right"/>
    </xf>
    <xf numFmtId="0" fontId="20" fillId="0" borderId="0" xfId="0" applyFont="1"/>
    <xf numFmtId="0" fontId="21" fillId="0" borderId="0" xfId="0" applyFont="1" applyAlignment="1">
      <alignment horizontal="center"/>
    </xf>
    <xf numFmtId="0" fontId="22" fillId="6" borderId="0" xfId="0" applyFont="1" applyFill="1" applyAlignment="1">
      <alignment vertical="center"/>
    </xf>
    <xf numFmtId="0" fontId="20" fillId="0" borderId="2" xfId="0" applyFont="1" applyBorder="1"/>
    <xf numFmtId="0" fontId="23" fillId="0" borderId="0" xfId="0" applyFont="1" applyAlignment="1">
      <alignment vertical="center"/>
    </xf>
    <xf numFmtId="0" fontId="5" fillId="10" borderId="0" xfId="0" applyFont="1" applyFill="1"/>
    <xf numFmtId="0" fontId="10" fillId="10" borderId="0" xfId="0" applyFont="1" applyFill="1"/>
    <xf numFmtId="0" fontId="14" fillId="0" borderId="0" xfId="3" applyFill="1"/>
    <xf numFmtId="0" fontId="3" fillId="8" borderId="0" xfId="0" applyFont="1" applyFill="1" applyAlignment="1">
      <alignment horizontal="center"/>
    </xf>
    <xf numFmtId="0" fontId="5" fillId="10" borderId="0" xfId="0" applyFont="1" applyFill="1" applyAlignment="1">
      <alignment vertical="center"/>
    </xf>
    <xf numFmtId="0" fontId="24" fillId="0" borderId="0" xfId="0" applyFont="1"/>
    <xf numFmtId="0" fontId="25" fillId="10" borderId="0" xfId="0" applyFont="1" applyFill="1"/>
    <xf numFmtId="0" fontId="26" fillId="10" borderId="0" xfId="0" applyFont="1" applyFill="1"/>
    <xf numFmtId="0" fontId="14" fillId="31" borderId="0" xfId="3" applyFill="1" applyBorder="1" applyAlignment="1">
      <alignment horizontal="left" vertical="top" wrapText="1"/>
    </xf>
    <xf numFmtId="0" fontId="14" fillId="0" borderId="0" xfId="3" applyFill="1" applyAlignment="1">
      <alignment horizontal="left" vertical="top" wrapText="1"/>
    </xf>
    <xf numFmtId="0" fontId="14" fillId="0" borderId="2" xfId="3" applyFill="1" applyBorder="1" applyAlignment="1">
      <alignment horizontal="left" vertical="top" wrapText="1"/>
    </xf>
    <xf numFmtId="0" fontId="14" fillId="0" borderId="2" xfId="3" applyFill="1" applyBorder="1"/>
    <xf numFmtId="0" fontId="14" fillId="31" borderId="0" xfId="3" applyFill="1" applyAlignment="1">
      <alignment horizontal="left" vertical="top" wrapText="1"/>
    </xf>
    <xf numFmtId="0" fontId="5" fillId="10" borderId="11" xfId="0" applyFont="1" applyFill="1" applyBorder="1"/>
    <xf numFmtId="0" fontId="5" fillId="8" borderId="11" xfId="0" applyFont="1" applyFill="1" applyBorder="1" applyAlignment="1">
      <alignment vertical="center"/>
    </xf>
    <xf numFmtId="0" fontId="5" fillId="0" borderId="0" xfId="3" applyFont="1" applyFill="1" applyAlignment="1">
      <alignment vertical="center"/>
    </xf>
    <xf numFmtId="0" fontId="5" fillId="0" borderId="0" xfId="3" applyFont="1" applyFill="1" applyBorder="1" applyAlignment="1">
      <alignment vertical="center"/>
    </xf>
    <xf numFmtId="0" fontId="14" fillId="0" borderId="0" xfId="3" applyBorder="1"/>
    <xf numFmtId="0" fontId="8" fillId="10" borderId="0" xfId="0" applyFont="1" applyFill="1"/>
    <xf numFmtId="164" fontId="17" fillId="0" borderId="0" xfId="0" applyNumberFormat="1" applyFont="1"/>
    <xf numFmtId="0" fontId="27" fillId="25" borderId="7" xfId="0" applyFont="1" applyFill="1" applyBorder="1" applyAlignment="1">
      <alignment horizontal="right"/>
    </xf>
    <xf numFmtId="9" fontId="0" fillId="0" borderId="0" xfId="0" applyNumberFormat="1"/>
    <xf numFmtId="165" fontId="0" fillId="0" borderId="0" xfId="0" applyNumberFormat="1"/>
    <xf numFmtId="43" fontId="0" fillId="0" borderId="0" xfId="1" applyFont="1"/>
    <xf numFmtId="0" fontId="5" fillId="9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0" fontId="14" fillId="31" borderId="2" xfId="3" applyFill="1" applyBorder="1" applyAlignment="1">
      <alignment horizontal="left" vertical="top" wrapText="1"/>
    </xf>
    <xf numFmtId="0" fontId="14" fillId="0" borderId="2" xfId="3" applyBorder="1"/>
    <xf numFmtId="0" fontId="0" fillId="9" borderId="0" xfId="0" applyFill="1" applyAlignment="1">
      <alignment horizontal="right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5" fillId="0" borderId="2" xfId="3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4" fillId="0" borderId="0" xfId="3" applyFill="1" applyBorder="1" applyAlignment="1">
      <alignment horizontal="left" vertical="top" wrapText="1"/>
    </xf>
    <xf numFmtId="0" fontId="14" fillId="0" borderId="0" xfId="3" applyFill="1" applyBorder="1"/>
    <xf numFmtId="0" fontId="14" fillId="9" borderId="0" xfId="3" applyFill="1" applyAlignment="1">
      <alignment horizontal="right"/>
    </xf>
    <xf numFmtId="0" fontId="28" fillId="0" borderId="0" xfId="3" applyFont="1" applyFill="1" applyAlignment="1">
      <alignment horizontal="right"/>
    </xf>
    <xf numFmtId="166" fontId="0" fillId="0" borderId="0" xfId="0" applyNumberFormat="1"/>
    <xf numFmtId="0" fontId="0" fillId="9" borderId="0" xfId="0" applyFill="1"/>
    <xf numFmtId="0" fontId="3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0" fillId="32" borderId="15" xfId="0" applyFill="1" applyBorder="1"/>
    <xf numFmtId="0" fontId="0" fillId="32" borderId="16" xfId="0" applyFill="1" applyBorder="1"/>
    <xf numFmtId="0" fontId="0" fillId="32" borderId="17" xfId="0" applyFill="1" applyBorder="1"/>
    <xf numFmtId="0" fontId="0" fillId="32" borderId="18" xfId="0" applyFill="1" applyBorder="1"/>
    <xf numFmtId="0" fontId="0" fillId="32" borderId="19" xfId="0" applyFill="1" applyBorder="1"/>
    <xf numFmtId="0" fontId="0" fillId="32" borderId="20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9" borderId="19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9" fillId="0" borderId="24" xfId="0" applyFont="1" applyBorder="1"/>
    <xf numFmtId="0" fontId="29" fillId="0" borderId="25" xfId="0" applyFont="1" applyBorder="1"/>
    <xf numFmtId="0" fontId="30" fillId="33" borderId="18" xfId="0" applyFont="1" applyFill="1" applyBorder="1"/>
    <xf numFmtId="0" fontId="30" fillId="34" borderId="19" xfId="0" applyFont="1" applyFill="1" applyBorder="1"/>
    <xf numFmtId="0" fontId="30" fillId="33" borderId="19" xfId="0" applyFont="1" applyFill="1" applyBorder="1"/>
    <xf numFmtId="0" fontId="31" fillId="33" borderId="19" xfId="0" applyFont="1" applyFill="1" applyBorder="1"/>
    <xf numFmtId="0" fontId="32" fillId="33" borderId="19" xfId="0" applyFont="1" applyFill="1" applyBorder="1"/>
    <xf numFmtId="0" fontId="30" fillId="32" borderId="19" xfId="0" applyFont="1" applyFill="1" applyBorder="1"/>
    <xf numFmtId="0" fontId="30" fillId="32" borderId="18" xfId="0" applyFont="1" applyFill="1" applyBorder="1"/>
    <xf numFmtId="0" fontId="31" fillId="32" borderId="19" xfId="0" applyFont="1" applyFill="1" applyBorder="1"/>
    <xf numFmtId="0" fontId="32" fillId="32" borderId="19" xfId="0" applyFont="1" applyFill="1" applyBorder="1"/>
    <xf numFmtId="0" fontId="30" fillId="0" borderId="18" xfId="0" applyFont="1" applyBorder="1"/>
    <xf numFmtId="0" fontId="30" fillId="0" borderId="19" xfId="0" applyFont="1" applyBorder="1"/>
    <xf numFmtId="0" fontId="31" fillId="0" borderId="19" xfId="0" applyFont="1" applyBorder="1"/>
    <xf numFmtId="0" fontId="32" fillId="0" borderId="19" xfId="0" applyFont="1" applyBorder="1"/>
    <xf numFmtId="0" fontId="31" fillId="9" borderId="19" xfId="0" applyFont="1" applyFill="1" applyBorder="1"/>
    <xf numFmtId="0" fontId="30" fillId="35" borderId="19" xfId="0" applyFont="1" applyFill="1" applyBorder="1"/>
    <xf numFmtId="0" fontId="30" fillId="0" borderId="21" xfId="0" applyFont="1" applyBorder="1"/>
    <xf numFmtId="0" fontId="30" fillId="0" borderId="22" xfId="0" applyFont="1" applyBorder="1"/>
    <xf numFmtId="0" fontId="31" fillId="0" borderId="22" xfId="0" applyFont="1" applyBorder="1"/>
    <xf numFmtId="0" fontId="32" fillId="0" borderId="22" xfId="0" applyFont="1" applyBorder="1"/>
    <xf numFmtId="0" fontId="33" fillId="32" borderId="24" xfId="0" applyFont="1" applyFill="1" applyBorder="1"/>
    <xf numFmtId="0" fontId="0" fillId="32" borderId="25" xfId="0" applyFill="1" applyBorder="1"/>
    <xf numFmtId="0" fontId="30" fillId="32" borderId="25" xfId="0" applyFont="1" applyFill="1" applyBorder="1"/>
    <xf numFmtId="0" fontId="33" fillId="32" borderId="21" xfId="0" applyFont="1" applyFill="1" applyBorder="1"/>
    <xf numFmtId="0" fontId="0" fillId="32" borderId="22" xfId="0" applyFill="1" applyBorder="1"/>
    <xf numFmtId="0" fontId="30" fillId="32" borderId="22" xfId="0" applyFont="1" applyFill="1" applyBorder="1"/>
    <xf numFmtId="0" fontId="34" fillId="33" borderId="26" xfId="0" applyFont="1" applyFill="1" applyBorder="1" applyAlignment="1">
      <alignment horizontal="center" vertical="center"/>
    </xf>
    <xf numFmtId="0" fontId="34" fillId="36" borderId="26" xfId="0" applyFont="1" applyFill="1" applyBorder="1" applyAlignment="1">
      <alignment horizontal="center" vertical="center"/>
    </xf>
    <xf numFmtId="0" fontId="34" fillId="0" borderId="26" xfId="0" applyFont="1" applyBorder="1" applyAlignment="1">
      <alignment horizontal="center" vertical="center"/>
    </xf>
    <xf numFmtId="0" fontId="19" fillId="0" borderId="27" xfId="0" applyFont="1" applyBorder="1"/>
    <xf numFmtId="0" fontId="0" fillId="0" borderId="0" xfId="0" applyAlignment="1">
      <alignment horizontal="center"/>
    </xf>
  </cellXfs>
  <cellStyles count="4">
    <cellStyle name="Bad" xfId="2" builtinId="27"/>
    <cellStyle name="Comma" xfId="1" builtinId="3"/>
    <cellStyle name="Hyperlink" xfId="3" builtinId="8"/>
    <cellStyle name="Normal" xfId="0" builtinId="0"/>
  </cellStyles>
  <dxfs count="207">
    <dxf>
      <font>
        <b/>
        <i val="0"/>
        <color theme="6"/>
      </font>
      <fill>
        <patternFill patternType="none">
          <bgColor auto="1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39994506668294322"/>
        </patternFill>
      </fill>
    </dxf>
    <dxf>
      <font>
        <b/>
        <i/>
        <color theme="6" tint="-0.24994659260841701"/>
      </font>
      <fill>
        <patternFill patternType="none">
          <bgColor auto="1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theme="7"/>
        </patternFill>
      </fill>
    </dxf>
    <dxf>
      <fill>
        <patternFill>
          <bgColor theme="8" tint="0.79998168889431442"/>
        </patternFill>
      </fill>
    </dxf>
    <dxf>
      <fill>
        <patternFill>
          <bgColor theme="5"/>
        </patternFill>
      </fill>
    </dxf>
    <dxf>
      <fill>
        <patternFill>
          <bgColor theme="8" tint="0.79998168889431442"/>
        </patternFill>
      </fill>
    </dxf>
    <dxf>
      <fill>
        <patternFill>
          <bgColor theme="5"/>
        </patternFill>
      </fill>
    </dxf>
    <dxf>
      <fill>
        <patternFill>
          <bgColor theme="8" tint="0.79998168889431442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 tint="0.59996337778862885"/>
        </patternFill>
      </fill>
    </dxf>
    <dxf>
      <font>
        <b/>
        <i val="0"/>
        <color theme="6"/>
      </font>
      <fill>
        <patternFill patternType="none">
          <bgColor auto="1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ont>
        <b/>
        <i/>
        <color theme="6" tint="-0.24994659260841701"/>
      </font>
      <fill>
        <patternFill patternType="none">
          <bgColor auto="1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ont>
        <b/>
        <i/>
        <color theme="9" tint="-0.24994659260841701"/>
      </font>
      <fill>
        <patternFill patternType="gray0625">
          <bgColor auto="1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6" tint="0.79998168889431442"/>
        </patternFill>
      </fill>
    </dxf>
    <dxf>
      <fill>
        <patternFill>
          <bgColor theme="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/>
        </patternFill>
      </fill>
    </dxf>
    <dxf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rgb="FF156082"/>
        </top>
      </border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8"/>
        </patternFill>
      </fill>
    </dxf>
    <dxf>
      <numFmt numFmtId="0" formatCode="General"/>
    </dxf>
    <dxf>
      <numFmt numFmtId="0" formatCode="General"/>
    </dxf>
    <dxf>
      <border outline="0">
        <top style="thin">
          <color rgb="FF156082"/>
        </top>
      </border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6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4" formatCode="0.00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4" formatCode="0.00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4" formatCode="0.00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4" formatCode="0.00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4" formatCode="0.00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4" formatCode="0.00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4" formatCode="0.00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D9E1F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D9E1F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D9E1F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D9E1F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D9E1F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D9E1F2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rgb="FF156082"/>
        </top>
      </border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8"/>
        </patternFill>
      </fill>
    </dxf>
    <dxf>
      <numFmt numFmtId="0" formatCode="General"/>
    </dxf>
    <dxf>
      <numFmt numFmtId="0" formatCode="General"/>
    </dxf>
    <dxf>
      <border outline="0">
        <top style="thin">
          <color rgb="FF156082"/>
        </top>
      </border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6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4" formatCode="0.00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4" formatCode="0.00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4" formatCode="0.00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4" formatCode="0.00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4" formatCode="0.00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4" formatCode="0.00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4" formatCode="0.00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D9E1F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D9E1F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D9E1F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D9E1F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D9E1F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D9E1F2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 b="1" i="0" u="none" strike="noStrike" baseline="0">
                <a:effectLst/>
              </a:rPr>
              <a:t>CH4 [g/g DDM]</a:t>
            </a:r>
            <a:r>
              <a:rPr lang="en-US" sz="800" b="0" i="0" u="none" strike="noStrike" baseline="0"/>
              <a:t> </a:t>
            </a:r>
            <a:endParaRPr lang="en-US" sz="800"/>
          </a:p>
        </c:rich>
      </c:tx>
      <c:layout>
        <c:manualLayout>
          <c:xMode val="edge"/>
          <c:yMode val="edge"/>
          <c:x val="0.50375941350089426"/>
          <c:y val="3.507374932753507E-2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259842519685048E-3"/>
          <c:y val="1.2885720996700662E-3"/>
          <c:w val="0.99337401574803152"/>
          <c:h val="0.9119874523371008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Data!$AB$20:$AB$533</c:f>
              <c:numCache>
                <c:formatCode>0.0</c:formatCode>
                <c:ptCount val="514"/>
                <c:pt idx="0">
                  <c:v>62.313963950028864</c:v>
                </c:pt>
                <c:pt idx="1">
                  <c:v>27.994521836859921</c:v>
                </c:pt>
                <c:pt idx="2">
                  <c:v>46.547159717666588</c:v>
                </c:pt>
                <c:pt idx="3">
                  <c:v>73.674927893528277</c:v>
                </c:pt>
                <c:pt idx="4">
                  <c:v>39.375506500810197</c:v>
                </c:pt>
                <c:pt idx="5">
                  <c:v>47.65616976965714</c:v>
                </c:pt>
                <c:pt idx="6">
                  <c:v>56.325839238630344</c:v>
                </c:pt>
                <c:pt idx="7">
                  <c:v>49.808204003667555</c:v>
                </c:pt>
                <c:pt idx="8">
                  <c:v>41.768828884365519</c:v>
                </c:pt>
                <c:pt idx="9">
                  <c:v>31.847942917212823</c:v>
                </c:pt>
                <c:pt idx="10">
                  <c:v>65.23054902088289</c:v>
                </c:pt>
                <c:pt idx="11">
                  <c:v>44.976841403064654</c:v>
                </c:pt>
                <c:pt idx="12">
                  <c:v>49.527014801618066</c:v>
                </c:pt>
                <c:pt idx="13">
                  <c:v>65.617117321330312</c:v>
                </c:pt>
                <c:pt idx="14">
                  <c:v>45.032392611409264</c:v>
                </c:pt>
                <c:pt idx="15">
                  <c:v>57.937330269420428</c:v>
                </c:pt>
                <c:pt idx="16">
                  <c:v>48.553782203869197</c:v>
                </c:pt>
                <c:pt idx="17">
                  <c:v>62.47152908923421</c:v>
                </c:pt>
                <c:pt idx="18">
                  <c:v>11.824517613211125</c:v>
                </c:pt>
                <c:pt idx="19">
                  <c:v>44.737549381222898</c:v>
                </c:pt>
                <c:pt idx="20">
                  <c:v>53.98805574237543</c:v>
                </c:pt>
                <c:pt idx="21">
                  <c:v>37.24369859002956</c:v>
                </c:pt>
                <c:pt idx="22">
                  <c:v>45.714046724644732</c:v>
                </c:pt>
                <c:pt idx="23">
                  <c:v>47.229210999823529</c:v>
                </c:pt>
                <c:pt idx="24">
                  <c:v>19.36659913022854</c:v>
                </c:pt>
                <c:pt idx="25">
                  <c:v>58.036849577591759</c:v>
                </c:pt>
                <c:pt idx="26">
                  <c:v>43.652704017290418</c:v>
                </c:pt>
                <c:pt idx="27">
                  <c:v>66.501363702318997</c:v>
                </c:pt>
                <c:pt idx="28">
                  <c:v>34.604935830221777</c:v>
                </c:pt>
                <c:pt idx="29">
                  <c:v>78.905078060800548</c:v>
                </c:pt>
                <c:pt idx="30">
                  <c:v>55.988905649008593</c:v>
                </c:pt>
                <c:pt idx="31">
                  <c:v>20.126166723800363</c:v>
                </c:pt>
                <c:pt idx="32">
                  <c:v>52.730062286131094</c:v>
                </c:pt>
                <c:pt idx="33">
                  <c:v>65.264038632902256</c:v>
                </c:pt>
                <c:pt idx="34">
                  <c:v>32.971578173254173</c:v>
                </c:pt>
                <c:pt idx="35">
                  <c:v>44.029010586332163</c:v>
                </c:pt>
                <c:pt idx="36">
                  <c:v>36.542731074525662</c:v>
                </c:pt>
                <c:pt idx="37">
                  <c:v>19.515200426767571</c:v>
                </c:pt>
                <c:pt idx="38">
                  <c:v>23.798066234039755</c:v>
                </c:pt>
                <c:pt idx="39">
                  <c:v>79.040099411291962</c:v>
                </c:pt>
                <c:pt idx="40">
                  <c:v>53.308834342515951</c:v>
                </c:pt>
                <c:pt idx="41">
                  <c:v>38.282516611328305</c:v>
                </c:pt>
                <c:pt idx="42">
                  <c:v>33.462020080695531</c:v>
                </c:pt>
                <c:pt idx="43">
                  <c:v>56.176829890398743</c:v>
                </c:pt>
                <c:pt idx="44">
                  <c:v>30.359715628120426</c:v>
                </c:pt>
                <c:pt idx="45">
                  <c:v>46.136583169676911</c:v>
                </c:pt>
                <c:pt idx="46">
                  <c:v>62.060152508163341</c:v>
                </c:pt>
                <c:pt idx="47">
                  <c:v>48.310773825129061</c:v>
                </c:pt>
                <c:pt idx="48">
                  <c:v>67.833500864108856</c:v>
                </c:pt>
                <c:pt idx="49">
                  <c:v>72.617574146487556</c:v>
                </c:pt>
                <c:pt idx="50">
                  <c:v>50.509583091437307</c:v>
                </c:pt>
                <c:pt idx="51">
                  <c:v>37.221972403270968</c:v>
                </c:pt>
                <c:pt idx="52">
                  <c:v>55.824704550755378</c:v>
                </c:pt>
                <c:pt idx="53">
                  <c:v>57.251834059502173</c:v>
                </c:pt>
                <c:pt idx="54">
                  <c:v>59.704575169315824</c:v>
                </c:pt>
                <c:pt idx="55">
                  <c:v>66.336220836420736</c:v>
                </c:pt>
                <c:pt idx="56">
                  <c:v>59.582818946960032</c:v>
                </c:pt>
                <c:pt idx="57">
                  <c:v>48.658552509041016</c:v>
                </c:pt>
                <c:pt idx="58">
                  <c:v>43.652040894562084</c:v>
                </c:pt>
                <c:pt idx="59">
                  <c:v>64.260324894345374</c:v>
                </c:pt>
                <c:pt idx="60">
                  <c:v>46.630912258674122</c:v>
                </c:pt>
                <c:pt idx="61">
                  <c:v>58.775137025027107</c:v>
                </c:pt>
                <c:pt idx="62">
                  <c:v>73.427284788018838</c:v>
                </c:pt>
                <c:pt idx="63">
                  <c:v>63.176668609481901</c:v>
                </c:pt>
                <c:pt idx="64">
                  <c:v>41.491797952242308</c:v>
                </c:pt>
                <c:pt idx="65">
                  <c:v>75.450740374962123</c:v>
                </c:pt>
                <c:pt idx="66">
                  <c:v>77.979963991606283</c:v>
                </c:pt>
                <c:pt idx="67">
                  <c:v>66.385168965665343</c:v>
                </c:pt>
                <c:pt idx="68">
                  <c:v>58.15359015591519</c:v>
                </c:pt>
                <c:pt idx="69">
                  <c:v>32.891805660540818</c:v>
                </c:pt>
                <c:pt idx="70">
                  <c:v>30.567148517859152</c:v>
                </c:pt>
                <c:pt idx="71">
                  <c:v>64.678155977205606</c:v>
                </c:pt>
                <c:pt idx="72">
                  <c:v>57.301319156792331</c:v>
                </c:pt>
                <c:pt idx="73">
                  <c:v>70.993555882609968</c:v>
                </c:pt>
                <c:pt idx="74">
                  <c:v>32.031405876482069</c:v>
                </c:pt>
                <c:pt idx="75">
                  <c:v>41.568169417088335</c:v>
                </c:pt>
                <c:pt idx="76">
                  <c:v>43.179970479754296</c:v>
                </c:pt>
                <c:pt idx="77">
                  <c:v>37.136605464408639</c:v>
                </c:pt>
                <c:pt idx="78">
                  <c:v>52.273331093734214</c:v>
                </c:pt>
                <c:pt idx="79">
                  <c:v>59.913071439652008</c:v>
                </c:pt>
                <c:pt idx="80">
                  <c:v>52.982065126939439</c:v>
                </c:pt>
                <c:pt idx="81">
                  <c:v>38.53472680424931</c:v>
                </c:pt>
                <c:pt idx="82">
                  <c:v>56.688026704580658</c:v>
                </c:pt>
                <c:pt idx="83">
                  <c:v>75.695820131233589</c:v>
                </c:pt>
                <c:pt idx="84">
                  <c:v>52.057538578823483</c:v>
                </c:pt>
                <c:pt idx="85">
                  <c:v>37.739570480357344</c:v>
                </c:pt>
                <c:pt idx="86">
                  <c:v>66.466700393449401</c:v>
                </c:pt>
                <c:pt idx="87">
                  <c:v>51.407467322334057</c:v>
                </c:pt>
                <c:pt idx="88">
                  <c:v>46.673823725521302</c:v>
                </c:pt>
                <c:pt idx="89">
                  <c:v>62.261356081930508</c:v>
                </c:pt>
                <c:pt idx="90">
                  <c:v>59.91400381613947</c:v>
                </c:pt>
                <c:pt idx="91">
                  <c:v>47.289574739364831</c:v>
                </c:pt>
                <c:pt idx="92">
                  <c:v>55.048198514017578</c:v>
                </c:pt>
                <c:pt idx="93">
                  <c:v>50.223599581489665</c:v>
                </c:pt>
                <c:pt idx="94">
                  <c:v>36.660106496827353</c:v>
                </c:pt>
                <c:pt idx="95">
                  <c:v>31.976739778042766</c:v>
                </c:pt>
                <c:pt idx="96">
                  <c:v>71.720100547855466</c:v>
                </c:pt>
                <c:pt idx="97">
                  <c:v>65.181529583055848</c:v>
                </c:pt>
                <c:pt idx="98">
                  <c:v>47.825725738041882</c:v>
                </c:pt>
                <c:pt idx="99">
                  <c:v>80.91369070164879</c:v>
                </c:pt>
                <c:pt idx="100">
                  <c:v>39.534431962752926</c:v>
                </c:pt>
                <c:pt idx="101">
                  <c:v>60.757697144991354</c:v>
                </c:pt>
                <c:pt idx="102">
                  <c:v>21.250823982892268</c:v>
                </c:pt>
                <c:pt idx="103">
                  <c:v>56.043337855051682</c:v>
                </c:pt>
                <c:pt idx="104">
                  <c:v>46.402506625162616</c:v>
                </c:pt>
                <c:pt idx="105">
                  <c:v>54.498020364504001</c:v>
                </c:pt>
                <c:pt idx="106">
                  <c:v>53.353988046724503</c:v>
                </c:pt>
                <c:pt idx="107">
                  <c:v>56.868149059145971</c:v>
                </c:pt>
                <c:pt idx="108">
                  <c:v>55.451378668639613</c:v>
                </c:pt>
                <c:pt idx="109">
                  <c:v>47.907144455359784</c:v>
                </c:pt>
                <c:pt idx="110">
                  <c:v>39.970822395360052</c:v>
                </c:pt>
                <c:pt idx="111">
                  <c:v>49.599342417365364</c:v>
                </c:pt>
                <c:pt idx="112">
                  <c:v>57.602617991348723</c:v>
                </c:pt>
                <c:pt idx="113">
                  <c:v>47.841481641795461</c:v>
                </c:pt>
                <c:pt idx="114">
                  <c:v>46.561646114097556</c:v>
                </c:pt>
                <c:pt idx="115">
                  <c:v>54.71396473161991</c:v>
                </c:pt>
                <c:pt idx="116">
                  <c:v>46.136175734792545</c:v>
                </c:pt>
                <c:pt idx="117">
                  <c:v>63.902006168403176</c:v>
                </c:pt>
                <c:pt idx="118">
                  <c:v>51.546512885361025</c:v>
                </c:pt>
                <c:pt idx="119">
                  <c:v>62.821287440388232</c:v>
                </c:pt>
                <c:pt idx="120">
                  <c:v>42.292347707350459</c:v>
                </c:pt>
                <c:pt idx="121">
                  <c:v>65.964824316458092</c:v>
                </c:pt>
                <c:pt idx="122">
                  <c:v>57.087318519437076</c:v>
                </c:pt>
                <c:pt idx="123">
                  <c:v>67.137690340436549</c:v>
                </c:pt>
                <c:pt idx="124">
                  <c:v>53.5900570892262</c:v>
                </c:pt>
                <c:pt idx="125">
                  <c:v>57.423466917659717</c:v>
                </c:pt>
                <c:pt idx="126">
                  <c:v>55.837399743513096</c:v>
                </c:pt>
                <c:pt idx="127">
                  <c:v>37.785114193483501</c:v>
                </c:pt>
                <c:pt idx="128">
                  <c:v>62.311007758868072</c:v>
                </c:pt>
                <c:pt idx="129">
                  <c:v>59.337668073502073</c:v>
                </c:pt>
                <c:pt idx="130">
                  <c:v>60.52839956196631</c:v>
                </c:pt>
                <c:pt idx="131">
                  <c:v>41.449854554321853</c:v>
                </c:pt>
                <c:pt idx="132">
                  <c:v>68.477000656226366</c:v>
                </c:pt>
                <c:pt idx="133">
                  <c:v>72.505080964805174</c:v>
                </c:pt>
                <c:pt idx="134">
                  <c:v>50.498161702817178</c:v>
                </c:pt>
                <c:pt idx="135">
                  <c:v>55.735741749482592</c:v>
                </c:pt>
                <c:pt idx="136">
                  <c:v>45.88636324490718</c:v>
                </c:pt>
                <c:pt idx="137">
                  <c:v>54.1793511532236</c:v>
                </c:pt>
                <c:pt idx="138">
                  <c:v>61.793192343547673</c:v>
                </c:pt>
                <c:pt idx="139">
                  <c:v>49.373941242911748</c:v>
                </c:pt>
                <c:pt idx="140">
                  <c:v>63.506757932571084</c:v>
                </c:pt>
                <c:pt idx="141">
                  <c:v>51.224815493925128</c:v>
                </c:pt>
                <c:pt idx="142">
                  <c:v>51.32741736300067</c:v>
                </c:pt>
                <c:pt idx="143">
                  <c:v>78.031077381343394</c:v>
                </c:pt>
                <c:pt idx="144">
                  <c:v>57.503361037725966</c:v>
                </c:pt>
                <c:pt idx="145">
                  <c:v>84.963255181639781</c:v>
                </c:pt>
                <c:pt idx="146">
                  <c:v>66.664879750756143</c:v>
                </c:pt>
                <c:pt idx="147">
                  <c:v>48.975058150451758</c:v>
                </c:pt>
                <c:pt idx="148">
                  <c:v>75.187475359211703</c:v>
                </c:pt>
                <c:pt idx="149">
                  <c:v>65.406523259979295</c:v>
                </c:pt>
                <c:pt idx="150">
                  <c:v>50.795229053141419</c:v>
                </c:pt>
                <c:pt idx="151">
                  <c:v>50.114235052570706</c:v>
                </c:pt>
                <c:pt idx="152">
                  <c:v>43.124226866613022</c:v>
                </c:pt>
                <c:pt idx="153">
                  <c:v>52.501722262678314</c:v>
                </c:pt>
                <c:pt idx="154">
                  <c:v>62.986132934050616</c:v>
                </c:pt>
                <c:pt idx="155">
                  <c:v>61.840466709707627</c:v>
                </c:pt>
                <c:pt idx="156">
                  <c:v>57.774307489490973</c:v>
                </c:pt>
                <c:pt idx="157">
                  <c:v>41.604073486651053</c:v>
                </c:pt>
                <c:pt idx="158">
                  <c:v>47.849125664970678</c:v>
                </c:pt>
                <c:pt idx="159">
                  <c:v>47.092540576782369</c:v>
                </c:pt>
                <c:pt idx="160">
                  <c:v>55.871429932183105</c:v>
                </c:pt>
                <c:pt idx="161">
                  <c:v>60.664684512729785</c:v>
                </c:pt>
                <c:pt idx="162">
                  <c:v>62.593211961366634</c:v>
                </c:pt>
                <c:pt idx="163">
                  <c:v>13.066077728704201</c:v>
                </c:pt>
                <c:pt idx="164">
                  <c:v>48.092115708914356</c:v>
                </c:pt>
                <c:pt idx="165">
                  <c:v>70.034113304650148</c:v>
                </c:pt>
                <c:pt idx="166">
                  <c:v>56.799093373015651</c:v>
                </c:pt>
                <c:pt idx="167">
                  <c:v>44.815312801569284</c:v>
                </c:pt>
                <c:pt idx="168">
                  <c:v>60.531037333171305</c:v>
                </c:pt>
                <c:pt idx="169">
                  <c:v>68.51958130508055</c:v>
                </c:pt>
                <c:pt idx="170">
                  <c:v>39.463110206605322</c:v>
                </c:pt>
                <c:pt idx="171">
                  <c:v>57.162559365792951</c:v>
                </c:pt>
                <c:pt idx="172">
                  <c:v>44.131952453347097</c:v>
                </c:pt>
                <c:pt idx="173">
                  <c:v>49.989998931056974</c:v>
                </c:pt>
                <c:pt idx="174">
                  <c:v>64.557029234352655</c:v>
                </c:pt>
                <c:pt idx="175">
                  <c:v>40.698244200503872</c:v>
                </c:pt>
                <c:pt idx="176">
                  <c:v>54.067715310085596</c:v>
                </c:pt>
                <c:pt idx="177">
                  <c:v>71.42742265415275</c:v>
                </c:pt>
                <c:pt idx="178">
                  <c:v>62.708997979342193</c:v>
                </c:pt>
                <c:pt idx="179">
                  <c:v>54.964934943910364</c:v>
                </c:pt>
                <c:pt idx="180">
                  <c:v>51.309917636602954</c:v>
                </c:pt>
                <c:pt idx="181">
                  <c:v>46.586539472493392</c:v>
                </c:pt>
                <c:pt idx="182">
                  <c:v>48.802745463215281</c:v>
                </c:pt>
                <c:pt idx="183">
                  <c:v>66.088623579772076</c:v>
                </c:pt>
                <c:pt idx="184">
                  <c:v>51.920362473071819</c:v>
                </c:pt>
                <c:pt idx="185">
                  <c:v>73.847108561610554</c:v>
                </c:pt>
                <c:pt idx="186">
                  <c:v>54.477086255208313</c:v>
                </c:pt>
                <c:pt idx="187">
                  <c:v>41.583602592799885</c:v>
                </c:pt>
                <c:pt idx="188">
                  <c:v>63.427057282290463</c:v>
                </c:pt>
                <c:pt idx="189">
                  <c:v>57.871705278512636</c:v>
                </c:pt>
                <c:pt idx="190">
                  <c:v>58.50312893315526</c:v>
                </c:pt>
                <c:pt idx="191">
                  <c:v>81.731190152966363</c:v>
                </c:pt>
                <c:pt idx="192">
                  <c:v>47.829898145722133</c:v>
                </c:pt>
                <c:pt idx="193">
                  <c:v>50.446798865294753</c:v>
                </c:pt>
                <c:pt idx="194">
                  <c:v>57.526135627139638</c:v>
                </c:pt>
                <c:pt idx="195">
                  <c:v>64.315244723329158</c:v>
                </c:pt>
                <c:pt idx="196">
                  <c:v>49.71020104908542</c:v>
                </c:pt>
                <c:pt idx="197">
                  <c:v>40.1232848516985</c:v>
                </c:pt>
                <c:pt idx="198">
                  <c:v>55.012016793450087</c:v>
                </c:pt>
                <c:pt idx="199">
                  <c:v>55.673673071369258</c:v>
                </c:pt>
                <c:pt idx="200">
                  <c:v>67.071119872403486</c:v>
                </c:pt>
                <c:pt idx="202">
                  <c:v>55.290277042498197</c:v>
                </c:pt>
                <c:pt idx="203">
                  <c:v>31.385581826435207</c:v>
                </c:pt>
                <c:pt idx="204">
                  <c:v>56.660392569287197</c:v>
                </c:pt>
                <c:pt idx="205">
                  <c:v>38.848304028540127</c:v>
                </c:pt>
                <c:pt idx="206">
                  <c:v>34.306178652637399</c:v>
                </c:pt>
                <c:pt idx="207">
                  <c:v>42.493980686273417</c:v>
                </c:pt>
                <c:pt idx="208">
                  <c:v>44.099402589484754</c:v>
                </c:pt>
                <c:pt idx="209">
                  <c:v>59.027403521765763</c:v>
                </c:pt>
                <c:pt idx="210">
                  <c:v>62.652801830458777</c:v>
                </c:pt>
                <c:pt idx="211">
                  <c:v>62.050177423853974</c:v>
                </c:pt>
                <c:pt idx="212">
                  <c:v>57.23397152666444</c:v>
                </c:pt>
                <c:pt idx="213">
                  <c:v>45.469566824192114</c:v>
                </c:pt>
                <c:pt idx="214">
                  <c:v>56.148720538517466</c:v>
                </c:pt>
                <c:pt idx="215">
                  <c:v>72.748740965295354</c:v>
                </c:pt>
                <c:pt idx="216">
                  <c:v>48.18357743051736</c:v>
                </c:pt>
                <c:pt idx="217">
                  <c:v>40.849985621771651</c:v>
                </c:pt>
                <c:pt idx="218">
                  <c:v>45.808770039583948</c:v>
                </c:pt>
                <c:pt idx="219">
                  <c:v>71.116339648336066</c:v>
                </c:pt>
                <c:pt idx="220">
                  <c:v>44.578442110743708</c:v>
                </c:pt>
                <c:pt idx="221">
                  <c:v>61.713653368199942</c:v>
                </c:pt>
                <c:pt idx="222">
                  <c:v>46.335211208955307</c:v>
                </c:pt>
                <c:pt idx="223">
                  <c:v>51.43303367662481</c:v>
                </c:pt>
                <c:pt idx="224">
                  <c:v>59.362821167707452</c:v>
                </c:pt>
                <c:pt idx="225">
                  <c:v>59.436143742952247</c:v>
                </c:pt>
                <c:pt idx="226">
                  <c:v>47.189501793529232</c:v>
                </c:pt>
                <c:pt idx="228">
                  <c:v>40.512833769036519</c:v>
                </c:pt>
                <c:pt idx="229">
                  <c:v>67.466134569695228</c:v>
                </c:pt>
                <c:pt idx="230">
                  <c:v>52.015535784202946</c:v>
                </c:pt>
                <c:pt idx="231">
                  <c:v>47.535591654677646</c:v>
                </c:pt>
                <c:pt idx="232">
                  <c:v>53.648995215543316</c:v>
                </c:pt>
                <c:pt idx="233">
                  <c:v>58.957975956237206</c:v>
                </c:pt>
                <c:pt idx="234">
                  <c:v>56.796176257235949</c:v>
                </c:pt>
                <c:pt idx="235">
                  <c:v>58.014667567559663</c:v>
                </c:pt>
                <c:pt idx="236">
                  <c:v>63.997233960544868</c:v>
                </c:pt>
                <c:pt idx="237">
                  <c:v>47.55981426769339</c:v>
                </c:pt>
                <c:pt idx="238">
                  <c:v>69.856530322354232</c:v>
                </c:pt>
                <c:pt idx="239">
                  <c:v>50.901078517223446</c:v>
                </c:pt>
                <c:pt idx="240">
                  <c:v>55.741002619535806</c:v>
                </c:pt>
                <c:pt idx="241">
                  <c:v>70.379844034894617</c:v>
                </c:pt>
                <c:pt idx="242">
                  <c:v>12.404286735627695</c:v>
                </c:pt>
                <c:pt idx="243">
                  <c:v>65.786156190448551</c:v>
                </c:pt>
                <c:pt idx="244">
                  <c:v>46.755107941734067</c:v>
                </c:pt>
                <c:pt idx="245">
                  <c:v>43.380599256622816</c:v>
                </c:pt>
                <c:pt idx="246">
                  <c:v>52.311289294370603</c:v>
                </c:pt>
                <c:pt idx="247">
                  <c:v>60.538803647793202</c:v>
                </c:pt>
                <c:pt idx="248">
                  <c:v>27.051560789635289</c:v>
                </c:pt>
                <c:pt idx="249">
                  <c:v>77.564209851909268</c:v>
                </c:pt>
                <c:pt idx="250">
                  <c:v>39.422626093176767</c:v>
                </c:pt>
                <c:pt idx="251">
                  <c:v>55.20167145361345</c:v>
                </c:pt>
                <c:pt idx="252">
                  <c:v>51.793487742406604</c:v>
                </c:pt>
                <c:pt idx="253">
                  <c:v>57.689091405518461</c:v>
                </c:pt>
                <c:pt idx="254">
                  <c:v>60.231236294575332</c:v>
                </c:pt>
                <c:pt idx="255">
                  <c:v>60.256804833025697</c:v>
                </c:pt>
                <c:pt idx="256">
                  <c:v>46.966010760247386</c:v>
                </c:pt>
                <c:pt idx="257">
                  <c:v>34.178339193404391</c:v>
                </c:pt>
                <c:pt idx="258">
                  <c:v>48.638064542509476</c:v>
                </c:pt>
                <c:pt idx="259">
                  <c:v>61.171031704528652</c:v>
                </c:pt>
                <c:pt idx="260">
                  <c:v>54.2705845991171</c:v>
                </c:pt>
                <c:pt idx="261">
                  <c:v>65.017360307675119</c:v>
                </c:pt>
                <c:pt idx="262">
                  <c:v>46.613970698010789</c:v>
                </c:pt>
                <c:pt idx="263">
                  <c:v>50.636799554455415</c:v>
                </c:pt>
                <c:pt idx="264">
                  <c:v>58.813153371703187</c:v>
                </c:pt>
                <c:pt idx="265">
                  <c:v>48.203069201618128</c:v>
                </c:pt>
                <c:pt idx="266">
                  <c:v>67.818417811704734</c:v>
                </c:pt>
                <c:pt idx="267">
                  <c:v>54.486456292721385</c:v>
                </c:pt>
                <c:pt idx="268">
                  <c:v>53.863268340115788</c:v>
                </c:pt>
                <c:pt idx="269">
                  <c:v>46.655399788230881</c:v>
                </c:pt>
                <c:pt idx="270">
                  <c:v>56.750299386546168</c:v>
                </c:pt>
                <c:pt idx="271">
                  <c:v>49.779086410720623</c:v>
                </c:pt>
                <c:pt idx="272">
                  <c:v>65.47018905551684</c:v>
                </c:pt>
                <c:pt idx="273">
                  <c:v>49.196950160051614</c:v>
                </c:pt>
                <c:pt idx="274">
                  <c:v>56.35096754285744</c:v>
                </c:pt>
                <c:pt idx="275">
                  <c:v>51.405748329373644</c:v>
                </c:pt>
                <c:pt idx="276">
                  <c:v>61.947810285686948</c:v>
                </c:pt>
                <c:pt idx="277">
                  <c:v>65.893879339678278</c:v>
                </c:pt>
                <c:pt idx="278">
                  <c:v>53.646084115585815</c:v>
                </c:pt>
                <c:pt idx="279">
                  <c:v>51.723837677113018</c:v>
                </c:pt>
                <c:pt idx="280">
                  <c:v>63.393911502876449</c:v>
                </c:pt>
                <c:pt idx="281">
                  <c:v>49.989399279916789</c:v>
                </c:pt>
                <c:pt idx="282">
                  <c:v>53.72536671879827</c:v>
                </c:pt>
                <c:pt idx="283">
                  <c:v>40.86542975415113</c:v>
                </c:pt>
                <c:pt idx="284">
                  <c:v>56.836839592033527</c:v>
                </c:pt>
                <c:pt idx="285">
                  <c:v>56.834254076854826</c:v>
                </c:pt>
                <c:pt idx="286">
                  <c:v>55.037410765451206</c:v>
                </c:pt>
                <c:pt idx="287">
                  <c:v>63.859960927557331</c:v>
                </c:pt>
                <c:pt idx="288">
                  <c:v>52.835641257533673</c:v>
                </c:pt>
                <c:pt idx="289">
                  <c:v>39.679256300094117</c:v>
                </c:pt>
                <c:pt idx="290">
                  <c:v>49.92526507037244</c:v>
                </c:pt>
                <c:pt idx="291">
                  <c:v>54.845590364155257</c:v>
                </c:pt>
                <c:pt idx="292">
                  <c:v>60.039880100315131</c:v>
                </c:pt>
                <c:pt idx="293">
                  <c:v>53.861058677241481</c:v>
                </c:pt>
                <c:pt idx="294">
                  <c:v>65.690076756537977</c:v>
                </c:pt>
                <c:pt idx="295">
                  <c:v>55.742991485288186</c:v>
                </c:pt>
                <c:pt idx="296">
                  <c:v>51.159968874163219</c:v>
                </c:pt>
                <c:pt idx="297">
                  <c:v>52.069016217394449</c:v>
                </c:pt>
                <c:pt idx="298">
                  <c:v>53.946044063391462</c:v>
                </c:pt>
                <c:pt idx="299">
                  <c:v>57.116091691669297</c:v>
                </c:pt>
                <c:pt idx="300">
                  <c:v>63.170835385013085</c:v>
                </c:pt>
                <c:pt idx="301">
                  <c:v>72.292024297989229</c:v>
                </c:pt>
                <c:pt idx="302">
                  <c:v>44.318656660877487</c:v>
                </c:pt>
                <c:pt idx="303">
                  <c:v>50.39495153399767</c:v>
                </c:pt>
                <c:pt idx="304">
                  <c:v>67.744030375681803</c:v>
                </c:pt>
                <c:pt idx="305">
                  <c:v>53.916733627058029</c:v>
                </c:pt>
                <c:pt idx="306">
                  <c:v>49.939317730855031</c:v>
                </c:pt>
                <c:pt idx="307">
                  <c:v>48.402740596648059</c:v>
                </c:pt>
                <c:pt idx="308">
                  <c:v>68.251340464811904</c:v>
                </c:pt>
                <c:pt idx="309">
                  <c:v>54.123798633070308</c:v>
                </c:pt>
                <c:pt idx="310">
                  <c:v>60.609726761052201</c:v>
                </c:pt>
                <c:pt idx="311">
                  <c:v>72.356108774218654</c:v>
                </c:pt>
                <c:pt idx="312">
                  <c:v>59.2189618517559</c:v>
                </c:pt>
                <c:pt idx="313">
                  <c:v>48.362867458318817</c:v>
                </c:pt>
                <c:pt idx="314">
                  <c:v>55.735930099159013</c:v>
                </c:pt>
                <c:pt idx="315">
                  <c:v>70.858583830603564</c:v>
                </c:pt>
                <c:pt idx="316">
                  <c:v>84.841001754226411</c:v>
                </c:pt>
                <c:pt idx="317">
                  <c:v>72.45532743379907</c:v>
                </c:pt>
                <c:pt idx="318">
                  <c:v>54.318042322823665</c:v>
                </c:pt>
                <c:pt idx="319">
                  <c:v>59.894801464350692</c:v>
                </c:pt>
                <c:pt idx="320">
                  <c:v>52.838465754148565</c:v>
                </c:pt>
                <c:pt idx="321">
                  <c:v>64.857151686206663</c:v>
                </c:pt>
                <c:pt idx="322">
                  <c:v>68.764168560447942</c:v>
                </c:pt>
                <c:pt idx="323">
                  <c:v>61.934262183661836</c:v>
                </c:pt>
                <c:pt idx="324">
                  <c:v>53.012307122099521</c:v>
                </c:pt>
                <c:pt idx="325">
                  <c:v>57.879146316592681</c:v>
                </c:pt>
                <c:pt idx="326">
                  <c:v>66.985469267535819</c:v>
                </c:pt>
                <c:pt idx="327">
                  <c:v>35.193186991626611</c:v>
                </c:pt>
                <c:pt idx="328">
                  <c:v>39.049325444095516</c:v>
                </c:pt>
                <c:pt idx="329">
                  <c:v>62.982152263009695</c:v>
                </c:pt>
                <c:pt idx="330">
                  <c:v>51.702350688729325</c:v>
                </c:pt>
                <c:pt idx="331">
                  <c:v>60.934377610422978</c:v>
                </c:pt>
                <c:pt idx="332">
                  <c:v>33.462723127050303</c:v>
                </c:pt>
                <c:pt idx="333">
                  <c:v>42.198366141951851</c:v>
                </c:pt>
                <c:pt idx="334">
                  <c:v>52.137194207619714</c:v>
                </c:pt>
                <c:pt idx="335">
                  <c:v>65.616122256044989</c:v>
                </c:pt>
                <c:pt idx="336">
                  <c:v>63.913761357117295</c:v>
                </c:pt>
                <c:pt idx="337">
                  <c:v>65.826606461364733</c:v>
                </c:pt>
                <c:pt idx="338">
                  <c:v>50.287647406792502</c:v>
                </c:pt>
                <c:pt idx="339">
                  <c:v>48.403340595442224</c:v>
                </c:pt>
                <c:pt idx="340">
                  <c:v>49.902876645197217</c:v>
                </c:pt>
                <c:pt idx="341">
                  <c:v>47.334178213253608</c:v>
                </c:pt>
                <c:pt idx="342">
                  <c:v>58.502506826975278</c:v>
                </c:pt>
                <c:pt idx="343">
                  <c:v>60.174014741865221</c:v>
                </c:pt>
                <c:pt idx="344">
                  <c:v>58.168186676602353</c:v>
                </c:pt>
                <c:pt idx="345">
                  <c:v>67.833372680538346</c:v>
                </c:pt>
                <c:pt idx="346">
                  <c:v>29.066046997966733</c:v>
                </c:pt>
                <c:pt idx="347">
                  <c:v>47.283143767049133</c:v>
                </c:pt>
                <c:pt idx="348">
                  <c:v>62.817365508760226</c:v>
                </c:pt>
                <c:pt idx="349">
                  <c:v>60.904419133398378</c:v>
                </c:pt>
                <c:pt idx="350">
                  <c:v>50.372949659269942</c:v>
                </c:pt>
                <c:pt idx="351">
                  <c:v>33.970503260085437</c:v>
                </c:pt>
                <c:pt idx="352">
                  <c:v>74.721544933147257</c:v>
                </c:pt>
                <c:pt idx="353">
                  <c:v>56.824730688086859</c:v>
                </c:pt>
                <c:pt idx="354">
                  <c:v>63.011817739450208</c:v>
                </c:pt>
                <c:pt idx="355">
                  <c:v>51.801916540953655</c:v>
                </c:pt>
                <c:pt idx="356">
                  <c:v>52.796477392276692</c:v>
                </c:pt>
                <c:pt idx="357">
                  <c:v>50.613499005209277</c:v>
                </c:pt>
                <c:pt idx="358">
                  <c:v>69.004255657751941</c:v>
                </c:pt>
                <c:pt idx="359">
                  <c:v>51.41226729116655</c:v>
                </c:pt>
                <c:pt idx="360">
                  <c:v>36.540328313662179</c:v>
                </c:pt>
                <c:pt idx="361">
                  <c:v>39.925964220859427</c:v>
                </c:pt>
                <c:pt idx="362">
                  <c:v>62.178374552910128</c:v>
                </c:pt>
                <c:pt idx="363">
                  <c:v>55.991110369819808</c:v>
                </c:pt>
                <c:pt idx="364">
                  <c:v>62.576092122355625</c:v>
                </c:pt>
                <c:pt idx="365">
                  <c:v>67.280304913682315</c:v>
                </c:pt>
                <c:pt idx="366">
                  <c:v>66.091418067633839</c:v>
                </c:pt>
                <c:pt idx="367">
                  <c:v>61.785765873730213</c:v>
                </c:pt>
                <c:pt idx="368">
                  <c:v>57.361942353161574</c:v>
                </c:pt>
                <c:pt idx="369">
                  <c:v>66.566315333155345</c:v>
                </c:pt>
                <c:pt idx="370">
                  <c:v>72.916567890306737</c:v>
                </c:pt>
                <c:pt idx="371">
                  <c:v>70.481482343295099</c:v>
                </c:pt>
                <c:pt idx="372">
                  <c:v>53.342135860541433</c:v>
                </c:pt>
                <c:pt idx="373">
                  <c:v>43.532339451280642</c:v>
                </c:pt>
                <c:pt idx="374">
                  <c:v>51.764557426450772</c:v>
                </c:pt>
                <c:pt idx="375">
                  <c:v>52.483632928855059</c:v>
                </c:pt>
                <c:pt idx="376">
                  <c:v>38.567861677876387</c:v>
                </c:pt>
                <c:pt idx="377">
                  <c:v>60.056395551860682</c:v>
                </c:pt>
                <c:pt idx="378">
                  <c:v>70.597947865512097</c:v>
                </c:pt>
                <c:pt idx="379">
                  <c:v>65.26386897846065</c:v>
                </c:pt>
                <c:pt idx="380">
                  <c:v>48.036496379680457</c:v>
                </c:pt>
                <c:pt idx="381">
                  <c:v>44.310148022457703</c:v>
                </c:pt>
                <c:pt idx="382">
                  <c:v>66.781214014249542</c:v>
                </c:pt>
                <c:pt idx="383">
                  <c:v>59.286028320194859</c:v>
                </c:pt>
                <c:pt idx="384">
                  <c:v>48.530639246895625</c:v>
                </c:pt>
                <c:pt idx="385">
                  <c:v>63.482449244149464</c:v>
                </c:pt>
                <c:pt idx="386">
                  <c:v>71.535430761075105</c:v>
                </c:pt>
                <c:pt idx="387">
                  <c:v>49.041555209655648</c:v>
                </c:pt>
                <c:pt idx="388">
                  <c:v>61.151183431675626</c:v>
                </c:pt>
                <c:pt idx="389">
                  <c:v>44.085781878283321</c:v>
                </c:pt>
                <c:pt idx="390">
                  <c:v>68.122881850667127</c:v>
                </c:pt>
                <c:pt idx="391">
                  <c:v>51.890579733384826</c:v>
                </c:pt>
                <c:pt idx="392">
                  <c:v>58.749568767044636</c:v>
                </c:pt>
                <c:pt idx="393">
                  <c:v>74.397260643633373</c:v>
                </c:pt>
                <c:pt idx="394">
                  <c:v>49.226525235904894</c:v>
                </c:pt>
                <c:pt idx="395">
                  <c:v>39.063051647480329</c:v>
                </c:pt>
                <c:pt idx="396">
                  <c:v>45.188347025702477</c:v>
                </c:pt>
                <c:pt idx="397">
                  <c:v>46.964413667399398</c:v>
                </c:pt>
                <c:pt idx="398">
                  <c:v>51.107481142208037</c:v>
                </c:pt>
                <c:pt idx="399">
                  <c:v>20.276209244900439</c:v>
                </c:pt>
                <c:pt idx="400">
                  <c:v>55.912709195241831</c:v>
                </c:pt>
                <c:pt idx="401">
                  <c:v>72.290015011625087</c:v>
                </c:pt>
                <c:pt idx="402">
                  <c:v>72.397766355391028</c:v>
                </c:pt>
                <c:pt idx="403">
                  <c:v>62.529997585602928</c:v>
                </c:pt>
                <c:pt idx="404">
                  <c:v>68.019590745154176</c:v>
                </c:pt>
                <c:pt idx="405">
                  <c:v>60.481541066717462</c:v>
                </c:pt>
                <c:pt idx="406">
                  <c:v>65.915127288237059</c:v>
                </c:pt>
                <c:pt idx="407">
                  <c:v>58.580192880624288</c:v>
                </c:pt>
                <c:pt idx="408">
                  <c:v>57.253132141557991</c:v>
                </c:pt>
                <c:pt idx="409">
                  <c:v>60.957035842444249</c:v>
                </c:pt>
                <c:pt idx="410">
                  <c:v>47.829210944743743</c:v>
                </c:pt>
                <c:pt idx="411">
                  <c:v>62.230273812184542</c:v>
                </c:pt>
                <c:pt idx="412">
                  <c:v>56.105404528422639</c:v>
                </c:pt>
                <c:pt idx="413">
                  <c:v>58.69687425506153</c:v>
                </c:pt>
                <c:pt idx="414">
                  <c:v>68.1926272369532</c:v>
                </c:pt>
                <c:pt idx="415">
                  <c:v>41.159638736004034</c:v>
                </c:pt>
                <c:pt idx="416">
                  <c:v>71.015562009630514</c:v>
                </c:pt>
                <c:pt idx="417">
                  <c:v>66.829212437139375</c:v>
                </c:pt>
                <c:pt idx="418">
                  <c:v>61.158750430972866</c:v>
                </c:pt>
                <c:pt idx="419">
                  <c:v>51.927471288069832</c:v>
                </c:pt>
                <c:pt idx="420">
                  <c:v>61.004824164427596</c:v>
                </c:pt>
                <c:pt idx="421">
                  <c:v>50.837985628644368</c:v>
                </c:pt>
                <c:pt idx="422">
                  <c:v>63.779736257062169</c:v>
                </c:pt>
                <c:pt idx="423">
                  <c:v>72.689535927620042</c:v>
                </c:pt>
                <c:pt idx="424">
                  <c:v>65.388476685356153</c:v>
                </c:pt>
                <c:pt idx="425">
                  <c:v>65.057159561802251</c:v>
                </c:pt>
                <c:pt idx="426">
                  <c:v>56.659603566294429</c:v>
                </c:pt>
                <c:pt idx="427">
                  <c:v>56.640685217567125</c:v>
                </c:pt>
                <c:pt idx="428">
                  <c:v>55.641990769017681</c:v>
                </c:pt>
                <c:pt idx="429">
                  <c:v>28.164052005709401</c:v>
                </c:pt>
                <c:pt idx="430">
                  <c:v>65.446080263838113</c:v>
                </c:pt>
                <c:pt idx="431">
                  <c:v>50.427481792706402</c:v>
                </c:pt>
                <c:pt idx="432">
                  <c:v>65.228265630513761</c:v>
                </c:pt>
                <c:pt idx="433">
                  <c:v>52.540746784760152</c:v>
                </c:pt>
                <c:pt idx="434">
                  <c:v>49.499432191301395</c:v>
                </c:pt>
                <c:pt idx="435">
                  <c:v>54.117360543668632</c:v>
                </c:pt>
                <c:pt idx="436">
                  <c:v>35.470410444784747</c:v>
                </c:pt>
                <c:pt idx="437">
                  <c:v>56.496112694482541</c:v>
                </c:pt>
                <c:pt idx="438">
                  <c:v>63.011929820973393</c:v>
                </c:pt>
                <c:pt idx="439">
                  <c:v>58.782690556931477</c:v>
                </c:pt>
                <c:pt idx="440">
                  <c:v>47.291372038172355</c:v>
                </c:pt>
                <c:pt idx="441">
                  <c:v>54.678532825983645</c:v>
                </c:pt>
                <c:pt idx="442">
                  <c:v>60.811418620174933</c:v>
                </c:pt>
                <c:pt idx="443">
                  <c:v>52.20194043423016</c:v>
                </c:pt>
                <c:pt idx="444">
                  <c:v>60.171953753189804</c:v>
                </c:pt>
                <c:pt idx="445">
                  <c:v>22.412851789098188</c:v>
                </c:pt>
                <c:pt idx="446">
                  <c:v>54.895329332252842</c:v>
                </c:pt>
                <c:pt idx="447">
                  <c:v>39.047240074181495</c:v>
                </c:pt>
                <c:pt idx="448">
                  <c:v>41.378843951625704</c:v>
                </c:pt>
                <c:pt idx="449">
                  <c:v>43.139767852960667</c:v>
                </c:pt>
                <c:pt idx="450">
                  <c:v>70.674465195573731</c:v>
                </c:pt>
                <c:pt idx="451">
                  <c:v>23.090529916850386</c:v>
                </c:pt>
                <c:pt idx="452">
                  <c:v>57.512590144950444</c:v>
                </c:pt>
                <c:pt idx="453">
                  <c:v>62.959796414057578</c:v>
                </c:pt>
                <c:pt idx="454">
                  <c:v>51.205465592144854</c:v>
                </c:pt>
                <c:pt idx="455">
                  <c:v>53.041271838289568</c:v>
                </c:pt>
                <c:pt idx="456">
                  <c:v>42.945039979730957</c:v>
                </c:pt>
                <c:pt idx="457">
                  <c:v>60.375989158325744</c:v>
                </c:pt>
                <c:pt idx="458">
                  <c:v>39.133644607055629</c:v>
                </c:pt>
                <c:pt idx="459">
                  <c:v>44.498475986445328</c:v>
                </c:pt>
                <c:pt idx="460">
                  <c:v>53.042993739206572</c:v>
                </c:pt>
                <c:pt idx="461">
                  <c:v>40.311161771749184</c:v>
                </c:pt>
                <c:pt idx="462">
                  <c:v>49.415173641805026</c:v>
                </c:pt>
                <c:pt idx="463">
                  <c:v>18.500528829173827</c:v>
                </c:pt>
                <c:pt idx="464">
                  <c:v>65.878063557220315</c:v>
                </c:pt>
                <c:pt idx="465">
                  <c:v>52.201085552691687</c:v>
                </c:pt>
                <c:pt idx="466">
                  <c:v>61.161525617033085</c:v>
                </c:pt>
                <c:pt idx="467">
                  <c:v>53.27320523557993</c:v>
                </c:pt>
                <c:pt idx="468">
                  <c:v>52.957160790822556</c:v>
                </c:pt>
                <c:pt idx="469">
                  <c:v>45.213150764762347</c:v>
                </c:pt>
                <c:pt idx="470">
                  <c:v>54.350660120137981</c:v>
                </c:pt>
                <c:pt idx="471">
                  <c:v>39.603516434764884</c:v>
                </c:pt>
                <c:pt idx="472">
                  <c:v>56.115192496598056</c:v>
                </c:pt>
                <c:pt idx="473">
                  <c:v>62.803379291982459</c:v>
                </c:pt>
                <c:pt idx="474">
                  <c:v>39.296940922232757</c:v>
                </c:pt>
                <c:pt idx="475">
                  <c:v>30.065186282830023</c:v>
                </c:pt>
                <c:pt idx="476">
                  <c:v>54.051032732516923</c:v>
                </c:pt>
                <c:pt idx="477">
                  <c:v>33.253111121924185</c:v>
                </c:pt>
                <c:pt idx="478">
                  <c:v>35.148137239093501</c:v>
                </c:pt>
                <c:pt idx="479">
                  <c:v>33.413113462375705</c:v>
                </c:pt>
                <c:pt idx="480">
                  <c:v>45.700578612556498</c:v>
                </c:pt>
                <c:pt idx="481">
                  <c:v>35.236999582005389</c:v>
                </c:pt>
                <c:pt idx="482">
                  <c:v>41.55270432092577</c:v>
                </c:pt>
                <c:pt idx="483">
                  <c:v>50.156747401142688</c:v>
                </c:pt>
                <c:pt idx="484">
                  <c:v>35.403277909863213</c:v>
                </c:pt>
                <c:pt idx="485">
                  <c:v>51.065977429295089</c:v>
                </c:pt>
                <c:pt idx="486">
                  <c:v>57.004136666930151</c:v>
                </c:pt>
                <c:pt idx="487">
                  <c:v>52.333267524709676</c:v>
                </c:pt>
                <c:pt idx="488">
                  <c:v>39.461798181331318</c:v>
                </c:pt>
                <c:pt idx="489">
                  <c:v>42.31940612452005</c:v>
                </c:pt>
                <c:pt idx="490">
                  <c:v>41.56151332561506</c:v>
                </c:pt>
                <c:pt idx="491">
                  <c:v>49.683838357897422</c:v>
                </c:pt>
                <c:pt idx="492">
                  <c:v>51.108409100692214</c:v>
                </c:pt>
                <c:pt idx="493">
                  <c:v>45.466648472127375</c:v>
                </c:pt>
                <c:pt idx="494">
                  <c:v>43.738852843163677</c:v>
                </c:pt>
                <c:pt idx="495">
                  <c:v>45.654985668060043</c:v>
                </c:pt>
                <c:pt idx="496">
                  <c:v>53.947274262338006</c:v>
                </c:pt>
                <c:pt idx="497">
                  <c:v>63.370782449171799</c:v>
                </c:pt>
                <c:pt idx="498">
                  <c:v>40.295038729989251</c:v>
                </c:pt>
                <c:pt idx="499">
                  <c:v>16.692722260276888</c:v>
                </c:pt>
                <c:pt idx="500">
                  <c:v>64.587405532244034</c:v>
                </c:pt>
                <c:pt idx="501">
                  <c:v>37.265182452498451</c:v>
                </c:pt>
                <c:pt idx="502">
                  <c:v>40.393064812126653</c:v>
                </c:pt>
                <c:pt idx="503">
                  <c:v>53.357471733115872</c:v>
                </c:pt>
                <c:pt idx="504">
                  <c:v>50.210620015551271</c:v>
                </c:pt>
                <c:pt idx="505">
                  <c:v>40.235328902694832</c:v>
                </c:pt>
                <c:pt idx="506">
                  <c:v>49.956031051276554</c:v>
                </c:pt>
                <c:pt idx="507">
                  <c:v>27.274071850968948</c:v>
                </c:pt>
                <c:pt idx="508">
                  <c:v>59.321104003615673</c:v>
                </c:pt>
                <c:pt idx="509">
                  <c:v>48.661240091324245</c:v>
                </c:pt>
                <c:pt idx="510">
                  <c:v>53.263568463065653</c:v>
                </c:pt>
              </c:numCache>
            </c:numRef>
          </c:xVal>
          <c:yVal>
            <c:numRef>
              <c:f>Data!$BE$20:$BE$533</c:f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M</c:v>
                </c15:tx>
              </c15:filteredSeriesTitle>
            </c:ext>
            <c:ext xmlns:c16="http://schemas.microsoft.com/office/drawing/2014/chart" uri="{C3380CC4-5D6E-409C-BE32-E72D297353CC}">
              <c16:uniqueId val="{00000000-FA90-44DF-B442-F3C1FC314F5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Data!$AB$20:$AB$533</c:f>
              <c:numCache>
                <c:formatCode>0.0</c:formatCode>
                <c:ptCount val="514"/>
                <c:pt idx="0">
                  <c:v>62.313963950028864</c:v>
                </c:pt>
                <c:pt idx="1">
                  <c:v>27.994521836859921</c:v>
                </c:pt>
                <c:pt idx="2">
                  <c:v>46.547159717666588</c:v>
                </c:pt>
                <c:pt idx="3">
                  <c:v>73.674927893528277</c:v>
                </c:pt>
                <c:pt idx="4">
                  <c:v>39.375506500810197</c:v>
                </c:pt>
                <c:pt idx="5">
                  <c:v>47.65616976965714</c:v>
                </c:pt>
                <c:pt idx="6">
                  <c:v>56.325839238630344</c:v>
                </c:pt>
                <c:pt idx="7">
                  <c:v>49.808204003667555</c:v>
                </c:pt>
                <c:pt idx="8">
                  <c:v>41.768828884365519</c:v>
                </c:pt>
                <c:pt idx="9">
                  <c:v>31.847942917212823</c:v>
                </c:pt>
                <c:pt idx="10">
                  <c:v>65.23054902088289</c:v>
                </c:pt>
                <c:pt idx="11">
                  <c:v>44.976841403064654</c:v>
                </c:pt>
                <c:pt idx="12">
                  <c:v>49.527014801618066</c:v>
                </c:pt>
                <c:pt idx="13">
                  <c:v>65.617117321330312</c:v>
                </c:pt>
                <c:pt idx="14">
                  <c:v>45.032392611409264</c:v>
                </c:pt>
                <c:pt idx="15">
                  <c:v>57.937330269420428</c:v>
                </c:pt>
                <c:pt idx="16">
                  <c:v>48.553782203869197</c:v>
                </c:pt>
                <c:pt idx="17">
                  <c:v>62.47152908923421</c:v>
                </c:pt>
                <c:pt idx="18">
                  <c:v>11.824517613211125</c:v>
                </c:pt>
                <c:pt idx="19">
                  <c:v>44.737549381222898</c:v>
                </c:pt>
                <c:pt idx="20">
                  <c:v>53.98805574237543</c:v>
                </c:pt>
                <c:pt idx="21">
                  <c:v>37.24369859002956</c:v>
                </c:pt>
                <c:pt idx="22">
                  <c:v>45.714046724644732</c:v>
                </c:pt>
                <c:pt idx="23">
                  <c:v>47.229210999823529</c:v>
                </c:pt>
                <c:pt idx="24">
                  <c:v>19.36659913022854</c:v>
                </c:pt>
                <c:pt idx="25">
                  <c:v>58.036849577591759</c:v>
                </c:pt>
                <c:pt idx="26">
                  <c:v>43.652704017290418</c:v>
                </c:pt>
                <c:pt idx="27">
                  <c:v>66.501363702318997</c:v>
                </c:pt>
                <c:pt idx="28">
                  <c:v>34.604935830221777</c:v>
                </c:pt>
                <c:pt idx="29">
                  <c:v>78.905078060800548</c:v>
                </c:pt>
                <c:pt idx="30">
                  <c:v>55.988905649008593</c:v>
                </c:pt>
                <c:pt idx="31">
                  <c:v>20.126166723800363</c:v>
                </c:pt>
                <c:pt idx="32">
                  <c:v>52.730062286131094</c:v>
                </c:pt>
                <c:pt idx="33">
                  <c:v>65.264038632902256</c:v>
                </c:pt>
                <c:pt idx="34">
                  <c:v>32.971578173254173</c:v>
                </c:pt>
                <c:pt idx="35">
                  <c:v>44.029010586332163</c:v>
                </c:pt>
                <c:pt idx="36">
                  <c:v>36.542731074525662</c:v>
                </c:pt>
                <c:pt idx="37">
                  <c:v>19.515200426767571</c:v>
                </c:pt>
                <c:pt idx="38">
                  <c:v>23.798066234039755</c:v>
                </c:pt>
                <c:pt idx="39">
                  <c:v>79.040099411291962</c:v>
                </c:pt>
                <c:pt idx="40">
                  <c:v>53.308834342515951</c:v>
                </c:pt>
                <c:pt idx="41">
                  <c:v>38.282516611328305</c:v>
                </c:pt>
                <c:pt idx="42">
                  <c:v>33.462020080695531</c:v>
                </c:pt>
                <c:pt idx="43">
                  <c:v>56.176829890398743</c:v>
                </c:pt>
                <c:pt idx="44">
                  <c:v>30.359715628120426</c:v>
                </c:pt>
                <c:pt idx="45">
                  <c:v>46.136583169676911</c:v>
                </c:pt>
                <c:pt idx="46">
                  <c:v>62.060152508163341</c:v>
                </c:pt>
                <c:pt idx="47">
                  <c:v>48.310773825129061</c:v>
                </c:pt>
                <c:pt idx="48">
                  <c:v>67.833500864108856</c:v>
                </c:pt>
                <c:pt idx="49">
                  <c:v>72.617574146487556</c:v>
                </c:pt>
                <c:pt idx="50">
                  <c:v>50.509583091437307</c:v>
                </c:pt>
                <c:pt idx="51">
                  <c:v>37.221972403270968</c:v>
                </c:pt>
                <c:pt idx="52">
                  <c:v>55.824704550755378</c:v>
                </c:pt>
                <c:pt idx="53">
                  <c:v>57.251834059502173</c:v>
                </c:pt>
                <c:pt idx="54">
                  <c:v>59.704575169315824</c:v>
                </c:pt>
                <c:pt idx="55">
                  <c:v>66.336220836420736</c:v>
                </c:pt>
                <c:pt idx="56">
                  <c:v>59.582818946960032</c:v>
                </c:pt>
                <c:pt idx="57">
                  <c:v>48.658552509041016</c:v>
                </c:pt>
                <c:pt idx="58">
                  <c:v>43.652040894562084</c:v>
                </c:pt>
                <c:pt idx="59">
                  <c:v>64.260324894345374</c:v>
                </c:pt>
                <c:pt idx="60">
                  <c:v>46.630912258674122</c:v>
                </c:pt>
                <c:pt idx="61">
                  <c:v>58.775137025027107</c:v>
                </c:pt>
                <c:pt idx="62">
                  <c:v>73.427284788018838</c:v>
                </c:pt>
                <c:pt idx="63">
                  <c:v>63.176668609481901</c:v>
                </c:pt>
                <c:pt idx="64">
                  <c:v>41.491797952242308</c:v>
                </c:pt>
                <c:pt idx="65">
                  <c:v>75.450740374962123</c:v>
                </c:pt>
                <c:pt idx="66">
                  <c:v>77.979963991606283</c:v>
                </c:pt>
                <c:pt idx="67">
                  <c:v>66.385168965665343</c:v>
                </c:pt>
                <c:pt idx="68">
                  <c:v>58.15359015591519</c:v>
                </c:pt>
                <c:pt idx="69">
                  <c:v>32.891805660540818</c:v>
                </c:pt>
                <c:pt idx="70">
                  <c:v>30.567148517859152</c:v>
                </c:pt>
                <c:pt idx="71">
                  <c:v>64.678155977205606</c:v>
                </c:pt>
                <c:pt idx="72">
                  <c:v>57.301319156792331</c:v>
                </c:pt>
                <c:pt idx="73">
                  <c:v>70.993555882609968</c:v>
                </c:pt>
                <c:pt idx="74">
                  <c:v>32.031405876482069</c:v>
                </c:pt>
                <c:pt idx="75">
                  <c:v>41.568169417088335</c:v>
                </c:pt>
                <c:pt idx="76">
                  <c:v>43.179970479754296</c:v>
                </c:pt>
                <c:pt idx="77">
                  <c:v>37.136605464408639</c:v>
                </c:pt>
                <c:pt idx="78">
                  <c:v>52.273331093734214</c:v>
                </c:pt>
                <c:pt idx="79">
                  <c:v>59.913071439652008</c:v>
                </c:pt>
                <c:pt idx="80">
                  <c:v>52.982065126939439</c:v>
                </c:pt>
                <c:pt idx="81">
                  <c:v>38.53472680424931</c:v>
                </c:pt>
                <c:pt idx="82">
                  <c:v>56.688026704580658</c:v>
                </c:pt>
                <c:pt idx="83">
                  <c:v>75.695820131233589</c:v>
                </c:pt>
                <c:pt idx="84">
                  <c:v>52.057538578823483</c:v>
                </c:pt>
                <c:pt idx="85">
                  <c:v>37.739570480357344</c:v>
                </c:pt>
                <c:pt idx="86">
                  <c:v>66.466700393449401</c:v>
                </c:pt>
                <c:pt idx="87">
                  <c:v>51.407467322334057</c:v>
                </c:pt>
                <c:pt idx="88">
                  <c:v>46.673823725521302</c:v>
                </c:pt>
                <c:pt idx="89">
                  <c:v>62.261356081930508</c:v>
                </c:pt>
                <c:pt idx="90">
                  <c:v>59.91400381613947</c:v>
                </c:pt>
                <c:pt idx="91">
                  <c:v>47.289574739364831</c:v>
                </c:pt>
                <c:pt idx="92">
                  <c:v>55.048198514017578</c:v>
                </c:pt>
                <c:pt idx="93">
                  <c:v>50.223599581489665</c:v>
                </c:pt>
                <c:pt idx="94">
                  <c:v>36.660106496827353</c:v>
                </c:pt>
                <c:pt idx="95">
                  <c:v>31.976739778042766</c:v>
                </c:pt>
                <c:pt idx="96">
                  <c:v>71.720100547855466</c:v>
                </c:pt>
                <c:pt idx="97">
                  <c:v>65.181529583055848</c:v>
                </c:pt>
                <c:pt idx="98">
                  <c:v>47.825725738041882</c:v>
                </c:pt>
                <c:pt idx="99">
                  <c:v>80.91369070164879</c:v>
                </c:pt>
                <c:pt idx="100">
                  <c:v>39.534431962752926</c:v>
                </c:pt>
                <c:pt idx="101">
                  <c:v>60.757697144991354</c:v>
                </c:pt>
                <c:pt idx="102">
                  <c:v>21.250823982892268</c:v>
                </c:pt>
                <c:pt idx="103">
                  <c:v>56.043337855051682</c:v>
                </c:pt>
                <c:pt idx="104">
                  <c:v>46.402506625162616</c:v>
                </c:pt>
                <c:pt idx="105">
                  <c:v>54.498020364504001</c:v>
                </c:pt>
                <c:pt idx="106">
                  <c:v>53.353988046724503</c:v>
                </c:pt>
                <c:pt idx="107">
                  <c:v>56.868149059145971</c:v>
                </c:pt>
                <c:pt idx="108">
                  <c:v>55.451378668639613</c:v>
                </c:pt>
                <c:pt idx="109">
                  <c:v>47.907144455359784</c:v>
                </c:pt>
                <c:pt idx="110">
                  <c:v>39.970822395360052</c:v>
                </c:pt>
                <c:pt idx="111">
                  <c:v>49.599342417365364</c:v>
                </c:pt>
                <c:pt idx="112">
                  <c:v>57.602617991348723</c:v>
                </c:pt>
                <c:pt idx="113">
                  <c:v>47.841481641795461</c:v>
                </c:pt>
                <c:pt idx="114">
                  <c:v>46.561646114097556</c:v>
                </c:pt>
                <c:pt idx="115">
                  <c:v>54.71396473161991</c:v>
                </c:pt>
                <c:pt idx="116">
                  <c:v>46.136175734792545</c:v>
                </c:pt>
                <c:pt idx="117">
                  <c:v>63.902006168403176</c:v>
                </c:pt>
                <c:pt idx="118">
                  <c:v>51.546512885361025</c:v>
                </c:pt>
                <c:pt idx="119">
                  <c:v>62.821287440388232</c:v>
                </c:pt>
                <c:pt idx="120">
                  <c:v>42.292347707350459</c:v>
                </c:pt>
                <c:pt idx="121">
                  <c:v>65.964824316458092</c:v>
                </c:pt>
                <c:pt idx="122">
                  <c:v>57.087318519437076</c:v>
                </c:pt>
                <c:pt idx="123">
                  <c:v>67.137690340436549</c:v>
                </c:pt>
                <c:pt idx="124">
                  <c:v>53.5900570892262</c:v>
                </c:pt>
                <c:pt idx="125">
                  <c:v>57.423466917659717</c:v>
                </c:pt>
                <c:pt idx="126">
                  <c:v>55.837399743513096</c:v>
                </c:pt>
                <c:pt idx="127">
                  <c:v>37.785114193483501</c:v>
                </c:pt>
                <c:pt idx="128">
                  <c:v>62.311007758868072</c:v>
                </c:pt>
                <c:pt idx="129">
                  <c:v>59.337668073502073</c:v>
                </c:pt>
                <c:pt idx="130">
                  <c:v>60.52839956196631</c:v>
                </c:pt>
                <c:pt idx="131">
                  <c:v>41.449854554321853</c:v>
                </c:pt>
                <c:pt idx="132">
                  <c:v>68.477000656226366</c:v>
                </c:pt>
                <c:pt idx="133">
                  <c:v>72.505080964805174</c:v>
                </c:pt>
                <c:pt idx="134">
                  <c:v>50.498161702817178</c:v>
                </c:pt>
                <c:pt idx="135">
                  <c:v>55.735741749482592</c:v>
                </c:pt>
                <c:pt idx="136">
                  <c:v>45.88636324490718</c:v>
                </c:pt>
                <c:pt idx="137">
                  <c:v>54.1793511532236</c:v>
                </c:pt>
                <c:pt idx="138">
                  <c:v>61.793192343547673</c:v>
                </c:pt>
                <c:pt idx="139">
                  <c:v>49.373941242911748</c:v>
                </c:pt>
                <c:pt idx="140">
                  <c:v>63.506757932571084</c:v>
                </c:pt>
                <c:pt idx="141">
                  <c:v>51.224815493925128</c:v>
                </c:pt>
                <c:pt idx="142">
                  <c:v>51.32741736300067</c:v>
                </c:pt>
                <c:pt idx="143">
                  <c:v>78.031077381343394</c:v>
                </c:pt>
                <c:pt idx="144">
                  <c:v>57.503361037725966</c:v>
                </c:pt>
                <c:pt idx="145">
                  <c:v>84.963255181639781</c:v>
                </c:pt>
                <c:pt idx="146">
                  <c:v>66.664879750756143</c:v>
                </c:pt>
                <c:pt idx="147">
                  <c:v>48.975058150451758</c:v>
                </c:pt>
                <c:pt idx="148">
                  <c:v>75.187475359211703</c:v>
                </c:pt>
                <c:pt idx="149">
                  <c:v>65.406523259979295</c:v>
                </c:pt>
                <c:pt idx="150">
                  <c:v>50.795229053141419</c:v>
                </c:pt>
                <c:pt idx="151">
                  <c:v>50.114235052570706</c:v>
                </c:pt>
                <c:pt idx="152">
                  <c:v>43.124226866613022</c:v>
                </c:pt>
                <c:pt idx="153">
                  <c:v>52.501722262678314</c:v>
                </c:pt>
                <c:pt idx="154">
                  <c:v>62.986132934050616</c:v>
                </c:pt>
                <c:pt idx="155">
                  <c:v>61.840466709707627</c:v>
                </c:pt>
                <c:pt idx="156">
                  <c:v>57.774307489490973</c:v>
                </c:pt>
                <c:pt idx="157">
                  <c:v>41.604073486651053</c:v>
                </c:pt>
                <c:pt idx="158">
                  <c:v>47.849125664970678</c:v>
                </c:pt>
                <c:pt idx="159">
                  <c:v>47.092540576782369</c:v>
                </c:pt>
                <c:pt idx="160">
                  <c:v>55.871429932183105</c:v>
                </c:pt>
                <c:pt idx="161">
                  <c:v>60.664684512729785</c:v>
                </c:pt>
                <c:pt idx="162">
                  <c:v>62.593211961366634</c:v>
                </c:pt>
                <c:pt idx="163">
                  <c:v>13.066077728704201</c:v>
                </c:pt>
                <c:pt idx="164">
                  <c:v>48.092115708914356</c:v>
                </c:pt>
                <c:pt idx="165">
                  <c:v>70.034113304650148</c:v>
                </c:pt>
                <c:pt idx="166">
                  <c:v>56.799093373015651</c:v>
                </c:pt>
                <c:pt idx="167">
                  <c:v>44.815312801569284</c:v>
                </c:pt>
                <c:pt idx="168">
                  <c:v>60.531037333171305</c:v>
                </c:pt>
                <c:pt idx="169">
                  <c:v>68.51958130508055</c:v>
                </c:pt>
                <c:pt idx="170">
                  <c:v>39.463110206605322</c:v>
                </c:pt>
                <c:pt idx="171">
                  <c:v>57.162559365792951</c:v>
                </c:pt>
                <c:pt idx="172">
                  <c:v>44.131952453347097</c:v>
                </c:pt>
                <c:pt idx="173">
                  <c:v>49.989998931056974</c:v>
                </c:pt>
                <c:pt idx="174">
                  <c:v>64.557029234352655</c:v>
                </c:pt>
                <c:pt idx="175">
                  <c:v>40.698244200503872</c:v>
                </c:pt>
                <c:pt idx="176">
                  <c:v>54.067715310085596</c:v>
                </c:pt>
                <c:pt idx="177">
                  <c:v>71.42742265415275</c:v>
                </c:pt>
                <c:pt idx="178">
                  <c:v>62.708997979342193</c:v>
                </c:pt>
                <c:pt idx="179">
                  <c:v>54.964934943910364</c:v>
                </c:pt>
                <c:pt idx="180">
                  <c:v>51.309917636602954</c:v>
                </c:pt>
                <c:pt idx="181">
                  <c:v>46.586539472493392</c:v>
                </c:pt>
                <c:pt idx="182">
                  <c:v>48.802745463215281</c:v>
                </c:pt>
                <c:pt idx="183">
                  <c:v>66.088623579772076</c:v>
                </c:pt>
                <c:pt idx="184">
                  <c:v>51.920362473071819</c:v>
                </c:pt>
                <c:pt idx="185">
                  <c:v>73.847108561610554</c:v>
                </c:pt>
                <c:pt idx="186">
                  <c:v>54.477086255208313</c:v>
                </c:pt>
                <c:pt idx="187">
                  <c:v>41.583602592799885</c:v>
                </c:pt>
                <c:pt idx="188">
                  <c:v>63.427057282290463</c:v>
                </c:pt>
                <c:pt idx="189">
                  <c:v>57.871705278512636</c:v>
                </c:pt>
                <c:pt idx="190">
                  <c:v>58.50312893315526</c:v>
                </c:pt>
                <c:pt idx="191">
                  <c:v>81.731190152966363</c:v>
                </c:pt>
                <c:pt idx="192">
                  <c:v>47.829898145722133</c:v>
                </c:pt>
                <c:pt idx="193">
                  <c:v>50.446798865294753</c:v>
                </c:pt>
                <c:pt idx="194">
                  <c:v>57.526135627139638</c:v>
                </c:pt>
                <c:pt idx="195">
                  <c:v>64.315244723329158</c:v>
                </c:pt>
                <c:pt idx="196">
                  <c:v>49.71020104908542</c:v>
                </c:pt>
                <c:pt idx="197">
                  <c:v>40.1232848516985</c:v>
                </c:pt>
                <c:pt idx="198">
                  <c:v>55.012016793450087</c:v>
                </c:pt>
                <c:pt idx="199">
                  <c:v>55.673673071369258</c:v>
                </c:pt>
                <c:pt idx="200">
                  <c:v>67.071119872403486</c:v>
                </c:pt>
                <c:pt idx="202">
                  <c:v>55.290277042498197</c:v>
                </c:pt>
                <c:pt idx="203">
                  <c:v>31.385581826435207</c:v>
                </c:pt>
                <c:pt idx="204">
                  <c:v>56.660392569287197</c:v>
                </c:pt>
                <c:pt idx="205">
                  <c:v>38.848304028540127</c:v>
                </c:pt>
                <c:pt idx="206">
                  <c:v>34.306178652637399</c:v>
                </c:pt>
                <c:pt idx="207">
                  <c:v>42.493980686273417</c:v>
                </c:pt>
                <c:pt idx="208">
                  <c:v>44.099402589484754</c:v>
                </c:pt>
                <c:pt idx="209">
                  <c:v>59.027403521765763</c:v>
                </c:pt>
                <c:pt idx="210">
                  <c:v>62.652801830458777</c:v>
                </c:pt>
                <c:pt idx="211">
                  <c:v>62.050177423853974</c:v>
                </c:pt>
                <c:pt idx="212">
                  <c:v>57.23397152666444</c:v>
                </c:pt>
                <c:pt idx="213">
                  <c:v>45.469566824192114</c:v>
                </c:pt>
                <c:pt idx="214">
                  <c:v>56.148720538517466</c:v>
                </c:pt>
                <c:pt idx="215">
                  <c:v>72.748740965295354</c:v>
                </c:pt>
                <c:pt idx="216">
                  <c:v>48.18357743051736</c:v>
                </c:pt>
                <c:pt idx="217">
                  <c:v>40.849985621771651</c:v>
                </c:pt>
                <c:pt idx="218">
                  <c:v>45.808770039583948</c:v>
                </c:pt>
                <c:pt idx="219">
                  <c:v>71.116339648336066</c:v>
                </c:pt>
                <c:pt idx="220">
                  <c:v>44.578442110743708</c:v>
                </c:pt>
                <c:pt idx="221">
                  <c:v>61.713653368199942</c:v>
                </c:pt>
                <c:pt idx="222">
                  <c:v>46.335211208955307</c:v>
                </c:pt>
                <c:pt idx="223">
                  <c:v>51.43303367662481</c:v>
                </c:pt>
                <c:pt idx="224">
                  <c:v>59.362821167707452</c:v>
                </c:pt>
                <c:pt idx="225">
                  <c:v>59.436143742952247</c:v>
                </c:pt>
                <c:pt idx="226">
                  <c:v>47.189501793529232</c:v>
                </c:pt>
                <c:pt idx="228">
                  <c:v>40.512833769036519</c:v>
                </c:pt>
                <c:pt idx="229">
                  <c:v>67.466134569695228</c:v>
                </c:pt>
                <c:pt idx="230">
                  <c:v>52.015535784202946</c:v>
                </c:pt>
                <c:pt idx="231">
                  <c:v>47.535591654677646</c:v>
                </c:pt>
                <c:pt idx="232">
                  <c:v>53.648995215543316</c:v>
                </c:pt>
                <c:pt idx="233">
                  <c:v>58.957975956237206</c:v>
                </c:pt>
                <c:pt idx="234">
                  <c:v>56.796176257235949</c:v>
                </c:pt>
                <c:pt idx="235">
                  <c:v>58.014667567559663</c:v>
                </c:pt>
                <c:pt idx="236">
                  <c:v>63.997233960544868</c:v>
                </c:pt>
                <c:pt idx="237">
                  <c:v>47.55981426769339</c:v>
                </c:pt>
                <c:pt idx="238">
                  <c:v>69.856530322354232</c:v>
                </c:pt>
                <c:pt idx="239">
                  <c:v>50.901078517223446</c:v>
                </c:pt>
                <c:pt idx="240">
                  <c:v>55.741002619535806</c:v>
                </c:pt>
                <c:pt idx="241">
                  <c:v>70.379844034894617</c:v>
                </c:pt>
                <c:pt idx="242">
                  <c:v>12.404286735627695</c:v>
                </c:pt>
                <c:pt idx="243">
                  <c:v>65.786156190448551</c:v>
                </c:pt>
                <c:pt idx="244">
                  <c:v>46.755107941734067</c:v>
                </c:pt>
                <c:pt idx="245">
                  <c:v>43.380599256622816</c:v>
                </c:pt>
                <c:pt idx="246">
                  <c:v>52.311289294370603</c:v>
                </c:pt>
                <c:pt idx="247">
                  <c:v>60.538803647793202</c:v>
                </c:pt>
                <c:pt idx="248">
                  <c:v>27.051560789635289</c:v>
                </c:pt>
                <c:pt idx="249">
                  <c:v>77.564209851909268</c:v>
                </c:pt>
                <c:pt idx="250">
                  <c:v>39.422626093176767</c:v>
                </c:pt>
                <c:pt idx="251">
                  <c:v>55.20167145361345</c:v>
                </c:pt>
                <c:pt idx="252">
                  <c:v>51.793487742406604</c:v>
                </c:pt>
                <c:pt idx="253">
                  <c:v>57.689091405518461</c:v>
                </c:pt>
                <c:pt idx="254">
                  <c:v>60.231236294575332</c:v>
                </c:pt>
                <c:pt idx="255">
                  <c:v>60.256804833025697</c:v>
                </c:pt>
                <c:pt idx="256">
                  <c:v>46.966010760247386</c:v>
                </c:pt>
                <c:pt idx="257">
                  <c:v>34.178339193404391</c:v>
                </c:pt>
                <c:pt idx="258">
                  <c:v>48.638064542509476</c:v>
                </c:pt>
                <c:pt idx="259">
                  <c:v>61.171031704528652</c:v>
                </c:pt>
                <c:pt idx="260">
                  <c:v>54.2705845991171</c:v>
                </c:pt>
                <c:pt idx="261">
                  <c:v>65.017360307675119</c:v>
                </c:pt>
                <c:pt idx="262">
                  <c:v>46.613970698010789</c:v>
                </c:pt>
                <c:pt idx="263">
                  <c:v>50.636799554455415</c:v>
                </c:pt>
                <c:pt idx="264">
                  <c:v>58.813153371703187</c:v>
                </c:pt>
                <c:pt idx="265">
                  <c:v>48.203069201618128</c:v>
                </c:pt>
                <c:pt idx="266">
                  <c:v>67.818417811704734</c:v>
                </c:pt>
                <c:pt idx="267">
                  <c:v>54.486456292721385</c:v>
                </c:pt>
                <c:pt idx="268">
                  <c:v>53.863268340115788</c:v>
                </c:pt>
                <c:pt idx="269">
                  <c:v>46.655399788230881</c:v>
                </c:pt>
                <c:pt idx="270">
                  <c:v>56.750299386546168</c:v>
                </c:pt>
                <c:pt idx="271">
                  <c:v>49.779086410720623</c:v>
                </c:pt>
                <c:pt idx="272">
                  <c:v>65.47018905551684</c:v>
                </c:pt>
                <c:pt idx="273">
                  <c:v>49.196950160051614</c:v>
                </c:pt>
                <c:pt idx="274">
                  <c:v>56.35096754285744</c:v>
                </c:pt>
                <c:pt idx="275">
                  <c:v>51.405748329373644</c:v>
                </c:pt>
                <c:pt idx="276">
                  <c:v>61.947810285686948</c:v>
                </c:pt>
                <c:pt idx="277">
                  <c:v>65.893879339678278</c:v>
                </c:pt>
                <c:pt idx="278">
                  <c:v>53.646084115585815</c:v>
                </c:pt>
                <c:pt idx="279">
                  <c:v>51.723837677113018</c:v>
                </c:pt>
                <c:pt idx="280">
                  <c:v>63.393911502876449</c:v>
                </c:pt>
                <c:pt idx="281">
                  <c:v>49.989399279916789</c:v>
                </c:pt>
                <c:pt idx="282">
                  <c:v>53.72536671879827</c:v>
                </c:pt>
                <c:pt idx="283">
                  <c:v>40.86542975415113</c:v>
                </c:pt>
                <c:pt idx="284">
                  <c:v>56.836839592033527</c:v>
                </c:pt>
                <c:pt idx="285">
                  <c:v>56.834254076854826</c:v>
                </c:pt>
                <c:pt idx="286">
                  <c:v>55.037410765451206</c:v>
                </c:pt>
                <c:pt idx="287">
                  <c:v>63.859960927557331</c:v>
                </c:pt>
                <c:pt idx="288">
                  <c:v>52.835641257533673</c:v>
                </c:pt>
                <c:pt idx="289">
                  <c:v>39.679256300094117</c:v>
                </c:pt>
                <c:pt idx="290">
                  <c:v>49.92526507037244</c:v>
                </c:pt>
                <c:pt idx="291">
                  <c:v>54.845590364155257</c:v>
                </c:pt>
                <c:pt idx="292">
                  <c:v>60.039880100315131</c:v>
                </c:pt>
                <c:pt idx="293">
                  <c:v>53.861058677241481</c:v>
                </c:pt>
                <c:pt idx="294">
                  <c:v>65.690076756537977</c:v>
                </c:pt>
                <c:pt idx="295">
                  <c:v>55.742991485288186</c:v>
                </c:pt>
                <c:pt idx="296">
                  <c:v>51.159968874163219</c:v>
                </c:pt>
                <c:pt idx="297">
                  <c:v>52.069016217394449</c:v>
                </c:pt>
                <c:pt idx="298">
                  <c:v>53.946044063391462</c:v>
                </c:pt>
                <c:pt idx="299">
                  <c:v>57.116091691669297</c:v>
                </c:pt>
                <c:pt idx="300">
                  <c:v>63.170835385013085</c:v>
                </c:pt>
                <c:pt idx="301">
                  <c:v>72.292024297989229</c:v>
                </c:pt>
                <c:pt idx="302">
                  <c:v>44.318656660877487</c:v>
                </c:pt>
                <c:pt idx="303">
                  <c:v>50.39495153399767</c:v>
                </c:pt>
                <c:pt idx="304">
                  <c:v>67.744030375681803</c:v>
                </c:pt>
                <c:pt idx="305">
                  <c:v>53.916733627058029</c:v>
                </c:pt>
                <c:pt idx="306">
                  <c:v>49.939317730855031</c:v>
                </c:pt>
                <c:pt idx="307">
                  <c:v>48.402740596648059</c:v>
                </c:pt>
                <c:pt idx="308">
                  <c:v>68.251340464811904</c:v>
                </c:pt>
                <c:pt idx="309">
                  <c:v>54.123798633070308</c:v>
                </c:pt>
                <c:pt idx="310">
                  <c:v>60.609726761052201</c:v>
                </c:pt>
                <c:pt idx="311">
                  <c:v>72.356108774218654</c:v>
                </c:pt>
                <c:pt idx="312">
                  <c:v>59.2189618517559</c:v>
                </c:pt>
                <c:pt idx="313">
                  <c:v>48.362867458318817</c:v>
                </c:pt>
                <c:pt idx="314">
                  <c:v>55.735930099159013</c:v>
                </c:pt>
                <c:pt idx="315">
                  <c:v>70.858583830603564</c:v>
                </c:pt>
                <c:pt idx="316">
                  <c:v>84.841001754226411</c:v>
                </c:pt>
                <c:pt idx="317">
                  <c:v>72.45532743379907</c:v>
                </c:pt>
                <c:pt idx="318">
                  <c:v>54.318042322823665</c:v>
                </c:pt>
                <c:pt idx="319">
                  <c:v>59.894801464350692</c:v>
                </c:pt>
                <c:pt idx="320">
                  <c:v>52.838465754148565</c:v>
                </c:pt>
                <c:pt idx="321">
                  <c:v>64.857151686206663</c:v>
                </c:pt>
                <c:pt idx="322">
                  <c:v>68.764168560447942</c:v>
                </c:pt>
                <c:pt idx="323">
                  <c:v>61.934262183661836</c:v>
                </c:pt>
                <c:pt idx="324">
                  <c:v>53.012307122099521</c:v>
                </c:pt>
                <c:pt idx="325">
                  <c:v>57.879146316592681</c:v>
                </c:pt>
                <c:pt idx="326">
                  <c:v>66.985469267535819</c:v>
                </c:pt>
                <c:pt idx="327">
                  <c:v>35.193186991626611</c:v>
                </c:pt>
                <c:pt idx="328">
                  <c:v>39.049325444095516</c:v>
                </c:pt>
                <c:pt idx="329">
                  <c:v>62.982152263009695</c:v>
                </c:pt>
                <c:pt idx="330">
                  <c:v>51.702350688729325</c:v>
                </c:pt>
                <c:pt idx="331">
                  <c:v>60.934377610422978</c:v>
                </c:pt>
                <c:pt idx="332">
                  <c:v>33.462723127050303</c:v>
                </c:pt>
                <c:pt idx="333">
                  <c:v>42.198366141951851</c:v>
                </c:pt>
                <c:pt idx="334">
                  <c:v>52.137194207619714</c:v>
                </c:pt>
                <c:pt idx="335">
                  <c:v>65.616122256044989</c:v>
                </c:pt>
                <c:pt idx="336">
                  <c:v>63.913761357117295</c:v>
                </c:pt>
                <c:pt idx="337">
                  <c:v>65.826606461364733</c:v>
                </c:pt>
                <c:pt idx="338">
                  <c:v>50.287647406792502</c:v>
                </c:pt>
                <c:pt idx="339">
                  <c:v>48.403340595442224</c:v>
                </c:pt>
                <c:pt idx="340">
                  <c:v>49.902876645197217</c:v>
                </c:pt>
                <c:pt idx="341">
                  <c:v>47.334178213253608</c:v>
                </c:pt>
                <c:pt idx="342">
                  <c:v>58.502506826975278</c:v>
                </c:pt>
                <c:pt idx="343">
                  <c:v>60.174014741865221</c:v>
                </c:pt>
                <c:pt idx="344">
                  <c:v>58.168186676602353</c:v>
                </c:pt>
                <c:pt idx="345">
                  <c:v>67.833372680538346</c:v>
                </c:pt>
                <c:pt idx="346">
                  <c:v>29.066046997966733</c:v>
                </c:pt>
                <c:pt idx="347">
                  <c:v>47.283143767049133</c:v>
                </c:pt>
                <c:pt idx="348">
                  <c:v>62.817365508760226</c:v>
                </c:pt>
                <c:pt idx="349">
                  <c:v>60.904419133398378</c:v>
                </c:pt>
                <c:pt idx="350">
                  <c:v>50.372949659269942</c:v>
                </c:pt>
                <c:pt idx="351">
                  <c:v>33.970503260085437</c:v>
                </c:pt>
                <c:pt idx="352">
                  <c:v>74.721544933147257</c:v>
                </c:pt>
                <c:pt idx="353">
                  <c:v>56.824730688086859</c:v>
                </c:pt>
                <c:pt idx="354">
                  <c:v>63.011817739450208</c:v>
                </c:pt>
                <c:pt idx="355">
                  <c:v>51.801916540953655</c:v>
                </c:pt>
                <c:pt idx="356">
                  <c:v>52.796477392276692</c:v>
                </c:pt>
                <c:pt idx="357">
                  <c:v>50.613499005209277</c:v>
                </c:pt>
                <c:pt idx="358">
                  <c:v>69.004255657751941</c:v>
                </c:pt>
                <c:pt idx="359">
                  <c:v>51.41226729116655</c:v>
                </c:pt>
                <c:pt idx="360">
                  <c:v>36.540328313662179</c:v>
                </c:pt>
                <c:pt idx="361">
                  <c:v>39.925964220859427</c:v>
                </c:pt>
                <c:pt idx="362">
                  <c:v>62.178374552910128</c:v>
                </c:pt>
                <c:pt idx="363">
                  <c:v>55.991110369819808</c:v>
                </c:pt>
                <c:pt idx="364">
                  <c:v>62.576092122355625</c:v>
                </c:pt>
                <c:pt idx="365">
                  <c:v>67.280304913682315</c:v>
                </c:pt>
                <c:pt idx="366">
                  <c:v>66.091418067633839</c:v>
                </c:pt>
                <c:pt idx="367">
                  <c:v>61.785765873730213</c:v>
                </c:pt>
                <c:pt idx="368">
                  <c:v>57.361942353161574</c:v>
                </c:pt>
                <c:pt idx="369">
                  <c:v>66.566315333155345</c:v>
                </c:pt>
                <c:pt idx="370">
                  <c:v>72.916567890306737</c:v>
                </c:pt>
                <c:pt idx="371">
                  <c:v>70.481482343295099</c:v>
                </c:pt>
                <c:pt idx="372">
                  <c:v>53.342135860541433</c:v>
                </c:pt>
                <c:pt idx="373">
                  <c:v>43.532339451280642</c:v>
                </c:pt>
                <c:pt idx="374">
                  <c:v>51.764557426450772</c:v>
                </c:pt>
                <c:pt idx="375">
                  <c:v>52.483632928855059</c:v>
                </c:pt>
                <c:pt idx="376">
                  <c:v>38.567861677876387</c:v>
                </c:pt>
                <c:pt idx="377">
                  <c:v>60.056395551860682</c:v>
                </c:pt>
                <c:pt idx="378">
                  <c:v>70.597947865512097</c:v>
                </c:pt>
                <c:pt idx="379">
                  <c:v>65.26386897846065</c:v>
                </c:pt>
                <c:pt idx="380">
                  <c:v>48.036496379680457</c:v>
                </c:pt>
                <c:pt idx="381">
                  <c:v>44.310148022457703</c:v>
                </c:pt>
                <c:pt idx="382">
                  <c:v>66.781214014249542</c:v>
                </c:pt>
                <c:pt idx="383">
                  <c:v>59.286028320194859</c:v>
                </c:pt>
                <c:pt idx="384">
                  <c:v>48.530639246895625</c:v>
                </c:pt>
                <c:pt idx="385">
                  <c:v>63.482449244149464</c:v>
                </c:pt>
                <c:pt idx="386">
                  <c:v>71.535430761075105</c:v>
                </c:pt>
                <c:pt idx="387">
                  <c:v>49.041555209655648</c:v>
                </c:pt>
                <c:pt idx="388">
                  <c:v>61.151183431675626</c:v>
                </c:pt>
                <c:pt idx="389">
                  <c:v>44.085781878283321</c:v>
                </c:pt>
                <c:pt idx="390">
                  <c:v>68.122881850667127</c:v>
                </c:pt>
                <c:pt idx="391">
                  <c:v>51.890579733384826</c:v>
                </c:pt>
                <c:pt idx="392">
                  <c:v>58.749568767044636</c:v>
                </c:pt>
                <c:pt idx="393">
                  <c:v>74.397260643633373</c:v>
                </c:pt>
                <c:pt idx="394">
                  <c:v>49.226525235904894</c:v>
                </c:pt>
                <c:pt idx="395">
                  <c:v>39.063051647480329</c:v>
                </c:pt>
                <c:pt idx="396">
                  <c:v>45.188347025702477</c:v>
                </c:pt>
                <c:pt idx="397">
                  <c:v>46.964413667399398</c:v>
                </c:pt>
                <c:pt idx="398">
                  <c:v>51.107481142208037</c:v>
                </c:pt>
                <c:pt idx="399">
                  <c:v>20.276209244900439</c:v>
                </c:pt>
                <c:pt idx="400">
                  <c:v>55.912709195241831</c:v>
                </c:pt>
                <c:pt idx="401">
                  <c:v>72.290015011625087</c:v>
                </c:pt>
                <c:pt idx="402">
                  <c:v>72.397766355391028</c:v>
                </c:pt>
                <c:pt idx="403">
                  <c:v>62.529997585602928</c:v>
                </c:pt>
                <c:pt idx="404">
                  <c:v>68.019590745154176</c:v>
                </c:pt>
                <c:pt idx="405">
                  <c:v>60.481541066717462</c:v>
                </c:pt>
                <c:pt idx="406">
                  <c:v>65.915127288237059</c:v>
                </c:pt>
                <c:pt idx="407">
                  <c:v>58.580192880624288</c:v>
                </c:pt>
                <c:pt idx="408">
                  <c:v>57.253132141557991</c:v>
                </c:pt>
                <c:pt idx="409">
                  <c:v>60.957035842444249</c:v>
                </c:pt>
                <c:pt idx="410">
                  <c:v>47.829210944743743</c:v>
                </c:pt>
                <c:pt idx="411">
                  <c:v>62.230273812184542</c:v>
                </c:pt>
                <c:pt idx="412">
                  <c:v>56.105404528422639</c:v>
                </c:pt>
                <c:pt idx="413">
                  <c:v>58.69687425506153</c:v>
                </c:pt>
                <c:pt idx="414">
                  <c:v>68.1926272369532</c:v>
                </c:pt>
                <c:pt idx="415">
                  <c:v>41.159638736004034</c:v>
                </c:pt>
                <c:pt idx="416">
                  <c:v>71.015562009630514</c:v>
                </c:pt>
                <c:pt idx="417">
                  <c:v>66.829212437139375</c:v>
                </c:pt>
                <c:pt idx="418">
                  <c:v>61.158750430972866</c:v>
                </c:pt>
                <c:pt idx="419">
                  <c:v>51.927471288069832</c:v>
                </c:pt>
                <c:pt idx="420">
                  <c:v>61.004824164427596</c:v>
                </c:pt>
                <c:pt idx="421">
                  <c:v>50.837985628644368</c:v>
                </c:pt>
                <c:pt idx="422">
                  <c:v>63.779736257062169</c:v>
                </c:pt>
                <c:pt idx="423">
                  <c:v>72.689535927620042</c:v>
                </c:pt>
                <c:pt idx="424">
                  <c:v>65.388476685356153</c:v>
                </c:pt>
                <c:pt idx="425">
                  <c:v>65.057159561802251</c:v>
                </c:pt>
                <c:pt idx="426">
                  <c:v>56.659603566294429</c:v>
                </c:pt>
                <c:pt idx="427">
                  <c:v>56.640685217567125</c:v>
                </c:pt>
                <c:pt idx="428">
                  <c:v>55.641990769017681</c:v>
                </c:pt>
                <c:pt idx="429">
                  <c:v>28.164052005709401</c:v>
                </c:pt>
                <c:pt idx="430">
                  <c:v>65.446080263838113</c:v>
                </c:pt>
                <c:pt idx="431">
                  <c:v>50.427481792706402</c:v>
                </c:pt>
                <c:pt idx="432">
                  <c:v>65.228265630513761</c:v>
                </c:pt>
                <c:pt idx="433">
                  <c:v>52.540746784760152</c:v>
                </c:pt>
                <c:pt idx="434">
                  <c:v>49.499432191301395</c:v>
                </c:pt>
                <c:pt idx="435">
                  <c:v>54.117360543668632</c:v>
                </c:pt>
                <c:pt idx="436">
                  <c:v>35.470410444784747</c:v>
                </c:pt>
                <c:pt idx="437">
                  <c:v>56.496112694482541</c:v>
                </c:pt>
                <c:pt idx="438">
                  <c:v>63.011929820973393</c:v>
                </c:pt>
                <c:pt idx="439">
                  <c:v>58.782690556931477</c:v>
                </c:pt>
                <c:pt idx="440">
                  <c:v>47.291372038172355</c:v>
                </c:pt>
                <c:pt idx="441">
                  <c:v>54.678532825983645</c:v>
                </c:pt>
                <c:pt idx="442">
                  <c:v>60.811418620174933</c:v>
                </c:pt>
                <c:pt idx="443">
                  <c:v>52.20194043423016</c:v>
                </c:pt>
                <c:pt idx="444">
                  <c:v>60.171953753189804</c:v>
                </c:pt>
                <c:pt idx="445">
                  <c:v>22.412851789098188</c:v>
                </c:pt>
                <c:pt idx="446">
                  <c:v>54.895329332252842</c:v>
                </c:pt>
                <c:pt idx="447">
                  <c:v>39.047240074181495</c:v>
                </c:pt>
                <c:pt idx="448">
                  <c:v>41.378843951625704</c:v>
                </c:pt>
                <c:pt idx="449">
                  <c:v>43.139767852960667</c:v>
                </c:pt>
                <c:pt idx="450">
                  <c:v>70.674465195573731</c:v>
                </c:pt>
                <c:pt idx="451">
                  <c:v>23.090529916850386</c:v>
                </c:pt>
                <c:pt idx="452">
                  <c:v>57.512590144950444</c:v>
                </c:pt>
                <c:pt idx="453">
                  <c:v>62.959796414057578</c:v>
                </c:pt>
                <c:pt idx="454">
                  <c:v>51.205465592144854</c:v>
                </c:pt>
                <c:pt idx="455">
                  <c:v>53.041271838289568</c:v>
                </c:pt>
                <c:pt idx="456">
                  <c:v>42.945039979730957</c:v>
                </c:pt>
                <c:pt idx="457">
                  <c:v>60.375989158325744</c:v>
                </c:pt>
                <c:pt idx="458">
                  <c:v>39.133644607055629</c:v>
                </c:pt>
                <c:pt idx="459">
                  <c:v>44.498475986445328</c:v>
                </c:pt>
                <c:pt idx="460">
                  <c:v>53.042993739206572</c:v>
                </c:pt>
                <c:pt idx="461">
                  <c:v>40.311161771749184</c:v>
                </c:pt>
                <c:pt idx="462">
                  <c:v>49.415173641805026</c:v>
                </c:pt>
                <c:pt idx="463">
                  <c:v>18.500528829173827</c:v>
                </c:pt>
                <c:pt idx="464">
                  <c:v>65.878063557220315</c:v>
                </c:pt>
                <c:pt idx="465">
                  <c:v>52.201085552691687</c:v>
                </c:pt>
                <c:pt idx="466">
                  <c:v>61.161525617033085</c:v>
                </c:pt>
                <c:pt idx="467">
                  <c:v>53.27320523557993</c:v>
                </c:pt>
                <c:pt idx="468">
                  <c:v>52.957160790822556</c:v>
                </c:pt>
                <c:pt idx="469">
                  <c:v>45.213150764762347</c:v>
                </c:pt>
                <c:pt idx="470">
                  <c:v>54.350660120137981</c:v>
                </c:pt>
                <c:pt idx="471">
                  <c:v>39.603516434764884</c:v>
                </c:pt>
                <c:pt idx="472">
                  <c:v>56.115192496598056</c:v>
                </c:pt>
                <c:pt idx="473">
                  <c:v>62.803379291982459</c:v>
                </c:pt>
                <c:pt idx="474">
                  <c:v>39.296940922232757</c:v>
                </c:pt>
                <c:pt idx="475">
                  <c:v>30.065186282830023</c:v>
                </c:pt>
                <c:pt idx="476">
                  <c:v>54.051032732516923</c:v>
                </c:pt>
                <c:pt idx="477">
                  <c:v>33.253111121924185</c:v>
                </c:pt>
                <c:pt idx="478">
                  <c:v>35.148137239093501</c:v>
                </c:pt>
                <c:pt idx="479">
                  <c:v>33.413113462375705</c:v>
                </c:pt>
                <c:pt idx="480">
                  <c:v>45.700578612556498</c:v>
                </c:pt>
                <c:pt idx="481">
                  <c:v>35.236999582005389</c:v>
                </c:pt>
                <c:pt idx="482">
                  <c:v>41.55270432092577</c:v>
                </c:pt>
                <c:pt idx="483">
                  <c:v>50.156747401142688</c:v>
                </c:pt>
                <c:pt idx="484">
                  <c:v>35.403277909863213</c:v>
                </c:pt>
                <c:pt idx="485">
                  <c:v>51.065977429295089</c:v>
                </c:pt>
                <c:pt idx="486">
                  <c:v>57.004136666930151</c:v>
                </c:pt>
                <c:pt idx="487">
                  <c:v>52.333267524709676</c:v>
                </c:pt>
                <c:pt idx="488">
                  <c:v>39.461798181331318</c:v>
                </c:pt>
                <c:pt idx="489">
                  <c:v>42.31940612452005</c:v>
                </c:pt>
                <c:pt idx="490">
                  <c:v>41.56151332561506</c:v>
                </c:pt>
                <c:pt idx="491">
                  <c:v>49.683838357897422</c:v>
                </c:pt>
                <c:pt idx="492">
                  <c:v>51.108409100692214</c:v>
                </c:pt>
                <c:pt idx="493">
                  <c:v>45.466648472127375</c:v>
                </c:pt>
                <c:pt idx="494">
                  <c:v>43.738852843163677</c:v>
                </c:pt>
                <c:pt idx="495">
                  <c:v>45.654985668060043</c:v>
                </c:pt>
                <c:pt idx="496">
                  <c:v>53.947274262338006</c:v>
                </c:pt>
                <c:pt idx="497">
                  <c:v>63.370782449171799</c:v>
                </c:pt>
                <c:pt idx="498">
                  <c:v>40.295038729989251</c:v>
                </c:pt>
                <c:pt idx="499">
                  <c:v>16.692722260276888</c:v>
                </c:pt>
                <c:pt idx="500">
                  <c:v>64.587405532244034</c:v>
                </c:pt>
                <c:pt idx="501">
                  <c:v>37.265182452498451</c:v>
                </c:pt>
                <c:pt idx="502">
                  <c:v>40.393064812126653</c:v>
                </c:pt>
                <c:pt idx="503">
                  <c:v>53.357471733115872</c:v>
                </c:pt>
                <c:pt idx="504">
                  <c:v>50.210620015551271</c:v>
                </c:pt>
                <c:pt idx="505">
                  <c:v>40.235328902694832</c:v>
                </c:pt>
                <c:pt idx="506">
                  <c:v>49.956031051276554</c:v>
                </c:pt>
                <c:pt idx="507">
                  <c:v>27.274071850968948</c:v>
                </c:pt>
                <c:pt idx="508">
                  <c:v>59.321104003615673</c:v>
                </c:pt>
                <c:pt idx="509">
                  <c:v>48.661240091324245</c:v>
                </c:pt>
                <c:pt idx="510">
                  <c:v>53.263568463065653</c:v>
                </c:pt>
              </c:numCache>
            </c:numRef>
          </c:xVal>
          <c:yVal>
            <c:numRef>
              <c:f>Data!$BT$20:$BT$533</c:f>
            </c:numRef>
          </c:yVal>
          <c:smooth val="0"/>
          <c:extLst>
            <c:ext xmlns:c16="http://schemas.microsoft.com/office/drawing/2014/chart" uri="{C3380CC4-5D6E-409C-BE32-E72D297353CC}">
              <c16:uniqueId val="{00000001-FA90-44DF-B442-F3C1FC314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935199"/>
        <c:axId val="555937119"/>
      </c:scatterChart>
      <c:valAx>
        <c:axId val="555935199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crossAx val="555937119"/>
        <c:crosses val="autoZero"/>
        <c:crossBetween val="midCat"/>
      </c:valAx>
      <c:valAx>
        <c:axId val="555937119"/>
        <c:scaling>
          <c:orientation val="minMax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5935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 b="1" i="0" u="none" strike="noStrike" baseline="0">
                <a:effectLst/>
              </a:rPr>
              <a:t>CH4 [% GP]</a:t>
            </a:r>
            <a:r>
              <a:rPr lang="en-US" sz="800" b="0" i="0" u="none" strike="noStrike" baseline="0"/>
              <a:t> </a:t>
            </a:r>
            <a:endParaRPr lang="en-US" sz="800"/>
          </a:p>
        </c:rich>
      </c:tx>
      <c:layout>
        <c:manualLayout>
          <c:xMode val="edge"/>
          <c:yMode val="edge"/>
          <c:x val="0.59673418754374141"/>
          <c:y val="6.0949448748262629E-2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4575089473177951E-2"/>
          <c:y val="0"/>
          <c:w val="0.9854247838224458"/>
          <c:h val="0.87598801698885309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Data!$AA$19</c:f>
              <c:strCache>
                <c:ptCount val="1"/>
                <c:pt idx="0">
                  <c:v>CH4 [% GP]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Data!$AA$20:$AA$533</c:f>
              <c:numCache>
                <c:formatCode>0.0</c:formatCode>
                <c:ptCount val="514"/>
                <c:pt idx="0">
                  <c:v>11.674223187945245</c:v>
                </c:pt>
                <c:pt idx="1">
                  <c:v>7.698627303283601</c:v>
                </c:pt>
                <c:pt idx="2">
                  <c:v>12.474167299118385</c:v>
                </c:pt>
                <c:pt idx="3">
                  <c:v>15.098701061943915</c:v>
                </c:pt>
                <c:pt idx="4">
                  <c:v>10.562314989255446</c:v>
                </c:pt>
                <c:pt idx="5">
                  <c:v>13.76348006261146</c:v>
                </c:pt>
                <c:pt idx="6">
                  <c:v>15.111897613572795</c:v>
                </c:pt>
                <c:pt idx="7">
                  <c:v>10.887591528757151</c:v>
                </c:pt>
                <c:pt idx="8">
                  <c:v>11.934064069167203</c:v>
                </c:pt>
                <c:pt idx="9">
                  <c:v>9.7330285025805665</c:v>
                </c:pt>
                <c:pt idx="10">
                  <c:v>14.176564342937978</c:v>
                </c:pt>
                <c:pt idx="11">
                  <c:v>10.783916979059128</c:v>
                </c:pt>
                <c:pt idx="12">
                  <c:v>13.094247269415568</c:v>
                </c:pt>
                <c:pt idx="13">
                  <c:v>19.152567436348779</c:v>
                </c:pt>
                <c:pt idx="14">
                  <c:v>18.236994767301468</c:v>
                </c:pt>
                <c:pt idx="15">
                  <c:v>12.600243932886448</c:v>
                </c:pt>
                <c:pt idx="16">
                  <c:v>13.738328587479037</c:v>
                </c:pt>
                <c:pt idx="17">
                  <c:v>16.107428000807015</c:v>
                </c:pt>
                <c:pt idx="18">
                  <c:v>8.0203135088304975</c:v>
                </c:pt>
                <c:pt idx="19">
                  <c:v>11.783406261653774</c:v>
                </c:pt>
                <c:pt idx="20">
                  <c:v>14.526727085531141</c:v>
                </c:pt>
                <c:pt idx="21">
                  <c:v>11.115459778532276</c:v>
                </c:pt>
                <c:pt idx="22">
                  <c:v>14.00952936740647</c:v>
                </c:pt>
                <c:pt idx="23">
                  <c:v>12.695792195699795</c:v>
                </c:pt>
                <c:pt idx="24">
                  <c:v>15.800126969675803</c:v>
                </c:pt>
                <c:pt idx="25">
                  <c:v>17.96227381393491</c:v>
                </c:pt>
                <c:pt idx="26">
                  <c:v>12.32972980251744</c:v>
                </c:pt>
                <c:pt idx="27">
                  <c:v>21.114659298836536</c:v>
                </c:pt>
                <c:pt idx="28">
                  <c:v>10.703810466433122</c:v>
                </c:pt>
                <c:pt idx="29">
                  <c:v>23.475775828595015</c:v>
                </c:pt>
                <c:pt idx="30">
                  <c:v>17.635760821641654</c:v>
                </c:pt>
                <c:pt idx="31">
                  <c:v>7.5299190197085366</c:v>
                </c:pt>
                <c:pt idx="32">
                  <c:v>16.181194059957917</c:v>
                </c:pt>
                <c:pt idx="33">
                  <c:v>20.106114302000609</c:v>
                </c:pt>
                <c:pt idx="34">
                  <c:v>8.9416853940038141</c:v>
                </c:pt>
                <c:pt idx="35">
                  <c:v>17.616745717446072</c:v>
                </c:pt>
                <c:pt idx="36">
                  <c:v>11.649940169692155</c:v>
                </c:pt>
                <c:pt idx="37">
                  <c:v>15.643693135102509</c:v>
                </c:pt>
                <c:pt idx="38">
                  <c:v>8.0797714208575524</c:v>
                </c:pt>
                <c:pt idx="39">
                  <c:v>25.229662547268667</c:v>
                </c:pt>
                <c:pt idx="40">
                  <c:v>23.14447762211103</c:v>
                </c:pt>
                <c:pt idx="41">
                  <c:v>13.69731862523895</c:v>
                </c:pt>
                <c:pt idx="42">
                  <c:v>16.213516705267221</c:v>
                </c:pt>
                <c:pt idx="43">
                  <c:v>17.256310521874894</c:v>
                </c:pt>
                <c:pt idx="44">
                  <c:v>8.6424518145998803</c:v>
                </c:pt>
                <c:pt idx="45">
                  <c:v>14.871826753598489</c:v>
                </c:pt>
                <c:pt idx="46">
                  <c:v>14.818481986305798</c:v>
                </c:pt>
                <c:pt idx="47">
                  <c:v>13.50833964851868</c:v>
                </c:pt>
                <c:pt idx="48">
                  <c:v>24.538929984765556</c:v>
                </c:pt>
                <c:pt idx="49">
                  <c:v>18.927870754031538</c:v>
                </c:pt>
                <c:pt idx="50">
                  <c:v>19.505955156076794</c:v>
                </c:pt>
                <c:pt idx="51">
                  <c:v>12.508139363343517</c:v>
                </c:pt>
                <c:pt idx="52">
                  <c:v>14.099459905873543</c:v>
                </c:pt>
                <c:pt idx="53">
                  <c:v>14.466290147469079</c:v>
                </c:pt>
                <c:pt idx="54">
                  <c:v>12.087272625905083</c:v>
                </c:pt>
                <c:pt idx="55">
                  <c:v>16.252754246443548</c:v>
                </c:pt>
                <c:pt idx="56">
                  <c:v>20.417405124001693</c:v>
                </c:pt>
                <c:pt idx="57">
                  <c:v>16.293673905216608</c:v>
                </c:pt>
                <c:pt idx="58">
                  <c:v>14.201597835570357</c:v>
                </c:pt>
                <c:pt idx="59">
                  <c:v>16.298971977425868</c:v>
                </c:pt>
                <c:pt idx="60">
                  <c:v>17.403195841917732</c:v>
                </c:pt>
                <c:pt idx="61">
                  <c:v>19.555153125731252</c:v>
                </c:pt>
                <c:pt idx="62">
                  <c:v>17.751852635488504</c:v>
                </c:pt>
                <c:pt idx="63">
                  <c:v>21.530258083188837</c:v>
                </c:pt>
                <c:pt idx="64">
                  <c:v>14.345062147722112</c:v>
                </c:pt>
                <c:pt idx="65">
                  <c:v>15.056284428882902</c:v>
                </c:pt>
                <c:pt idx="66">
                  <c:v>24.994572181710399</c:v>
                </c:pt>
                <c:pt idx="67">
                  <c:v>21.313028027796939</c:v>
                </c:pt>
                <c:pt idx="68">
                  <c:v>13.790012699800929</c:v>
                </c:pt>
                <c:pt idx="69">
                  <c:v>11.571532109686766</c:v>
                </c:pt>
                <c:pt idx="70">
                  <c:v>10.674000608256407</c:v>
                </c:pt>
                <c:pt idx="71">
                  <c:v>20.987240245416984</c:v>
                </c:pt>
                <c:pt idx="72">
                  <c:v>17.697904086160264</c:v>
                </c:pt>
                <c:pt idx="73">
                  <c:v>17.274268398243478</c:v>
                </c:pt>
                <c:pt idx="74">
                  <c:v>13.117113883645876</c:v>
                </c:pt>
                <c:pt idx="75">
                  <c:v>13.436560481134501</c:v>
                </c:pt>
                <c:pt idx="76">
                  <c:v>16.378765992966276</c:v>
                </c:pt>
                <c:pt idx="77">
                  <c:v>10.207409005466397</c:v>
                </c:pt>
                <c:pt idx="78">
                  <c:v>17.924497924145026</c:v>
                </c:pt>
                <c:pt idx="79">
                  <c:v>13.339605164634275</c:v>
                </c:pt>
                <c:pt idx="80">
                  <c:v>13.82104509334042</c:v>
                </c:pt>
                <c:pt idx="81">
                  <c:v>13.015505656353902</c:v>
                </c:pt>
                <c:pt idx="82">
                  <c:v>22.123762173243179</c:v>
                </c:pt>
                <c:pt idx="83">
                  <c:v>16.984231685384415</c:v>
                </c:pt>
                <c:pt idx="84">
                  <c:v>15.217485479715547</c:v>
                </c:pt>
                <c:pt idx="85">
                  <c:v>11.724191642996949</c:v>
                </c:pt>
                <c:pt idx="86">
                  <c:v>15.488764002102972</c:v>
                </c:pt>
                <c:pt idx="87">
                  <c:v>14.425406104501157</c:v>
                </c:pt>
                <c:pt idx="88">
                  <c:v>12.104317343072999</c:v>
                </c:pt>
                <c:pt idx="89">
                  <c:v>15.79433148052283</c:v>
                </c:pt>
                <c:pt idx="90">
                  <c:v>15.783930135902452</c:v>
                </c:pt>
                <c:pt idx="91">
                  <c:v>16.49940901676181</c:v>
                </c:pt>
                <c:pt idx="92">
                  <c:v>17.663531762120748</c:v>
                </c:pt>
                <c:pt idx="93">
                  <c:v>14.075007108670054</c:v>
                </c:pt>
                <c:pt idx="94">
                  <c:v>13.20923015549266</c:v>
                </c:pt>
                <c:pt idx="95">
                  <c:v>14.930324898690042</c:v>
                </c:pt>
                <c:pt idx="96">
                  <c:v>24.97771553803641</c:v>
                </c:pt>
                <c:pt idx="97">
                  <c:v>22.271156269009374</c:v>
                </c:pt>
                <c:pt idx="98">
                  <c:v>12.76830282507383</c:v>
                </c:pt>
                <c:pt idx="99">
                  <c:v>18.407481188167864</c:v>
                </c:pt>
                <c:pt idx="100">
                  <c:v>12.234980652259839</c:v>
                </c:pt>
                <c:pt idx="101">
                  <c:v>20.859219455174479</c:v>
                </c:pt>
                <c:pt idx="102">
                  <c:v>7.0862327275919039</c:v>
                </c:pt>
                <c:pt idx="103">
                  <c:v>15.250902273029935</c:v>
                </c:pt>
                <c:pt idx="104">
                  <c:v>12.784480736063328</c:v>
                </c:pt>
                <c:pt idx="105">
                  <c:v>16.556928940810586</c:v>
                </c:pt>
                <c:pt idx="106">
                  <c:v>13.380747505179125</c:v>
                </c:pt>
                <c:pt idx="107">
                  <c:v>18.785134030725576</c:v>
                </c:pt>
                <c:pt idx="108">
                  <c:v>13.360406523811482</c:v>
                </c:pt>
                <c:pt idx="109">
                  <c:v>13.72512822661143</c:v>
                </c:pt>
                <c:pt idx="110">
                  <c:v>15.120380896458471</c:v>
                </c:pt>
                <c:pt idx="111">
                  <c:v>18.092824668441416</c:v>
                </c:pt>
                <c:pt idx="112">
                  <c:v>13.349451957060223</c:v>
                </c:pt>
                <c:pt idx="113">
                  <c:v>15.313997982653108</c:v>
                </c:pt>
                <c:pt idx="114">
                  <c:v>12.992730165489796</c:v>
                </c:pt>
                <c:pt idx="115">
                  <c:v>14.715543704213779</c:v>
                </c:pt>
                <c:pt idx="116">
                  <c:v>13.216992698238458</c:v>
                </c:pt>
                <c:pt idx="117">
                  <c:v>14.587230532980017</c:v>
                </c:pt>
                <c:pt idx="118">
                  <c:v>15.945437823529046</c:v>
                </c:pt>
                <c:pt idx="119">
                  <c:v>15.399770903915917</c:v>
                </c:pt>
                <c:pt idx="120">
                  <c:v>14.267276852030705</c:v>
                </c:pt>
                <c:pt idx="121">
                  <c:v>19.172298986155241</c:v>
                </c:pt>
                <c:pt idx="122">
                  <c:v>13.950399537409265</c:v>
                </c:pt>
                <c:pt idx="123">
                  <c:v>15.510516064043555</c:v>
                </c:pt>
                <c:pt idx="124">
                  <c:v>14.195434498195281</c:v>
                </c:pt>
                <c:pt idx="125">
                  <c:v>16.12773659743905</c:v>
                </c:pt>
                <c:pt idx="126">
                  <c:v>16.276182117618308</c:v>
                </c:pt>
                <c:pt idx="127">
                  <c:v>12.146436049142334</c:v>
                </c:pt>
                <c:pt idx="128">
                  <c:v>18.058247530409599</c:v>
                </c:pt>
                <c:pt idx="129">
                  <c:v>21.001890759942377</c:v>
                </c:pt>
                <c:pt idx="130">
                  <c:v>14.67546086004765</c:v>
                </c:pt>
                <c:pt idx="131">
                  <c:v>11.904998710036784</c:v>
                </c:pt>
                <c:pt idx="132">
                  <c:v>18.112103006560837</c:v>
                </c:pt>
                <c:pt idx="133">
                  <c:v>17.380784832697007</c:v>
                </c:pt>
                <c:pt idx="134">
                  <c:v>14.640591109081685</c:v>
                </c:pt>
                <c:pt idx="135">
                  <c:v>14.207962301286086</c:v>
                </c:pt>
                <c:pt idx="136">
                  <c:v>18.580949497200599</c:v>
                </c:pt>
                <c:pt idx="137">
                  <c:v>16.052347123898723</c:v>
                </c:pt>
                <c:pt idx="138">
                  <c:v>17.227780475670741</c:v>
                </c:pt>
                <c:pt idx="139">
                  <c:v>13.513807590447858</c:v>
                </c:pt>
                <c:pt idx="140">
                  <c:v>19.049011882329893</c:v>
                </c:pt>
                <c:pt idx="141">
                  <c:v>13.427138580325337</c:v>
                </c:pt>
                <c:pt idx="142">
                  <c:v>13.176361843307479</c:v>
                </c:pt>
                <c:pt idx="143">
                  <c:v>20.158930672732129</c:v>
                </c:pt>
                <c:pt idx="144">
                  <c:v>14.622156679270306</c:v>
                </c:pt>
                <c:pt idx="145">
                  <c:v>19.672923300240218</c:v>
                </c:pt>
                <c:pt idx="146">
                  <c:v>18.09499316115928</c:v>
                </c:pt>
                <c:pt idx="147">
                  <c:v>15.433666301368007</c:v>
                </c:pt>
                <c:pt idx="148">
                  <c:v>19.229519248773091</c:v>
                </c:pt>
                <c:pt idx="149">
                  <c:v>18.078027412047863</c:v>
                </c:pt>
                <c:pt idx="150">
                  <c:v>13.852813976107035</c:v>
                </c:pt>
                <c:pt idx="151">
                  <c:v>14.383006739624527</c:v>
                </c:pt>
                <c:pt idx="152">
                  <c:v>13.680974900382095</c:v>
                </c:pt>
                <c:pt idx="153">
                  <c:v>13.620308504734149</c:v>
                </c:pt>
                <c:pt idx="154">
                  <c:v>17.662577405345388</c:v>
                </c:pt>
                <c:pt idx="155">
                  <c:v>18.160736179532531</c:v>
                </c:pt>
                <c:pt idx="156">
                  <c:v>16.491760620363085</c:v>
                </c:pt>
                <c:pt idx="157">
                  <c:v>16.803019454677951</c:v>
                </c:pt>
                <c:pt idx="158">
                  <c:v>14.174562925713813</c:v>
                </c:pt>
                <c:pt idx="159">
                  <c:v>13.496967176590967</c:v>
                </c:pt>
                <c:pt idx="160">
                  <c:v>14.683787869617094</c:v>
                </c:pt>
                <c:pt idx="161">
                  <c:v>15.795560242484665</c:v>
                </c:pt>
                <c:pt idx="162">
                  <c:v>16.028751496834175</c:v>
                </c:pt>
                <c:pt idx="163">
                  <c:v>7.0474966448184855</c:v>
                </c:pt>
                <c:pt idx="164">
                  <c:v>13.097425096001508</c:v>
                </c:pt>
                <c:pt idx="165">
                  <c:v>18.710984751158023</c:v>
                </c:pt>
                <c:pt idx="166">
                  <c:v>18.521000597708177</c:v>
                </c:pt>
                <c:pt idx="167">
                  <c:v>11.843617314364858</c:v>
                </c:pt>
                <c:pt idx="168">
                  <c:v>18.09950789107403</c:v>
                </c:pt>
                <c:pt idx="169">
                  <c:v>18.826665959609457</c:v>
                </c:pt>
                <c:pt idx="170">
                  <c:v>12.000717715392639</c:v>
                </c:pt>
                <c:pt idx="171">
                  <c:v>17.382978907333037</c:v>
                </c:pt>
                <c:pt idx="172">
                  <c:v>13.540678277784082</c:v>
                </c:pt>
                <c:pt idx="173">
                  <c:v>14.65859389262053</c:v>
                </c:pt>
                <c:pt idx="174">
                  <c:v>17.44119539967021</c:v>
                </c:pt>
                <c:pt idx="175">
                  <c:v>12.364729180187005</c:v>
                </c:pt>
                <c:pt idx="176">
                  <c:v>15.07984022000416</c:v>
                </c:pt>
                <c:pt idx="177">
                  <c:v>20.757393384784947</c:v>
                </c:pt>
                <c:pt idx="178">
                  <c:v>17.403478862410505</c:v>
                </c:pt>
                <c:pt idx="179">
                  <c:v>13.717695590744642</c:v>
                </c:pt>
                <c:pt idx="180">
                  <c:v>13.982668259521899</c:v>
                </c:pt>
                <c:pt idx="181">
                  <c:v>12.750912270568762</c:v>
                </c:pt>
                <c:pt idx="182">
                  <c:v>15.957932269624539</c:v>
                </c:pt>
                <c:pt idx="183">
                  <c:v>19.167447530867911</c:v>
                </c:pt>
                <c:pt idx="184">
                  <c:v>19.670747488802792</c:v>
                </c:pt>
                <c:pt idx="185">
                  <c:v>20.335227992538289</c:v>
                </c:pt>
                <c:pt idx="186">
                  <c:v>13.410963839741774</c:v>
                </c:pt>
                <c:pt idx="187">
                  <c:v>14.951770216729422</c:v>
                </c:pt>
                <c:pt idx="188">
                  <c:v>15.32870608903937</c:v>
                </c:pt>
                <c:pt idx="189">
                  <c:v>17.48485272590133</c:v>
                </c:pt>
                <c:pt idx="190">
                  <c:v>13.949475796365435</c:v>
                </c:pt>
                <c:pt idx="191">
                  <c:v>16.688326167069327</c:v>
                </c:pt>
                <c:pt idx="192">
                  <c:v>13.922698534519141</c:v>
                </c:pt>
                <c:pt idx="193">
                  <c:v>13.569262179539997</c:v>
                </c:pt>
                <c:pt idx="194">
                  <c:v>15.339450481041176</c:v>
                </c:pt>
                <c:pt idx="195">
                  <c:v>17.865865332491985</c:v>
                </c:pt>
                <c:pt idx="196">
                  <c:v>13.68497341260729</c:v>
                </c:pt>
                <c:pt idx="197">
                  <c:v>14.027861089641059</c:v>
                </c:pt>
                <c:pt idx="198">
                  <c:v>18.207515402117949</c:v>
                </c:pt>
                <c:pt idx="199">
                  <c:v>18.445240820068747</c:v>
                </c:pt>
                <c:pt idx="200">
                  <c:v>17.00196627626153</c:v>
                </c:pt>
                <c:pt idx="202">
                  <c:v>15.844992849228856</c:v>
                </c:pt>
                <c:pt idx="203">
                  <c:v>14.23650538236099</c:v>
                </c:pt>
                <c:pt idx="204">
                  <c:v>14.966444652401906</c:v>
                </c:pt>
                <c:pt idx="205">
                  <c:v>11.495132536941801</c:v>
                </c:pt>
                <c:pt idx="206">
                  <c:v>10.045396054642127</c:v>
                </c:pt>
                <c:pt idx="207">
                  <c:v>17.196310187352967</c:v>
                </c:pt>
                <c:pt idx="208">
                  <c:v>13.155355435385435</c:v>
                </c:pt>
                <c:pt idx="209">
                  <c:v>15.243349860829969</c:v>
                </c:pt>
                <c:pt idx="210">
                  <c:v>16.013970009851377</c:v>
                </c:pt>
                <c:pt idx="211">
                  <c:v>15.877788922445434</c:v>
                </c:pt>
                <c:pt idx="212">
                  <c:v>18.323978420875232</c:v>
                </c:pt>
                <c:pt idx="213">
                  <c:v>13.899351020016573</c:v>
                </c:pt>
                <c:pt idx="214">
                  <c:v>17.613900345613555</c:v>
                </c:pt>
                <c:pt idx="215">
                  <c:v>19.871055046358897</c:v>
                </c:pt>
                <c:pt idx="216">
                  <c:v>12.159316889140296</c:v>
                </c:pt>
                <c:pt idx="217">
                  <c:v>12.623824119171909</c:v>
                </c:pt>
                <c:pt idx="218">
                  <c:v>17.578845480292745</c:v>
                </c:pt>
                <c:pt idx="219">
                  <c:v>19.279259032686539</c:v>
                </c:pt>
                <c:pt idx="220">
                  <c:v>18.205423127492555</c:v>
                </c:pt>
                <c:pt idx="221">
                  <c:v>16.552783899858429</c:v>
                </c:pt>
                <c:pt idx="222">
                  <c:v>15.766573606062323</c:v>
                </c:pt>
                <c:pt idx="223">
                  <c:v>15.963726470675304</c:v>
                </c:pt>
                <c:pt idx="224">
                  <c:v>17.26942915090703</c:v>
                </c:pt>
                <c:pt idx="225">
                  <c:v>16.955039078114503</c:v>
                </c:pt>
                <c:pt idx="226">
                  <c:v>16.970667989775698</c:v>
                </c:pt>
                <c:pt idx="228">
                  <c:v>12.973805985481457</c:v>
                </c:pt>
                <c:pt idx="229">
                  <c:v>17.987491371948146</c:v>
                </c:pt>
                <c:pt idx="230">
                  <c:v>14.71181269424055</c:v>
                </c:pt>
                <c:pt idx="231">
                  <c:v>14.59964583734271</c:v>
                </c:pt>
                <c:pt idx="232">
                  <c:v>17.002408233580987</c:v>
                </c:pt>
                <c:pt idx="233">
                  <c:v>20.106638802111938</c:v>
                </c:pt>
                <c:pt idx="234">
                  <c:v>14.123330721891907</c:v>
                </c:pt>
                <c:pt idx="235">
                  <c:v>16.765876227944545</c:v>
                </c:pt>
                <c:pt idx="236">
                  <c:v>17.243286591593449</c:v>
                </c:pt>
                <c:pt idx="237">
                  <c:v>14.868356313153269</c:v>
                </c:pt>
                <c:pt idx="238">
                  <c:v>21.519305272431126</c:v>
                </c:pt>
                <c:pt idx="239">
                  <c:v>16.30309580470999</c:v>
                </c:pt>
                <c:pt idx="240">
                  <c:v>16.047233278887095</c:v>
                </c:pt>
                <c:pt idx="241">
                  <c:v>20.891162649830576</c:v>
                </c:pt>
                <c:pt idx="242">
                  <c:v>7.3692119543292671</c:v>
                </c:pt>
                <c:pt idx="243">
                  <c:v>17.287316237144655</c:v>
                </c:pt>
                <c:pt idx="244">
                  <c:v>13.890772586296723</c:v>
                </c:pt>
                <c:pt idx="245">
                  <c:v>16.678653028777219</c:v>
                </c:pt>
                <c:pt idx="246">
                  <c:v>13.265368622655046</c:v>
                </c:pt>
                <c:pt idx="247">
                  <c:v>16.345991382685092</c:v>
                </c:pt>
                <c:pt idx="248">
                  <c:v>8.5946017575234865</c:v>
                </c:pt>
                <c:pt idx="249">
                  <c:v>22.405065015936195</c:v>
                </c:pt>
                <c:pt idx="250">
                  <c:v>13.543304270432166</c:v>
                </c:pt>
                <c:pt idx="251">
                  <c:v>17.262853938351821</c:v>
                </c:pt>
                <c:pt idx="252">
                  <c:v>14.535265523628969</c:v>
                </c:pt>
                <c:pt idx="253">
                  <c:v>15.035667964401425</c:v>
                </c:pt>
                <c:pt idx="254">
                  <c:v>19.406964860521306</c:v>
                </c:pt>
                <c:pt idx="255">
                  <c:v>16.386887650374803</c:v>
                </c:pt>
                <c:pt idx="256">
                  <c:v>13.181120389105352</c:v>
                </c:pt>
                <c:pt idx="257">
                  <c:v>12.180745000030832</c:v>
                </c:pt>
                <c:pt idx="258">
                  <c:v>14.036121913519775</c:v>
                </c:pt>
                <c:pt idx="259">
                  <c:v>17.405690632590602</c:v>
                </c:pt>
                <c:pt idx="260">
                  <c:v>14.667190467684152</c:v>
                </c:pt>
                <c:pt idx="261">
                  <c:v>18.010253545846012</c:v>
                </c:pt>
                <c:pt idx="262">
                  <c:v>13.985227573987327</c:v>
                </c:pt>
                <c:pt idx="263">
                  <c:v>17.835671576291912</c:v>
                </c:pt>
                <c:pt idx="264">
                  <c:v>16.723328486017479</c:v>
                </c:pt>
                <c:pt idx="265">
                  <c:v>17.272455410431487</c:v>
                </c:pt>
                <c:pt idx="266">
                  <c:v>19.532031337000621</c:v>
                </c:pt>
                <c:pt idx="267">
                  <c:v>16.760468975429493</c:v>
                </c:pt>
                <c:pt idx="268">
                  <c:v>13.465409040445525</c:v>
                </c:pt>
                <c:pt idx="269">
                  <c:v>16.16993503130572</c:v>
                </c:pt>
                <c:pt idx="270">
                  <c:v>14.95901339829288</c:v>
                </c:pt>
                <c:pt idx="271">
                  <c:v>17.589651119104111</c:v>
                </c:pt>
                <c:pt idx="272">
                  <c:v>19.726868334658711</c:v>
                </c:pt>
                <c:pt idx="273">
                  <c:v>16.084013604910965</c:v>
                </c:pt>
                <c:pt idx="274">
                  <c:v>16.516517604437585</c:v>
                </c:pt>
                <c:pt idx="275">
                  <c:v>15.150922998250426</c:v>
                </c:pt>
                <c:pt idx="276">
                  <c:v>19.427813308783534</c:v>
                </c:pt>
                <c:pt idx="277">
                  <c:v>16.927903432867737</c:v>
                </c:pt>
                <c:pt idx="278">
                  <c:v>14.202391877579629</c:v>
                </c:pt>
                <c:pt idx="279">
                  <c:v>15.498221352228803</c:v>
                </c:pt>
                <c:pt idx="280">
                  <c:v>16.608312738408173</c:v>
                </c:pt>
                <c:pt idx="281">
                  <c:v>15.209937319151813</c:v>
                </c:pt>
                <c:pt idx="282">
                  <c:v>17.149911435250139</c:v>
                </c:pt>
                <c:pt idx="283">
                  <c:v>13.98230075884468</c:v>
                </c:pt>
                <c:pt idx="284">
                  <c:v>16.747973321959954</c:v>
                </c:pt>
                <c:pt idx="285">
                  <c:v>16.327879388385483</c:v>
                </c:pt>
                <c:pt idx="286">
                  <c:v>16.389056281978053</c:v>
                </c:pt>
                <c:pt idx="287">
                  <c:v>18.435381153021808</c:v>
                </c:pt>
                <c:pt idx="288">
                  <c:v>16.513565007240096</c:v>
                </c:pt>
                <c:pt idx="289">
                  <c:v>13.714607472965422</c:v>
                </c:pt>
                <c:pt idx="290">
                  <c:v>16.584147892160868</c:v>
                </c:pt>
                <c:pt idx="291">
                  <c:v>19.55955106601084</c:v>
                </c:pt>
                <c:pt idx="292">
                  <c:v>17.025379172363909</c:v>
                </c:pt>
                <c:pt idx="293">
                  <c:v>18.65890511786877</c:v>
                </c:pt>
                <c:pt idx="294">
                  <c:v>18.365319851496039</c:v>
                </c:pt>
                <c:pt idx="295">
                  <c:v>13.379593694370065</c:v>
                </c:pt>
                <c:pt idx="296">
                  <c:v>16.618508771201508</c:v>
                </c:pt>
                <c:pt idx="297">
                  <c:v>14.743238934410934</c:v>
                </c:pt>
                <c:pt idx="298">
                  <c:v>17.556346251060397</c:v>
                </c:pt>
                <c:pt idx="299">
                  <c:v>16.047701903337266</c:v>
                </c:pt>
                <c:pt idx="300">
                  <c:v>15.657669169666358</c:v>
                </c:pt>
                <c:pt idx="301">
                  <c:v>17.605412721702283</c:v>
                </c:pt>
                <c:pt idx="302">
                  <c:v>16.238020705261363</c:v>
                </c:pt>
                <c:pt idx="303">
                  <c:v>14.207685246394908</c:v>
                </c:pt>
                <c:pt idx="304">
                  <c:v>19.617825436167607</c:v>
                </c:pt>
                <c:pt idx="305">
                  <c:v>17.649946277895285</c:v>
                </c:pt>
                <c:pt idx="306">
                  <c:v>12.927871182072776</c:v>
                </c:pt>
                <c:pt idx="307">
                  <c:v>16.680321270454957</c:v>
                </c:pt>
                <c:pt idx="308">
                  <c:v>18.036910608239481</c:v>
                </c:pt>
                <c:pt idx="309">
                  <c:v>18.232510723529199</c:v>
                </c:pt>
                <c:pt idx="310">
                  <c:v>18.336411673576318</c:v>
                </c:pt>
                <c:pt idx="311">
                  <c:v>17.519299959752548</c:v>
                </c:pt>
                <c:pt idx="312">
                  <c:v>16.909404702341643</c:v>
                </c:pt>
                <c:pt idx="313">
                  <c:v>15.321959998390202</c:v>
                </c:pt>
                <c:pt idx="314">
                  <c:v>15.752128749298908</c:v>
                </c:pt>
                <c:pt idx="315">
                  <c:v>17.655406968009483</c:v>
                </c:pt>
                <c:pt idx="316">
                  <c:v>20.67466654753186</c:v>
                </c:pt>
                <c:pt idx="317">
                  <c:v>18.20519513976825</c:v>
                </c:pt>
                <c:pt idx="318">
                  <c:v>15.506111620281279</c:v>
                </c:pt>
                <c:pt idx="319">
                  <c:v>16.554468622162169</c:v>
                </c:pt>
                <c:pt idx="320">
                  <c:v>18.210101237533333</c:v>
                </c:pt>
                <c:pt idx="321">
                  <c:v>16.31885126773826</c:v>
                </c:pt>
                <c:pt idx="322">
                  <c:v>18.59580594270642</c:v>
                </c:pt>
                <c:pt idx="323">
                  <c:v>16.552232637552837</c:v>
                </c:pt>
                <c:pt idx="324">
                  <c:v>17.333001646792816</c:v>
                </c:pt>
                <c:pt idx="325">
                  <c:v>16.094646266759437</c:v>
                </c:pt>
                <c:pt idx="326">
                  <c:v>18.463340015536794</c:v>
                </c:pt>
                <c:pt idx="327">
                  <c:v>13.005779712453942</c:v>
                </c:pt>
                <c:pt idx="328">
                  <c:v>15.927500613247886</c:v>
                </c:pt>
                <c:pt idx="329">
                  <c:v>21.848385415309149</c:v>
                </c:pt>
                <c:pt idx="330">
                  <c:v>15.185336939413435</c:v>
                </c:pt>
                <c:pt idx="331">
                  <c:v>18.503112806922147</c:v>
                </c:pt>
                <c:pt idx="332">
                  <c:v>12.450846104386295</c:v>
                </c:pt>
                <c:pt idx="333">
                  <c:v>13.167921760411408</c:v>
                </c:pt>
                <c:pt idx="334">
                  <c:v>17.751892387972664</c:v>
                </c:pt>
                <c:pt idx="335">
                  <c:v>21.323546900699405</c:v>
                </c:pt>
                <c:pt idx="336">
                  <c:v>17.75084144337734</c:v>
                </c:pt>
                <c:pt idx="337">
                  <c:v>21.269927877351037</c:v>
                </c:pt>
                <c:pt idx="338">
                  <c:v>14.657185683237673</c:v>
                </c:pt>
                <c:pt idx="339">
                  <c:v>15.88578911857477</c:v>
                </c:pt>
                <c:pt idx="340">
                  <c:v>16.673563353164216</c:v>
                </c:pt>
                <c:pt idx="341">
                  <c:v>14.729192423184909</c:v>
                </c:pt>
                <c:pt idx="342">
                  <c:v>16.20281293021716</c:v>
                </c:pt>
                <c:pt idx="343">
                  <c:v>18.148045950255238</c:v>
                </c:pt>
                <c:pt idx="344">
                  <c:v>18.264345678910956</c:v>
                </c:pt>
                <c:pt idx="345">
                  <c:v>17.772458571222007</c:v>
                </c:pt>
                <c:pt idx="346">
                  <c:v>13.709193244889386</c:v>
                </c:pt>
                <c:pt idx="347">
                  <c:v>13.812229549109126</c:v>
                </c:pt>
                <c:pt idx="348">
                  <c:v>17.609962583930429</c:v>
                </c:pt>
                <c:pt idx="349">
                  <c:v>17.38768294394416</c:v>
                </c:pt>
                <c:pt idx="350">
                  <c:v>14.520933542479176</c:v>
                </c:pt>
                <c:pt idx="351">
                  <c:v>15.153648671754205</c:v>
                </c:pt>
                <c:pt idx="352">
                  <c:v>18.944002801509587</c:v>
                </c:pt>
                <c:pt idx="353">
                  <c:v>16.77363254393623</c:v>
                </c:pt>
                <c:pt idx="354">
                  <c:v>21.292996579381853</c:v>
                </c:pt>
                <c:pt idx="355">
                  <c:v>14.938659439720817</c:v>
                </c:pt>
                <c:pt idx="356">
                  <c:v>14.684642458697065</c:v>
                </c:pt>
                <c:pt idx="357">
                  <c:v>18.231752065066654</c:v>
                </c:pt>
                <c:pt idx="358">
                  <c:v>17.918126775331967</c:v>
                </c:pt>
                <c:pt idx="359">
                  <c:v>14.769419470861521</c:v>
                </c:pt>
                <c:pt idx="360">
                  <c:v>14.008072632211604</c:v>
                </c:pt>
                <c:pt idx="361">
                  <c:v>12.712744996980401</c:v>
                </c:pt>
                <c:pt idx="362">
                  <c:v>16.424325985113121</c:v>
                </c:pt>
                <c:pt idx="363">
                  <c:v>17.936691584768898</c:v>
                </c:pt>
                <c:pt idx="364">
                  <c:v>16.847731910622926</c:v>
                </c:pt>
                <c:pt idx="365">
                  <c:v>16.583838601305779</c:v>
                </c:pt>
                <c:pt idx="366">
                  <c:v>16.937930070928072</c:v>
                </c:pt>
                <c:pt idx="367">
                  <c:v>20.523392543747214</c:v>
                </c:pt>
                <c:pt idx="368">
                  <c:v>19.144850986897332</c:v>
                </c:pt>
                <c:pt idx="369">
                  <c:v>19.355030230922253</c:v>
                </c:pt>
                <c:pt idx="370">
                  <c:v>18.526717162239141</c:v>
                </c:pt>
                <c:pt idx="371">
                  <c:v>19.865651598294733</c:v>
                </c:pt>
                <c:pt idx="372">
                  <c:v>15.28423078909327</c:v>
                </c:pt>
                <c:pt idx="373">
                  <c:v>13.436970964450513</c:v>
                </c:pt>
                <c:pt idx="374">
                  <c:v>15.87690655723739</c:v>
                </c:pt>
                <c:pt idx="375">
                  <c:v>18.904982103310932</c:v>
                </c:pt>
                <c:pt idx="376">
                  <c:v>13.574484573591599</c:v>
                </c:pt>
                <c:pt idx="377">
                  <c:v>18.966202850893517</c:v>
                </c:pt>
                <c:pt idx="378">
                  <c:v>21.14024439632885</c:v>
                </c:pt>
                <c:pt idx="379">
                  <c:v>20.257643537773639</c:v>
                </c:pt>
                <c:pt idx="380">
                  <c:v>14.904507660453833</c:v>
                </c:pt>
                <c:pt idx="381">
                  <c:v>15.081060076389891</c:v>
                </c:pt>
                <c:pt idx="382">
                  <c:v>18.280656743373292</c:v>
                </c:pt>
                <c:pt idx="383">
                  <c:v>16.271685607296746</c:v>
                </c:pt>
                <c:pt idx="384">
                  <c:v>17.133933597859048</c:v>
                </c:pt>
                <c:pt idx="385">
                  <c:v>18.126328296744983</c:v>
                </c:pt>
                <c:pt idx="386">
                  <c:v>21.894055728961359</c:v>
                </c:pt>
                <c:pt idx="387">
                  <c:v>16.832565832790884</c:v>
                </c:pt>
                <c:pt idx="388">
                  <c:v>17.911259550883294</c:v>
                </c:pt>
                <c:pt idx="389">
                  <c:v>15.518795989524174</c:v>
                </c:pt>
                <c:pt idx="390">
                  <c:v>16.909690337676693</c:v>
                </c:pt>
                <c:pt idx="391">
                  <c:v>15.740620715587445</c:v>
                </c:pt>
                <c:pt idx="392">
                  <c:v>18.066434534669703</c:v>
                </c:pt>
                <c:pt idx="393">
                  <c:v>20.433459684578779</c:v>
                </c:pt>
                <c:pt idx="394">
                  <c:v>14.254137138882006</c:v>
                </c:pt>
                <c:pt idx="395">
                  <c:v>13.947507102287663</c:v>
                </c:pt>
                <c:pt idx="396">
                  <c:v>15.17101121027404</c:v>
                </c:pt>
                <c:pt idx="397">
                  <c:v>17.881399759963109</c:v>
                </c:pt>
                <c:pt idx="398">
                  <c:v>18.793334766976947</c:v>
                </c:pt>
                <c:pt idx="399">
                  <c:v>9.0120999469689647</c:v>
                </c:pt>
                <c:pt idx="400">
                  <c:v>18.383486122907399</c:v>
                </c:pt>
                <c:pt idx="401">
                  <c:v>17.172078374831585</c:v>
                </c:pt>
                <c:pt idx="402">
                  <c:v>21.954203063470214</c:v>
                </c:pt>
                <c:pt idx="403">
                  <c:v>19.860064401170323</c:v>
                </c:pt>
                <c:pt idx="404">
                  <c:v>17.373155103800254</c:v>
                </c:pt>
                <c:pt idx="405">
                  <c:v>18.884070224098576</c:v>
                </c:pt>
                <c:pt idx="406">
                  <c:v>17.717965941090252</c:v>
                </c:pt>
                <c:pt idx="407">
                  <c:v>17.615787636896599</c:v>
                </c:pt>
                <c:pt idx="408">
                  <c:v>17.654336493943486</c:v>
                </c:pt>
                <c:pt idx="409">
                  <c:v>18.113939556898387</c:v>
                </c:pt>
                <c:pt idx="410">
                  <c:v>16.224258098042458</c:v>
                </c:pt>
                <c:pt idx="411">
                  <c:v>16.957462534249689</c:v>
                </c:pt>
                <c:pt idx="412">
                  <c:v>16.133463298213517</c:v>
                </c:pt>
                <c:pt idx="413">
                  <c:v>17.216792718846328</c:v>
                </c:pt>
                <c:pt idx="414">
                  <c:v>19.748538741068494</c:v>
                </c:pt>
                <c:pt idx="415">
                  <c:v>12.368886819058247</c:v>
                </c:pt>
                <c:pt idx="416">
                  <c:v>18.346120617607113</c:v>
                </c:pt>
                <c:pt idx="417">
                  <c:v>17.742842142468536</c:v>
                </c:pt>
                <c:pt idx="418">
                  <c:v>18.875504072201803</c:v>
                </c:pt>
                <c:pt idx="419">
                  <c:v>16.341306373135261</c:v>
                </c:pt>
                <c:pt idx="420">
                  <c:v>19.849429487033042</c:v>
                </c:pt>
                <c:pt idx="421">
                  <c:v>19.077206073894402</c:v>
                </c:pt>
                <c:pt idx="422">
                  <c:v>19.701486103581427</c:v>
                </c:pt>
                <c:pt idx="423">
                  <c:v>18.318257696524405</c:v>
                </c:pt>
                <c:pt idx="424">
                  <c:v>17.211035655222272</c:v>
                </c:pt>
                <c:pt idx="425">
                  <c:v>16.991790566005193</c:v>
                </c:pt>
                <c:pt idx="426">
                  <c:v>20.237185216530715</c:v>
                </c:pt>
                <c:pt idx="427">
                  <c:v>18.147265138680854</c:v>
                </c:pt>
                <c:pt idx="428">
                  <c:v>18.757220221126968</c:v>
                </c:pt>
                <c:pt idx="429">
                  <c:v>14.13215393860367</c:v>
                </c:pt>
                <c:pt idx="430">
                  <c:v>16.999628317611794</c:v>
                </c:pt>
                <c:pt idx="431">
                  <c:v>16.91923645144421</c:v>
                </c:pt>
                <c:pt idx="432">
                  <c:v>14.807603497524985</c:v>
                </c:pt>
                <c:pt idx="433">
                  <c:v>17.680665598817995</c:v>
                </c:pt>
                <c:pt idx="434">
                  <c:v>15.091268331815542</c:v>
                </c:pt>
                <c:pt idx="435">
                  <c:v>16.809827153203621</c:v>
                </c:pt>
                <c:pt idx="436">
                  <c:v>15.212306661393674</c:v>
                </c:pt>
                <c:pt idx="437">
                  <c:v>19.205994199721609</c:v>
                </c:pt>
                <c:pt idx="438">
                  <c:v>19.830615526033316</c:v>
                </c:pt>
                <c:pt idx="439">
                  <c:v>17.114836347185104</c:v>
                </c:pt>
                <c:pt idx="440">
                  <c:v>15.150566060653444</c:v>
                </c:pt>
                <c:pt idx="441">
                  <c:v>17.797499189764217</c:v>
                </c:pt>
                <c:pt idx="442">
                  <c:v>18.856360769905685</c:v>
                </c:pt>
                <c:pt idx="443">
                  <c:v>18.03097869768532</c:v>
                </c:pt>
                <c:pt idx="444">
                  <c:v>18.593609390624536</c:v>
                </c:pt>
                <c:pt idx="445">
                  <c:v>10.966891547499937</c:v>
                </c:pt>
                <c:pt idx="446">
                  <c:v>17.143685668334552</c:v>
                </c:pt>
                <c:pt idx="447">
                  <c:v>14.677575203450566</c:v>
                </c:pt>
                <c:pt idx="448">
                  <c:v>13.804959890381877</c:v>
                </c:pt>
                <c:pt idx="449">
                  <c:v>16.218770194366094</c:v>
                </c:pt>
                <c:pt idx="450">
                  <c:v>18.487287288656624</c:v>
                </c:pt>
                <c:pt idx="451">
                  <c:v>9.6587280928179506</c:v>
                </c:pt>
                <c:pt idx="452">
                  <c:v>17.597137643041229</c:v>
                </c:pt>
                <c:pt idx="453">
                  <c:v>20.111785524160911</c:v>
                </c:pt>
                <c:pt idx="454">
                  <c:v>14.732762586395481</c:v>
                </c:pt>
                <c:pt idx="455">
                  <c:v>17.749020786522816</c:v>
                </c:pt>
                <c:pt idx="456">
                  <c:v>14.036016199059764</c:v>
                </c:pt>
                <c:pt idx="457">
                  <c:v>15.718500580316567</c:v>
                </c:pt>
                <c:pt idx="458">
                  <c:v>12.836259130064667</c:v>
                </c:pt>
                <c:pt idx="459">
                  <c:v>14.688332782170566</c:v>
                </c:pt>
                <c:pt idx="460">
                  <c:v>18.734901411700744</c:v>
                </c:pt>
                <c:pt idx="461">
                  <c:v>14.604058819863777</c:v>
                </c:pt>
                <c:pt idx="462">
                  <c:v>18.83735452525324</c:v>
                </c:pt>
                <c:pt idx="463">
                  <c:v>9.8984761378837938</c:v>
                </c:pt>
                <c:pt idx="464">
                  <c:v>16.865703554735155</c:v>
                </c:pt>
                <c:pt idx="465">
                  <c:v>16.42014010152133</c:v>
                </c:pt>
                <c:pt idx="466">
                  <c:v>19.593318151382103</c:v>
                </c:pt>
                <c:pt idx="467">
                  <c:v>17.074856027360635</c:v>
                </c:pt>
                <c:pt idx="468">
                  <c:v>17.046234049052199</c:v>
                </c:pt>
                <c:pt idx="469">
                  <c:v>15.305106618509909</c:v>
                </c:pt>
                <c:pt idx="470">
                  <c:v>16.310263291825773</c:v>
                </c:pt>
                <c:pt idx="471">
                  <c:v>14.266037396274811</c:v>
                </c:pt>
                <c:pt idx="472">
                  <c:v>18.360879511247425</c:v>
                </c:pt>
                <c:pt idx="473">
                  <c:v>18.848205976049012</c:v>
                </c:pt>
                <c:pt idx="474">
                  <c:v>14.488546763785914</c:v>
                </c:pt>
                <c:pt idx="475">
                  <c:v>13.957177026265665</c:v>
                </c:pt>
                <c:pt idx="476">
                  <c:v>17.886960303055105</c:v>
                </c:pt>
                <c:pt idx="477">
                  <c:v>16.042342923536523</c:v>
                </c:pt>
                <c:pt idx="478">
                  <c:v>15.900275434544717</c:v>
                </c:pt>
                <c:pt idx="479">
                  <c:v>13.546751307824895</c:v>
                </c:pt>
                <c:pt idx="480">
                  <c:v>17.808999417458253</c:v>
                </c:pt>
                <c:pt idx="481">
                  <c:v>13.336743448028557</c:v>
                </c:pt>
                <c:pt idx="482">
                  <c:v>15.107919089290112</c:v>
                </c:pt>
                <c:pt idx="483">
                  <c:v>16.550067444261291</c:v>
                </c:pt>
                <c:pt idx="484">
                  <c:v>14.822704493800714</c:v>
                </c:pt>
                <c:pt idx="485">
                  <c:v>16.208588573582151</c:v>
                </c:pt>
                <c:pt idx="486">
                  <c:v>20.121249810754133</c:v>
                </c:pt>
                <c:pt idx="487">
                  <c:v>16.309381118542721</c:v>
                </c:pt>
                <c:pt idx="488">
                  <c:v>13.835296607023025</c:v>
                </c:pt>
                <c:pt idx="489">
                  <c:v>16.028922229807133</c:v>
                </c:pt>
                <c:pt idx="490">
                  <c:v>16.703032156432283</c:v>
                </c:pt>
                <c:pt idx="491">
                  <c:v>15.638559921837031</c:v>
                </c:pt>
                <c:pt idx="492">
                  <c:v>15.753615335490673</c:v>
                </c:pt>
                <c:pt idx="493">
                  <c:v>14.938823187256014</c:v>
                </c:pt>
                <c:pt idx="494">
                  <c:v>14.823525600538053</c:v>
                </c:pt>
                <c:pt idx="495">
                  <c:v>14.436162270134249</c:v>
                </c:pt>
                <c:pt idx="496">
                  <c:v>17.613058660826432</c:v>
                </c:pt>
                <c:pt idx="497">
                  <c:v>18.826460778273816</c:v>
                </c:pt>
                <c:pt idx="498">
                  <c:v>13.47610081492037</c:v>
                </c:pt>
                <c:pt idx="499">
                  <c:v>7.4358938101700414</c:v>
                </c:pt>
                <c:pt idx="500">
                  <c:v>19.191894689477479</c:v>
                </c:pt>
                <c:pt idx="501">
                  <c:v>14.249142741648669</c:v>
                </c:pt>
                <c:pt idx="502">
                  <c:v>13.73728377035232</c:v>
                </c:pt>
                <c:pt idx="503">
                  <c:v>17.058496614719246</c:v>
                </c:pt>
                <c:pt idx="504">
                  <c:v>17.493008501622949</c:v>
                </c:pt>
                <c:pt idx="505">
                  <c:v>14.106409329988088</c:v>
                </c:pt>
                <c:pt idx="506">
                  <c:v>18.736826458487165</c:v>
                </c:pt>
                <c:pt idx="507">
                  <c:v>10.837940698259276</c:v>
                </c:pt>
                <c:pt idx="508">
                  <c:v>20.18512179347821</c:v>
                </c:pt>
                <c:pt idx="509">
                  <c:v>16.969187377277315</c:v>
                </c:pt>
                <c:pt idx="510">
                  <c:v>18.331110533158483</c:v>
                </c:pt>
                <c:pt idx="511">
                  <c:v>3.5993452409864299</c:v>
                </c:pt>
              </c:numCache>
            </c:numRef>
          </c:xVal>
          <c:yVal>
            <c:numRef>
              <c:f>Data!$BD$20:$BD$533</c:f>
            </c:numRef>
          </c:yVal>
          <c:smooth val="0"/>
          <c:extLst>
            <c:ext xmlns:c16="http://schemas.microsoft.com/office/drawing/2014/chart" uri="{C3380CC4-5D6E-409C-BE32-E72D297353CC}">
              <c16:uniqueId val="{00000000-01A3-4C78-9F37-A54033287EE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Data!$AA$20:$AA$533</c:f>
              <c:numCache>
                <c:formatCode>0.0</c:formatCode>
                <c:ptCount val="514"/>
                <c:pt idx="0">
                  <c:v>11.674223187945245</c:v>
                </c:pt>
                <c:pt idx="1">
                  <c:v>7.698627303283601</c:v>
                </c:pt>
                <c:pt idx="2">
                  <c:v>12.474167299118385</c:v>
                </c:pt>
                <c:pt idx="3">
                  <c:v>15.098701061943915</c:v>
                </c:pt>
                <c:pt idx="4">
                  <c:v>10.562314989255446</c:v>
                </c:pt>
                <c:pt idx="5">
                  <c:v>13.76348006261146</c:v>
                </c:pt>
                <c:pt idx="6">
                  <c:v>15.111897613572795</c:v>
                </c:pt>
                <c:pt idx="7">
                  <c:v>10.887591528757151</c:v>
                </c:pt>
                <c:pt idx="8">
                  <c:v>11.934064069167203</c:v>
                </c:pt>
                <c:pt idx="9">
                  <c:v>9.7330285025805665</c:v>
                </c:pt>
                <c:pt idx="10">
                  <c:v>14.176564342937978</c:v>
                </c:pt>
                <c:pt idx="11">
                  <c:v>10.783916979059128</c:v>
                </c:pt>
                <c:pt idx="12">
                  <c:v>13.094247269415568</c:v>
                </c:pt>
                <c:pt idx="13">
                  <c:v>19.152567436348779</c:v>
                </c:pt>
                <c:pt idx="14">
                  <c:v>18.236994767301468</c:v>
                </c:pt>
                <c:pt idx="15">
                  <c:v>12.600243932886448</c:v>
                </c:pt>
                <c:pt idx="16">
                  <c:v>13.738328587479037</c:v>
                </c:pt>
                <c:pt idx="17">
                  <c:v>16.107428000807015</c:v>
                </c:pt>
                <c:pt idx="18">
                  <c:v>8.0203135088304975</c:v>
                </c:pt>
                <c:pt idx="19">
                  <c:v>11.783406261653774</c:v>
                </c:pt>
                <c:pt idx="20">
                  <c:v>14.526727085531141</c:v>
                </c:pt>
                <c:pt idx="21">
                  <c:v>11.115459778532276</c:v>
                </c:pt>
                <c:pt idx="22">
                  <c:v>14.00952936740647</c:v>
                </c:pt>
                <c:pt idx="23">
                  <c:v>12.695792195699795</c:v>
                </c:pt>
                <c:pt idx="24">
                  <c:v>15.800126969675803</c:v>
                </c:pt>
                <c:pt idx="25">
                  <c:v>17.96227381393491</c:v>
                </c:pt>
                <c:pt idx="26">
                  <c:v>12.32972980251744</c:v>
                </c:pt>
                <c:pt idx="27">
                  <c:v>21.114659298836536</c:v>
                </c:pt>
                <c:pt idx="28">
                  <c:v>10.703810466433122</c:v>
                </c:pt>
                <c:pt idx="29">
                  <c:v>23.475775828595015</c:v>
                </c:pt>
                <c:pt idx="30">
                  <c:v>17.635760821641654</c:v>
                </c:pt>
                <c:pt idx="31">
                  <c:v>7.5299190197085366</c:v>
                </c:pt>
                <c:pt idx="32">
                  <c:v>16.181194059957917</c:v>
                </c:pt>
                <c:pt idx="33">
                  <c:v>20.106114302000609</c:v>
                </c:pt>
                <c:pt idx="34">
                  <c:v>8.9416853940038141</c:v>
                </c:pt>
                <c:pt idx="35">
                  <c:v>17.616745717446072</c:v>
                </c:pt>
                <c:pt idx="36">
                  <c:v>11.649940169692155</c:v>
                </c:pt>
                <c:pt idx="37">
                  <c:v>15.643693135102509</c:v>
                </c:pt>
                <c:pt idx="38">
                  <c:v>8.0797714208575524</c:v>
                </c:pt>
                <c:pt idx="39">
                  <c:v>25.229662547268667</c:v>
                </c:pt>
                <c:pt idx="40">
                  <c:v>23.14447762211103</c:v>
                </c:pt>
                <c:pt idx="41">
                  <c:v>13.69731862523895</c:v>
                </c:pt>
                <c:pt idx="42">
                  <c:v>16.213516705267221</c:v>
                </c:pt>
                <c:pt idx="43">
                  <c:v>17.256310521874894</c:v>
                </c:pt>
                <c:pt idx="44">
                  <c:v>8.6424518145998803</c:v>
                </c:pt>
                <c:pt idx="45">
                  <c:v>14.871826753598489</c:v>
                </c:pt>
                <c:pt idx="46">
                  <c:v>14.818481986305798</c:v>
                </c:pt>
                <c:pt idx="47">
                  <c:v>13.50833964851868</c:v>
                </c:pt>
                <c:pt idx="48">
                  <c:v>24.538929984765556</c:v>
                </c:pt>
                <c:pt idx="49">
                  <c:v>18.927870754031538</c:v>
                </c:pt>
                <c:pt idx="50">
                  <c:v>19.505955156076794</c:v>
                </c:pt>
                <c:pt idx="51">
                  <c:v>12.508139363343517</c:v>
                </c:pt>
                <c:pt idx="52">
                  <c:v>14.099459905873543</c:v>
                </c:pt>
                <c:pt idx="53">
                  <c:v>14.466290147469079</c:v>
                </c:pt>
                <c:pt idx="54">
                  <c:v>12.087272625905083</c:v>
                </c:pt>
                <c:pt idx="55">
                  <c:v>16.252754246443548</c:v>
                </c:pt>
                <c:pt idx="56">
                  <c:v>20.417405124001693</c:v>
                </c:pt>
                <c:pt idx="57">
                  <c:v>16.293673905216608</c:v>
                </c:pt>
                <c:pt idx="58">
                  <c:v>14.201597835570357</c:v>
                </c:pt>
                <c:pt idx="59">
                  <c:v>16.298971977425868</c:v>
                </c:pt>
                <c:pt idx="60">
                  <c:v>17.403195841917732</c:v>
                </c:pt>
                <c:pt idx="61">
                  <c:v>19.555153125731252</c:v>
                </c:pt>
                <c:pt idx="62">
                  <c:v>17.751852635488504</c:v>
                </c:pt>
                <c:pt idx="63">
                  <c:v>21.530258083188837</c:v>
                </c:pt>
                <c:pt idx="64">
                  <c:v>14.345062147722112</c:v>
                </c:pt>
                <c:pt idx="65">
                  <c:v>15.056284428882902</c:v>
                </c:pt>
                <c:pt idx="66">
                  <c:v>24.994572181710399</c:v>
                </c:pt>
                <c:pt idx="67">
                  <c:v>21.313028027796939</c:v>
                </c:pt>
                <c:pt idx="68">
                  <c:v>13.790012699800929</c:v>
                </c:pt>
                <c:pt idx="69">
                  <c:v>11.571532109686766</c:v>
                </c:pt>
                <c:pt idx="70">
                  <c:v>10.674000608256407</c:v>
                </c:pt>
                <c:pt idx="71">
                  <c:v>20.987240245416984</c:v>
                </c:pt>
                <c:pt idx="72">
                  <c:v>17.697904086160264</c:v>
                </c:pt>
                <c:pt idx="73">
                  <c:v>17.274268398243478</c:v>
                </c:pt>
                <c:pt idx="74">
                  <c:v>13.117113883645876</c:v>
                </c:pt>
                <c:pt idx="75">
                  <c:v>13.436560481134501</c:v>
                </c:pt>
                <c:pt idx="76">
                  <c:v>16.378765992966276</c:v>
                </c:pt>
                <c:pt idx="77">
                  <c:v>10.207409005466397</c:v>
                </c:pt>
                <c:pt idx="78">
                  <c:v>17.924497924145026</c:v>
                </c:pt>
                <c:pt idx="79">
                  <c:v>13.339605164634275</c:v>
                </c:pt>
                <c:pt idx="80">
                  <c:v>13.82104509334042</c:v>
                </c:pt>
                <c:pt idx="81">
                  <c:v>13.015505656353902</c:v>
                </c:pt>
                <c:pt idx="82">
                  <c:v>22.123762173243179</c:v>
                </c:pt>
                <c:pt idx="83">
                  <c:v>16.984231685384415</c:v>
                </c:pt>
                <c:pt idx="84">
                  <c:v>15.217485479715547</c:v>
                </c:pt>
                <c:pt idx="85">
                  <c:v>11.724191642996949</c:v>
                </c:pt>
                <c:pt idx="86">
                  <c:v>15.488764002102972</c:v>
                </c:pt>
                <c:pt idx="87">
                  <c:v>14.425406104501157</c:v>
                </c:pt>
                <c:pt idx="88">
                  <c:v>12.104317343072999</c:v>
                </c:pt>
                <c:pt idx="89">
                  <c:v>15.79433148052283</c:v>
                </c:pt>
                <c:pt idx="90">
                  <c:v>15.783930135902452</c:v>
                </c:pt>
                <c:pt idx="91">
                  <c:v>16.49940901676181</c:v>
                </c:pt>
                <c:pt idx="92">
                  <c:v>17.663531762120748</c:v>
                </c:pt>
                <c:pt idx="93">
                  <c:v>14.075007108670054</c:v>
                </c:pt>
                <c:pt idx="94">
                  <c:v>13.20923015549266</c:v>
                </c:pt>
                <c:pt idx="95">
                  <c:v>14.930324898690042</c:v>
                </c:pt>
                <c:pt idx="96">
                  <c:v>24.97771553803641</c:v>
                </c:pt>
                <c:pt idx="97">
                  <c:v>22.271156269009374</c:v>
                </c:pt>
                <c:pt idx="98">
                  <c:v>12.76830282507383</c:v>
                </c:pt>
                <c:pt idx="99">
                  <c:v>18.407481188167864</c:v>
                </c:pt>
                <c:pt idx="100">
                  <c:v>12.234980652259839</c:v>
                </c:pt>
                <c:pt idx="101">
                  <c:v>20.859219455174479</c:v>
                </c:pt>
                <c:pt idx="102">
                  <c:v>7.0862327275919039</c:v>
                </c:pt>
                <c:pt idx="103">
                  <c:v>15.250902273029935</c:v>
                </c:pt>
                <c:pt idx="104">
                  <c:v>12.784480736063328</c:v>
                </c:pt>
                <c:pt idx="105">
                  <c:v>16.556928940810586</c:v>
                </c:pt>
                <c:pt idx="106">
                  <c:v>13.380747505179125</c:v>
                </c:pt>
                <c:pt idx="107">
                  <c:v>18.785134030725576</c:v>
                </c:pt>
                <c:pt idx="108">
                  <c:v>13.360406523811482</c:v>
                </c:pt>
                <c:pt idx="109">
                  <c:v>13.72512822661143</c:v>
                </c:pt>
                <c:pt idx="110">
                  <c:v>15.120380896458471</c:v>
                </c:pt>
                <c:pt idx="111">
                  <c:v>18.092824668441416</c:v>
                </c:pt>
                <c:pt idx="112">
                  <c:v>13.349451957060223</c:v>
                </c:pt>
                <c:pt idx="113">
                  <c:v>15.313997982653108</c:v>
                </c:pt>
                <c:pt idx="114">
                  <c:v>12.992730165489796</c:v>
                </c:pt>
                <c:pt idx="115">
                  <c:v>14.715543704213779</c:v>
                </c:pt>
                <c:pt idx="116">
                  <c:v>13.216992698238458</c:v>
                </c:pt>
                <c:pt idx="117">
                  <c:v>14.587230532980017</c:v>
                </c:pt>
                <c:pt idx="118">
                  <c:v>15.945437823529046</c:v>
                </c:pt>
                <c:pt idx="119">
                  <c:v>15.399770903915917</c:v>
                </c:pt>
                <c:pt idx="120">
                  <c:v>14.267276852030705</c:v>
                </c:pt>
                <c:pt idx="121">
                  <c:v>19.172298986155241</c:v>
                </c:pt>
                <c:pt idx="122">
                  <c:v>13.950399537409265</c:v>
                </c:pt>
                <c:pt idx="123">
                  <c:v>15.510516064043555</c:v>
                </c:pt>
                <c:pt idx="124">
                  <c:v>14.195434498195281</c:v>
                </c:pt>
                <c:pt idx="125">
                  <c:v>16.12773659743905</c:v>
                </c:pt>
                <c:pt idx="126">
                  <c:v>16.276182117618308</c:v>
                </c:pt>
                <c:pt idx="127">
                  <c:v>12.146436049142334</c:v>
                </c:pt>
                <c:pt idx="128">
                  <c:v>18.058247530409599</c:v>
                </c:pt>
                <c:pt idx="129">
                  <c:v>21.001890759942377</c:v>
                </c:pt>
                <c:pt idx="130">
                  <c:v>14.67546086004765</c:v>
                </c:pt>
                <c:pt idx="131">
                  <c:v>11.904998710036784</c:v>
                </c:pt>
                <c:pt idx="132">
                  <c:v>18.112103006560837</c:v>
                </c:pt>
                <c:pt idx="133">
                  <c:v>17.380784832697007</c:v>
                </c:pt>
                <c:pt idx="134">
                  <c:v>14.640591109081685</c:v>
                </c:pt>
                <c:pt idx="135">
                  <c:v>14.207962301286086</c:v>
                </c:pt>
                <c:pt idx="136">
                  <c:v>18.580949497200599</c:v>
                </c:pt>
                <c:pt idx="137">
                  <c:v>16.052347123898723</c:v>
                </c:pt>
                <c:pt idx="138">
                  <c:v>17.227780475670741</c:v>
                </c:pt>
                <c:pt idx="139">
                  <c:v>13.513807590447858</c:v>
                </c:pt>
                <c:pt idx="140">
                  <c:v>19.049011882329893</c:v>
                </c:pt>
                <c:pt idx="141">
                  <c:v>13.427138580325337</c:v>
                </c:pt>
                <c:pt idx="142">
                  <c:v>13.176361843307479</c:v>
                </c:pt>
                <c:pt idx="143">
                  <c:v>20.158930672732129</c:v>
                </c:pt>
                <c:pt idx="144">
                  <c:v>14.622156679270306</c:v>
                </c:pt>
                <c:pt idx="145">
                  <c:v>19.672923300240218</c:v>
                </c:pt>
                <c:pt idx="146">
                  <c:v>18.09499316115928</c:v>
                </c:pt>
                <c:pt idx="147">
                  <c:v>15.433666301368007</c:v>
                </c:pt>
                <c:pt idx="148">
                  <c:v>19.229519248773091</c:v>
                </c:pt>
                <c:pt idx="149">
                  <c:v>18.078027412047863</c:v>
                </c:pt>
                <c:pt idx="150">
                  <c:v>13.852813976107035</c:v>
                </c:pt>
                <c:pt idx="151">
                  <c:v>14.383006739624527</c:v>
                </c:pt>
                <c:pt idx="152">
                  <c:v>13.680974900382095</c:v>
                </c:pt>
                <c:pt idx="153">
                  <c:v>13.620308504734149</c:v>
                </c:pt>
                <c:pt idx="154">
                  <c:v>17.662577405345388</c:v>
                </c:pt>
                <c:pt idx="155">
                  <c:v>18.160736179532531</c:v>
                </c:pt>
                <c:pt idx="156">
                  <c:v>16.491760620363085</c:v>
                </c:pt>
                <c:pt idx="157">
                  <c:v>16.803019454677951</c:v>
                </c:pt>
                <c:pt idx="158">
                  <c:v>14.174562925713813</c:v>
                </c:pt>
                <c:pt idx="159">
                  <c:v>13.496967176590967</c:v>
                </c:pt>
                <c:pt idx="160">
                  <c:v>14.683787869617094</c:v>
                </c:pt>
                <c:pt idx="161">
                  <c:v>15.795560242484665</c:v>
                </c:pt>
                <c:pt idx="162">
                  <c:v>16.028751496834175</c:v>
                </c:pt>
                <c:pt idx="163">
                  <c:v>7.0474966448184855</c:v>
                </c:pt>
                <c:pt idx="164">
                  <c:v>13.097425096001508</c:v>
                </c:pt>
                <c:pt idx="165">
                  <c:v>18.710984751158023</c:v>
                </c:pt>
                <c:pt idx="166">
                  <c:v>18.521000597708177</c:v>
                </c:pt>
                <c:pt idx="167">
                  <c:v>11.843617314364858</c:v>
                </c:pt>
                <c:pt idx="168">
                  <c:v>18.09950789107403</c:v>
                </c:pt>
                <c:pt idx="169">
                  <c:v>18.826665959609457</c:v>
                </c:pt>
                <c:pt idx="170">
                  <c:v>12.000717715392639</c:v>
                </c:pt>
                <c:pt idx="171">
                  <c:v>17.382978907333037</c:v>
                </c:pt>
                <c:pt idx="172">
                  <c:v>13.540678277784082</c:v>
                </c:pt>
                <c:pt idx="173">
                  <c:v>14.65859389262053</c:v>
                </c:pt>
                <c:pt idx="174">
                  <c:v>17.44119539967021</c:v>
                </c:pt>
                <c:pt idx="175">
                  <c:v>12.364729180187005</c:v>
                </c:pt>
                <c:pt idx="176">
                  <c:v>15.07984022000416</c:v>
                </c:pt>
                <c:pt idx="177">
                  <c:v>20.757393384784947</c:v>
                </c:pt>
                <c:pt idx="178">
                  <c:v>17.403478862410505</c:v>
                </c:pt>
                <c:pt idx="179">
                  <c:v>13.717695590744642</c:v>
                </c:pt>
                <c:pt idx="180">
                  <c:v>13.982668259521899</c:v>
                </c:pt>
                <c:pt idx="181">
                  <c:v>12.750912270568762</c:v>
                </c:pt>
                <c:pt idx="182">
                  <c:v>15.957932269624539</c:v>
                </c:pt>
                <c:pt idx="183">
                  <c:v>19.167447530867911</c:v>
                </c:pt>
                <c:pt idx="184">
                  <c:v>19.670747488802792</c:v>
                </c:pt>
                <c:pt idx="185">
                  <c:v>20.335227992538289</c:v>
                </c:pt>
                <c:pt idx="186">
                  <c:v>13.410963839741774</c:v>
                </c:pt>
                <c:pt idx="187">
                  <c:v>14.951770216729422</c:v>
                </c:pt>
                <c:pt idx="188">
                  <c:v>15.32870608903937</c:v>
                </c:pt>
                <c:pt idx="189">
                  <c:v>17.48485272590133</c:v>
                </c:pt>
                <c:pt idx="190">
                  <c:v>13.949475796365435</c:v>
                </c:pt>
                <c:pt idx="191">
                  <c:v>16.688326167069327</c:v>
                </c:pt>
                <c:pt idx="192">
                  <c:v>13.922698534519141</c:v>
                </c:pt>
                <c:pt idx="193">
                  <c:v>13.569262179539997</c:v>
                </c:pt>
                <c:pt idx="194">
                  <c:v>15.339450481041176</c:v>
                </c:pt>
                <c:pt idx="195">
                  <c:v>17.865865332491985</c:v>
                </c:pt>
                <c:pt idx="196">
                  <c:v>13.68497341260729</c:v>
                </c:pt>
                <c:pt idx="197">
                  <c:v>14.027861089641059</c:v>
                </c:pt>
                <c:pt idx="198">
                  <c:v>18.207515402117949</c:v>
                </c:pt>
                <c:pt idx="199">
                  <c:v>18.445240820068747</c:v>
                </c:pt>
                <c:pt idx="200">
                  <c:v>17.00196627626153</c:v>
                </c:pt>
                <c:pt idx="202">
                  <c:v>15.844992849228856</c:v>
                </c:pt>
                <c:pt idx="203">
                  <c:v>14.23650538236099</c:v>
                </c:pt>
                <c:pt idx="204">
                  <c:v>14.966444652401906</c:v>
                </c:pt>
                <c:pt idx="205">
                  <c:v>11.495132536941801</c:v>
                </c:pt>
                <c:pt idx="206">
                  <c:v>10.045396054642127</c:v>
                </c:pt>
                <c:pt idx="207">
                  <c:v>17.196310187352967</c:v>
                </c:pt>
                <c:pt idx="208">
                  <c:v>13.155355435385435</c:v>
                </c:pt>
                <c:pt idx="209">
                  <c:v>15.243349860829969</c:v>
                </c:pt>
                <c:pt idx="210">
                  <c:v>16.013970009851377</c:v>
                </c:pt>
                <c:pt idx="211">
                  <c:v>15.877788922445434</c:v>
                </c:pt>
                <c:pt idx="212">
                  <c:v>18.323978420875232</c:v>
                </c:pt>
                <c:pt idx="213">
                  <c:v>13.899351020016573</c:v>
                </c:pt>
                <c:pt idx="214">
                  <c:v>17.613900345613555</c:v>
                </c:pt>
                <c:pt idx="215">
                  <c:v>19.871055046358897</c:v>
                </c:pt>
                <c:pt idx="216">
                  <c:v>12.159316889140296</c:v>
                </c:pt>
                <c:pt idx="217">
                  <c:v>12.623824119171909</c:v>
                </c:pt>
                <c:pt idx="218">
                  <c:v>17.578845480292745</c:v>
                </c:pt>
                <c:pt idx="219">
                  <c:v>19.279259032686539</c:v>
                </c:pt>
                <c:pt idx="220">
                  <c:v>18.205423127492555</c:v>
                </c:pt>
                <c:pt idx="221">
                  <c:v>16.552783899858429</c:v>
                </c:pt>
                <c:pt idx="222">
                  <c:v>15.766573606062323</c:v>
                </c:pt>
                <c:pt idx="223">
                  <c:v>15.963726470675304</c:v>
                </c:pt>
                <c:pt idx="224">
                  <c:v>17.26942915090703</c:v>
                </c:pt>
                <c:pt idx="225">
                  <c:v>16.955039078114503</c:v>
                </c:pt>
                <c:pt idx="226">
                  <c:v>16.970667989775698</c:v>
                </c:pt>
                <c:pt idx="228">
                  <c:v>12.973805985481457</c:v>
                </c:pt>
                <c:pt idx="229">
                  <c:v>17.987491371948146</c:v>
                </c:pt>
                <c:pt idx="230">
                  <c:v>14.71181269424055</c:v>
                </c:pt>
                <c:pt idx="231">
                  <c:v>14.59964583734271</c:v>
                </c:pt>
                <c:pt idx="232">
                  <c:v>17.002408233580987</c:v>
                </c:pt>
                <c:pt idx="233">
                  <c:v>20.106638802111938</c:v>
                </c:pt>
                <c:pt idx="234">
                  <c:v>14.123330721891907</c:v>
                </c:pt>
                <c:pt idx="235">
                  <c:v>16.765876227944545</c:v>
                </c:pt>
                <c:pt idx="236">
                  <c:v>17.243286591593449</c:v>
                </c:pt>
                <c:pt idx="237">
                  <c:v>14.868356313153269</c:v>
                </c:pt>
                <c:pt idx="238">
                  <c:v>21.519305272431126</c:v>
                </c:pt>
                <c:pt idx="239">
                  <c:v>16.30309580470999</c:v>
                </c:pt>
                <c:pt idx="240">
                  <c:v>16.047233278887095</c:v>
                </c:pt>
                <c:pt idx="241">
                  <c:v>20.891162649830576</c:v>
                </c:pt>
                <c:pt idx="242">
                  <c:v>7.3692119543292671</c:v>
                </c:pt>
                <c:pt idx="243">
                  <c:v>17.287316237144655</c:v>
                </c:pt>
                <c:pt idx="244">
                  <c:v>13.890772586296723</c:v>
                </c:pt>
                <c:pt idx="245">
                  <c:v>16.678653028777219</c:v>
                </c:pt>
                <c:pt idx="246">
                  <c:v>13.265368622655046</c:v>
                </c:pt>
                <c:pt idx="247">
                  <c:v>16.345991382685092</c:v>
                </c:pt>
                <c:pt idx="248">
                  <c:v>8.5946017575234865</c:v>
                </c:pt>
                <c:pt idx="249">
                  <c:v>22.405065015936195</c:v>
                </c:pt>
                <c:pt idx="250">
                  <c:v>13.543304270432166</c:v>
                </c:pt>
                <c:pt idx="251">
                  <c:v>17.262853938351821</c:v>
                </c:pt>
                <c:pt idx="252">
                  <c:v>14.535265523628969</c:v>
                </c:pt>
                <c:pt idx="253">
                  <c:v>15.035667964401425</c:v>
                </c:pt>
                <c:pt idx="254">
                  <c:v>19.406964860521306</c:v>
                </c:pt>
                <c:pt idx="255">
                  <c:v>16.386887650374803</c:v>
                </c:pt>
                <c:pt idx="256">
                  <c:v>13.181120389105352</c:v>
                </c:pt>
                <c:pt idx="257">
                  <c:v>12.180745000030832</c:v>
                </c:pt>
                <c:pt idx="258">
                  <c:v>14.036121913519775</c:v>
                </c:pt>
                <c:pt idx="259">
                  <c:v>17.405690632590602</c:v>
                </c:pt>
                <c:pt idx="260">
                  <c:v>14.667190467684152</c:v>
                </c:pt>
                <c:pt idx="261">
                  <c:v>18.010253545846012</c:v>
                </c:pt>
                <c:pt idx="262">
                  <c:v>13.985227573987327</c:v>
                </c:pt>
                <c:pt idx="263">
                  <c:v>17.835671576291912</c:v>
                </c:pt>
                <c:pt idx="264">
                  <c:v>16.723328486017479</c:v>
                </c:pt>
                <c:pt idx="265">
                  <c:v>17.272455410431487</c:v>
                </c:pt>
                <c:pt idx="266">
                  <c:v>19.532031337000621</c:v>
                </c:pt>
                <c:pt idx="267">
                  <c:v>16.760468975429493</c:v>
                </c:pt>
                <c:pt idx="268">
                  <c:v>13.465409040445525</c:v>
                </c:pt>
                <c:pt idx="269">
                  <c:v>16.16993503130572</c:v>
                </c:pt>
                <c:pt idx="270">
                  <c:v>14.95901339829288</c:v>
                </c:pt>
                <c:pt idx="271">
                  <c:v>17.589651119104111</c:v>
                </c:pt>
                <c:pt idx="272">
                  <c:v>19.726868334658711</c:v>
                </c:pt>
                <c:pt idx="273">
                  <c:v>16.084013604910965</c:v>
                </c:pt>
                <c:pt idx="274">
                  <c:v>16.516517604437585</c:v>
                </c:pt>
                <c:pt idx="275">
                  <c:v>15.150922998250426</c:v>
                </c:pt>
                <c:pt idx="276">
                  <c:v>19.427813308783534</c:v>
                </c:pt>
                <c:pt idx="277">
                  <c:v>16.927903432867737</c:v>
                </c:pt>
                <c:pt idx="278">
                  <c:v>14.202391877579629</c:v>
                </c:pt>
                <c:pt idx="279">
                  <c:v>15.498221352228803</c:v>
                </c:pt>
                <c:pt idx="280">
                  <c:v>16.608312738408173</c:v>
                </c:pt>
                <c:pt idx="281">
                  <c:v>15.209937319151813</c:v>
                </c:pt>
                <c:pt idx="282">
                  <c:v>17.149911435250139</c:v>
                </c:pt>
                <c:pt idx="283">
                  <c:v>13.98230075884468</c:v>
                </c:pt>
                <c:pt idx="284">
                  <c:v>16.747973321959954</c:v>
                </c:pt>
                <c:pt idx="285">
                  <c:v>16.327879388385483</c:v>
                </c:pt>
                <c:pt idx="286">
                  <c:v>16.389056281978053</c:v>
                </c:pt>
                <c:pt idx="287">
                  <c:v>18.435381153021808</c:v>
                </c:pt>
                <c:pt idx="288">
                  <c:v>16.513565007240096</c:v>
                </c:pt>
                <c:pt idx="289">
                  <c:v>13.714607472965422</c:v>
                </c:pt>
                <c:pt idx="290">
                  <c:v>16.584147892160868</c:v>
                </c:pt>
                <c:pt idx="291">
                  <c:v>19.55955106601084</c:v>
                </c:pt>
                <c:pt idx="292">
                  <c:v>17.025379172363909</c:v>
                </c:pt>
                <c:pt idx="293">
                  <c:v>18.65890511786877</c:v>
                </c:pt>
                <c:pt idx="294">
                  <c:v>18.365319851496039</c:v>
                </c:pt>
                <c:pt idx="295">
                  <c:v>13.379593694370065</c:v>
                </c:pt>
                <c:pt idx="296">
                  <c:v>16.618508771201508</c:v>
                </c:pt>
                <c:pt idx="297">
                  <c:v>14.743238934410934</c:v>
                </c:pt>
                <c:pt idx="298">
                  <c:v>17.556346251060397</c:v>
                </c:pt>
                <c:pt idx="299">
                  <c:v>16.047701903337266</c:v>
                </c:pt>
                <c:pt idx="300">
                  <c:v>15.657669169666358</c:v>
                </c:pt>
                <c:pt idx="301">
                  <c:v>17.605412721702283</c:v>
                </c:pt>
                <c:pt idx="302">
                  <c:v>16.238020705261363</c:v>
                </c:pt>
                <c:pt idx="303">
                  <c:v>14.207685246394908</c:v>
                </c:pt>
                <c:pt idx="304">
                  <c:v>19.617825436167607</c:v>
                </c:pt>
                <c:pt idx="305">
                  <c:v>17.649946277895285</c:v>
                </c:pt>
                <c:pt idx="306">
                  <c:v>12.927871182072776</c:v>
                </c:pt>
                <c:pt idx="307">
                  <c:v>16.680321270454957</c:v>
                </c:pt>
                <c:pt idx="308">
                  <c:v>18.036910608239481</c:v>
                </c:pt>
                <c:pt idx="309">
                  <c:v>18.232510723529199</c:v>
                </c:pt>
                <c:pt idx="310">
                  <c:v>18.336411673576318</c:v>
                </c:pt>
                <c:pt idx="311">
                  <c:v>17.519299959752548</c:v>
                </c:pt>
                <c:pt idx="312">
                  <c:v>16.909404702341643</c:v>
                </c:pt>
                <c:pt idx="313">
                  <c:v>15.321959998390202</c:v>
                </c:pt>
                <c:pt idx="314">
                  <c:v>15.752128749298908</c:v>
                </c:pt>
                <c:pt idx="315">
                  <c:v>17.655406968009483</c:v>
                </c:pt>
                <c:pt idx="316">
                  <c:v>20.67466654753186</c:v>
                </c:pt>
                <c:pt idx="317">
                  <c:v>18.20519513976825</c:v>
                </c:pt>
                <c:pt idx="318">
                  <c:v>15.506111620281279</c:v>
                </c:pt>
                <c:pt idx="319">
                  <c:v>16.554468622162169</c:v>
                </c:pt>
                <c:pt idx="320">
                  <c:v>18.210101237533333</c:v>
                </c:pt>
                <c:pt idx="321">
                  <c:v>16.31885126773826</c:v>
                </c:pt>
                <c:pt idx="322">
                  <c:v>18.59580594270642</c:v>
                </c:pt>
                <c:pt idx="323">
                  <c:v>16.552232637552837</c:v>
                </c:pt>
                <c:pt idx="324">
                  <c:v>17.333001646792816</c:v>
                </c:pt>
                <c:pt idx="325">
                  <c:v>16.094646266759437</c:v>
                </c:pt>
                <c:pt idx="326">
                  <c:v>18.463340015536794</c:v>
                </c:pt>
                <c:pt idx="327">
                  <c:v>13.005779712453942</c:v>
                </c:pt>
                <c:pt idx="328">
                  <c:v>15.927500613247886</c:v>
                </c:pt>
                <c:pt idx="329">
                  <c:v>21.848385415309149</c:v>
                </c:pt>
                <c:pt idx="330">
                  <c:v>15.185336939413435</c:v>
                </c:pt>
                <c:pt idx="331">
                  <c:v>18.503112806922147</c:v>
                </c:pt>
                <c:pt idx="332">
                  <c:v>12.450846104386295</c:v>
                </c:pt>
                <c:pt idx="333">
                  <c:v>13.167921760411408</c:v>
                </c:pt>
                <c:pt idx="334">
                  <c:v>17.751892387972664</c:v>
                </c:pt>
                <c:pt idx="335">
                  <c:v>21.323546900699405</c:v>
                </c:pt>
                <c:pt idx="336">
                  <c:v>17.75084144337734</c:v>
                </c:pt>
                <c:pt idx="337">
                  <c:v>21.269927877351037</c:v>
                </c:pt>
                <c:pt idx="338">
                  <c:v>14.657185683237673</c:v>
                </c:pt>
                <c:pt idx="339">
                  <c:v>15.88578911857477</c:v>
                </c:pt>
                <c:pt idx="340">
                  <c:v>16.673563353164216</c:v>
                </c:pt>
                <c:pt idx="341">
                  <c:v>14.729192423184909</c:v>
                </c:pt>
                <c:pt idx="342">
                  <c:v>16.20281293021716</c:v>
                </c:pt>
                <c:pt idx="343">
                  <c:v>18.148045950255238</c:v>
                </c:pt>
                <c:pt idx="344">
                  <c:v>18.264345678910956</c:v>
                </c:pt>
                <c:pt idx="345">
                  <c:v>17.772458571222007</c:v>
                </c:pt>
                <c:pt idx="346">
                  <c:v>13.709193244889386</c:v>
                </c:pt>
                <c:pt idx="347">
                  <c:v>13.812229549109126</c:v>
                </c:pt>
                <c:pt idx="348">
                  <c:v>17.609962583930429</c:v>
                </c:pt>
                <c:pt idx="349">
                  <c:v>17.38768294394416</c:v>
                </c:pt>
                <c:pt idx="350">
                  <c:v>14.520933542479176</c:v>
                </c:pt>
                <c:pt idx="351">
                  <c:v>15.153648671754205</c:v>
                </c:pt>
                <c:pt idx="352">
                  <c:v>18.944002801509587</c:v>
                </c:pt>
                <c:pt idx="353">
                  <c:v>16.77363254393623</c:v>
                </c:pt>
                <c:pt idx="354">
                  <c:v>21.292996579381853</c:v>
                </c:pt>
                <c:pt idx="355">
                  <c:v>14.938659439720817</c:v>
                </c:pt>
                <c:pt idx="356">
                  <c:v>14.684642458697065</c:v>
                </c:pt>
                <c:pt idx="357">
                  <c:v>18.231752065066654</c:v>
                </c:pt>
                <c:pt idx="358">
                  <c:v>17.918126775331967</c:v>
                </c:pt>
                <c:pt idx="359">
                  <c:v>14.769419470861521</c:v>
                </c:pt>
                <c:pt idx="360">
                  <c:v>14.008072632211604</c:v>
                </c:pt>
                <c:pt idx="361">
                  <c:v>12.712744996980401</c:v>
                </c:pt>
                <c:pt idx="362">
                  <c:v>16.424325985113121</c:v>
                </c:pt>
                <c:pt idx="363">
                  <c:v>17.936691584768898</c:v>
                </c:pt>
                <c:pt idx="364">
                  <c:v>16.847731910622926</c:v>
                </c:pt>
                <c:pt idx="365">
                  <c:v>16.583838601305779</c:v>
                </c:pt>
                <c:pt idx="366">
                  <c:v>16.937930070928072</c:v>
                </c:pt>
                <c:pt idx="367">
                  <c:v>20.523392543747214</c:v>
                </c:pt>
                <c:pt idx="368">
                  <c:v>19.144850986897332</c:v>
                </c:pt>
                <c:pt idx="369">
                  <c:v>19.355030230922253</c:v>
                </c:pt>
                <c:pt idx="370">
                  <c:v>18.526717162239141</c:v>
                </c:pt>
                <c:pt idx="371">
                  <c:v>19.865651598294733</c:v>
                </c:pt>
                <c:pt idx="372">
                  <c:v>15.28423078909327</c:v>
                </c:pt>
                <c:pt idx="373">
                  <c:v>13.436970964450513</c:v>
                </c:pt>
                <c:pt idx="374">
                  <c:v>15.87690655723739</c:v>
                </c:pt>
                <c:pt idx="375">
                  <c:v>18.904982103310932</c:v>
                </c:pt>
                <c:pt idx="376">
                  <c:v>13.574484573591599</c:v>
                </c:pt>
                <c:pt idx="377">
                  <c:v>18.966202850893517</c:v>
                </c:pt>
                <c:pt idx="378">
                  <c:v>21.14024439632885</c:v>
                </c:pt>
                <c:pt idx="379">
                  <c:v>20.257643537773639</c:v>
                </c:pt>
                <c:pt idx="380">
                  <c:v>14.904507660453833</c:v>
                </c:pt>
                <c:pt idx="381">
                  <c:v>15.081060076389891</c:v>
                </c:pt>
                <c:pt idx="382">
                  <c:v>18.280656743373292</c:v>
                </c:pt>
                <c:pt idx="383">
                  <c:v>16.271685607296746</c:v>
                </c:pt>
                <c:pt idx="384">
                  <c:v>17.133933597859048</c:v>
                </c:pt>
                <c:pt idx="385">
                  <c:v>18.126328296744983</c:v>
                </c:pt>
                <c:pt idx="386">
                  <c:v>21.894055728961359</c:v>
                </c:pt>
                <c:pt idx="387">
                  <c:v>16.832565832790884</c:v>
                </c:pt>
                <c:pt idx="388">
                  <c:v>17.911259550883294</c:v>
                </c:pt>
                <c:pt idx="389">
                  <c:v>15.518795989524174</c:v>
                </c:pt>
                <c:pt idx="390">
                  <c:v>16.909690337676693</c:v>
                </c:pt>
                <c:pt idx="391">
                  <c:v>15.740620715587445</c:v>
                </c:pt>
                <c:pt idx="392">
                  <c:v>18.066434534669703</c:v>
                </c:pt>
                <c:pt idx="393">
                  <c:v>20.433459684578779</c:v>
                </c:pt>
                <c:pt idx="394">
                  <c:v>14.254137138882006</c:v>
                </c:pt>
                <c:pt idx="395">
                  <c:v>13.947507102287663</c:v>
                </c:pt>
                <c:pt idx="396">
                  <c:v>15.17101121027404</c:v>
                </c:pt>
                <c:pt idx="397">
                  <c:v>17.881399759963109</c:v>
                </c:pt>
                <c:pt idx="398">
                  <c:v>18.793334766976947</c:v>
                </c:pt>
                <c:pt idx="399">
                  <c:v>9.0120999469689647</c:v>
                </c:pt>
                <c:pt idx="400">
                  <c:v>18.383486122907399</c:v>
                </c:pt>
                <c:pt idx="401">
                  <c:v>17.172078374831585</c:v>
                </c:pt>
                <c:pt idx="402">
                  <c:v>21.954203063470214</c:v>
                </c:pt>
                <c:pt idx="403">
                  <c:v>19.860064401170323</c:v>
                </c:pt>
                <c:pt idx="404">
                  <c:v>17.373155103800254</c:v>
                </c:pt>
                <c:pt idx="405">
                  <c:v>18.884070224098576</c:v>
                </c:pt>
                <c:pt idx="406">
                  <c:v>17.717965941090252</c:v>
                </c:pt>
                <c:pt idx="407">
                  <c:v>17.615787636896599</c:v>
                </c:pt>
                <c:pt idx="408">
                  <c:v>17.654336493943486</c:v>
                </c:pt>
                <c:pt idx="409">
                  <c:v>18.113939556898387</c:v>
                </c:pt>
                <c:pt idx="410">
                  <c:v>16.224258098042458</c:v>
                </c:pt>
                <c:pt idx="411">
                  <c:v>16.957462534249689</c:v>
                </c:pt>
                <c:pt idx="412">
                  <c:v>16.133463298213517</c:v>
                </c:pt>
                <c:pt idx="413">
                  <c:v>17.216792718846328</c:v>
                </c:pt>
                <c:pt idx="414">
                  <c:v>19.748538741068494</c:v>
                </c:pt>
                <c:pt idx="415">
                  <c:v>12.368886819058247</c:v>
                </c:pt>
                <c:pt idx="416">
                  <c:v>18.346120617607113</c:v>
                </c:pt>
                <c:pt idx="417">
                  <c:v>17.742842142468536</c:v>
                </c:pt>
                <c:pt idx="418">
                  <c:v>18.875504072201803</c:v>
                </c:pt>
                <c:pt idx="419">
                  <c:v>16.341306373135261</c:v>
                </c:pt>
                <c:pt idx="420">
                  <c:v>19.849429487033042</c:v>
                </c:pt>
                <c:pt idx="421">
                  <c:v>19.077206073894402</c:v>
                </c:pt>
                <c:pt idx="422">
                  <c:v>19.701486103581427</c:v>
                </c:pt>
                <c:pt idx="423">
                  <c:v>18.318257696524405</c:v>
                </c:pt>
                <c:pt idx="424">
                  <c:v>17.211035655222272</c:v>
                </c:pt>
                <c:pt idx="425">
                  <c:v>16.991790566005193</c:v>
                </c:pt>
                <c:pt idx="426">
                  <c:v>20.237185216530715</c:v>
                </c:pt>
                <c:pt idx="427">
                  <c:v>18.147265138680854</c:v>
                </c:pt>
                <c:pt idx="428">
                  <c:v>18.757220221126968</c:v>
                </c:pt>
                <c:pt idx="429">
                  <c:v>14.13215393860367</c:v>
                </c:pt>
                <c:pt idx="430">
                  <c:v>16.999628317611794</c:v>
                </c:pt>
                <c:pt idx="431">
                  <c:v>16.91923645144421</c:v>
                </c:pt>
                <c:pt idx="432">
                  <c:v>14.807603497524985</c:v>
                </c:pt>
                <c:pt idx="433">
                  <c:v>17.680665598817995</c:v>
                </c:pt>
                <c:pt idx="434">
                  <c:v>15.091268331815542</c:v>
                </c:pt>
                <c:pt idx="435">
                  <c:v>16.809827153203621</c:v>
                </c:pt>
                <c:pt idx="436">
                  <c:v>15.212306661393674</c:v>
                </c:pt>
                <c:pt idx="437">
                  <c:v>19.205994199721609</c:v>
                </c:pt>
                <c:pt idx="438">
                  <c:v>19.830615526033316</c:v>
                </c:pt>
                <c:pt idx="439">
                  <c:v>17.114836347185104</c:v>
                </c:pt>
                <c:pt idx="440">
                  <c:v>15.150566060653444</c:v>
                </c:pt>
                <c:pt idx="441">
                  <c:v>17.797499189764217</c:v>
                </c:pt>
                <c:pt idx="442">
                  <c:v>18.856360769905685</c:v>
                </c:pt>
                <c:pt idx="443">
                  <c:v>18.03097869768532</c:v>
                </c:pt>
                <c:pt idx="444">
                  <c:v>18.593609390624536</c:v>
                </c:pt>
                <c:pt idx="445">
                  <c:v>10.966891547499937</c:v>
                </c:pt>
                <c:pt idx="446">
                  <c:v>17.143685668334552</c:v>
                </c:pt>
                <c:pt idx="447">
                  <c:v>14.677575203450566</c:v>
                </c:pt>
                <c:pt idx="448">
                  <c:v>13.804959890381877</c:v>
                </c:pt>
                <c:pt idx="449">
                  <c:v>16.218770194366094</c:v>
                </c:pt>
                <c:pt idx="450">
                  <c:v>18.487287288656624</c:v>
                </c:pt>
                <c:pt idx="451">
                  <c:v>9.6587280928179506</c:v>
                </c:pt>
                <c:pt idx="452">
                  <c:v>17.597137643041229</c:v>
                </c:pt>
                <c:pt idx="453">
                  <c:v>20.111785524160911</c:v>
                </c:pt>
                <c:pt idx="454">
                  <c:v>14.732762586395481</c:v>
                </c:pt>
                <c:pt idx="455">
                  <c:v>17.749020786522816</c:v>
                </c:pt>
                <c:pt idx="456">
                  <c:v>14.036016199059764</c:v>
                </c:pt>
                <c:pt idx="457">
                  <c:v>15.718500580316567</c:v>
                </c:pt>
                <c:pt idx="458">
                  <c:v>12.836259130064667</c:v>
                </c:pt>
                <c:pt idx="459">
                  <c:v>14.688332782170566</c:v>
                </c:pt>
                <c:pt idx="460">
                  <c:v>18.734901411700744</c:v>
                </c:pt>
                <c:pt idx="461">
                  <c:v>14.604058819863777</c:v>
                </c:pt>
                <c:pt idx="462">
                  <c:v>18.83735452525324</c:v>
                </c:pt>
                <c:pt idx="463">
                  <c:v>9.8984761378837938</c:v>
                </c:pt>
                <c:pt idx="464">
                  <c:v>16.865703554735155</c:v>
                </c:pt>
                <c:pt idx="465">
                  <c:v>16.42014010152133</c:v>
                </c:pt>
                <c:pt idx="466">
                  <c:v>19.593318151382103</c:v>
                </c:pt>
                <c:pt idx="467">
                  <c:v>17.074856027360635</c:v>
                </c:pt>
                <c:pt idx="468">
                  <c:v>17.046234049052199</c:v>
                </c:pt>
                <c:pt idx="469">
                  <c:v>15.305106618509909</c:v>
                </c:pt>
                <c:pt idx="470">
                  <c:v>16.310263291825773</c:v>
                </c:pt>
                <c:pt idx="471">
                  <c:v>14.266037396274811</c:v>
                </c:pt>
                <c:pt idx="472">
                  <c:v>18.360879511247425</c:v>
                </c:pt>
                <c:pt idx="473">
                  <c:v>18.848205976049012</c:v>
                </c:pt>
                <c:pt idx="474">
                  <c:v>14.488546763785914</c:v>
                </c:pt>
                <c:pt idx="475">
                  <c:v>13.957177026265665</c:v>
                </c:pt>
                <c:pt idx="476">
                  <c:v>17.886960303055105</c:v>
                </c:pt>
                <c:pt idx="477">
                  <c:v>16.042342923536523</c:v>
                </c:pt>
                <c:pt idx="478">
                  <c:v>15.900275434544717</c:v>
                </c:pt>
                <c:pt idx="479">
                  <c:v>13.546751307824895</c:v>
                </c:pt>
                <c:pt idx="480">
                  <c:v>17.808999417458253</c:v>
                </c:pt>
                <c:pt idx="481">
                  <c:v>13.336743448028557</c:v>
                </c:pt>
                <c:pt idx="482">
                  <c:v>15.107919089290112</c:v>
                </c:pt>
                <c:pt idx="483">
                  <c:v>16.550067444261291</c:v>
                </c:pt>
                <c:pt idx="484">
                  <c:v>14.822704493800714</c:v>
                </c:pt>
                <c:pt idx="485">
                  <c:v>16.208588573582151</c:v>
                </c:pt>
                <c:pt idx="486">
                  <c:v>20.121249810754133</c:v>
                </c:pt>
                <c:pt idx="487">
                  <c:v>16.309381118542721</c:v>
                </c:pt>
                <c:pt idx="488">
                  <c:v>13.835296607023025</c:v>
                </c:pt>
                <c:pt idx="489">
                  <c:v>16.028922229807133</c:v>
                </c:pt>
                <c:pt idx="490">
                  <c:v>16.703032156432283</c:v>
                </c:pt>
                <c:pt idx="491">
                  <c:v>15.638559921837031</c:v>
                </c:pt>
                <c:pt idx="492">
                  <c:v>15.753615335490673</c:v>
                </c:pt>
                <c:pt idx="493">
                  <c:v>14.938823187256014</c:v>
                </c:pt>
                <c:pt idx="494">
                  <c:v>14.823525600538053</c:v>
                </c:pt>
                <c:pt idx="495">
                  <c:v>14.436162270134249</c:v>
                </c:pt>
                <c:pt idx="496">
                  <c:v>17.613058660826432</c:v>
                </c:pt>
                <c:pt idx="497">
                  <c:v>18.826460778273816</c:v>
                </c:pt>
                <c:pt idx="498">
                  <c:v>13.47610081492037</c:v>
                </c:pt>
                <c:pt idx="499">
                  <c:v>7.4358938101700414</c:v>
                </c:pt>
                <c:pt idx="500">
                  <c:v>19.191894689477479</c:v>
                </c:pt>
                <c:pt idx="501">
                  <c:v>14.249142741648669</c:v>
                </c:pt>
                <c:pt idx="502">
                  <c:v>13.73728377035232</c:v>
                </c:pt>
                <c:pt idx="503">
                  <c:v>17.058496614719246</c:v>
                </c:pt>
                <c:pt idx="504">
                  <c:v>17.493008501622949</c:v>
                </c:pt>
                <c:pt idx="505">
                  <c:v>14.106409329988088</c:v>
                </c:pt>
                <c:pt idx="506">
                  <c:v>18.736826458487165</c:v>
                </c:pt>
                <c:pt idx="507">
                  <c:v>10.837940698259276</c:v>
                </c:pt>
                <c:pt idx="508">
                  <c:v>20.18512179347821</c:v>
                </c:pt>
                <c:pt idx="509">
                  <c:v>16.969187377277315</c:v>
                </c:pt>
                <c:pt idx="510">
                  <c:v>18.331110533158483</c:v>
                </c:pt>
                <c:pt idx="511">
                  <c:v>3.5993452409864299</c:v>
                </c:pt>
              </c:numCache>
            </c:numRef>
          </c:xVal>
          <c:yVal>
            <c:numRef>
              <c:f>Data!$BS$20:$BS$533</c:f>
            </c:numRef>
          </c:yVal>
          <c:smooth val="0"/>
          <c:extLst>
            <c:ext xmlns:c16="http://schemas.microsoft.com/office/drawing/2014/chart" uri="{C3380CC4-5D6E-409C-BE32-E72D297353CC}">
              <c16:uniqueId val="{00000001-01A3-4C78-9F37-A54033287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33295"/>
        <c:axId val="112232335"/>
      </c:scatterChart>
      <c:valAx>
        <c:axId val="11223329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crossAx val="112232335"/>
        <c:crosses val="autoZero"/>
        <c:crossBetween val="midCat"/>
      </c:valAx>
      <c:valAx>
        <c:axId val="112232335"/>
        <c:scaling>
          <c:orientation val="minMax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2233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 b="1"/>
              <a:t>DMD</a:t>
            </a:r>
          </a:p>
        </c:rich>
      </c:tx>
      <c:layout>
        <c:manualLayout>
          <c:xMode val="edge"/>
          <c:yMode val="edge"/>
          <c:x val="0.76377223561878294"/>
          <c:y val="6.1700425177315027E-2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0.86887801482912419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Data!$Y$19</c:f>
              <c:strCache>
                <c:ptCount val="1"/>
                <c:pt idx="0">
                  <c:v>DMD [mg/g]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Data!$Y$20:$Y$533</c:f>
              <c:numCache>
                <c:formatCode>0.0</c:formatCode>
                <c:ptCount val="514"/>
                <c:pt idx="0">
                  <c:v>316.26968285650935</c:v>
                </c:pt>
                <c:pt idx="1">
                  <c:v>326.62326175747643</c:v>
                </c:pt>
                <c:pt idx="2">
                  <c:v>327.22113075747654</c:v>
                </c:pt>
                <c:pt idx="3">
                  <c:v>336.30472388556211</c:v>
                </c:pt>
                <c:pt idx="4">
                  <c:v>377.18254824121664</c:v>
                </c:pt>
                <c:pt idx="5">
                  <c:v>394.88888888888869</c:v>
                </c:pt>
                <c:pt idx="6">
                  <c:v>399.07038512616242</c:v>
                </c:pt>
                <c:pt idx="7">
                  <c:v>410.35747000994922</c:v>
                </c:pt>
                <c:pt idx="8">
                  <c:v>415.05877134619641</c:v>
                </c:pt>
                <c:pt idx="9">
                  <c:v>428.27595191629393</c:v>
                </c:pt>
                <c:pt idx="10">
                  <c:v>432.01203974751667</c:v>
                </c:pt>
                <c:pt idx="11">
                  <c:v>434.0088356661754</c:v>
                </c:pt>
                <c:pt idx="12">
                  <c:v>442.52815086148411</c:v>
                </c:pt>
                <c:pt idx="13">
                  <c:v>447.41211172910107</c:v>
                </c:pt>
                <c:pt idx="14">
                  <c:v>461.72353455818029</c:v>
                </c:pt>
                <c:pt idx="15">
                  <c:v>475.43684564830784</c:v>
                </c:pt>
                <c:pt idx="16">
                  <c:v>477.58196838464403</c:v>
                </c:pt>
                <c:pt idx="17">
                  <c:v>488.65125642999101</c:v>
                </c:pt>
                <c:pt idx="18">
                  <c:v>491.90784586274469</c:v>
                </c:pt>
                <c:pt idx="19">
                  <c:v>493.56035800043617</c:v>
                </c:pt>
                <c:pt idx="20">
                  <c:v>497.87828839156452</c:v>
                </c:pt>
                <c:pt idx="21">
                  <c:v>500.56150342867227</c:v>
                </c:pt>
                <c:pt idx="22">
                  <c:v>501.26683981959673</c:v>
                </c:pt>
                <c:pt idx="23">
                  <c:v>507.60850985496961</c:v>
                </c:pt>
                <c:pt idx="24">
                  <c:v>514.4152267898088</c:v>
                </c:pt>
                <c:pt idx="25">
                  <c:v>514.6146396891919</c:v>
                </c:pt>
                <c:pt idx="26">
                  <c:v>516.35103171392132</c:v>
                </c:pt>
                <c:pt idx="27">
                  <c:v>520.09440629721132</c:v>
                </c:pt>
                <c:pt idx="28">
                  <c:v>520.58345449996227</c:v>
                </c:pt>
                <c:pt idx="29">
                  <c:v>521.06883053960883</c:v>
                </c:pt>
                <c:pt idx="30">
                  <c:v>526.83657254614354</c:v>
                </c:pt>
                <c:pt idx="31">
                  <c:v>527.11770660488605</c:v>
                </c:pt>
                <c:pt idx="32">
                  <c:v>527.88757136583195</c:v>
                </c:pt>
                <c:pt idx="33">
                  <c:v>528.83361384192597</c:v>
                </c:pt>
                <c:pt idx="34">
                  <c:v>530.1524188204105</c:v>
                </c:pt>
                <c:pt idx="35">
                  <c:v>535.41181657848301</c:v>
                </c:pt>
                <c:pt idx="36">
                  <c:v>537.00000000000011</c:v>
                </c:pt>
                <c:pt idx="37">
                  <c:v>537.18852401046718</c:v>
                </c:pt>
                <c:pt idx="38">
                  <c:v>539.77646285338608</c:v>
                </c:pt>
                <c:pt idx="39">
                  <c:v>543.99567137135432</c:v>
                </c:pt>
                <c:pt idx="40">
                  <c:v>554.038387870723</c:v>
                </c:pt>
                <c:pt idx="41">
                  <c:v>556.41076012363135</c:v>
                </c:pt>
                <c:pt idx="42">
                  <c:v>557.648067849065</c:v>
                </c:pt>
                <c:pt idx="43">
                  <c:v>558.48323876212316</c:v>
                </c:pt>
                <c:pt idx="44">
                  <c:v>559.70608871910815</c:v>
                </c:pt>
                <c:pt idx="45">
                  <c:v>560.65846085606563</c:v>
                </c:pt>
                <c:pt idx="46">
                  <c:v>563.120469162262</c:v>
                </c:pt>
                <c:pt idx="47">
                  <c:v>565.10182821545413</c:v>
                </c:pt>
                <c:pt idx="48">
                  <c:v>566.7234183735834</c:v>
                </c:pt>
                <c:pt idx="49">
                  <c:v>567.13226440754283</c:v>
                </c:pt>
                <c:pt idx="50">
                  <c:v>571.00329778846481</c:v>
                </c:pt>
                <c:pt idx="51">
                  <c:v>573.83956238537905</c:v>
                </c:pt>
                <c:pt idx="52">
                  <c:v>581.68336596814288</c:v>
                </c:pt>
                <c:pt idx="53">
                  <c:v>582.2222222222224</c:v>
                </c:pt>
                <c:pt idx="54">
                  <c:v>586.91030226469263</c:v>
                </c:pt>
                <c:pt idx="55">
                  <c:v>588.70347033607538</c:v>
                </c:pt>
                <c:pt idx="56">
                  <c:v>591.33667319362849</c:v>
                </c:pt>
                <c:pt idx="57">
                  <c:v>594.15476970093857</c:v>
                </c:pt>
                <c:pt idx="58">
                  <c:v>595.04462475443586</c:v>
                </c:pt>
                <c:pt idx="59">
                  <c:v>595.7927271333067</c:v>
                </c:pt>
                <c:pt idx="60">
                  <c:v>596.44191207194831</c:v>
                </c:pt>
                <c:pt idx="61">
                  <c:v>597.66313932980597</c:v>
                </c:pt>
                <c:pt idx="62">
                  <c:v>600.22002200220004</c:v>
                </c:pt>
                <c:pt idx="63">
                  <c:v>601.18994147935484</c:v>
                </c:pt>
                <c:pt idx="64">
                  <c:v>602.51930314266247</c:v>
                </c:pt>
                <c:pt idx="65">
                  <c:v>605.1111111111112</c:v>
                </c:pt>
                <c:pt idx="66">
                  <c:v>605.43218510631414</c:v>
                </c:pt>
                <c:pt idx="67">
                  <c:v>608.69689996503928</c:v>
                </c:pt>
                <c:pt idx="68">
                  <c:v>609.33350031047291</c:v>
                </c:pt>
                <c:pt idx="69">
                  <c:v>612.79887315316478</c:v>
                </c:pt>
                <c:pt idx="70">
                  <c:v>613.01511388663812</c:v>
                </c:pt>
                <c:pt idx="71">
                  <c:v>615.81730718457254</c:v>
                </c:pt>
                <c:pt idx="72">
                  <c:v>616.09856810730764</c:v>
                </c:pt>
                <c:pt idx="73">
                  <c:v>616.31888288430446</c:v>
                </c:pt>
                <c:pt idx="74">
                  <c:v>617.01510702251335</c:v>
                </c:pt>
                <c:pt idx="75">
                  <c:v>617.01662292213473</c:v>
                </c:pt>
                <c:pt idx="76">
                  <c:v>623.23939086822043</c:v>
                </c:pt>
                <c:pt idx="77">
                  <c:v>626.59646179361221</c:v>
                </c:pt>
                <c:pt idx="78">
                  <c:v>629.44771883868134</c:v>
                </c:pt>
                <c:pt idx="79">
                  <c:v>631.27279263359424</c:v>
                </c:pt>
                <c:pt idx="80">
                  <c:v>634.52600485817493</c:v>
                </c:pt>
                <c:pt idx="81">
                  <c:v>634.7004295607494</c:v>
                </c:pt>
                <c:pt idx="82">
                  <c:v>635.62241334485691</c:v>
                </c:pt>
                <c:pt idx="83">
                  <c:v>637.81448020578432</c:v>
                </c:pt>
                <c:pt idx="84">
                  <c:v>643.09538523573462</c:v>
                </c:pt>
                <c:pt idx="85">
                  <c:v>644.38654668111258</c:v>
                </c:pt>
                <c:pt idx="86">
                  <c:v>644.92753623188412</c:v>
                </c:pt>
                <c:pt idx="87">
                  <c:v>645.84551457461157</c:v>
                </c:pt>
                <c:pt idx="88">
                  <c:v>646.57246771279563</c:v>
                </c:pt>
                <c:pt idx="89">
                  <c:v>647.21076401662515</c:v>
                </c:pt>
                <c:pt idx="90">
                  <c:v>649.83771338286397</c:v>
                </c:pt>
                <c:pt idx="91">
                  <c:v>650.26018474863372</c:v>
                </c:pt>
                <c:pt idx="92">
                  <c:v>650.98506807202466</c:v>
                </c:pt>
                <c:pt idx="93">
                  <c:v>655.03504299490919</c:v>
                </c:pt>
                <c:pt idx="94">
                  <c:v>655.92811746657947</c:v>
                </c:pt>
                <c:pt idx="95">
                  <c:v>656.84926303988527</c:v>
                </c:pt>
                <c:pt idx="96">
                  <c:v>656.88217149040497</c:v>
                </c:pt>
                <c:pt idx="97">
                  <c:v>660.99909464956158</c:v>
                </c:pt>
                <c:pt idx="98">
                  <c:v>661.39657444005252</c:v>
                </c:pt>
                <c:pt idx="99">
                  <c:v>664.16454340970108</c:v>
                </c:pt>
                <c:pt idx="100">
                  <c:v>664.77028655246477</c:v>
                </c:pt>
                <c:pt idx="101">
                  <c:v>667.12292383266561</c:v>
                </c:pt>
                <c:pt idx="102">
                  <c:v>667.2899830208969</c:v>
                </c:pt>
                <c:pt idx="103">
                  <c:v>667.330677290837</c:v>
                </c:pt>
                <c:pt idx="104">
                  <c:v>667.88182367531613</c:v>
                </c:pt>
                <c:pt idx="105">
                  <c:v>669.35924462011394</c:v>
                </c:pt>
                <c:pt idx="106">
                  <c:v>670.13671902123349</c:v>
                </c:pt>
                <c:pt idx="107">
                  <c:v>670.88743790271042</c:v>
                </c:pt>
                <c:pt idx="108">
                  <c:v>673.60234536344535</c:v>
                </c:pt>
                <c:pt idx="109">
                  <c:v>673.62157547005245</c:v>
                </c:pt>
                <c:pt idx="110">
                  <c:v>674.28456383309936</c:v>
                </c:pt>
                <c:pt idx="111">
                  <c:v>674.39805610779729</c:v>
                </c:pt>
                <c:pt idx="112">
                  <c:v>677.47691628009738</c:v>
                </c:pt>
                <c:pt idx="113">
                  <c:v>678.8178775083943</c:v>
                </c:pt>
                <c:pt idx="114">
                  <c:v>681.03079555175361</c:v>
                </c:pt>
                <c:pt idx="115">
                  <c:v>681.77777777777783</c:v>
                </c:pt>
                <c:pt idx="116">
                  <c:v>682.50073926221614</c:v>
                </c:pt>
                <c:pt idx="117">
                  <c:v>683.8624338624337</c:v>
                </c:pt>
                <c:pt idx="118">
                  <c:v>685.69772091861785</c:v>
                </c:pt>
                <c:pt idx="119">
                  <c:v>688.92408482959468</c:v>
                </c:pt>
                <c:pt idx="120">
                  <c:v>689.08573928258966</c:v>
                </c:pt>
                <c:pt idx="121">
                  <c:v>689.26735303012379</c:v>
                </c:pt>
                <c:pt idx="122">
                  <c:v>691.94234384068341</c:v>
                </c:pt>
                <c:pt idx="123">
                  <c:v>693.57603767908449</c:v>
                </c:pt>
                <c:pt idx="124">
                  <c:v>693.96736516301735</c:v>
                </c:pt>
                <c:pt idx="125">
                  <c:v>698.33333333333348</c:v>
                </c:pt>
                <c:pt idx="126">
                  <c:v>698.33405516159394</c:v>
                </c:pt>
                <c:pt idx="127">
                  <c:v>700.77007700770059</c:v>
                </c:pt>
                <c:pt idx="128">
                  <c:v>700.89200661562165</c:v>
                </c:pt>
                <c:pt idx="129">
                  <c:v>701.28122181447338</c:v>
                </c:pt>
                <c:pt idx="130">
                  <c:v>705.14395272571232</c:v>
                </c:pt>
                <c:pt idx="131">
                  <c:v>705.6878306878308</c:v>
                </c:pt>
                <c:pt idx="132">
                  <c:v>706.06802268478941</c:v>
                </c:pt>
                <c:pt idx="133">
                  <c:v>709.69772195749647</c:v>
                </c:pt>
                <c:pt idx="134">
                  <c:v>711.27608800391022</c:v>
                </c:pt>
                <c:pt idx="135">
                  <c:v>711.30887156528195</c:v>
                </c:pt>
                <c:pt idx="136">
                  <c:v>712.63227513227503</c:v>
                </c:pt>
                <c:pt idx="137">
                  <c:v>713.49786041021071</c:v>
                </c:pt>
                <c:pt idx="138">
                  <c:v>715.3555555555555</c:v>
                </c:pt>
                <c:pt idx="139">
                  <c:v>715.52481335090022</c:v>
                </c:pt>
                <c:pt idx="140">
                  <c:v>716.03925678563894</c:v>
                </c:pt>
                <c:pt idx="141">
                  <c:v>718.13978614561256</c:v>
                </c:pt>
                <c:pt idx="142">
                  <c:v>718.81685221567341</c:v>
                </c:pt>
                <c:pt idx="143">
                  <c:v>719.92563429571305</c:v>
                </c:pt>
                <c:pt idx="144">
                  <c:v>720.55057576763579</c:v>
                </c:pt>
                <c:pt idx="145">
                  <c:v>720.82204933130856</c:v>
                </c:pt>
                <c:pt idx="146">
                  <c:v>721.1092077013011</c:v>
                </c:pt>
                <c:pt idx="147">
                  <c:v>721.23212321232108</c:v>
                </c:pt>
                <c:pt idx="148">
                  <c:v>722.27920656670858</c:v>
                </c:pt>
                <c:pt idx="149">
                  <c:v>723.66863905325408</c:v>
                </c:pt>
                <c:pt idx="150">
                  <c:v>725.15085851732601</c:v>
                </c:pt>
                <c:pt idx="151">
                  <c:v>725.48811967810957</c:v>
                </c:pt>
                <c:pt idx="152">
                  <c:v>725.85027890400397</c:v>
                </c:pt>
                <c:pt idx="153">
                  <c:v>728.10473312145587</c:v>
                </c:pt>
                <c:pt idx="154">
                  <c:v>730.19721256900766</c:v>
                </c:pt>
                <c:pt idx="155">
                  <c:v>730.68473726213369</c:v>
                </c:pt>
                <c:pt idx="156">
                  <c:v>731.02641345376162</c:v>
                </c:pt>
                <c:pt idx="157">
                  <c:v>732.88290538953208</c:v>
                </c:pt>
                <c:pt idx="158">
                  <c:v>733.72781065088725</c:v>
                </c:pt>
                <c:pt idx="159">
                  <c:v>733.84978032413903</c:v>
                </c:pt>
                <c:pt idx="160">
                  <c:v>734.88376781789952</c:v>
                </c:pt>
                <c:pt idx="161">
                  <c:v>735.97019493116727</c:v>
                </c:pt>
                <c:pt idx="162">
                  <c:v>737.28820140086066</c:v>
                </c:pt>
                <c:pt idx="163">
                  <c:v>738.5595055568549</c:v>
                </c:pt>
                <c:pt idx="164">
                  <c:v>739.21040913615184</c:v>
                </c:pt>
                <c:pt idx="165">
                  <c:v>739.4545816410664</c:v>
                </c:pt>
                <c:pt idx="166">
                  <c:v>740.00441793682342</c:v>
                </c:pt>
                <c:pt idx="167">
                  <c:v>740.22222222222217</c:v>
                </c:pt>
                <c:pt idx="168">
                  <c:v>741.53346745662088</c:v>
                </c:pt>
                <c:pt idx="169">
                  <c:v>741.74863458840969</c:v>
                </c:pt>
                <c:pt idx="170">
                  <c:v>741.84303350970004</c:v>
                </c:pt>
                <c:pt idx="171">
                  <c:v>743.92939293929408</c:v>
                </c:pt>
                <c:pt idx="172">
                  <c:v>744.81796488219516</c:v>
                </c:pt>
                <c:pt idx="173">
                  <c:v>745.08504528385254</c:v>
                </c:pt>
                <c:pt idx="174">
                  <c:v>745.86527550392861</c:v>
                </c:pt>
                <c:pt idx="175">
                  <c:v>746.45748186167339</c:v>
                </c:pt>
                <c:pt idx="176">
                  <c:v>747.26317562173733</c:v>
                </c:pt>
                <c:pt idx="177">
                  <c:v>747.3874145452404</c:v>
                </c:pt>
                <c:pt idx="178">
                  <c:v>747.65294421091539</c:v>
                </c:pt>
                <c:pt idx="179">
                  <c:v>747.81405074365694</c:v>
                </c:pt>
                <c:pt idx="180">
                  <c:v>749.0574406742071</c:v>
                </c:pt>
                <c:pt idx="181">
                  <c:v>749.22839506172863</c:v>
                </c:pt>
                <c:pt idx="182">
                  <c:v>749.59837253566616</c:v>
                </c:pt>
                <c:pt idx="183">
                  <c:v>749.71226206285974</c:v>
                </c:pt>
                <c:pt idx="184">
                  <c:v>750.5913137774146</c:v>
                </c:pt>
                <c:pt idx="185">
                  <c:v>751.71195051910786</c:v>
                </c:pt>
                <c:pt idx="186">
                  <c:v>752.81643472498376</c:v>
                </c:pt>
                <c:pt idx="187">
                  <c:v>753.61326361982537</c:v>
                </c:pt>
                <c:pt idx="188">
                  <c:v>755.52132964182397</c:v>
                </c:pt>
                <c:pt idx="189">
                  <c:v>755.73105615672739</c:v>
                </c:pt>
                <c:pt idx="190">
                  <c:v>755.73192239858895</c:v>
                </c:pt>
                <c:pt idx="191">
                  <c:v>755.75816074130512</c:v>
                </c:pt>
                <c:pt idx="192">
                  <c:v>755.98287917128471</c:v>
                </c:pt>
                <c:pt idx="193">
                  <c:v>756.85835058523946</c:v>
                </c:pt>
                <c:pt idx="194">
                  <c:v>760.48375667291339</c:v>
                </c:pt>
                <c:pt idx="195">
                  <c:v>760.57896076012003</c:v>
                </c:pt>
                <c:pt idx="196">
                  <c:v>761.29620898597773</c:v>
                </c:pt>
                <c:pt idx="197">
                  <c:v>761.5555555555552</c:v>
                </c:pt>
                <c:pt idx="198">
                  <c:v>761.57407407407391</c:v>
                </c:pt>
                <c:pt idx="199">
                  <c:v>761.87320521316542</c:v>
                </c:pt>
                <c:pt idx="200">
                  <c:v>762.71700505627678</c:v>
                </c:pt>
                <c:pt idx="201">
                  <c:v>762.88740221808462</c:v>
                </c:pt>
                <c:pt idx="202">
                  <c:v>763.55299337582824</c:v>
                </c:pt>
                <c:pt idx="203">
                  <c:v>763.55555555555566</c:v>
                </c:pt>
                <c:pt idx="204">
                  <c:v>763.6060695489648</c:v>
                </c:pt>
                <c:pt idx="205">
                  <c:v>763.8489558443938</c:v>
                </c:pt>
                <c:pt idx="206">
                  <c:v>765.99999999999955</c:v>
                </c:pt>
                <c:pt idx="207">
                  <c:v>767.57831161602212</c:v>
                </c:pt>
                <c:pt idx="208">
                  <c:v>768.16053777438992</c:v>
                </c:pt>
                <c:pt idx="209">
                  <c:v>769.12817626866661</c:v>
                </c:pt>
                <c:pt idx="210">
                  <c:v>769.66907736138512</c:v>
                </c:pt>
                <c:pt idx="211">
                  <c:v>769.89713521845874</c:v>
                </c:pt>
                <c:pt idx="212">
                  <c:v>771.27608430134342</c:v>
                </c:pt>
                <c:pt idx="213">
                  <c:v>772.0516185476813</c:v>
                </c:pt>
                <c:pt idx="214">
                  <c:v>772.13478755620304</c:v>
                </c:pt>
                <c:pt idx="215">
                  <c:v>773.60046072769728</c:v>
                </c:pt>
                <c:pt idx="216">
                  <c:v>774.34803521760034</c:v>
                </c:pt>
                <c:pt idx="217">
                  <c:v>774.7118683806716</c:v>
                </c:pt>
                <c:pt idx="218">
                  <c:v>775.21607290818099</c:v>
                </c:pt>
                <c:pt idx="219">
                  <c:v>775.99817068321045</c:v>
                </c:pt>
                <c:pt idx="220">
                  <c:v>776.04907554673673</c:v>
                </c:pt>
                <c:pt idx="221">
                  <c:v>776.33908809207628</c:v>
                </c:pt>
                <c:pt idx="222">
                  <c:v>776.87484577248335</c:v>
                </c:pt>
                <c:pt idx="223">
                  <c:v>777.11901624945097</c:v>
                </c:pt>
                <c:pt idx="224">
                  <c:v>778.8954411630375</c:v>
                </c:pt>
                <c:pt idx="225">
                  <c:v>781.74734140080659</c:v>
                </c:pt>
                <c:pt idx="226">
                  <c:v>781.95819581958176</c:v>
                </c:pt>
                <c:pt idx="227">
                  <c:v>782.87394554779621</c:v>
                </c:pt>
                <c:pt idx="228">
                  <c:v>783.50970017636666</c:v>
                </c:pt>
                <c:pt idx="229">
                  <c:v>783.69547628842179</c:v>
                </c:pt>
                <c:pt idx="230">
                  <c:v>785.06072157646986</c:v>
                </c:pt>
                <c:pt idx="231">
                  <c:v>786.26935329833861</c:v>
                </c:pt>
                <c:pt idx="232">
                  <c:v>786.3106932360372</c:v>
                </c:pt>
                <c:pt idx="233">
                  <c:v>786.85368536853684</c:v>
                </c:pt>
                <c:pt idx="234">
                  <c:v>787.91887125220455</c:v>
                </c:pt>
                <c:pt idx="235">
                  <c:v>789.35731900519454</c:v>
                </c:pt>
                <c:pt idx="236">
                  <c:v>789.50273682715158</c:v>
                </c:pt>
                <c:pt idx="237">
                  <c:v>789.56440205930426</c:v>
                </c:pt>
                <c:pt idx="238">
                  <c:v>790.18902169101375</c:v>
                </c:pt>
                <c:pt idx="239">
                  <c:v>791.51486014743182</c:v>
                </c:pt>
                <c:pt idx="240">
                  <c:v>791.55730533683277</c:v>
                </c:pt>
                <c:pt idx="241">
                  <c:v>791.74004356957425</c:v>
                </c:pt>
                <c:pt idx="242">
                  <c:v>793.17602490258446</c:v>
                </c:pt>
                <c:pt idx="243">
                  <c:v>793.51350209633631</c:v>
                </c:pt>
                <c:pt idx="244">
                  <c:v>793.63211459844956</c:v>
                </c:pt>
                <c:pt idx="245">
                  <c:v>794.46483826698602</c:v>
                </c:pt>
                <c:pt idx="246">
                  <c:v>797.13891851573021</c:v>
                </c:pt>
                <c:pt idx="247">
                  <c:v>797.68708697981788</c:v>
                </c:pt>
                <c:pt idx="248">
                  <c:v>797.84431696038985</c:v>
                </c:pt>
                <c:pt idx="249">
                  <c:v>797.98260700348169</c:v>
                </c:pt>
                <c:pt idx="250">
                  <c:v>798.55643044619455</c:v>
                </c:pt>
                <c:pt idx="251">
                  <c:v>799.38096984301592</c:v>
                </c:pt>
                <c:pt idx="252">
                  <c:v>799.45210340296671</c:v>
                </c:pt>
                <c:pt idx="253">
                  <c:v>799.97752231018785</c:v>
                </c:pt>
                <c:pt idx="254">
                  <c:v>800.24598940632075</c:v>
                </c:pt>
                <c:pt idx="255">
                  <c:v>800.55761207139972</c:v>
                </c:pt>
                <c:pt idx="256">
                  <c:v>801.26974912503431</c:v>
                </c:pt>
                <c:pt idx="257">
                  <c:v>802.0727804635651</c:v>
                </c:pt>
                <c:pt idx="258">
                  <c:v>802.38407699037634</c:v>
                </c:pt>
                <c:pt idx="259">
                  <c:v>802.93913709690889</c:v>
                </c:pt>
                <c:pt idx="260">
                  <c:v>803.4528552456843</c:v>
                </c:pt>
                <c:pt idx="261">
                  <c:v>805.42041159393375</c:v>
                </c:pt>
                <c:pt idx="262">
                  <c:v>805.77427821522303</c:v>
                </c:pt>
                <c:pt idx="263">
                  <c:v>806.80162564220541</c:v>
                </c:pt>
                <c:pt idx="264">
                  <c:v>807.04705928760211</c:v>
                </c:pt>
                <c:pt idx="265">
                  <c:v>807.23716550062818</c:v>
                </c:pt>
                <c:pt idx="266">
                  <c:v>807.98436759209039</c:v>
                </c:pt>
                <c:pt idx="267">
                  <c:v>809.44122968818624</c:v>
                </c:pt>
                <c:pt idx="268">
                  <c:v>809.56250104507944</c:v>
                </c:pt>
                <c:pt idx="269">
                  <c:v>809.79981668958044</c:v>
                </c:pt>
                <c:pt idx="270">
                  <c:v>809.90279290113062</c:v>
                </c:pt>
                <c:pt idx="271">
                  <c:v>810.28551362882672</c:v>
                </c:pt>
                <c:pt idx="272">
                  <c:v>810.62019245402803</c:v>
                </c:pt>
                <c:pt idx="273">
                  <c:v>810.66666666666652</c:v>
                </c:pt>
                <c:pt idx="274">
                  <c:v>811.3188475507319</c:v>
                </c:pt>
                <c:pt idx="275">
                  <c:v>814.28439784887928</c:v>
                </c:pt>
                <c:pt idx="276">
                  <c:v>815.11448003463943</c:v>
                </c:pt>
                <c:pt idx="277">
                  <c:v>815.95151411204915</c:v>
                </c:pt>
                <c:pt idx="278">
                  <c:v>816.47458052891898</c:v>
                </c:pt>
                <c:pt idx="279">
                  <c:v>816.72968477950167</c:v>
                </c:pt>
                <c:pt idx="280">
                  <c:v>817.30089632971749</c:v>
                </c:pt>
                <c:pt idx="281">
                  <c:v>818.46822228558744</c:v>
                </c:pt>
                <c:pt idx="282">
                  <c:v>819.56555496503938</c:v>
                </c:pt>
                <c:pt idx="283">
                  <c:v>819.90104635032151</c:v>
                </c:pt>
                <c:pt idx="284">
                  <c:v>821.00349956255491</c:v>
                </c:pt>
                <c:pt idx="285">
                  <c:v>821.08714202760507</c:v>
                </c:pt>
                <c:pt idx="286">
                  <c:v>821.44643467107244</c:v>
                </c:pt>
                <c:pt idx="287">
                  <c:v>821.66101301979086</c:v>
                </c:pt>
                <c:pt idx="288">
                  <c:v>821.92683835312641</c:v>
                </c:pt>
                <c:pt idx="289">
                  <c:v>823.77930100702395</c:v>
                </c:pt>
                <c:pt idx="290">
                  <c:v>824.41055457301945</c:v>
                </c:pt>
                <c:pt idx="291">
                  <c:v>825.03242371950898</c:v>
                </c:pt>
                <c:pt idx="292">
                  <c:v>826.65114361250585</c:v>
                </c:pt>
                <c:pt idx="293">
                  <c:v>827.00321015538407</c:v>
                </c:pt>
                <c:pt idx="294">
                  <c:v>827.20240277996072</c:v>
                </c:pt>
                <c:pt idx="295">
                  <c:v>827.68489819771867</c:v>
                </c:pt>
                <c:pt idx="296">
                  <c:v>828.16281628162801</c:v>
                </c:pt>
                <c:pt idx="297">
                  <c:v>829.51926834783535</c:v>
                </c:pt>
                <c:pt idx="298">
                  <c:v>829.84821729278042</c:v>
                </c:pt>
                <c:pt idx="299">
                  <c:v>833.25190850274475</c:v>
                </c:pt>
                <c:pt idx="300">
                  <c:v>834.94989658011514</c:v>
                </c:pt>
                <c:pt idx="301">
                  <c:v>835.32825723517249</c:v>
                </c:pt>
                <c:pt idx="302">
                  <c:v>835.62992125984238</c:v>
                </c:pt>
                <c:pt idx="303">
                  <c:v>835.82783499171467</c:v>
                </c:pt>
                <c:pt idx="304">
                  <c:v>837.27810650887568</c:v>
                </c:pt>
                <c:pt idx="305">
                  <c:v>837.50746201930815</c:v>
                </c:pt>
                <c:pt idx="306">
                  <c:v>837.59271093298719</c:v>
                </c:pt>
                <c:pt idx="307">
                  <c:v>837.77153123076664</c:v>
                </c:pt>
                <c:pt idx="308">
                  <c:v>837.95372218525904</c:v>
                </c:pt>
                <c:pt idx="309">
                  <c:v>839.77733598409554</c:v>
                </c:pt>
                <c:pt idx="310">
                  <c:v>840.52840066615363</c:v>
                </c:pt>
                <c:pt idx="311">
                  <c:v>841.11840686733967</c:v>
                </c:pt>
                <c:pt idx="312">
                  <c:v>841.37969563469278</c:v>
                </c:pt>
                <c:pt idx="313">
                  <c:v>841.69468668059244</c:v>
                </c:pt>
                <c:pt idx="314">
                  <c:v>843.88224888700302</c:v>
                </c:pt>
                <c:pt idx="315">
                  <c:v>844.37335037851619</c:v>
                </c:pt>
                <c:pt idx="316">
                  <c:v>844.48722541767222</c:v>
                </c:pt>
                <c:pt idx="317">
                  <c:v>845.40976350288202</c:v>
                </c:pt>
                <c:pt idx="318">
                  <c:v>846.93001680181169</c:v>
                </c:pt>
                <c:pt idx="319">
                  <c:v>847.05403675676416</c:v>
                </c:pt>
                <c:pt idx="320">
                  <c:v>847.44268077601384</c:v>
                </c:pt>
                <c:pt idx="321">
                  <c:v>847.59474786767191</c:v>
                </c:pt>
                <c:pt idx="322">
                  <c:v>848.11353127810708</c:v>
                </c:pt>
                <c:pt idx="323">
                  <c:v>848.26986343518479</c:v>
                </c:pt>
                <c:pt idx="324">
                  <c:v>848.41648280020763</c:v>
                </c:pt>
                <c:pt idx="325">
                  <c:v>848.95103554523848</c:v>
                </c:pt>
                <c:pt idx="326">
                  <c:v>849.04825143868959</c:v>
                </c:pt>
                <c:pt idx="327">
                  <c:v>849.14756926709106</c:v>
                </c:pt>
                <c:pt idx="328">
                  <c:v>849.61253962662909</c:v>
                </c:pt>
                <c:pt idx="329">
                  <c:v>850.07105616335343</c:v>
                </c:pt>
                <c:pt idx="330">
                  <c:v>851.18638314550321</c:v>
                </c:pt>
                <c:pt idx="331">
                  <c:v>851.5871262723482</c:v>
                </c:pt>
                <c:pt idx="332">
                  <c:v>851.70064270461876</c:v>
                </c:pt>
                <c:pt idx="333">
                  <c:v>853.23696396073547</c:v>
                </c:pt>
                <c:pt idx="334">
                  <c:v>855.13916283147046</c:v>
                </c:pt>
                <c:pt idx="335">
                  <c:v>855.68861233949485</c:v>
                </c:pt>
                <c:pt idx="336">
                  <c:v>855.69520264574521</c:v>
                </c:pt>
                <c:pt idx="337">
                  <c:v>856.65020627362287</c:v>
                </c:pt>
                <c:pt idx="338">
                  <c:v>856.6965642886355</c:v>
                </c:pt>
                <c:pt idx="339">
                  <c:v>856.71331087272142</c:v>
                </c:pt>
                <c:pt idx="340">
                  <c:v>856.94758294484973</c:v>
                </c:pt>
                <c:pt idx="341">
                  <c:v>857.27852394519073</c:v>
                </c:pt>
                <c:pt idx="342">
                  <c:v>857.71626439015802</c:v>
                </c:pt>
                <c:pt idx="343">
                  <c:v>857.76901161516525</c:v>
                </c:pt>
                <c:pt idx="344">
                  <c:v>859.05298863219662</c:v>
                </c:pt>
                <c:pt idx="345">
                  <c:v>859.61084156224365</c:v>
                </c:pt>
                <c:pt idx="346">
                  <c:v>859.84598459845961</c:v>
                </c:pt>
                <c:pt idx="347">
                  <c:v>859.9065255731922</c:v>
                </c:pt>
                <c:pt idx="348">
                  <c:v>860.87519328473604</c:v>
                </c:pt>
                <c:pt idx="349">
                  <c:v>860.91112365934327</c:v>
                </c:pt>
                <c:pt idx="350">
                  <c:v>862.05323472243435</c:v>
                </c:pt>
                <c:pt idx="351">
                  <c:v>862.8346075203392</c:v>
                </c:pt>
                <c:pt idx="352">
                  <c:v>863.12111183730485</c:v>
                </c:pt>
                <c:pt idx="353">
                  <c:v>863.13485068503439</c:v>
                </c:pt>
                <c:pt idx="354">
                  <c:v>863.3114438789454</c:v>
                </c:pt>
                <c:pt idx="355">
                  <c:v>865.3355457804355</c:v>
                </c:pt>
                <c:pt idx="356">
                  <c:v>865.4504680306394</c:v>
                </c:pt>
                <c:pt idx="357">
                  <c:v>865.45654565456562</c:v>
                </c:pt>
                <c:pt idx="358">
                  <c:v>865.76125866554946</c:v>
                </c:pt>
                <c:pt idx="359">
                  <c:v>866.18642217856336</c:v>
                </c:pt>
                <c:pt idx="360">
                  <c:v>866.23122841071563</c:v>
                </c:pt>
                <c:pt idx="361">
                  <c:v>866.62536206878508</c:v>
                </c:pt>
                <c:pt idx="362">
                  <c:v>866.85694414371881</c:v>
                </c:pt>
                <c:pt idx="363">
                  <c:v>867.0223908618409</c:v>
                </c:pt>
                <c:pt idx="364">
                  <c:v>868.16927724518473</c:v>
                </c:pt>
                <c:pt idx="365">
                  <c:v>868.45342714175081</c:v>
                </c:pt>
                <c:pt idx="366">
                  <c:v>868.8506412865388</c:v>
                </c:pt>
                <c:pt idx="367">
                  <c:v>869.78624199752824</c:v>
                </c:pt>
                <c:pt idx="368">
                  <c:v>869.86044036036617</c:v>
                </c:pt>
                <c:pt idx="369">
                  <c:v>870.00220896841188</c:v>
                </c:pt>
                <c:pt idx="370">
                  <c:v>870.00431798603915</c:v>
                </c:pt>
                <c:pt idx="371">
                  <c:v>871.02875626208015</c:v>
                </c:pt>
                <c:pt idx="372">
                  <c:v>871.14738236338803</c:v>
                </c:pt>
                <c:pt idx="373">
                  <c:v>871.82888923813005</c:v>
                </c:pt>
                <c:pt idx="374">
                  <c:v>874.77955171777103</c:v>
                </c:pt>
                <c:pt idx="375">
                  <c:v>875.79281592747839</c:v>
                </c:pt>
                <c:pt idx="376">
                  <c:v>875.84463256322238</c:v>
                </c:pt>
                <c:pt idx="377">
                  <c:v>875.9990070685609</c:v>
                </c:pt>
                <c:pt idx="378">
                  <c:v>876.22807645656076</c:v>
                </c:pt>
                <c:pt idx="379">
                  <c:v>876.37241985068067</c:v>
                </c:pt>
                <c:pt idx="380">
                  <c:v>876.42639319266164</c:v>
                </c:pt>
                <c:pt idx="381">
                  <c:v>877.70336934216539</c:v>
                </c:pt>
                <c:pt idx="382">
                  <c:v>878.19925287116882</c:v>
                </c:pt>
                <c:pt idx="383">
                  <c:v>878.39020122484703</c:v>
                </c:pt>
                <c:pt idx="384">
                  <c:v>878.44872713730615</c:v>
                </c:pt>
                <c:pt idx="385">
                  <c:v>878.60238834687493</c:v>
                </c:pt>
                <c:pt idx="386">
                  <c:v>879.80859838971924</c:v>
                </c:pt>
                <c:pt idx="387">
                  <c:v>880.29881681456516</c:v>
                </c:pt>
                <c:pt idx="388">
                  <c:v>880.39319436367828</c:v>
                </c:pt>
                <c:pt idx="389">
                  <c:v>880.40423564268769</c:v>
                </c:pt>
                <c:pt idx="390">
                  <c:v>881.10284243411706</c:v>
                </c:pt>
                <c:pt idx="391">
                  <c:v>881.21980109159585</c:v>
                </c:pt>
                <c:pt idx="392">
                  <c:v>881.39329805996476</c:v>
                </c:pt>
                <c:pt idx="393">
                  <c:v>881.79608774002838</c:v>
                </c:pt>
                <c:pt idx="394">
                  <c:v>882.04193894083551</c:v>
                </c:pt>
                <c:pt idx="395">
                  <c:v>882.3818927955067</c:v>
                </c:pt>
                <c:pt idx="396">
                  <c:v>886.5062406729071</c:v>
                </c:pt>
                <c:pt idx="397">
                  <c:v>886.79957514842636</c:v>
                </c:pt>
                <c:pt idx="398">
                  <c:v>887.12280125024154</c:v>
                </c:pt>
                <c:pt idx="399">
                  <c:v>887.68355085280336</c:v>
                </c:pt>
                <c:pt idx="400">
                  <c:v>888.42474254999092</c:v>
                </c:pt>
                <c:pt idx="401">
                  <c:v>888.66799204771348</c:v>
                </c:pt>
                <c:pt idx="402">
                  <c:v>888.66973482358117</c:v>
                </c:pt>
                <c:pt idx="403">
                  <c:v>888.87659225004336</c:v>
                </c:pt>
                <c:pt idx="404">
                  <c:v>888.87975746950087</c:v>
                </c:pt>
                <c:pt idx="405">
                  <c:v>889.31455688702033</c:v>
                </c:pt>
                <c:pt idx="406">
                  <c:v>889.76832207030247</c:v>
                </c:pt>
                <c:pt idx="407">
                  <c:v>890.22517823662452</c:v>
                </c:pt>
                <c:pt idx="408">
                  <c:v>891.39925780397311</c:v>
                </c:pt>
                <c:pt idx="409">
                  <c:v>892.56151629157694</c:v>
                </c:pt>
                <c:pt idx="410">
                  <c:v>893.44864081049855</c:v>
                </c:pt>
                <c:pt idx="411">
                  <c:v>893.63444553139686</c:v>
                </c:pt>
                <c:pt idx="412">
                  <c:v>893.723872387239</c:v>
                </c:pt>
                <c:pt idx="413">
                  <c:v>894.10068751386132</c:v>
                </c:pt>
                <c:pt idx="414">
                  <c:v>894.45535909190153</c:v>
                </c:pt>
                <c:pt idx="415">
                  <c:v>894.83455380577414</c:v>
                </c:pt>
                <c:pt idx="416">
                  <c:v>894.88935653623435</c:v>
                </c:pt>
                <c:pt idx="417">
                  <c:v>895.21342572504273</c:v>
                </c:pt>
                <c:pt idx="418">
                  <c:v>897.5882239372163</c:v>
                </c:pt>
                <c:pt idx="419">
                  <c:v>898.18720576594592</c:v>
                </c:pt>
                <c:pt idx="420">
                  <c:v>899.44676643394598</c:v>
                </c:pt>
                <c:pt idx="421">
                  <c:v>899.53886693017137</c:v>
                </c:pt>
                <c:pt idx="422">
                  <c:v>900.26507620941015</c:v>
                </c:pt>
                <c:pt idx="423">
                  <c:v>900.37004603770663</c:v>
                </c:pt>
                <c:pt idx="424">
                  <c:v>900.82278061855823</c:v>
                </c:pt>
                <c:pt idx="425">
                  <c:v>901.28375387339486</c:v>
                </c:pt>
                <c:pt idx="426">
                  <c:v>901.60248629236685</c:v>
                </c:pt>
                <c:pt idx="427">
                  <c:v>901.99693206180223</c:v>
                </c:pt>
                <c:pt idx="428">
                  <c:v>902.62621216098</c:v>
                </c:pt>
                <c:pt idx="429">
                  <c:v>903.90987408880085</c:v>
                </c:pt>
                <c:pt idx="430">
                  <c:v>904.24771887932525</c:v>
                </c:pt>
                <c:pt idx="431">
                  <c:v>904.43892468979379</c:v>
                </c:pt>
                <c:pt idx="432">
                  <c:v>905.1998480269649</c:v>
                </c:pt>
                <c:pt idx="433">
                  <c:v>906.03948487552361</c:v>
                </c:pt>
                <c:pt idx="434">
                  <c:v>906.84500720988433</c:v>
                </c:pt>
                <c:pt idx="435">
                  <c:v>908.54870775347888</c:v>
                </c:pt>
                <c:pt idx="436">
                  <c:v>908.82995209918272</c:v>
                </c:pt>
                <c:pt idx="437">
                  <c:v>909.05106289721653</c:v>
                </c:pt>
                <c:pt idx="438">
                  <c:v>910.12844426841571</c:v>
                </c:pt>
                <c:pt idx="439">
                  <c:v>910.23102310231036</c:v>
                </c:pt>
                <c:pt idx="440">
                  <c:v>910.38359788359776</c:v>
                </c:pt>
                <c:pt idx="441">
                  <c:v>911.43961009646773</c:v>
                </c:pt>
                <c:pt idx="442">
                  <c:v>913.28600940154695</c:v>
                </c:pt>
                <c:pt idx="443">
                  <c:v>913.6267702592952</c:v>
                </c:pt>
                <c:pt idx="444">
                  <c:v>915.67065073041169</c:v>
                </c:pt>
                <c:pt idx="445">
                  <c:v>916.31238203144562</c:v>
                </c:pt>
                <c:pt idx="446">
                  <c:v>917.38862572457333</c:v>
                </c:pt>
                <c:pt idx="447">
                  <c:v>917.58513823549379</c:v>
                </c:pt>
                <c:pt idx="448">
                  <c:v>918.01637266349019</c:v>
                </c:pt>
                <c:pt idx="449">
                  <c:v>918.5985335553728</c:v>
                </c:pt>
                <c:pt idx="450">
                  <c:v>918.79148390082798</c:v>
                </c:pt>
                <c:pt idx="451">
                  <c:v>918.95070459426915</c:v>
                </c:pt>
                <c:pt idx="452">
                  <c:v>919.62457217738279</c:v>
                </c:pt>
                <c:pt idx="453">
                  <c:v>919.94736617816011</c:v>
                </c:pt>
                <c:pt idx="454">
                  <c:v>920.58983349377343</c:v>
                </c:pt>
                <c:pt idx="455">
                  <c:v>920.83407751384198</c:v>
                </c:pt>
                <c:pt idx="456">
                  <c:v>920.84820450205098</c:v>
                </c:pt>
                <c:pt idx="457">
                  <c:v>921.88943264562022</c:v>
                </c:pt>
                <c:pt idx="458">
                  <c:v>922.32687796495588</c:v>
                </c:pt>
                <c:pt idx="459">
                  <c:v>922.63640656029111</c:v>
                </c:pt>
                <c:pt idx="460">
                  <c:v>923.39491004710385</c:v>
                </c:pt>
                <c:pt idx="461">
                  <c:v>926.02391134001437</c:v>
                </c:pt>
                <c:pt idx="462">
                  <c:v>926.91021198238786</c:v>
                </c:pt>
                <c:pt idx="463">
                  <c:v>927.49458802739105</c:v>
                </c:pt>
                <c:pt idx="464">
                  <c:v>929.20256240335766</c:v>
                </c:pt>
                <c:pt idx="465">
                  <c:v>929.7294482201911</c:v>
                </c:pt>
                <c:pt idx="466">
                  <c:v>930.94212502761206</c:v>
                </c:pt>
                <c:pt idx="467">
                  <c:v>931.30694115160622</c:v>
                </c:pt>
                <c:pt idx="468">
                  <c:v>932.16849790196193</c:v>
                </c:pt>
                <c:pt idx="469">
                  <c:v>933.17870554451065</c:v>
                </c:pt>
                <c:pt idx="470">
                  <c:v>933.59192492954458</c:v>
                </c:pt>
                <c:pt idx="471">
                  <c:v>936.13298337707761</c:v>
                </c:pt>
                <c:pt idx="472">
                  <c:v>938.76626826029224</c:v>
                </c:pt>
                <c:pt idx="473">
                  <c:v>940.81922805794704</c:v>
                </c:pt>
                <c:pt idx="474">
                  <c:v>942.74123840955519</c:v>
                </c:pt>
                <c:pt idx="475">
                  <c:v>944.49362468744653</c:v>
                </c:pt>
                <c:pt idx="476">
                  <c:v>944.50548881658483</c:v>
                </c:pt>
                <c:pt idx="477">
                  <c:v>947.43293141367531</c:v>
                </c:pt>
                <c:pt idx="478">
                  <c:v>947.71854437678405</c:v>
                </c:pt>
                <c:pt idx="479">
                  <c:v>949.09486972554112</c:v>
                </c:pt>
                <c:pt idx="480">
                  <c:v>950.90457696494786</c:v>
                </c:pt>
                <c:pt idx="481">
                  <c:v>951.78137524061992</c:v>
                </c:pt>
                <c:pt idx="482">
                  <c:v>953.92372309702978</c:v>
                </c:pt>
                <c:pt idx="483">
                  <c:v>954.40411406861449</c:v>
                </c:pt>
                <c:pt idx="484">
                  <c:v>955.44286920230684</c:v>
                </c:pt>
                <c:pt idx="485">
                  <c:v>957.60694844576278</c:v>
                </c:pt>
                <c:pt idx="486">
                  <c:v>957.90733716277055</c:v>
                </c:pt>
                <c:pt idx="487">
                  <c:v>958.67304121716506</c:v>
                </c:pt>
                <c:pt idx="488">
                  <c:v>962.10395729626498</c:v>
                </c:pt>
                <c:pt idx="489">
                  <c:v>963.24250369543847</c:v>
                </c:pt>
                <c:pt idx="490">
                  <c:v>963.29713451830298</c:v>
                </c:pt>
                <c:pt idx="491">
                  <c:v>965.45519860592913</c:v>
                </c:pt>
                <c:pt idx="492">
                  <c:v>966.43305764839408</c:v>
                </c:pt>
                <c:pt idx="493">
                  <c:v>967.25605762933833</c:v>
                </c:pt>
                <c:pt idx="494">
                  <c:v>973.92588418229434</c:v>
                </c:pt>
                <c:pt idx="495">
                  <c:v>973.99291722000908</c:v>
                </c:pt>
                <c:pt idx="496">
                  <c:v>975.02547814424065</c:v>
                </c:pt>
                <c:pt idx="497">
                  <c:v>977.33773377337741</c:v>
                </c:pt>
                <c:pt idx="498">
                  <c:v>978.0481401197319</c:v>
                </c:pt>
                <c:pt idx="499">
                  <c:v>978.54121571456972</c:v>
                </c:pt>
                <c:pt idx="500">
                  <c:v>978.72921452652963</c:v>
                </c:pt>
                <c:pt idx="501">
                  <c:v>985.29365079365073</c:v>
                </c:pt>
                <c:pt idx="502">
                  <c:v>986.89479804852203</c:v>
                </c:pt>
                <c:pt idx="503">
                  <c:v>988.18353793414985</c:v>
                </c:pt>
                <c:pt idx="504">
                  <c:v>988.25436085824799</c:v>
                </c:pt>
                <c:pt idx="505">
                  <c:v>989.17605478241671</c:v>
                </c:pt>
                <c:pt idx="506">
                  <c:v>991.22817357411168</c:v>
                </c:pt>
                <c:pt idx="507">
                  <c:v>992.12080738428426</c:v>
                </c:pt>
                <c:pt idx="508">
                  <c:v>992.21256113823574</c:v>
                </c:pt>
                <c:pt idx="509">
                  <c:v>992.72912740780407</c:v>
                </c:pt>
                <c:pt idx="510">
                  <c:v>997.11111111111143</c:v>
                </c:pt>
              </c:numCache>
            </c:numRef>
          </c:xVal>
          <c:yVal>
            <c:numRef>
              <c:f>Data!$BB$20:$BB$533</c:f>
            </c:numRef>
          </c:yVal>
          <c:smooth val="0"/>
          <c:extLst>
            <c:ext xmlns:c16="http://schemas.microsoft.com/office/drawing/2014/chart" uri="{C3380CC4-5D6E-409C-BE32-E72D297353CC}">
              <c16:uniqueId val="{00000000-730F-48A3-B38A-7B9E63C6F0B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Data!$Y$20:$Y$533</c:f>
              <c:numCache>
                <c:formatCode>0.0</c:formatCode>
                <c:ptCount val="514"/>
                <c:pt idx="0">
                  <c:v>316.26968285650935</c:v>
                </c:pt>
                <c:pt idx="1">
                  <c:v>326.62326175747643</c:v>
                </c:pt>
                <c:pt idx="2">
                  <c:v>327.22113075747654</c:v>
                </c:pt>
                <c:pt idx="3">
                  <c:v>336.30472388556211</c:v>
                </c:pt>
                <c:pt idx="4">
                  <c:v>377.18254824121664</c:v>
                </c:pt>
                <c:pt idx="5">
                  <c:v>394.88888888888869</c:v>
                </c:pt>
                <c:pt idx="6">
                  <c:v>399.07038512616242</c:v>
                </c:pt>
                <c:pt idx="7">
                  <c:v>410.35747000994922</c:v>
                </c:pt>
                <c:pt idx="8">
                  <c:v>415.05877134619641</c:v>
                </c:pt>
                <c:pt idx="9">
                  <c:v>428.27595191629393</c:v>
                </c:pt>
                <c:pt idx="10">
                  <c:v>432.01203974751667</c:v>
                </c:pt>
                <c:pt idx="11">
                  <c:v>434.0088356661754</c:v>
                </c:pt>
                <c:pt idx="12">
                  <c:v>442.52815086148411</c:v>
                </c:pt>
                <c:pt idx="13">
                  <c:v>447.41211172910107</c:v>
                </c:pt>
                <c:pt idx="14">
                  <c:v>461.72353455818029</c:v>
                </c:pt>
                <c:pt idx="15">
                  <c:v>475.43684564830784</c:v>
                </c:pt>
                <c:pt idx="16">
                  <c:v>477.58196838464403</c:v>
                </c:pt>
                <c:pt idx="17">
                  <c:v>488.65125642999101</c:v>
                </c:pt>
                <c:pt idx="18">
                  <c:v>491.90784586274469</c:v>
                </c:pt>
                <c:pt idx="19">
                  <c:v>493.56035800043617</c:v>
                </c:pt>
                <c:pt idx="20">
                  <c:v>497.87828839156452</c:v>
                </c:pt>
                <c:pt idx="21">
                  <c:v>500.56150342867227</c:v>
                </c:pt>
                <c:pt idx="22">
                  <c:v>501.26683981959673</c:v>
                </c:pt>
                <c:pt idx="23">
                  <c:v>507.60850985496961</c:v>
                </c:pt>
                <c:pt idx="24">
                  <c:v>514.4152267898088</c:v>
                </c:pt>
                <c:pt idx="25">
                  <c:v>514.6146396891919</c:v>
                </c:pt>
                <c:pt idx="26">
                  <c:v>516.35103171392132</c:v>
                </c:pt>
                <c:pt idx="27">
                  <c:v>520.09440629721132</c:v>
                </c:pt>
                <c:pt idx="28">
                  <c:v>520.58345449996227</c:v>
                </c:pt>
                <c:pt idx="29">
                  <c:v>521.06883053960883</c:v>
                </c:pt>
                <c:pt idx="30">
                  <c:v>526.83657254614354</c:v>
                </c:pt>
                <c:pt idx="31">
                  <c:v>527.11770660488605</c:v>
                </c:pt>
                <c:pt idx="32">
                  <c:v>527.88757136583195</c:v>
                </c:pt>
                <c:pt idx="33">
                  <c:v>528.83361384192597</c:v>
                </c:pt>
                <c:pt idx="34">
                  <c:v>530.1524188204105</c:v>
                </c:pt>
                <c:pt idx="35">
                  <c:v>535.41181657848301</c:v>
                </c:pt>
                <c:pt idx="36">
                  <c:v>537.00000000000011</c:v>
                </c:pt>
                <c:pt idx="37">
                  <c:v>537.18852401046718</c:v>
                </c:pt>
                <c:pt idx="38">
                  <c:v>539.77646285338608</c:v>
                </c:pt>
                <c:pt idx="39">
                  <c:v>543.99567137135432</c:v>
                </c:pt>
                <c:pt idx="40">
                  <c:v>554.038387870723</c:v>
                </c:pt>
                <c:pt idx="41">
                  <c:v>556.41076012363135</c:v>
                </c:pt>
                <c:pt idx="42">
                  <c:v>557.648067849065</c:v>
                </c:pt>
                <c:pt idx="43">
                  <c:v>558.48323876212316</c:v>
                </c:pt>
                <c:pt idx="44">
                  <c:v>559.70608871910815</c:v>
                </c:pt>
                <c:pt idx="45">
                  <c:v>560.65846085606563</c:v>
                </c:pt>
                <c:pt idx="46">
                  <c:v>563.120469162262</c:v>
                </c:pt>
                <c:pt idx="47">
                  <c:v>565.10182821545413</c:v>
                </c:pt>
                <c:pt idx="48">
                  <c:v>566.7234183735834</c:v>
                </c:pt>
                <c:pt idx="49">
                  <c:v>567.13226440754283</c:v>
                </c:pt>
                <c:pt idx="50">
                  <c:v>571.00329778846481</c:v>
                </c:pt>
                <c:pt idx="51">
                  <c:v>573.83956238537905</c:v>
                </c:pt>
                <c:pt idx="52">
                  <c:v>581.68336596814288</c:v>
                </c:pt>
                <c:pt idx="53">
                  <c:v>582.2222222222224</c:v>
                </c:pt>
                <c:pt idx="54">
                  <c:v>586.91030226469263</c:v>
                </c:pt>
                <c:pt idx="55">
                  <c:v>588.70347033607538</c:v>
                </c:pt>
                <c:pt idx="56">
                  <c:v>591.33667319362849</c:v>
                </c:pt>
                <c:pt idx="57">
                  <c:v>594.15476970093857</c:v>
                </c:pt>
                <c:pt idx="58">
                  <c:v>595.04462475443586</c:v>
                </c:pt>
                <c:pt idx="59">
                  <c:v>595.7927271333067</c:v>
                </c:pt>
                <c:pt idx="60">
                  <c:v>596.44191207194831</c:v>
                </c:pt>
                <c:pt idx="61">
                  <c:v>597.66313932980597</c:v>
                </c:pt>
                <c:pt idx="62">
                  <c:v>600.22002200220004</c:v>
                </c:pt>
                <c:pt idx="63">
                  <c:v>601.18994147935484</c:v>
                </c:pt>
                <c:pt idx="64">
                  <c:v>602.51930314266247</c:v>
                </c:pt>
                <c:pt idx="65">
                  <c:v>605.1111111111112</c:v>
                </c:pt>
                <c:pt idx="66">
                  <c:v>605.43218510631414</c:v>
                </c:pt>
                <c:pt idx="67">
                  <c:v>608.69689996503928</c:v>
                </c:pt>
                <c:pt idx="68">
                  <c:v>609.33350031047291</c:v>
                </c:pt>
                <c:pt idx="69">
                  <c:v>612.79887315316478</c:v>
                </c:pt>
                <c:pt idx="70">
                  <c:v>613.01511388663812</c:v>
                </c:pt>
                <c:pt idx="71">
                  <c:v>615.81730718457254</c:v>
                </c:pt>
                <c:pt idx="72">
                  <c:v>616.09856810730764</c:v>
                </c:pt>
                <c:pt idx="73">
                  <c:v>616.31888288430446</c:v>
                </c:pt>
                <c:pt idx="74">
                  <c:v>617.01510702251335</c:v>
                </c:pt>
                <c:pt idx="75">
                  <c:v>617.01662292213473</c:v>
                </c:pt>
                <c:pt idx="76">
                  <c:v>623.23939086822043</c:v>
                </c:pt>
                <c:pt idx="77">
                  <c:v>626.59646179361221</c:v>
                </c:pt>
                <c:pt idx="78">
                  <c:v>629.44771883868134</c:v>
                </c:pt>
                <c:pt idx="79">
                  <c:v>631.27279263359424</c:v>
                </c:pt>
                <c:pt idx="80">
                  <c:v>634.52600485817493</c:v>
                </c:pt>
                <c:pt idx="81">
                  <c:v>634.7004295607494</c:v>
                </c:pt>
                <c:pt idx="82">
                  <c:v>635.62241334485691</c:v>
                </c:pt>
                <c:pt idx="83">
                  <c:v>637.81448020578432</c:v>
                </c:pt>
                <c:pt idx="84">
                  <c:v>643.09538523573462</c:v>
                </c:pt>
                <c:pt idx="85">
                  <c:v>644.38654668111258</c:v>
                </c:pt>
                <c:pt idx="86">
                  <c:v>644.92753623188412</c:v>
                </c:pt>
                <c:pt idx="87">
                  <c:v>645.84551457461157</c:v>
                </c:pt>
                <c:pt idx="88">
                  <c:v>646.57246771279563</c:v>
                </c:pt>
                <c:pt idx="89">
                  <c:v>647.21076401662515</c:v>
                </c:pt>
                <c:pt idx="90">
                  <c:v>649.83771338286397</c:v>
                </c:pt>
                <c:pt idx="91">
                  <c:v>650.26018474863372</c:v>
                </c:pt>
                <c:pt idx="92">
                  <c:v>650.98506807202466</c:v>
                </c:pt>
                <c:pt idx="93">
                  <c:v>655.03504299490919</c:v>
                </c:pt>
                <c:pt idx="94">
                  <c:v>655.92811746657947</c:v>
                </c:pt>
                <c:pt idx="95">
                  <c:v>656.84926303988527</c:v>
                </c:pt>
                <c:pt idx="96">
                  <c:v>656.88217149040497</c:v>
                </c:pt>
                <c:pt idx="97">
                  <c:v>660.99909464956158</c:v>
                </c:pt>
                <c:pt idx="98">
                  <c:v>661.39657444005252</c:v>
                </c:pt>
                <c:pt idx="99">
                  <c:v>664.16454340970108</c:v>
                </c:pt>
                <c:pt idx="100">
                  <c:v>664.77028655246477</c:v>
                </c:pt>
                <c:pt idx="101">
                  <c:v>667.12292383266561</c:v>
                </c:pt>
                <c:pt idx="102">
                  <c:v>667.2899830208969</c:v>
                </c:pt>
                <c:pt idx="103">
                  <c:v>667.330677290837</c:v>
                </c:pt>
                <c:pt idx="104">
                  <c:v>667.88182367531613</c:v>
                </c:pt>
                <c:pt idx="105">
                  <c:v>669.35924462011394</c:v>
                </c:pt>
                <c:pt idx="106">
                  <c:v>670.13671902123349</c:v>
                </c:pt>
                <c:pt idx="107">
                  <c:v>670.88743790271042</c:v>
                </c:pt>
                <c:pt idx="108">
                  <c:v>673.60234536344535</c:v>
                </c:pt>
                <c:pt idx="109">
                  <c:v>673.62157547005245</c:v>
                </c:pt>
                <c:pt idx="110">
                  <c:v>674.28456383309936</c:v>
                </c:pt>
                <c:pt idx="111">
                  <c:v>674.39805610779729</c:v>
                </c:pt>
                <c:pt idx="112">
                  <c:v>677.47691628009738</c:v>
                </c:pt>
                <c:pt idx="113">
                  <c:v>678.8178775083943</c:v>
                </c:pt>
                <c:pt idx="114">
                  <c:v>681.03079555175361</c:v>
                </c:pt>
                <c:pt idx="115">
                  <c:v>681.77777777777783</c:v>
                </c:pt>
                <c:pt idx="116">
                  <c:v>682.50073926221614</c:v>
                </c:pt>
                <c:pt idx="117">
                  <c:v>683.8624338624337</c:v>
                </c:pt>
                <c:pt idx="118">
                  <c:v>685.69772091861785</c:v>
                </c:pt>
                <c:pt idx="119">
                  <c:v>688.92408482959468</c:v>
                </c:pt>
                <c:pt idx="120">
                  <c:v>689.08573928258966</c:v>
                </c:pt>
                <c:pt idx="121">
                  <c:v>689.26735303012379</c:v>
                </c:pt>
                <c:pt idx="122">
                  <c:v>691.94234384068341</c:v>
                </c:pt>
                <c:pt idx="123">
                  <c:v>693.57603767908449</c:v>
                </c:pt>
                <c:pt idx="124">
                  <c:v>693.96736516301735</c:v>
                </c:pt>
                <c:pt idx="125">
                  <c:v>698.33333333333348</c:v>
                </c:pt>
                <c:pt idx="126">
                  <c:v>698.33405516159394</c:v>
                </c:pt>
                <c:pt idx="127">
                  <c:v>700.77007700770059</c:v>
                </c:pt>
                <c:pt idx="128">
                  <c:v>700.89200661562165</c:v>
                </c:pt>
                <c:pt idx="129">
                  <c:v>701.28122181447338</c:v>
                </c:pt>
                <c:pt idx="130">
                  <c:v>705.14395272571232</c:v>
                </c:pt>
                <c:pt idx="131">
                  <c:v>705.6878306878308</c:v>
                </c:pt>
                <c:pt idx="132">
                  <c:v>706.06802268478941</c:v>
                </c:pt>
                <c:pt idx="133">
                  <c:v>709.69772195749647</c:v>
                </c:pt>
                <c:pt idx="134">
                  <c:v>711.27608800391022</c:v>
                </c:pt>
                <c:pt idx="135">
                  <c:v>711.30887156528195</c:v>
                </c:pt>
                <c:pt idx="136">
                  <c:v>712.63227513227503</c:v>
                </c:pt>
                <c:pt idx="137">
                  <c:v>713.49786041021071</c:v>
                </c:pt>
                <c:pt idx="138">
                  <c:v>715.3555555555555</c:v>
                </c:pt>
                <c:pt idx="139">
                  <c:v>715.52481335090022</c:v>
                </c:pt>
                <c:pt idx="140">
                  <c:v>716.03925678563894</c:v>
                </c:pt>
                <c:pt idx="141">
                  <c:v>718.13978614561256</c:v>
                </c:pt>
                <c:pt idx="142">
                  <c:v>718.81685221567341</c:v>
                </c:pt>
                <c:pt idx="143">
                  <c:v>719.92563429571305</c:v>
                </c:pt>
                <c:pt idx="144">
                  <c:v>720.55057576763579</c:v>
                </c:pt>
                <c:pt idx="145">
                  <c:v>720.82204933130856</c:v>
                </c:pt>
                <c:pt idx="146">
                  <c:v>721.1092077013011</c:v>
                </c:pt>
                <c:pt idx="147">
                  <c:v>721.23212321232108</c:v>
                </c:pt>
                <c:pt idx="148">
                  <c:v>722.27920656670858</c:v>
                </c:pt>
                <c:pt idx="149">
                  <c:v>723.66863905325408</c:v>
                </c:pt>
                <c:pt idx="150">
                  <c:v>725.15085851732601</c:v>
                </c:pt>
                <c:pt idx="151">
                  <c:v>725.48811967810957</c:v>
                </c:pt>
                <c:pt idx="152">
                  <c:v>725.85027890400397</c:v>
                </c:pt>
                <c:pt idx="153">
                  <c:v>728.10473312145587</c:v>
                </c:pt>
                <c:pt idx="154">
                  <c:v>730.19721256900766</c:v>
                </c:pt>
                <c:pt idx="155">
                  <c:v>730.68473726213369</c:v>
                </c:pt>
                <c:pt idx="156">
                  <c:v>731.02641345376162</c:v>
                </c:pt>
                <c:pt idx="157">
                  <c:v>732.88290538953208</c:v>
                </c:pt>
                <c:pt idx="158">
                  <c:v>733.72781065088725</c:v>
                </c:pt>
                <c:pt idx="159">
                  <c:v>733.84978032413903</c:v>
                </c:pt>
                <c:pt idx="160">
                  <c:v>734.88376781789952</c:v>
                </c:pt>
                <c:pt idx="161">
                  <c:v>735.97019493116727</c:v>
                </c:pt>
                <c:pt idx="162">
                  <c:v>737.28820140086066</c:v>
                </c:pt>
                <c:pt idx="163">
                  <c:v>738.5595055568549</c:v>
                </c:pt>
                <c:pt idx="164">
                  <c:v>739.21040913615184</c:v>
                </c:pt>
                <c:pt idx="165">
                  <c:v>739.4545816410664</c:v>
                </c:pt>
                <c:pt idx="166">
                  <c:v>740.00441793682342</c:v>
                </c:pt>
                <c:pt idx="167">
                  <c:v>740.22222222222217</c:v>
                </c:pt>
                <c:pt idx="168">
                  <c:v>741.53346745662088</c:v>
                </c:pt>
                <c:pt idx="169">
                  <c:v>741.74863458840969</c:v>
                </c:pt>
                <c:pt idx="170">
                  <c:v>741.84303350970004</c:v>
                </c:pt>
                <c:pt idx="171">
                  <c:v>743.92939293929408</c:v>
                </c:pt>
                <c:pt idx="172">
                  <c:v>744.81796488219516</c:v>
                </c:pt>
                <c:pt idx="173">
                  <c:v>745.08504528385254</c:v>
                </c:pt>
                <c:pt idx="174">
                  <c:v>745.86527550392861</c:v>
                </c:pt>
                <c:pt idx="175">
                  <c:v>746.45748186167339</c:v>
                </c:pt>
                <c:pt idx="176">
                  <c:v>747.26317562173733</c:v>
                </c:pt>
                <c:pt idx="177">
                  <c:v>747.3874145452404</c:v>
                </c:pt>
                <c:pt idx="178">
                  <c:v>747.65294421091539</c:v>
                </c:pt>
                <c:pt idx="179">
                  <c:v>747.81405074365694</c:v>
                </c:pt>
                <c:pt idx="180">
                  <c:v>749.0574406742071</c:v>
                </c:pt>
                <c:pt idx="181">
                  <c:v>749.22839506172863</c:v>
                </c:pt>
                <c:pt idx="182">
                  <c:v>749.59837253566616</c:v>
                </c:pt>
                <c:pt idx="183">
                  <c:v>749.71226206285974</c:v>
                </c:pt>
                <c:pt idx="184">
                  <c:v>750.5913137774146</c:v>
                </c:pt>
                <c:pt idx="185">
                  <c:v>751.71195051910786</c:v>
                </c:pt>
                <c:pt idx="186">
                  <c:v>752.81643472498376</c:v>
                </c:pt>
                <c:pt idx="187">
                  <c:v>753.61326361982537</c:v>
                </c:pt>
                <c:pt idx="188">
                  <c:v>755.52132964182397</c:v>
                </c:pt>
                <c:pt idx="189">
                  <c:v>755.73105615672739</c:v>
                </c:pt>
                <c:pt idx="190">
                  <c:v>755.73192239858895</c:v>
                </c:pt>
                <c:pt idx="191">
                  <c:v>755.75816074130512</c:v>
                </c:pt>
                <c:pt idx="192">
                  <c:v>755.98287917128471</c:v>
                </c:pt>
                <c:pt idx="193">
                  <c:v>756.85835058523946</c:v>
                </c:pt>
                <c:pt idx="194">
                  <c:v>760.48375667291339</c:v>
                </c:pt>
                <c:pt idx="195">
                  <c:v>760.57896076012003</c:v>
                </c:pt>
                <c:pt idx="196">
                  <c:v>761.29620898597773</c:v>
                </c:pt>
                <c:pt idx="197">
                  <c:v>761.5555555555552</c:v>
                </c:pt>
                <c:pt idx="198">
                  <c:v>761.57407407407391</c:v>
                </c:pt>
                <c:pt idx="199">
                  <c:v>761.87320521316542</c:v>
                </c:pt>
                <c:pt idx="200">
                  <c:v>762.71700505627678</c:v>
                </c:pt>
                <c:pt idx="201">
                  <c:v>762.88740221808462</c:v>
                </c:pt>
                <c:pt idx="202">
                  <c:v>763.55299337582824</c:v>
                </c:pt>
                <c:pt idx="203">
                  <c:v>763.55555555555566</c:v>
                </c:pt>
                <c:pt idx="204">
                  <c:v>763.6060695489648</c:v>
                </c:pt>
                <c:pt idx="205">
                  <c:v>763.8489558443938</c:v>
                </c:pt>
                <c:pt idx="206">
                  <c:v>765.99999999999955</c:v>
                </c:pt>
                <c:pt idx="207">
                  <c:v>767.57831161602212</c:v>
                </c:pt>
                <c:pt idx="208">
                  <c:v>768.16053777438992</c:v>
                </c:pt>
                <c:pt idx="209">
                  <c:v>769.12817626866661</c:v>
                </c:pt>
                <c:pt idx="210">
                  <c:v>769.66907736138512</c:v>
                </c:pt>
                <c:pt idx="211">
                  <c:v>769.89713521845874</c:v>
                </c:pt>
                <c:pt idx="212">
                  <c:v>771.27608430134342</c:v>
                </c:pt>
                <c:pt idx="213">
                  <c:v>772.0516185476813</c:v>
                </c:pt>
                <c:pt idx="214">
                  <c:v>772.13478755620304</c:v>
                </c:pt>
                <c:pt idx="215">
                  <c:v>773.60046072769728</c:v>
                </c:pt>
                <c:pt idx="216">
                  <c:v>774.34803521760034</c:v>
                </c:pt>
                <c:pt idx="217">
                  <c:v>774.7118683806716</c:v>
                </c:pt>
                <c:pt idx="218">
                  <c:v>775.21607290818099</c:v>
                </c:pt>
                <c:pt idx="219">
                  <c:v>775.99817068321045</c:v>
                </c:pt>
                <c:pt idx="220">
                  <c:v>776.04907554673673</c:v>
                </c:pt>
                <c:pt idx="221">
                  <c:v>776.33908809207628</c:v>
                </c:pt>
                <c:pt idx="222">
                  <c:v>776.87484577248335</c:v>
                </c:pt>
                <c:pt idx="223">
                  <c:v>777.11901624945097</c:v>
                </c:pt>
                <c:pt idx="224">
                  <c:v>778.8954411630375</c:v>
                </c:pt>
                <c:pt idx="225">
                  <c:v>781.74734140080659</c:v>
                </c:pt>
                <c:pt idx="226">
                  <c:v>781.95819581958176</c:v>
                </c:pt>
                <c:pt idx="227">
                  <c:v>782.87394554779621</c:v>
                </c:pt>
                <c:pt idx="228">
                  <c:v>783.50970017636666</c:v>
                </c:pt>
                <c:pt idx="229">
                  <c:v>783.69547628842179</c:v>
                </c:pt>
                <c:pt idx="230">
                  <c:v>785.06072157646986</c:v>
                </c:pt>
                <c:pt idx="231">
                  <c:v>786.26935329833861</c:v>
                </c:pt>
                <c:pt idx="232">
                  <c:v>786.3106932360372</c:v>
                </c:pt>
                <c:pt idx="233">
                  <c:v>786.85368536853684</c:v>
                </c:pt>
                <c:pt idx="234">
                  <c:v>787.91887125220455</c:v>
                </c:pt>
                <c:pt idx="235">
                  <c:v>789.35731900519454</c:v>
                </c:pt>
                <c:pt idx="236">
                  <c:v>789.50273682715158</c:v>
                </c:pt>
                <c:pt idx="237">
                  <c:v>789.56440205930426</c:v>
                </c:pt>
                <c:pt idx="238">
                  <c:v>790.18902169101375</c:v>
                </c:pt>
                <c:pt idx="239">
                  <c:v>791.51486014743182</c:v>
                </c:pt>
                <c:pt idx="240">
                  <c:v>791.55730533683277</c:v>
                </c:pt>
                <c:pt idx="241">
                  <c:v>791.74004356957425</c:v>
                </c:pt>
                <c:pt idx="242">
                  <c:v>793.17602490258446</c:v>
                </c:pt>
                <c:pt idx="243">
                  <c:v>793.51350209633631</c:v>
                </c:pt>
                <c:pt idx="244">
                  <c:v>793.63211459844956</c:v>
                </c:pt>
                <c:pt idx="245">
                  <c:v>794.46483826698602</c:v>
                </c:pt>
                <c:pt idx="246">
                  <c:v>797.13891851573021</c:v>
                </c:pt>
                <c:pt idx="247">
                  <c:v>797.68708697981788</c:v>
                </c:pt>
                <c:pt idx="248">
                  <c:v>797.84431696038985</c:v>
                </c:pt>
                <c:pt idx="249">
                  <c:v>797.98260700348169</c:v>
                </c:pt>
                <c:pt idx="250">
                  <c:v>798.55643044619455</c:v>
                </c:pt>
                <c:pt idx="251">
                  <c:v>799.38096984301592</c:v>
                </c:pt>
                <c:pt idx="252">
                  <c:v>799.45210340296671</c:v>
                </c:pt>
                <c:pt idx="253">
                  <c:v>799.97752231018785</c:v>
                </c:pt>
                <c:pt idx="254">
                  <c:v>800.24598940632075</c:v>
                </c:pt>
                <c:pt idx="255">
                  <c:v>800.55761207139972</c:v>
                </c:pt>
                <c:pt idx="256">
                  <c:v>801.26974912503431</c:v>
                </c:pt>
                <c:pt idx="257">
                  <c:v>802.0727804635651</c:v>
                </c:pt>
                <c:pt idx="258">
                  <c:v>802.38407699037634</c:v>
                </c:pt>
                <c:pt idx="259">
                  <c:v>802.93913709690889</c:v>
                </c:pt>
                <c:pt idx="260">
                  <c:v>803.4528552456843</c:v>
                </c:pt>
                <c:pt idx="261">
                  <c:v>805.42041159393375</c:v>
                </c:pt>
                <c:pt idx="262">
                  <c:v>805.77427821522303</c:v>
                </c:pt>
                <c:pt idx="263">
                  <c:v>806.80162564220541</c:v>
                </c:pt>
                <c:pt idx="264">
                  <c:v>807.04705928760211</c:v>
                </c:pt>
                <c:pt idx="265">
                  <c:v>807.23716550062818</c:v>
                </c:pt>
                <c:pt idx="266">
                  <c:v>807.98436759209039</c:v>
                </c:pt>
                <c:pt idx="267">
                  <c:v>809.44122968818624</c:v>
                </c:pt>
                <c:pt idx="268">
                  <c:v>809.56250104507944</c:v>
                </c:pt>
                <c:pt idx="269">
                  <c:v>809.79981668958044</c:v>
                </c:pt>
                <c:pt idx="270">
                  <c:v>809.90279290113062</c:v>
                </c:pt>
                <c:pt idx="271">
                  <c:v>810.28551362882672</c:v>
                </c:pt>
                <c:pt idx="272">
                  <c:v>810.62019245402803</c:v>
                </c:pt>
                <c:pt idx="273">
                  <c:v>810.66666666666652</c:v>
                </c:pt>
                <c:pt idx="274">
                  <c:v>811.3188475507319</c:v>
                </c:pt>
                <c:pt idx="275">
                  <c:v>814.28439784887928</c:v>
                </c:pt>
                <c:pt idx="276">
                  <c:v>815.11448003463943</c:v>
                </c:pt>
                <c:pt idx="277">
                  <c:v>815.95151411204915</c:v>
                </c:pt>
                <c:pt idx="278">
                  <c:v>816.47458052891898</c:v>
                </c:pt>
                <c:pt idx="279">
                  <c:v>816.72968477950167</c:v>
                </c:pt>
                <c:pt idx="280">
                  <c:v>817.30089632971749</c:v>
                </c:pt>
                <c:pt idx="281">
                  <c:v>818.46822228558744</c:v>
                </c:pt>
                <c:pt idx="282">
                  <c:v>819.56555496503938</c:v>
                </c:pt>
                <c:pt idx="283">
                  <c:v>819.90104635032151</c:v>
                </c:pt>
                <c:pt idx="284">
                  <c:v>821.00349956255491</c:v>
                </c:pt>
                <c:pt idx="285">
                  <c:v>821.08714202760507</c:v>
                </c:pt>
                <c:pt idx="286">
                  <c:v>821.44643467107244</c:v>
                </c:pt>
                <c:pt idx="287">
                  <c:v>821.66101301979086</c:v>
                </c:pt>
                <c:pt idx="288">
                  <c:v>821.92683835312641</c:v>
                </c:pt>
                <c:pt idx="289">
                  <c:v>823.77930100702395</c:v>
                </c:pt>
                <c:pt idx="290">
                  <c:v>824.41055457301945</c:v>
                </c:pt>
                <c:pt idx="291">
                  <c:v>825.03242371950898</c:v>
                </c:pt>
                <c:pt idx="292">
                  <c:v>826.65114361250585</c:v>
                </c:pt>
                <c:pt idx="293">
                  <c:v>827.00321015538407</c:v>
                </c:pt>
                <c:pt idx="294">
                  <c:v>827.20240277996072</c:v>
                </c:pt>
                <c:pt idx="295">
                  <c:v>827.68489819771867</c:v>
                </c:pt>
                <c:pt idx="296">
                  <c:v>828.16281628162801</c:v>
                </c:pt>
                <c:pt idx="297">
                  <c:v>829.51926834783535</c:v>
                </c:pt>
                <c:pt idx="298">
                  <c:v>829.84821729278042</c:v>
                </c:pt>
                <c:pt idx="299">
                  <c:v>833.25190850274475</c:v>
                </c:pt>
                <c:pt idx="300">
                  <c:v>834.94989658011514</c:v>
                </c:pt>
                <c:pt idx="301">
                  <c:v>835.32825723517249</c:v>
                </c:pt>
                <c:pt idx="302">
                  <c:v>835.62992125984238</c:v>
                </c:pt>
                <c:pt idx="303">
                  <c:v>835.82783499171467</c:v>
                </c:pt>
                <c:pt idx="304">
                  <c:v>837.27810650887568</c:v>
                </c:pt>
                <c:pt idx="305">
                  <c:v>837.50746201930815</c:v>
                </c:pt>
                <c:pt idx="306">
                  <c:v>837.59271093298719</c:v>
                </c:pt>
                <c:pt idx="307">
                  <c:v>837.77153123076664</c:v>
                </c:pt>
                <c:pt idx="308">
                  <c:v>837.95372218525904</c:v>
                </c:pt>
                <c:pt idx="309">
                  <c:v>839.77733598409554</c:v>
                </c:pt>
                <c:pt idx="310">
                  <c:v>840.52840066615363</c:v>
                </c:pt>
                <c:pt idx="311">
                  <c:v>841.11840686733967</c:v>
                </c:pt>
                <c:pt idx="312">
                  <c:v>841.37969563469278</c:v>
                </c:pt>
                <c:pt idx="313">
                  <c:v>841.69468668059244</c:v>
                </c:pt>
                <c:pt idx="314">
                  <c:v>843.88224888700302</c:v>
                </c:pt>
                <c:pt idx="315">
                  <c:v>844.37335037851619</c:v>
                </c:pt>
                <c:pt idx="316">
                  <c:v>844.48722541767222</c:v>
                </c:pt>
                <c:pt idx="317">
                  <c:v>845.40976350288202</c:v>
                </c:pt>
                <c:pt idx="318">
                  <c:v>846.93001680181169</c:v>
                </c:pt>
                <c:pt idx="319">
                  <c:v>847.05403675676416</c:v>
                </c:pt>
                <c:pt idx="320">
                  <c:v>847.44268077601384</c:v>
                </c:pt>
                <c:pt idx="321">
                  <c:v>847.59474786767191</c:v>
                </c:pt>
                <c:pt idx="322">
                  <c:v>848.11353127810708</c:v>
                </c:pt>
                <c:pt idx="323">
                  <c:v>848.26986343518479</c:v>
                </c:pt>
                <c:pt idx="324">
                  <c:v>848.41648280020763</c:v>
                </c:pt>
                <c:pt idx="325">
                  <c:v>848.95103554523848</c:v>
                </c:pt>
                <c:pt idx="326">
                  <c:v>849.04825143868959</c:v>
                </c:pt>
                <c:pt idx="327">
                  <c:v>849.14756926709106</c:v>
                </c:pt>
                <c:pt idx="328">
                  <c:v>849.61253962662909</c:v>
                </c:pt>
                <c:pt idx="329">
                  <c:v>850.07105616335343</c:v>
                </c:pt>
                <c:pt idx="330">
                  <c:v>851.18638314550321</c:v>
                </c:pt>
                <c:pt idx="331">
                  <c:v>851.5871262723482</c:v>
                </c:pt>
                <c:pt idx="332">
                  <c:v>851.70064270461876</c:v>
                </c:pt>
                <c:pt idx="333">
                  <c:v>853.23696396073547</c:v>
                </c:pt>
                <c:pt idx="334">
                  <c:v>855.13916283147046</c:v>
                </c:pt>
                <c:pt idx="335">
                  <c:v>855.68861233949485</c:v>
                </c:pt>
                <c:pt idx="336">
                  <c:v>855.69520264574521</c:v>
                </c:pt>
                <c:pt idx="337">
                  <c:v>856.65020627362287</c:v>
                </c:pt>
                <c:pt idx="338">
                  <c:v>856.6965642886355</c:v>
                </c:pt>
                <c:pt idx="339">
                  <c:v>856.71331087272142</c:v>
                </c:pt>
                <c:pt idx="340">
                  <c:v>856.94758294484973</c:v>
                </c:pt>
                <c:pt idx="341">
                  <c:v>857.27852394519073</c:v>
                </c:pt>
                <c:pt idx="342">
                  <c:v>857.71626439015802</c:v>
                </c:pt>
                <c:pt idx="343">
                  <c:v>857.76901161516525</c:v>
                </c:pt>
                <c:pt idx="344">
                  <c:v>859.05298863219662</c:v>
                </c:pt>
                <c:pt idx="345">
                  <c:v>859.61084156224365</c:v>
                </c:pt>
                <c:pt idx="346">
                  <c:v>859.84598459845961</c:v>
                </c:pt>
                <c:pt idx="347">
                  <c:v>859.9065255731922</c:v>
                </c:pt>
                <c:pt idx="348">
                  <c:v>860.87519328473604</c:v>
                </c:pt>
                <c:pt idx="349">
                  <c:v>860.91112365934327</c:v>
                </c:pt>
                <c:pt idx="350">
                  <c:v>862.05323472243435</c:v>
                </c:pt>
                <c:pt idx="351">
                  <c:v>862.8346075203392</c:v>
                </c:pt>
                <c:pt idx="352">
                  <c:v>863.12111183730485</c:v>
                </c:pt>
                <c:pt idx="353">
                  <c:v>863.13485068503439</c:v>
                </c:pt>
                <c:pt idx="354">
                  <c:v>863.3114438789454</c:v>
                </c:pt>
                <c:pt idx="355">
                  <c:v>865.3355457804355</c:v>
                </c:pt>
                <c:pt idx="356">
                  <c:v>865.4504680306394</c:v>
                </c:pt>
                <c:pt idx="357">
                  <c:v>865.45654565456562</c:v>
                </c:pt>
                <c:pt idx="358">
                  <c:v>865.76125866554946</c:v>
                </c:pt>
                <c:pt idx="359">
                  <c:v>866.18642217856336</c:v>
                </c:pt>
                <c:pt idx="360">
                  <c:v>866.23122841071563</c:v>
                </c:pt>
                <c:pt idx="361">
                  <c:v>866.62536206878508</c:v>
                </c:pt>
                <c:pt idx="362">
                  <c:v>866.85694414371881</c:v>
                </c:pt>
                <c:pt idx="363">
                  <c:v>867.0223908618409</c:v>
                </c:pt>
                <c:pt idx="364">
                  <c:v>868.16927724518473</c:v>
                </c:pt>
                <c:pt idx="365">
                  <c:v>868.45342714175081</c:v>
                </c:pt>
                <c:pt idx="366">
                  <c:v>868.8506412865388</c:v>
                </c:pt>
                <c:pt idx="367">
                  <c:v>869.78624199752824</c:v>
                </c:pt>
                <c:pt idx="368">
                  <c:v>869.86044036036617</c:v>
                </c:pt>
                <c:pt idx="369">
                  <c:v>870.00220896841188</c:v>
                </c:pt>
                <c:pt idx="370">
                  <c:v>870.00431798603915</c:v>
                </c:pt>
                <c:pt idx="371">
                  <c:v>871.02875626208015</c:v>
                </c:pt>
                <c:pt idx="372">
                  <c:v>871.14738236338803</c:v>
                </c:pt>
                <c:pt idx="373">
                  <c:v>871.82888923813005</c:v>
                </c:pt>
                <c:pt idx="374">
                  <c:v>874.77955171777103</c:v>
                </c:pt>
                <c:pt idx="375">
                  <c:v>875.79281592747839</c:v>
                </c:pt>
                <c:pt idx="376">
                  <c:v>875.84463256322238</c:v>
                </c:pt>
                <c:pt idx="377">
                  <c:v>875.9990070685609</c:v>
                </c:pt>
                <c:pt idx="378">
                  <c:v>876.22807645656076</c:v>
                </c:pt>
                <c:pt idx="379">
                  <c:v>876.37241985068067</c:v>
                </c:pt>
                <c:pt idx="380">
                  <c:v>876.42639319266164</c:v>
                </c:pt>
                <c:pt idx="381">
                  <c:v>877.70336934216539</c:v>
                </c:pt>
                <c:pt idx="382">
                  <c:v>878.19925287116882</c:v>
                </c:pt>
                <c:pt idx="383">
                  <c:v>878.39020122484703</c:v>
                </c:pt>
                <c:pt idx="384">
                  <c:v>878.44872713730615</c:v>
                </c:pt>
                <c:pt idx="385">
                  <c:v>878.60238834687493</c:v>
                </c:pt>
                <c:pt idx="386">
                  <c:v>879.80859838971924</c:v>
                </c:pt>
                <c:pt idx="387">
                  <c:v>880.29881681456516</c:v>
                </c:pt>
                <c:pt idx="388">
                  <c:v>880.39319436367828</c:v>
                </c:pt>
                <c:pt idx="389">
                  <c:v>880.40423564268769</c:v>
                </c:pt>
                <c:pt idx="390">
                  <c:v>881.10284243411706</c:v>
                </c:pt>
                <c:pt idx="391">
                  <c:v>881.21980109159585</c:v>
                </c:pt>
                <c:pt idx="392">
                  <c:v>881.39329805996476</c:v>
                </c:pt>
                <c:pt idx="393">
                  <c:v>881.79608774002838</c:v>
                </c:pt>
                <c:pt idx="394">
                  <c:v>882.04193894083551</c:v>
                </c:pt>
                <c:pt idx="395">
                  <c:v>882.3818927955067</c:v>
                </c:pt>
                <c:pt idx="396">
                  <c:v>886.5062406729071</c:v>
                </c:pt>
                <c:pt idx="397">
                  <c:v>886.79957514842636</c:v>
                </c:pt>
                <c:pt idx="398">
                  <c:v>887.12280125024154</c:v>
                </c:pt>
                <c:pt idx="399">
                  <c:v>887.68355085280336</c:v>
                </c:pt>
                <c:pt idx="400">
                  <c:v>888.42474254999092</c:v>
                </c:pt>
                <c:pt idx="401">
                  <c:v>888.66799204771348</c:v>
                </c:pt>
                <c:pt idx="402">
                  <c:v>888.66973482358117</c:v>
                </c:pt>
                <c:pt idx="403">
                  <c:v>888.87659225004336</c:v>
                </c:pt>
                <c:pt idx="404">
                  <c:v>888.87975746950087</c:v>
                </c:pt>
                <c:pt idx="405">
                  <c:v>889.31455688702033</c:v>
                </c:pt>
                <c:pt idx="406">
                  <c:v>889.76832207030247</c:v>
                </c:pt>
                <c:pt idx="407">
                  <c:v>890.22517823662452</c:v>
                </c:pt>
                <c:pt idx="408">
                  <c:v>891.39925780397311</c:v>
                </c:pt>
                <c:pt idx="409">
                  <c:v>892.56151629157694</c:v>
                </c:pt>
                <c:pt idx="410">
                  <c:v>893.44864081049855</c:v>
                </c:pt>
                <c:pt idx="411">
                  <c:v>893.63444553139686</c:v>
                </c:pt>
                <c:pt idx="412">
                  <c:v>893.723872387239</c:v>
                </c:pt>
                <c:pt idx="413">
                  <c:v>894.10068751386132</c:v>
                </c:pt>
                <c:pt idx="414">
                  <c:v>894.45535909190153</c:v>
                </c:pt>
                <c:pt idx="415">
                  <c:v>894.83455380577414</c:v>
                </c:pt>
                <c:pt idx="416">
                  <c:v>894.88935653623435</c:v>
                </c:pt>
                <c:pt idx="417">
                  <c:v>895.21342572504273</c:v>
                </c:pt>
                <c:pt idx="418">
                  <c:v>897.5882239372163</c:v>
                </c:pt>
                <c:pt idx="419">
                  <c:v>898.18720576594592</c:v>
                </c:pt>
                <c:pt idx="420">
                  <c:v>899.44676643394598</c:v>
                </c:pt>
                <c:pt idx="421">
                  <c:v>899.53886693017137</c:v>
                </c:pt>
                <c:pt idx="422">
                  <c:v>900.26507620941015</c:v>
                </c:pt>
                <c:pt idx="423">
                  <c:v>900.37004603770663</c:v>
                </c:pt>
                <c:pt idx="424">
                  <c:v>900.82278061855823</c:v>
                </c:pt>
                <c:pt idx="425">
                  <c:v>901.28375387339486</c:v>
                </c:pt>
                <c:pt idx="426">
                  <c:v>901.60248629236685</c:v>
                </c:pt>
                <c:pt idx="427">
                  <c:v>901.99693206180223</c:v>
                </c:pt>
                <c:pt idx="428">
                  <c:v>902.62621216098</c:v>
                </c:pt>
                <c:pt idx="429">
                  <c:v>903.90987408880085</c:v>
                </c:pt>
                <c:pt idx="430">
                  <c:v>904.24771887932525</c:v>
                </c:pt>
                <c:pt idx="431">
                  <c:v>904.43892468979379</c:v>
                </c:pt>
                <c:pt idx="432">
                  <c:v>905.1998480269649</c:v>
                </c:pt>
                <c:pt idx="433">
                  <c:v>906.03948487552361</c:v>
                </c:pt>
                <c:pt idx="434">
                  <c:v>906.84500720988433</c:v>
                </c:pt>
                <c:pt idx="435">
                  <c:v>908.54870775347888</c:v>
                </c:pt>
                <c:pt idx="436">
                  <c:v>908.82995209918272</c:v>
                </c:pt>
                <c:pt idx="437">
                  <c:v>909.05106289721653</c:v>
                </c:pt>
                <c:pt idx="438">
                  <c:v>910.12844426841571</c:v>
                </c:pt>
                <c:pt idx="439">
                  <c:v>910.23102310231036</c:v>
                </c:pt>
                <c:pt idx="440">
                  <c:v>910.38359788359776</c:v>
                </c:pt>
                <c:pt idx="441">
                  <c:v>911.43961009646773</c:v>
                </c:pt>
                <c:pt idx="442">
                  <c:v>913.28600940154695</c:v>
                </c:pt>
                <c:pt idx="443">
                  <c:v>913.6267702592952</c:v>
                </c:pt>
                <c:pt idx="444">
                  <c:v>915.67065073041169</c:v>
                </c:pt>
                <c:pt idx="445">
                  <c:v>916.31238203144562</c:v>
                </c:pt>
                <c:pt idx="446">
                  <c:v>917.38862572457333</c:v>
                </c:pt>
                <c:pt idx="447">
                  <c:v>917.58513823549379</c:v>
                </c:pt>
                <c:pt idx="448">
                  <c:v>918.01637266349019</c:v>
                </c:pt>
                <c:pt idx="449">
                  <c:v>918.5985335553728</c:v>
                </c:pt>
                <c:pt idx="450">
                  <c:v>918.79148390082798</c:v>
                </c:pt>
                <c:pt idx="451">
                  <c:v>918.95070459426915</c:v>
                </c:pt>
                <c:pt idx="452">
                  <c:v>919.62457217738279</c:v>
                </c:pt>
                <c:pt idx="453">
                  <c:v>919.94736617816011</c:v>
                </c:pt>
                <c:pt idx="454">
                  <c:v>920.58983349377343</c:v>
                </c:pt>
                <c:pt idx="455">
                  <c:v>920.83407751384198</c:v>
                </c:pt>
                <c:pt idx="456">
                  <c:v>920.84820450205098</c:v>
                </c:pt>
                <c:pt idx="457">
                  <c:v>921.88943264562022</c:v>
                </c:pt>
                <c:pt idx="458">
                  <c:v>922.32687796495588</c:v>
                </c:pt>
                <c:pt idx="459">
                  <c:v>922.63640656029111</c:v>
                </c:pt>
                <c:pt idx="460">
                  <c:v>923.39491004710385</c:v>
                </c:pt>
                <c:pt idx="461">
                  <c:v>926.02391134001437</c:v>
                </c:pt>
                <c:pt idx="462">
                  <c:v>926.91021198238786</c:v>
                </c:pt>
                <c:pt idx="463">
                  <c:v>927.49458802739105</c:v>
                </c:pt>
                <c:pt idx="464">
                  <c:v>929.20256240335766</c:v>
                </c:pt>
                <c:pt idx="465">
                  <c:v>929.7294482201911</c:v>
                </c:pt>
                <c:pt idx="466">
                  <c:v>930.94212502761206</c:v>
                </c:pt>
                <c:pt idx="467">
                  <c:v>931.30694115160622</c:v>
                </c:pt>
                <c:pt idx="468">
                  <c:v>932.16849790196193</c:v>
                </c:pt>
                <c:pt idx="469">
                  <c:v>933.17870554451065</c:v>
                </c:pt>
                <c:pt idx="470">
                  <c:v>933.59192492954458</c:v>
                </c:pt>
                <c:pt idx="471">
                  <c:v>936.13298337707761</c:v>
                </c:pt>
                <c:pt idx="472">
                  <c:v>938.76626826029224</c:v>
                </c:pt>
                <c:pt idx="473">
                  <c:v>940.81922805794704</c:v>
                </c:pt>
                <c:pt idx="474">
                  <c:v>942.74123840955519</c:v>
                </c:pt>
                <c:pt idx="475">
                  <c:v>944.49362468744653</c:v>
                </c:pt>
                <c:pt idx="476">
                  <c:v>944.50548881658483</c:v>
                </c:pt>
                <c:pt idx="477">
                  <c:v>947.43293141367531</c:v>
                </c:pt>
                <c:pt idx="478">
                  <c:v>947.71854437678405</c:v>
                </c:pt>
                <c:pt idx="479">
                  <c:v>949.09486972554112</c:v>
                </c:pt>
                <c:pt idx="480">
                  <c:v>950.90457696494786</c:v>
                </c:pt>
                <c:pt idx="481">
                  <c:v>951.78137524061992</c:v>
                </c:pt>
                <c:pt idx="482">
                  <c:v>953.92372309702978</c:v>
                </c:pt>
                <c:pt idx="483">
                  <c:v>954.40411406861449</c:v>
                </c:pt>
                <c:pt idx="484">
                  <c:v>955.44286920230684</c:v>
                </c:pt>
                <c:pt idx="485">
                  <c:v>957.60694844576278</c:v>
                </c:pt>
                <c:pt idx="486">
                  <c:v>957.90733716277055</c:v>
                </c:pt>
                <c:pt idx="487">
                  <c:v>958.67304121716506</c:v>
                </c:pt>
                <c:pt idx="488">
                  <c:v>962.10395729626498</c:v>
                </c:pt>
                <c:pt idx="489">
                  <c:v>963.24250369543847</c:v>
                </c:pt>
                <c:pt idx="490">
                  <c:v>963.29713451830298</c:v>
                </c:pt>
                <c:pt idx="491">
                  <c:v>965.45519860592913</c:v>
                </c:pt>
                <c:pt idx="492">
                  <c:v>966.43305764839408</c:v>
                </c:pt>
                <c:pt idx="493">
                  <c:v>967.25605762933833</c:v>
                </c:pt>
                <c:pt idx="494">
                  <c:v>973.92588418229434</c:v>
                </c:pt>
                <c:pt idx="495">
                  <c:v>973.99291722000908</c:v>
                </c:pt>
                <c:pt idx="496">
                  <c:v>975.02547814424065</c:v>
                </c:pt>
                <c:pt idx="497">
                  <c:v>977.33773377337741</c:v>
                </c:pt>
                <c:pt idx="498">
                  <c:v>978.0481401197319</c:v>
                </c:pt>
                <c:pt idx="499">
                  <c:v>978.54121571456972</c:v>
                </c:pt>
                <c:pt idx="500">
                  <c:v>978.72921452652963</c:v>
                </c:pt>
                <c:pt idx="501">
                  <c:v>985.29365079365073</c:v>
                </c:pt>
                <c:pt idx="502">
                  <c:v>986.89479804852203</c:v>
                </c:pt>
                <c:pt idx="503">
                  <c:v>988.18353793414985</c:v>
                </c:pt>
                <c:pt idx="504">
                  <c:v>988.25436085824799</c:v>
                </c:pt>
                <c:pt idx="505">
                  <c:v>989.17605478241671</c:v>
                </c:pt>
                <c:pt idx="506">
                  <c:v>991.22817357411168</c:v>
                </c:pt>
                <c:pt idx="507">
                  <c:v>992.12080738428426</c:v>
                </c:pt>
                <c:pt idx="508">
                  <c:v>992.21256113823574</c:v>
                </c:pt>
                <c:pt idx="509">
                  <c:v>992.72912740780407</c:v>
                </c:pt>
                <c:pt idx="510">
                  <c:v>997.11111111111143</c:v>
                </c:pt>
              </c:numCache>
            </c:numRef>
          </c:xVal>
          <c:yVal>
            <c:numRef>
              <c:f>Data!$BQ$20:$BQ$533</c:f>
            </c:numRef>
          </c:yVal>
          <c:smooth val="0"/>
          <c:extLst>
            <c:ext xmlns:c16="http://schemas.microsoft.com/office/drawing/2014/chart" uri="{C3380CC4-5D6E-409C-BE32-E72D297353CC}">
              <c16:uniqueId val="{00000001-730F-48A3-B38A-7B9E63C6F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360240"/>
        <c:axId val="1467367920"/>
      </c:scatterChart>
      <c:valAx>
        <c:axId val="146736024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crossAx val="1467367920"/>
        <c:crosses val="autoZero"/>
        <c:crossBetween val="midCat"/>
      </c:valAx>
      <c:valAx>
        <c:axId val="1467367920"/>
        <c:scaling>
          <c:orientation val="minMax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46736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 b="1" i="0" u="none" strike="noStrike" baseline="0">
                <a:effectLst/>
              </a:rPr>
              <a:t>CH4 [g/g DDM]</a:t>
            </a:r>
            <a:r>
              <a:rPr lang="en-US" sz="800" b="0" i="0" u="none" strike="noStrike" baseline="0"/>
              <a:t> </a:t>
            </a:r>
            <a:endParaRPr lang="en-US" sz="800"/>
          </a:p>
        </c:rich>
      </c:tx>
      <c:layout>
        <c:manualLayout>
          <c:xMode val="edge"/>
          <c:yMode val="edge"/>
          <c:x val="0.50375941350089426"/>
          <c:y val="3.507374932753507E-2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259842519685048E-3"/>
          <c:y val="1.2885720996700662E-3"/>
          <c:w val="0.99337401574803152"/>
          <c:h val="0.9119874523371008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Avg'!$AB$20:$AB$191</c:f>
              <c:numCache>
                <c:formatCode>0.0</c:formatCode>
                <c:ptCount val="1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</c:numCache>
            </c:numRef>
          </c:xVal>
          <c:yVal>
            <c:numRef>
              <c:f>'Data Avg'!$BE$20:$BE$533</c:f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M</c:v>
                </c15:tx>
              </c15:filteredSeriesTitle>
            </c:ext>
            <c:ext xmlns:c16="http://schemas.microsoft.com/office/drawing/2014/chart" uri="{C3380CC4-5D6E-409C-BE32-E72D297353CC}">
              <c16:uniqueId val="{00000000-2F92-46F7-9A54-8C746F561FC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'Data Avg'!$AB$20:$AB$191</c:f>
              <c:numCache>
                <c:formatCode>0.0</c:formatCode>
                <c:ptCount val="1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</c:numCache>
            </c:numRef>
          </c:xVal>
          <c:yVal>
            <c:numRef>
              <c:f>'Data Avg'!$BT$20:$BT$533</c:f>
            </c:numRef>
          </c:yVal>
          <c:smooth val="0"/>
          <c:extLst>
            <c:ext xmlns:c16="http://schemas.microsoft.com/office/drawing/2014/chart" uri="{C3380CC4-5D6E-409C-BE32-E72D297353CC}">
              <c16:uniqueId val="{00000001-2F92-46F7-9A54-8C746F561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935199"/>
        <c:axId val="555937119"/>
      </c:scatterChart>
      <c:valAx>
        <c:axId val="555935199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crossAx val="555937119"/>
        <c:crosses val="autoZero"/>
        <c:crossBetween val="midCat"/>
      </c:valAx>
      <c:valAx>
        <c:axId val="555937119"/>
        <c:scaling>
          <c:orientation val="minMax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5935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 b="1" i="0" u="none" strike="noStrike" baseline="0">
                <a:effectLst/>
              </a:rPr>
              <a:t>CH4 [% GP]</a:t>
            </a:r>
            <a:r>
              <a:rPr lang="en-US" sz="800" b="0" i="0" u="none" strike="noStrike" baseline="0"/>
              <a:t> </a:t>
            </a:r>
            <a:endParaRPr lang="en-US" sz="800"/>
          </a:p>
        </c:rich>
      </c:tx>
      <c:layout>
        <c:manualLayout>
          <c:xMode val="edge"/>
          <c:yMode val="edge"/>
          <c:x val="0.59673418754374141"/>
          <c:y val="6.0949448748262629E-2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4575089473177951E-2"/>
          <c:y val="0"/>
          <c:w val="0.9854247838224458"/>
          <c:h val="0.87598801698885309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Avg'!$AA$19</c:f>
              <c:strCache>
                <c:ptCount val="1"/>
                <c:pt idx="0">
                  <c:v>CH4 [% GP]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Avg'!$AA$20:$AA$191</c:f>
              <c:numCache>
                <c:formatCode>0.0</c:formatCode>
                <c:ptCount val="1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</c:numCache>
            </c:numRef>
          </c:xVal>
          <c:yVal>
            <c:numRef>
              <c:f>'Data Avg'!$BD$20:$BD$533</c:f>
            </c:numRef>
          </c:yVal>
          <c:smooth val="0"/>
          <c:extLst>
            <c:ext xmlns:c16="http://schemas.microsoft.com/office/drawing/2014/chart" uri="{C3380CC4-5D6E-409C-BE32-E72D297353CC}">
              <c16:uniqueId val="{00000000-7411-44A1-B7F8-DAD555C0811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'Data Avg'!$AA$20:$AA$191</c:f>
              <c:numCache>
                <c:formatCode>0.0</c:formatCode>
                <c:ptCount val="1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</c:numCache>
            </c:numRef>
          </c:xVal>
          <c:yVal>
            <c:numRef>
              <c:f>'Data Avg'!$BS$20:$BS$533</c:f>
            </c:numRef>
          </c:yVal>
          <c:smooth val="0"/>
          <c:extLst>
            <c:ext xmlns:c16="http://schemas.microsoft.com/office/drawing/2014/chart" uri="{C3380CC4-5D6E-409C-BE32-E72D297353CC}">
              <c16:uniqueId val="{00000001-7411-44A1-B7F8-DAD555C08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33295"/>
        <c:axId val="112232335"/>
      </c:scatterChart>
      <c:valAx>
        <c:axId val="11223329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crossAx val="112232335"/>
        <c:crosses val="autoZero"/>
        <c:crossBetween val="midCat"/>
      </c:valAx>
      <c:valAx>
        <c:axId val="112232335"/>
        <c:scaling>
          <c:orientation val="minMax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2233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 b="1"/>
              <a:t>DMD</a:t>
            </a:r>
          </a:p>
        </c:rich>
      </c:tx>
      <c:layout>
        <c:manualLayout>
          <c:xMode val="edge"/>
          <c:yMode val="edge"/>
          <c:x val="0.76377223561878294"/>
          <c:y val="6.1700425177315027E-2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0.86887801482912419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Avg'!$Y$19</c:f>
              <c:strCache>
                <c:ptCount val="1"/>
                <c:pt idx="0">
                  <c:v>DMD [mg/g]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Avg'!$Y$20:$Y$191</c:f>
              <c:numCache>
                <c:formatCode>0.0</c:formatCode>
                <c:ptCount val="1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</c:numCache>
            </c:numRef>
          </c:xVal>
          <c:yVal>
            <c:numRef>
              <c:f>'Data Avg'!$BB$20:$BB$533</c:f>
            </c:numRef>
          </c:yVal>
          <c:smooth val="0"/>
          <c:extLst>
            <c:ext xmlns:c16="http://schemas.microsoft.com/office/drawing/2014/chart" uri="{C3380CC4-5D6E-409C-BE32-E72D297353CC}">
              <c16:uniqueId val="{00000000-7CC5-4B49-A06D-A43EF1DD06F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'Data Avg'!$Y$20:$Y$191</c:f>
              <c:numCache>
                <c:formatCode>0.0</c:formatCode>
                <c:ptCount val="1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</c:numCache>
            </c:numRef>
          </c:xVal>
          <c:yVal>
            <c:numRef>
              <c:f>'Data Avg'!$BQ$20:$BQ$533</c:f>
            </c:numRef>
          </c:yVal>
          <c:smooth val="0"/>
          <c:extLst>
            <c:ext xmlns:c16="http://schemas.microsoft.com/office/drawing/2014/chart" uri="{C3380CC4-5D6E-409C-BE32-E72D297353CC}">
              <c16:uniqueId val="{00000001-7CC5-4B49-A06D-A43EF1DD0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360240"/>
        <c:axId val="1467367920"/>
      </c:scatterChart>
      <c:valAx>
        <c:axId val="146736024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crossAx val="1467367920"/>
        <c:crosses val="autoZero"/>
        <c:crossBetween val="midCat"/>
      </c:valAx>
      <c:valAx>
        <c:axId val="1467367920"/>
        <c:scaling>
          <c:orientation val="minMax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46736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12424</xdr:colOff>
      <xdr:row>10</xdr:row>
      <xdr:rowOff>165653</xdr:rowOff>
    </xdr:from>
    <xdr:to>
      <xdr:col>1</xdr:col>
      <xdr:colOff>885825</xdr:colOff>
      <xdr:row>15</xdr:row>
      <xdr:rowOff>165653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455DAE-45CB-4B24-B500-39EB308C19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</xdr:row>
      <xdr:rowOff>178076</xdr:rowOff>
    </xdr:from>
    <xdr:to>
      <xdr:col>1</xdr:col>
      <xdr:colOff>882099</xdr:colOff>
      <xdr:row>11</xdr:row>
      <xdr:rowOff>8283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EC8EE16B-76F8-41E5-97E3-651827821B42}"/>
            </a:ext>
            <a:ext uri="{147F2762-F138-4A5C-976F-8EAC2B608ADB}">
              <a16:predDERef xmlns:a16="http://schemas.microsoft.com/office/drawing/2014/main" pred="{ACD881BC-FAC8-F9E3-462C-7BA19395EB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</xdr:row>
      <xdr:rowOff>53840</xdr:rowOff>
    </xdr:from>
    <xdr:to>
      <xdr:col>1</xdr:col>
      <xdr:colOff>886240</xdr:colOff>
      <xdr:row>5</xdr:row>
      <xdr:rowOff>169794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41EA7E28-E353-4C58-B6BD-1A7C4E4D69B8}"/>
            </a:ext>
            <a:ext uri="{147F2762-F138-4A5C-976F-8EAC2B608ADB}">
              <a16:predDERef xmlns:a16="http://schemas.microsoft.com/office/drawing/2014/main" pred="{B8D10802-F5F9-8AA4-F934-B87965EF70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12424</xdr:colOff>
      <xdr:row>10</xdr:row>
      <xdr:rowOff>165653</xdr:rowOff>
    </xdr:from>
    <xdr:to>
      <xdr:col>1</xdr:col>
      <xdr:colOff>885825</xdr:colOff>
      <xdr:row>15</xdr:row>
      <xdr:rowOff>165653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015E15-1542-45FB-B3F4-7B834145D9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</xdr:row>
      <xdr:rowOff>178076</xdr:rowOff>
    </xdr:from>
    <xdr:to>
      <xdr:col>1</xdr:col>
      <xdr:colOff>882099</xdr:colOff>
      <xdr:row>11</xdr:row>
      <xdr:rowOff>8283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7B3230DF-9718-434B-9F59-8F9AF506A57A}"/>
            </a:ext>
            <a:ext uri="{147F2762-F138-4A5C-976F-8EAC2B608ADB}">
              <a16:predDERef xmlns:a16="http://schemas.microsoft.com/office/drawing/2014/main" pred="{ACD881BC-FAC8-F9E3-462C-7BA19395EB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</xdr:row>
      <xdr:rowOff>53840</xdr:rowOff>
    </xdr:from>
    <xdr:to>
      <xdr:col>1</xdr:col>
      <xdr:colOff>886240</xdr:colOff>
      <xdr:row>5</xdr:row>
      <xdr:rowOff>169794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22C500B2-548A-4101-91BE-8CEC5CB2677C}"/>
            </a:ext>
            <a:ext uri="{147F2762-F138-4A5C-976F-8EAC2B608ADB}">
              <a16:predDERef xmlns:a16="http://schemas.microsoft.com/office/drawing/2014/main" pred="{B8D10802-F5F9-8AA4-F934-B87965EF70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cgiar.sharepoint.com/sites/Alliance-Anti-methanogenicfeedstockforlivestocksystemsinglob-WG2-Screeninginvitroandmetabolom/Shared%20Documents/WG%201.b%20-%20Screening%20(in%20vitro%20and%20metabolomics)/Laboratory/LMF%20Results%20NZ%20V4.xlsx" TargetMode="External"/><Relationship Id="rId2" Type="http://schemas.microsoft.com/office/2019/04/relationships/externalLinkLongPath" Target="https://cgiar.sharepoint.com/sites/Alliance-Anti-methanogenicfeedstockforlivestocksystemsinglob-WG2-Screeninginvitroandmetabolom/Shared%20Documents/WG%201.b%20-%20Screening%20(in%20vitro%20and%20metabolomics)/Laboratory/LMF%20Results%20NZ%20V4.xlsx?913A59EC" TargetMode="External"/><Relationship Id="rId1" Type="http://schemas.openxmlformats.org/officeDocument/2006/relationships/externalLinkPath" Target="file:///\\913A59EC\LMF%20Results%20NZ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Data"/>
      <sheetName val="Data Avg"/>
      <sheetName val="Metabolomics"/>
      <sheetName val="Digestibility-At CIAT"/>
      <sheetName val="Legume"/>
      <sheetName val="Legume (3)"/>
      <sheetName val="Grass"/>
      <sheetName val="Browse"/>
      <sheetName val="Samples"/>
      <sheetName val="LMF Results NZ V4"/>
    </sheetNames>
    <sheetDataSet>
      <sheetData sheetId="0">
        <row r="19">
          <cell r="Y19" t="str">
            <v>DMD [mg/g]</v>
          </cell>
        </row>
      </sheetData>
      <sheetData sheetId="1">
        <row r="19">
          <cell r="Y19" t="str">
            <v>DMD [mg/g]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Hilali, Muhi El-Dine (ICARDA-Jordan)" id="{E11B2AE3-39E1-4161-9458-4100AE6C81FA}" userId="S::M.HILALI@cgiar.org::245e895f-955c-4280-ad1d-af227122c27e" providerId="AD"/>
  <person displayName="Wamatu, Jane (ICARDA-Ethiopia)" id="{F6544481-0AEA-4AF7-A1D5-9705C306698C}" userId="S::j.wamatu@cgiar.org::8f6180b1-7616-47f2-8cc2-efb718ecd2a9" providerId="AD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55F91F-11AE-4CF4-B534-107FF38FEDAE}" name="Table2912" displayName="Table2912" ref="A19:AH533" headerRowDxfId="206" dataDxfId="204" headerRowBorderDxfId="205">
  <autoFilter ref="A19:AH533" xr:uid="{A10F7627-CF18-4EB9-8336-D67A3486F1C7}"/>
  <sortState xmlns:xlrd2="http://schemas.microsoft.com/office/spreadsheetml/2017/richdata2" ref="A20:AH533">
    <sortCondition ref="Y19:Y533"/>
  </sortState>
  <tableColumns count="34">
    <tableColumn id="1" xr3:uid="{DF8813B8-F063-4E82-B09D-7A8AF67C5CDF}" name="Source" totalsRowLabel="Total" dataDxfId="203" totalsRowDxfId="202"/>
    <tableColumn id="2" xr3:uid="{AA0B9E27-0F03-4446-9A05-569FDBDA26DF}" name="Substrate ID" dataDxfId="201" totalsRowDxfId="200"/>
    <tableColumn id="28" xr3:uid="{73C00067-B399-4514-AE0F-DB1DEBA521BC}" name="Gene Bank ID" dataDxfId="199" totalsRowDxfId="198"/>
    <tableColumn id="27" xr3:uid="{3FBC7A50-DE3A-4EBB-87BC-F3EC766B1767}" name="Genus" dataDxfId="197" totalsRowDxfId="196"/>
    <tableColumn id="26" xr3:uid="{5AFF00D0-7664-4FDF-98B2-7FA760A04475}" name="Species" dataDxfId="195" totalsRowDxfId="194"/>
    <tableColumn id="25" xr3:uid="{D3899DD4-3769-4513-B2D0-08B1829EA56E}" name="Tax Name" dataDxfId="193" totalsRowDxfId="192"/>
    <tableColumn id="30" xr3:uid="{36BD4AA1-B5D2-4690-B50B-F4BC6B6472A2}" name="Family" dataDxfId="191" totalsRowDxfId="190"/>
    <tableColumn id="29" xr3:uid="{715D861E-9F46-4314-9858-4916DEAEC40D}" name="Order" dataDxfId="189" totalsRowDxfId="188"/>
    <tableColumn id="31" xr3:uid="{CD6AA2EB-1788-4BB3-B5CC-DDAB92C0C59D}" name="Functional Group" dataDxfId="187" totalsRowDxfId="186"/>
    <tableColumn id="32" xr3:uid="{9CF0C53D-8DB3-44C8-B30A-2358999F4513}" name="Rep" dataDxfId="185" totalsRowDxfId="184"/>
    <tableColumn id="34" xr3:uid="{FD370DFE-988F-47BC-B253-6515D3911E99}" name="Column2" dataDxfId="183" totalsRowDxfId="182"/>
    <tableColumn id="33" xr3:uid="{2215D793-2AFE-4C39-A3BF-B95BFC0F79C8}" name="Column1" dataDxfId="181" totalsRowDxfId="180"/>
    <tableColumn id="3" xr3:uid="{D23CA636-41F9-46A0-9E6C-51B61BD0D4EE}" name="Substrate" dataDxfId="179" totalsRowDxfId="178"/>
    <tableColumn id="4" xr3:uid="{1AC334EC-7727-46FA-A17C-D8345A5A87C4}" name="Exp ID" dataDxfId="177" totalsRowDxfId="176"/>
    <tableColumn id="6" xr3:uid="{653BCAE1-B334-41F6-996C-68D369D3209F}" name="GP [ml/g]" dataDxfId="175" totalsRowDxfId="174"/>
    <tableColumn id="8" xr3:uid="{B6E20E7E-1D83-4552-9007-F5E0A2AE9E51}" name="SCFA [mmol/g]" dataDxfId="173" totalsRowDxfId="172"/>
    <tableColumn id="9" xr3:uid="{8C3CF5B7-7810-452E-A298-1B4B21349E0A}" name="Acetate [%]" dataDxfId="171" totalsRowDxfId="170"/>
    <tableColumn id="10" xr3:uid="{A9784A3D-B787-453A-97D1-64B31EE7A022}" name="Propionate [%]" dataDxfId="169" totalsRowDxfId="168"/>
    <tableColumn id="11" xr3:uid="{6DA9454B-F13D-44F8-8F5A-678747122926}" name="Butyrate [%]" dataDxfId="167" totalsRowDxfId="166"/>
    <tableColumn id="12" xr3:uid="{8A3C042A-3FCA-481B-9441-AD9C9DD2ABDE}" name="Valerate [%]" dataDxfId="165" totalsRowDxfId="164"/>
    <tableColumn id="13" xr3:uid="{3476B76A-7BA7-41A2-A770-C4FA807CC529}" name="Caproate [%]" dataDxfId="163" totalsRowDxfId="162"/>
    <tableColumn id="14" xr3:uid="{3DBC2A77-F23B-4EC3-BCC1-B4CA56CA0EA3}" name="Isobutyrate [%]" dataDxfId="161" totalsRowDxfId="160"/>
    <tableColumn id="15" xr3:uid="{9AC84930-2E1D-4094-9B62-8AD5AA540376}" name="Isovalerate [%]" dataDxfId="159" totalsRowDxfId="158"/>
    <tableColumn id="17" xr3:uid="{79EA44C3-B3C2-4441-BF9D-69240C66AF27}" name="CH4 [g/mmol SCFA]" dataDxfId="157" totalsRowDxfId="156"/>
    <tableColumn id="5" xr3:uid="{FD1DFB53-4F85-4577-AD3C-DFBBA1D9C682}" name="DMD [mg/g]" dataDxfId="155" totalsRowDxfId="154"/>
    <tableColumn id="7" xr3:uid="{79D08AEC-8BC5-47BB-BF78-53AC68BDB180}" name="CH4 [ml/g]" dataDxfId="153" totalsRowDxfId="152"/>
    <tableColumn id="16" xr3:uid="{47AF0180-CCEC-4784-B841-AB8D8AE9E7A8}" name="CH4 [% GP]" dataDxfId="151" totalsRowDxfId="150"/>
    <tableColumn id="18" xr3:uid="{A26611AD-BA2B-44B5-81BD-7A713D1D1ECF}" name="CH4 [g/g DDM]" dataDxfId="149" totalsRowDxfId="148"/>
    <tableColumn id="19" xr3:uid="{8CAFA3B4-DC24-4558-A4B1-CDA37170A82C}" name="Index" dataDxfId="147" totalsRowDxfId="146">
      <calculatedColumnFormula>$CP$15*Table2912[[#This Row],[DMD '[mg/g']]]+$CS$15*Table2912[[#This Row],[CH4 '[ml/g']]]+$CR$15*Table2912[[#This Row],[CH4 '[% GP']]]+$CQ$15*Table2912[[#This Row],[CH4 '[g/g DDM']]]</calculatedColumnFormula>
    </tableColumn>
    <tableColumn id="20" xr3:uid="{E81911C7-95EF-4188-8A43-BD76378D7CD8}" name="Rank" dataDxfId="145" totalsRowDxfId="144">
      <calculatedColumnFormula>_xlfn.RANK.AVG(Table2912[[#This Row],[Index]],Table2912[Index])</calculatedColumnFormula>
    </tableColumn>
    <tableColumn id="21" xr3:uid="{A1668632-5B91-482B-B6D5-2FFBE78D2E2B}" name="APB" dataDxfId="143" totalsRowDxfId="142">
      <calculatedColumnFormula>Table2912[[#This Row],[Butyrate '[%']]]*Table2912[[#This Row],[SCFA '[mmol/g']]]+Table2912[[#This Row],[Propionate '[%']]]*Table2912[[#This Row],[SCFA '[mmol/g']]]+Table2912[[#This Row],[Acetate '[%']]]*Table2912[[#This Row],[SCFA '[mmol/g']]]</calculatedColumnFormula>
    </tableColumn>
    <tableColumn id="22" xr3:uid="{044213F1-BCA1-4924-8CD5-D0C187D7736C}" name="ch4/APB" dataDxfId="141" totalsRowDxfId="140">
      <calculatedColumnFormula>Table2912[[#This Row],[CH4 '[ml/g']]]/Table2912[[#This Row],[APB]]</calculatedColumnFormula>
    </tableColumn>
    <tableColumn id="23" xr3:uid="{3FE96D05-F1FB-43F0-9DAA-BDC840FECFC8}" name="P/A" dataDxfId="139" totalsRowDxfId="138">
      <calculatedColumnFormula>Table2912[[#This Row],[Propionate '[%']]]/Table2912[[#This Row],[Acetate '[%']]]</calculatedColumnFormula>
    </tableColumn>
    <tableColumn id="24" xr3:uid="{0DEB6119-5742-4C2C-AAF1-71F33EE3F099}" name="Column4" totalsRowFunction="sum" dataDxfId="137" totalsRowDxfId="136">
      <calculatedColumnFormula>(Table2912[[#This Row],[CH4 '[g/g DDM']]]-$AS$5)/$AS$5%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778C0D-968C-4A7B-942E-6E73B2D0E2DD}" name="Table31013" displayName="Table31013" ref="AR19:BE533" totalsRowShown="0" headerRowDxfId="135" headerRowBorderDxfId="134" tableBorderDxfId="133">
  <autoFilter ref="AR19:BE533" xr:uid="{6C70754C-36B0-48D3-88A3-57DA98EE951B}"/>
  <tableColumns count="14">
    <tableColumn id="1" xr3:uid="{70EC6104-586B-4C3C-8E3F-A2F8F96A3721}" name="GP [ml/g]" dataDxfId="132">
      <calculatedColumnFormula>_xlfn.NORM.DIST(Table2912[[#This Row],[GP '[ml/g']]],O$6,O$2,FALSE)</calculatedColumnFormula>
    </tableColumn>
    <tableColumn id="2" xr3:uid="{B1DDE611-1950-445A-B3E2-7FBF6AAAABCE}" name="SCFA [mmol/g]" dataDxfId="131">
      <calculatedColumnFormula>_xlfn.NORM.DIST(Table2912[[#This Row],[SCFA '[mmol/g']]],P$6,P$2,FALSE)</calculatedColumnFormula>
    </tableColumn>
    <tableColumn id="3" xr3:uid="{1589EF5B-093F-442A-A740-7DFB9605F8ED}" name="Acetate [%]">
      <calculatedColumnFormula>_xlfn.NORM.DIST(Table2912[[#This Row],[Acetate '[%']]],Q$6,Q$2,FALSE)</calculatedColumnFormula>
    </tableColumn>
    <tableColumn id="4" xr3:uid="{1A7EDD59-4CF4-4A58-A0EE-84E90211E2FC}" name="Propionate [%]">
      <calculatedColumnFormula>_xlfn.NORM.DIST(Table2912[[#This Row],[Propionate '[%']]],R$6,R$2,FALSE)</calculatedColumnFormula>
    </tableColumn>
    <tableColumn id="5" xr3:uid="{BA185535-E8EC-4827-94E3-618A6E8FEA8E}" name="Butyrate [%]">
      <calculatedColumnFormula>_xlfn.NORM.DIST(Table2912[[#This Row],[Butyrate '[%']]],S$6,S$2,FALSE)</calculatedColumnFormula>
    </tableColumn>
    <tableColumn id="6" xr3:uid="{7565AE0F-FF07-4722-BE10-A740DA3B7E1B}" name="Valerate [%]">
      <calculatedColumnFormula>_xlfn.NORM.DIST(Table2912[[#This Row],[Valerate '[%']]],T$6,T$2,FALSE)</calculatedColumnFormula>
    </tableColumn>
    <tableColumn id="7" xr3:uid="{5E4873F4-EFFE-4894-9F13-0C7C574FB101}" name="Caproate [%]">
      <calculatedColumnFormula>_xlfn.NORM.DIST(Table2912[[#This Row],[Caproate '[%']]],U$6,U$2,FALSE)</calculatedColumnFormula>
    </tableColumn>
    <tableColumn id="8" xr3:uid="{0C7A3128-2DF4-4631-A601-84E2FA970342}" name="Isobutyrate [%]">
      <calculatedColumnFormula>_xlfn.NORM.DIST(Table2912[[#This Row],[Isobutyrate '[%']]],V$6,V$2,FALSE)</calculatedColumnFormula>
    </tableColumn>
    <tableColumn id="9" xr3:uid="{5EA3C01E-6828-4256-9993-B1E13CE097E1}" name="Isovalerate [%]">
      <calculatedColumnFormula>_xlfn.NORM.DIST(Table2912[[#This Row],[Isovalerate '[%']]],W$6,W$2,FALSE)</calculatedColumnFormula>
    </tableColumn>
    <tableColumn id="10" xr3:uid="{1A44DCF9-23FB-485E-8824-90F808D434BB}" name="CH4 [g/mmol SCFA]">
      <calculatedColumnFormula>_xlfn.NORM.DIST(Table2912[[#This Row],[CH4 '[g/mmol SCFA']]],X$6,X$2,FALSE)</calculatedColumnFormula>
    </tableColumn>
    <tableColumn id="11" xr3:uid="{3A2BEE0F-5998-49B6-9891-CAB03FE7E321}" name="DMD [mg/g]">
      <calculatedColumnFormula>_xlfn.NORM.DIST(Table2912[[#This Row],[DMD '[mg/g']]],Y$6,Y$2,FALSE)</calculatedColumnFormula>
    </tableColumn>
    <tableColumn id="12" xr3:uid="{3DEB128C-DE4F-4E0A-9C2B-B139A11B4E7B}" name="CH4 [ml/g]">
      <calculatedColumnFormula>_xlfn.NORM.DIST(Table2912[[#This Row],[CH4 '[ml/g']]],Z$6,Z$2,FALSE)</calculatedColumnFormula>
    </tableColumn>
    <tableColumn id="13" xr3:uid="{FF7C237E-CFC0-4C40-8773-77D79DE3F843}" name="CH4 [% GP]">
      <calculatedColumnFormula>_xlfn.NORM.DIST(Table2912[[#This Row],[CH4 '[% GP']]],AA$6,AA$2,FALSE)</calculatedColumnFormula>
    </tableColumn>
    <tableColumn id="14" xr3:uid="{ED6A711E-F1F8-4F9D-A786-0492EE3761C4}" name="CH4 [g/g DDM]">
      <calculatedColumnFormula>_xlfn.NORM.DIST(Table2912[[#This Row],[CH4 '[g/g DDM']]],AB$6,AB$2,FALSE)</calculatedColumnFormula>
    </tableColumn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B57F54-242E-4795-ADB1-B16411E6EA90}" name="Table11114" displayName="Table11114" ref="BG19:BT533" totalsRowShown="0" headerRowDxfId="130" headerRowBorderDxfId="129" tableBorderDxfId="128">
  <autoFilter ref="BG19:BT533" xr:uid="{508E84B7-8772-44F7-AF42-2E0609D76EB4}"/>
  <tableColumns count="14">
    <tableColumn id="1" xr3:uid="{DABF0FF8-4D6A-4227-934C-1BEB11A4A788}" name="GP [ml/g]" dataDxfId="127">
      <calculatedColumnFormula>IF(Table2912[[#This Row],[GP '[ml/g']]]&lt;O$10,_xlfn.NORM.DIST(Table2912[[#This Row],[GP '[ml/g']]],O$6,O$2,FALSE),-100)</calculatedColumnFormula>
    </tableColumn>
    <tableColumn id="2" xr3:uid="{FC677072-C8D8-4120-80D7-0280E7E5E71C}" name="SCFA [mmol/g]" dataDxfId="126">
      <calculatedColumnFormula>IF(Table2912[[#This Row],[SCFA '[mmol/g']]]&lt;P$10,_xlfn.NORM.DIST(Table2912[[#This Row],[SCFA '[mmol/g']]],P$6,P$2,FALSE),-100)</calculatedColumnFormula>
    </tableColumn>
    <tableColumn id="3" xr3:uid="{2BC048FF-E9DE-4FE8-8254-4010ED0B8880}" name="Acetate [%]">
      <calculatedColumnFormula>IF(Table2912[[#This Row],[Acetate '[%']]]&lt;Q$10,_xlfn.NORM.DIST(Table2912[[#This Row],[Acetate '[%']]],Q$6,Q$2,FALSE),-100)</calculatedColumnFormula>
    </tableColumn>
    <tableColumn id="4" xr3:uid="{F9FA0342-8032-4C50-8360-198827F8E543}" name="Propionate [%]">
      <calculatedColumnFormula>IF(Table2912[[#This Row],[Propionate '[%']]]&lt;R$10,_xlfn.NORM.DIST(Table2912[[#This Row],[Propionate '[%']]],R$6,R$2,FALSE),-100)</calculatedColumnFormula>
    </tableColumn>
    <tableColumn id="5" xr3:uid="{27F487A4-60AF-40D2-93FA-21F80B41D413}" name="Butyrate [%]">
      <calculatedColumnFormula>IF(Table2912[[#This Row],[Butyrate '[%']]]&lt;S$10,_xlfn.NORM.DIST(Table2912[[#This Row],[Butyrate '[%']]],S$6,S$2,FALSE),-100)</calculatedColumnFormula>
    </tableColumn>
    <tableColumn id="6" xr3:uid="{C4BE701B-4E2E-4314-9D03-4D984A25425D}" name="Valerate [%]">
      <calculatedColumnFormula>IF(Table2912[[#This Row],[Valerate '[%']]]&lt;T$10,_xlfn.NORM.DIST(Table2912[[#This Row],[Valerate '[%']]],T$6,T$2,FALSE),-100)</calculatedColumnFormula>
    </tableColumn>
    <tableColumn id="7" xr3:uid="{60506263-03C0-4E86-AF33-FA556F8F61CB}" name="Caproate [%]">
      <calculatedColumnFormula>IF(Table2912[[#This Row],[Caproate '[%']]]&lt;U$10,_xlfn.NORM.DIST(Table2912[[#This Row],[Caproate '[%']]],U$6,U$2,FALSE),-100)</calculatedColumnFormula>
    </tableColumn>
    <tableColumn id="8" xr3:uid="{4EB9716A-FC70-4F32-BBC5-DE2DF290044A}" name="Isobutyrate [%]">
      <calculatedColumnFormula>IF(Table2912[[#This Row],[Isobutyrate '[%']]]&lt;V$10,_xlfn.NORM.DIST(Table2912[[#This Row],[Isobutyrate '[%']]],V$6,V$2,FALSE),-100)</calculatedColumnFormula>
    </tableColumn>
    <tableColumn id="9" xr3:uid="{CB7B5934-C4FF-4E18-813A-5A66005F5780}" name="Isovalerate [%]">
      <calculatedColumnFormula>IF(Table2912[[#This Row],[Isovalerate '[%']]]&lt;W$10,_xlfn.NORM.DIST(Table2912[[#This Row],[Isovalerate '[%']]],W$6,W$2,FALSE),-100)</calculatedColumnFormula>
    </tableColumn>
    <tableColumn id="10" xr3:uid="{A4D698D5-5F7C-4183-96D8-AECE80CD13CB}" name="CH4 [g/mmol SCFA]">
      <calculatedColumnFormula>IF(Table2912[[#This Row],[CH4 '[g/mmol SCFA']]]&lt;X$10,_xlfn.NORM.DIST(Table2912[[#This Row],[CH4 '[g/mmol SCFA']]],X$6,X$2,FALSE),-100)</calculatedColumnFormula>
    </tableColumn>
    <tableColumn id="11" xr3:uid="{54BB6F4B-F225-4861-AC42-F4A9114B5FCB}" name="DMD [mg/g]" dataDxfId="125">
      <calculatedColumnFormula>IF(Table2912[[#This Row],[DMD '[mg/g']]]&gt;Y$10,_xlfn.NORM.DIST(Table2912[[#This Row],[DMD '[mg/g']]],Y$6,Y$2,FALSE),-100)</calculatedColumnFormula>
    </tableColumn>
    <tableColumn id="12" xr3:uid="{A7E2EC3D-3C20-4BD3-B9D0-846B17863AEC}" name="CH4 [ml/g]">
      <calculatedColumnFormula>IF(Table2912[[#This Row],[CH4 '[ml/g']]]&lt;Z$10,_xlfn.NORM.DIST(Table2912[[#This Row],[CH4 '[ml/g']]],Z$6,Z$2,FALSE),-100)</calculatedColumnFormula>
    </tableColumn>
    <tableColumn id="13" xr3:uid="{CDFADCB4-45AE-4286-B402-0FEE03A7C1DB}" name="CH4 [% GP]">
      <calculatedColumnFormula>IF(Table2912[[#This Row],[CH4 '[% GP']]]&lt;AA$10,_xlfn.NORM.DIST(Table2912[[#This Row],[CH4 '[% GP']]],AA$6,AA$2,FALSE),-100)</calculatedColumnFormula>
    </tableColumn>
    <tableColumn id="14" xr3:uid="{EDF9536F-00B8-4955-8708-3DEEC094CEB0}" name="CH4 [g/g DDM]">
      <calculatedColumnFormula>IF(Table2912[[#This Row],[CH4 '[g/g DDM']]]&lt;AB$10,_xlfn.NORM.DIST(Table2912[[#This Row],[CH4 '[g/g DDM']]],AB$6,AB$2,FALSE),-100)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890E14-26D0-4C06-9B0C-1939441286A8}" name="Table1" displayName="Table1" ref="O1:AH16" totalsRowShown="0">
  <autoFilter ref="O1:AH16" xr:uid="{C7C9A7BB-A6E3-4E05-A8FC-CB65979215EC}"/>
  <tableColumns count="20">
    <tableColumn id="1" xr3:uid="{6FF30680-BD82-4652-BB4B-60035C5B664B}" name="GP [ml/g]"/>
    <tableColumn id="2" xr3:uid="{2575AC22-E9B3-4092-B7FD-4AF4A095CF2C}" name="SCFA [mmol/g]"/>
    <tableColumn id="3" xr3:uid="{4502BDF1-AD7D-4CA7-80C9-7098698E2708}" name="Acetate [%]"/>
    <tableColumn id="4" xr3:uid="{7C1955BA-CD43-463C-ACE8-3732F4692F5D}" name="Propionate [%]"/>
    <tableColumn id="5" xr3:uid="{8DE1501B-ABE4-4578-AA49-6069FE827910}" name="Butyrate [%]"/>
    <tableColumn id="6" xr3:uid="{25B8F602-2256-4D08-BB55-14FD5371B069}" name="Valerate [%]"/>
    <tableColumn id="7" xr3:uid="{E9B11B0D-7566-4232-9647-CD378B990986}" name="Caproate [%]"/>
    <tableColumn id="8" xr3:uid="{94872EBE-EFB2-463E-9D4F-E854086C5CFD}" name="Isobutyrate [%]"/>
    <tableColumn id="9" xr3:uid="{52D4164F-BEAC-484F-93CC-9AF92E07AD56}" name="Isovalerate [%]"/>
    <tableColumn id="10" xr3:uid="{03F0A828-51F4-40CD-9BF3-A5960DB94A94}" name="CH4 [g/mmol SCFA]"/>
    <tableColumn id="11" xr3:uid="{1C9562B8-552F-4E04-A38A-93E708CC94E8}" name="DMD [mg/g]"/>
    <tableColumn id="12" xr3:uid="{CFF99F43-0E0F-48A2-AE08-ADAFA0A0AD29}" name="CH4 [ml/g]"/>
    <tableColumn id="13" xr3:uid="{D0A99CE9-3C18-4185-801C-3DBD395B66E2}" name="CH4 [% GP]"/>
    <tableColumn id="14" xr3:uid="{EE20B702-98DC-43E6-A8B9-CB047C3A7366}" name="CH4 [g/g DDM]"/>
    <tableColumn id="15" xr3:uid="{9D45B429-531E-4F73-B2A8-14118CD1BD4E}" name="Column1"/>
    <tableColumn id="16" xr3:uid="{037F55A6-8D3C-4AFF-8232-F3724DE9282C}" name="Column2"/>
    <tableColumn id="17" xr3:uid="{9DC0BC00-5DA0-411A-8ABA-B7B5E8DCDB38}" name="Column3"/>
    <tableColumn id="18" xr3:uid="{34511EBA-B512-4A16-AD24-6BD62DE92F16}" name="Column4"/>
    <tableColumn id="19" xr3:uid="{A319CE97-FA5F-45AD-B988-B11C1AF8C4EB}" name="Column5"/>
    <tableColumn id="20" xr3:uid="{8BC73FD5-12C0-4187-9EF3-7F75F7285C69}" name="Column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9DC000-B62C-4501-B341-FB3EBEE2BCEF}" name="Table29128" displayName="Table29128" ref="A19:AH191" headerRowDxfId="124" dataDxfId="122" headerRowBorderDxfId="123">
  <autoFilter ref="A19:AH191" xr:uid="{A10F7627-CF18-4EB9-8336-D67A3486F1C7}"/>
  <sortState xmlns:xlrd2="http://schemas.microsoft.com/office/spreadsheetml/2017/richdata2" ref="A20:AH191">
    <sortCondition ref="M19:M191"/>
  </sortState>
  <tableColumns count="34">
    <tableColumn id="1" xr3:uid="{C5DC9007-B262-440B-9AB5-FEDA3D335693}" name="Source" totalsRowLabel="Total" dataDxfId="121" totalsRowDxfId="120"/>
    <tableColumn id="2" xr3:uid="{22D5803E-986A-4CFF-97CA-D8DC63357E20}" name="Substrate ID" dataDxfId="119" totalsRowDxfId="118"/>
    <tableColumn id="28" xr3:uid="{9C0E7654-62DE-401C-B04A-BCB9936C6053}" name="Gene Bank ID" dataDxfId="117" totalsRowDxfId="116"/>
    <tableColumn id="27" xr3:uid="{ED63E97F-D149-45F8-828D-90F2AE650236}" name="Genus" dataDxfId="115" totalsRowDxfId="114"/>
    <tableColumn id="26" xr3:uid="{391F0111-B8AD-4133-A978-1FE9B209A174}" name="Species" dataDxfId="113" totalsRowDxfId="112"/>
    <tableColumn id="25" xr3:uid="{C42CD2A5-668F-4070-B49B-C55599B46DF1}" name="Tax Name" dataDxfId="111" totalsRowDxfId="110"/>
    <tableColumn id="30" xr3:uid="{579E5E94-D2B8-47C3-BD92-28D4D59CC6FC}" name="Family" dataDxfId="109" totalsRowDxfId="108"/>
    <tableColumn id="29" xr3:uid="{3E2C5E84-C226-4B22-9729-7A21E3A02A41}" name="Order" dataDxfId="107" totalsRowDxfId="106"/>
    <tableColumn id="31" xr3:uid="{AF5D95F5-1B08-4502-93C9-85140505DF7A}" name="Functional Group" dataDxfId="105" totalsRowDxfId="104"/>
    <tableColumn id="32" xr3:uid="{E1F73FC2-9CA5-428D-A18B-91E5446F06F3}" name="Rep" dataDxfId="103" totalsRowDxfId="102"/>
    <tableColumn id="34" xr3:uid="{0BE5C5C6-B50C-42F3-AA14-BD4F5A7E7BA7}" name="Digestibility" dataDxfId="101" totalsRowDxfId="100"/>
    <tableColumn id="33" xr3:uid="{98007274-A74F-41E3-A2AF-6BD8B354E317}" name="Omics" dataDxfId="99" totalsRowDxfId="98"/>
    <tableColumn id="3" xr3:uid="{CA22FB6C-CF3E-4E31-9F02-989E4856A9D4}" name="Substrate" dataDxfId="97" totalsRowDxfId="96"/>
    <tableColumn id="4" xr3:uid="{EBD2A9A3-BA52-4B78-8A5F-A7FC44C98035}" name="Exp ID" dataDxfId="95" totalsRowDxfId="94"/>
    <tableColumn id="6" xr3:uid="{FDBA0C9A-E7D9-40CB-9F16-5702F0FDA14B}" name="GP [ml/g]" dataDxfId="93" totalsRowDxfId="92"/>
    <tableColumn id="8" xr3:uid="{AE511DED-3762-48E1-9C5B-ED4C1DBD9A30}" name="SCFA [mmol/g]" dataDxfId="91" totalsRowDxfId="90"/>
    <tableColumn id="9" xr3:uid="{172A8468-F853-4D0D-AE03-CC212575DB85}" name="Acetate [%]" dataDxfId="89" totalsRowDxfId="88"/>
    <tableColumn id="10" xr3:uid="{33ADA9F3-9CE2-41E7-964E-B6A0F0535745}" name="Propionate [%]" dataDxfId="87" totalsRowDxfId="86"/>
    <tableColumn id="11" xr3:uid="{8102F882-9BD4-4887-B12E-5C0A5BA9B405}" name="Butyrate [%]" dataDxfId="85" totalsRowDxfId="84"/>
    <tableColumn id="12" xr3:uid="{1C5C6DEC-F0CC-470F-A031-A739B2D4514A}" name="Valerate [%]" dataDxfId="83" totalsRowDxfId="82"/>
    <tableColumn id="13" xr3:uid="{BCFDF232-9CD6-4063-97B8-7FC078349C92}" name="Caproate [%]" dataDxfId="81" totalsRowDxfId="80"/>
    <tableColumn id="14" xr3:uid="{1EAAFFF6-66F8-43DA-AD18-19C095AD7C6A}" name="Isobutyrate [%]" dataDxfId="79" totalsRowDxfId="78"/>
    <tableColumn id="15" xr3:uid="{C9BC6752-587D-4E57-ADF3-9FC9DAE7E10A}" name="Isovalerate [%]" dataDxfId="77" totalsRowDxfId="76"/>
    <tableColumn id="17" xr3:uid="{5CF12F1E-00A8-478D-B4C4-A858513EF5AC}" name="CH4 [g/mmol SCFA]" dataDxfId="75" totalsRowDxfId="74"/>
    <tableColumn id="5" xr3:uid="{71671DB2-CBE6-4A18-90BC-B42AE6DA9033}" name="DMD [mg/g]" dataDxfId="73" totalsRowDxfId="72">
      <calculatedColumnFormula>AVERAGEIFS([1]!Table2912[DMD '[mg/g']],[1]!Table2912[Substrate ID],Table29128[[#This Row],[Substrate ID]])</calculatedColumnFormula>
    </tableColumn>
    <tableColumn id="7" xr3:uid="{F295E149-4874-4C60-8CDF-73187F3DDFFC}" name="CH4 [ml/g]" dataDxfId="71" totalsRowDxfId="70">
      <calculatedColumnFormula>AVERAGEIFS([1]!Table2912[CH4 '[ml/g']],[1]!Table2912[Substrate ID],Table29128[[#This Row],[Substrate ID]])</calculatedColumnFormula>
    </tableColumn>
    <tableColumn id="16" xr3:uid="{0D5E14B1-B1D2-4F23-949A-CC26A56F7BA0}" name="CH4 [% GP]" dataDxfId="69" totalsRowDxfId="68">
      <calculatedColumnFormula>AVERAGEIFS([1]!Table2912[CH4 '[% GP']],[1]!Table2912[Substrate ID],Table29128[[#This Row],[Substrate ID]])</calculatedColumnFormula>
    </tableColumn>
    <tableColumn id="18" xr3:uid="{9A124D13-2C59-4959-9CEB-4E8F372F7166}" name="CH4 [g/g DDM]" dataDxfId="67" totalsRowDxfId="66">
      <calculatedColumnFormula>AVERAGEIFS([1]!Table2912[CH4 '[g/g DDM']],[1]!Table2912[Substrate ID],Table29128[[#This Row],[Substrate ID]])</calculatedColumnFormula>
    </tableColumn>
    <tableColumn id="19" xr3:uid="{C7938230-C8AF-41E5-A6AE-0C2BF9116A29}" name="Index" dataDxfId="65" totalsRowDxfId="64">
      <calculatedColumnFormula>$CP$17*Table29128[[#This Row],[DMD '[mg/g']]]+$CQ$17*Table29128[[#This Row],[CH4 '[g/g DDM']]]</calculatedColumnFormula>
    </tableColumn>
    <tableColumn id="20" xr3:uid="{D4AB2DCF-39DF-48D2-8962-158E8623D8BD}" name="Rank" dataDxfId="63" totalsRowDxfId="62">
      <calculatedColumnFormula>_xlfn.RANK.AVG(Table29128[[#This Row],[Index]],Table29128[Index])</calculatedColumnFormula>
    </tableColumn>
    <tableColumn id="21" xr3:uid="{D130E3AD-6248-48F4-B6C5-6DA03DC8811B}" name="APB" dataDxfId="61" totalsRowDxfId="60">
      <calculatedColumnFormula>Table29128[[#This Row],[Butyrate '[%']]]*Table29128[[#This Row],[SCFA '[mmol/g']]]+Table29128[[#This Row],[Propionate '[%']]]*Table29128[[#This Row],[SCFA '[mmol/g']]]+Table29128[[#This Row],[Acetate '[%']]]*Table29128[[#This Row],[SCFA '[mmol/g']]]</calculatedColumnFormula>
    </tableColumn>
    <tableColumn id="22" xr3:uid="{FB1F89A6-E7B9-4B28-81D9-5F5878C97E85}" name="ch4/APB" dataDxfId="59" totalsRowDxfId="58">
      <calculatedColumnFormula>Table29128[[#This Row],[CH4 '[ml/g']]]/Table29128[[#This Row],[APB]]</calculatedColumnFormula>
    </tableColumn>
    <tableColumn id="23" xr3:uid="{49232B30-BDBC-422C-905E-2AB1E973BE40}" name="P/A" dataDxfId="57" totalsRowDxfId="56">
      <calculatedColumnFormula>Table29128[[#This Row],[Propionate '[%']]]/Table29128[[#This Row],[Acetate '[%']]]</calculatedColumnFormula>
    </tableColumn>
    <tableColumn id="24" xr3:uid="{3F9BCDEE-DCD8-4524-861B-E9BCF3C8D791}" name="Column4" totalsRowFunction="sum" dataDxfId="55" totalsRowDxfId="54">
      <calculatedColumnFormula>(Table29128[[#This Row],[CH4 '[g/g DDM']]]-$AS$5)/$AS$5%</calculatedColumnFormula>
    </tableColumn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24646E-B36D-42CA-8BD9-F855C20AF898}" name="Table310139" displayName="Table310139" ref="AR19:BE533" totalsRowShown="0" headerRowDxfId="53" headerRowBorderDxfId="52" tableBorderDxfId="51">
  <autoFilter ref="AR19:BE533" xr:uid="{6C70754C-36B0-48D3-88A3-57DA98EE951B}"/>
  <tableColumns count="14">
    <tableColumn id="1" xr3:uid="{F69D8BD0-9A71-48E4-BEBF-A0080B45C807}" name="GP [ml/g]" dataDxfId="50">
      <calculatedColumnFormula>_xlfn.NORM.DIST(Table29128[[#This Row],[GP '[ml/g']]],O$6,O$2,FALSE)</calculatedColumnFormula>
    </tableColumn>
    <tableColumn id="2" xr3:uid="{C89904FF-70EC-4F59-9C02-09A06B947855}" name="SCFA [mmol/g]" dataDxfId="49">
      <calculatedColumnFormula>_xlfn.NORM.DIST(Table29128[[#This Row],[SCFA '[mmol/g']]],P$6,P$2,FALSE)</calculatedColumnFormula>
    </tableColumn>
    <tableColumn id="3" xr3:uid="{CBC322C9-14AF-4435-94D1-D83AB71DEC48}" name="Acetate [%]">
      <calculatedColumnFormula>_xlfn.NORM.DIST(Table29128[[#This Row],[Acetate '[%']]],Q$6,Q$2,FALSE)</calculatedColumnFormula>
    </tableColumn>
    <tableColumn id="4" xr3:uid="{F614C6BE-EB7A-4B06-BFD3-C5454772A0DD}" name="Propionate [%]">
      <calculatedColumnFormula>_xlfn.NORM.DIST(Table29128[[#This Row],[Propionate '[%']]],R$6,R$2,FALSE)</calculatedColumnFormula>
    </tableColumn>
    <tableColumn id="5" xr3:uid="{FF40C951-78DD-4C92-8BA7-C21737E03C04}" name="Butyrate [%]">
      <calculatedColumnFormula>_xlfn.NORM.DIST(Table29128[[#This Row],[Butyrate '[%']]],S$6,S$2,FALSE)</calculatedColumnFormula>
    </tableColumn>
    <tableColumn id="6" xr3:uid="{3F4A28EA-02CB-4803-A76B-DD79DCBCC510}" name="Valerate [%]">
      <calculatedColumnFormula>_xlfn.NORM.DIST(Table29128[[#This Row],[Valerate '[%']]],T$6,T$2,FALSE)</calculatedColumnFormula>
    </tableColumn>
    <tableColumn id="7" xr3:uid="{DD049638-2548-497D-B2C3-0B78FF8B5B65}" name="Caproate [%]">
      <calculatedColumnFormula>_xlfn.NORM.DIST(Table29128[[#This Row],[Caproate '[%']]],U$6,U$2,FALSE)</calculatedColumnFormula>
    </tableColumn>
    <tableColumn id="8" xr3:uid="{0D0F9823-164D-4996-8CE4-602F71FB129D}" name="Isobutyrate [%]">
      <calculatedColumnFormula>_xlfn.NORM.DIST(Table29128[[#This Row],[Isobutyrate '[%']]],V$6,V$2,FALSE)</calculatedColumnFormula>
    </tableColumn>
    <tableColumn id="9" xr3:uid="{285FB928-7DF5-475E-A430-37417EFF8931}" name="Isovalerate [%]">
      <calculatedColumnFormula>_xlfn.NORM.DIST(Table29128[[#This Row],[Isovalerate '[%']]],W$6,W$2,FALSE)</calculatedColumnFormula>
    </tableColumn>
    <tableColumn id="10" xr3:uid="{03C1153D-F8F0-4469-B306-BC59AA498333}" name="CH4 [g/mmol SCFA]">
      <calculatedColumnFormula>_xlfn.NORM.DIST(Table29128[[#This Row],[CH4 '[g/mmol SCFA']]],X$6,X$2,FALSE)</calculatedColumnFormula>
    </tableColumn>
    <tableColumn id="11" xr3:uid="{EC7C8C0E-9CC1-465D-AC4D-2931250CBF9D}" name="DMD [mg/g]">
      <calculatedColumnFormula>_xlfn.NORM.DIST(Table29128[[#This Row],[DMD '[mg/g']]],Y$6,Y$2,FALSE)</calculatedColumnFormula>
    </tableColumn>
    <tableColumn id="12" xr3:uid="{A0851B05-8B9A-4F00-AEE1-CD37A8D78A99}" name="CH4 [ml/g]">
      <calculatedColumnFormula>_xlfn.NORM.DIST(Table29128[[#This Row],[CH4 '[ml/g']]],Z$6,Z$2,FALSE)</calculatedColumnFormula>
    </tableColumn>
    <tableColumn id="13" xr3:uid="{1225E8ED-285E-4BF0-A189-00C7A0B63A96}" name="CH4 [% GP]">
      <calculatedColumnFormula>_xlfn.NORM.DIST(Table29128[[#This Row],[CH4 '[% GP']]],AA$6,AA$2,FALSE)</calculatedColumnFormula>
    </tableColumn>
    <tableColumn id="14" xr3:uid="{18FDD3E3-56AB-41D8-8625-7998734B004D}" name="CH4 [g/g DDM]">
      <calculatedColumnFormula>_xlfn.NORM.DIST(Table29128[[#This Row],[CH4 '[g/g DDM']]],AB$6,AB$2,FALSE)</calculatedColumnFormula>
    </tableColumn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FE19F95-76D0-410A-9EA2-D361EAAD9B96}" name="Table1111410" displayName="Table1111410" ref="BG19:BT533" totalsRowShown="0" headerRowDxfId="48" headerRowBorderDxfId="47" tableBorderDxfId="46">
  <autoFilter ref="BG19:BT533" xr:uid="{508E84B7-8772-44F7-AF42-2E0609D76EB4}"/>
  <tableColumns count="14">
    <tableColumn id="1" xr3:uid="{D25D07DC-76C9-4CAB-8EFE-10BB56417DBE}" name="GP [ml/g]" dataDxfId="45">
      <calculatedColumnFormula>IF(Table29128[[#This Row],[GP '[ml/g']]]&lt;O$10,_xlfn.NORM.DIST(Table29128[[#This Row],[GP '[ml/g']]],O$6,O$2,FALSE),-100)</calculatedColumnFormula>
    </tableColumn>
    <tableColumn id="2" xr3:uid="{8A5FBD5A-92C6-445C-805E-8568777C9032}" name="SCFA [mmol/g]" dataDxfId="44">
      <calculatedColumnFormula>IF(Table29128[[#This Row],[SCFA '[mmol/g']]]&lt;P$10,_xlfn.NORM.DIST(Table29128[[#This Row],[SCFA '[mmol/g']]],P$6,P$2,FALSE),-100)</calculatedColumnFormula>
    </tableColumn>
    <tableColumn id="3" xr3:uid="{7E6F6035-44D0-4727-8950-CA3BE20BD2A7}" name="Acetate [%]">
      <calculatedColumnFormula>IF(Table29128[[#This Row],[Acetate '[%']]]&lt;Q$10,_xlfn.NORM.DIST(Table29128[[#This Row],[Acetate '[%']]],Q$6,Q$2,FALSE),-100)</calculatedColumnFormula>
    </tableColumn>
    <tableColumn id="4" xr3:uid="{BFD51E70-AF5A-459D-8E0F-A631D70D21F0}" name="Propionate [%]">
      <calculatedColumnFormula>IF(Table29128[[#This Row],[Propionate '[%']]]&lt;R$10,_xlfn.NORM.DIST(Table29128[[#This Row],[Propionate '[%']]],R$6,R$2,FALSE),-100)</calculatedColumnFormula>
    </tableColumn>
    <tableColumn id="5" xr3:uid="{7330FB80-C06A-4F0D-A8CA-F9F453D2BDDE}" name="Butyrate [%]">
      <calculatedColumnFormula>IF(Table29128[[#This Row],[Butyrate '[%']]]&lt;S$10,_xlfn.NORM.DIST(Table29128[[#This Row],[Butyrate '[%']]],S$6,S$2,FALSE),-100)</calculatedColumnFormula>
    </tableColumn>
    <tableColumn id="6" xr3:uid="{D840851F-0C61-44F0-BF9F-95C5074BE14D}" name="Valerate [%]">
      <calculatedColumnFormula>IF(Table29128[[#This Row],[Valerate '[%']]]&lt;T$10,_xlfn.NORM.DIST(Table29128[[#This Row],[Valerate '[%']]],T$6,T$2,FALSE),-100)</calculatedColumnFormula>
    </tableColumn>
    <tableColumn id="7" xr3:uid="{C2F92265-C9C5-4CF9-A199-43CC5018BD9E}" name="Caproate [%]">
      <calculatedColumnFormula>IF(Table29128[[#This Row],[Caproate '[%']]]&lt;U$10,_xlfn.NORM.DIST(Table29128[[#This Row],[Caproate '[%']]],U$6,U$2,FALSE),-100)</calculatedColumnFormula>
    </tableColumn>
    <tableColumn id="8" xr3:uid="{A210DB76-3745-4236-B1D0-0BEF3FA1CEA8}" name="Isobutyrate [%]">
      <calculatedColumnFormula>IF(Table29128[[#This Row],[Isobutyrate '[%']]]&lt;V$10,_xlfn.NORM.DIST(Table29128[[#This Row],[Isobutyrate '[%']]],V$6,V$2,FALSE),-100)</calculatedColumnFormula>
    </tableColumn>
    <tableColumn id="9" xr3:uid="{0A0014B4-CBEF-41F4-9BD4-2B7DF1192195}" name="Isovalerate [%]">
      <calculatedColumnFormula>IF(Table29128[[#This Row],[Isovalerate '[%']]]&lt;W$10,_xlfn.NORM.DIST(Table29128[[#This Row],[Isovalerate '[%']]],W$6,W$2,FALSE),-100)</calculatedColumnFormula>
    </tableColumn>
    <tableColumn id="10" xr3:uid="{408AACBE-DF12-4C44-B6C7-B3B58652875B}" name="CH4 [g/mmol SCFA]">
      <calculatedColumnFormula>IF(Table29128[[#This Row],[CH4 '[g/mmol SCFA']]]&lt;X$10,_xlfn.NORM.DIST(Table29128[[#This Row],[CH4 '[g/mmol SCFA']]],X$6,X$2,FALSE),-100)</calculatedColumnFormula>
    </tableColumn>
    <tableColumn id="11" xr3:uid="{4369EA62-A09C-4ED8-B0EA-28CE4ECA5B4E}" name="DMD [mg/g]" dataDxfId="43">
      <calculatedColumnFormula>IF(Table29128[[#This Row],[DMD '[mg/g']]]&gt;Y$10,_xlfn.NORM.DIST(Table29128[[#This Row],[DMD '[mg/g']]],Y$6,Y$2,FALSE),-100)</calculatedColumnFormula>
    </tableColumn>
    <tableColumn id="12" xr3:uid="{230E8C59-D786-4648-886F-2E4A452760E3}" name="CH4 [ml/g]">
      <calculatedColumnFormula>IF(Table29128[[#This Row],[CH4 '[ml/g']]]&lt;Z$10,_xlfn.NORM.DIST(Table29128[[#This Row],[CH4 '[ml/g']]],Z$6,Z$2,FALSE),-100)</calculatedColumnFormula>
    </tableColumn>
    <tableColumn id="13" xr3:uid="{6687F9D8-4AFF-4139-BD1B-8F7EB3818A0E}" name="CH4 [% GP]">
      <calculatedColumnFormula>IF(Table29128[[#This Row],[CH4 '[% GP']]]&lt;AA$10,_xlfn.NORM.DIST(Table29128[[#This Row],[CH4 '[% GP']]],AA$6,AA$2,FALSE),-100)</calculatedColumnFormula>
    </tableColumn>
    <tableColumn id="14" xr3:uid="{5C325A01-27BA-42E5-9E3D-810CD393D7CD}" name="CH4 [g/g DDM]">
      <calculatedColumnFormula>IF(Table29128[[#This Row],[CH4 '[g/g DDM']]]&lt;AB$10,_xlfn.NORM.DIST(Table29128[[#This Row],[CH4 '[g/g DDM']]],AB$6,AB$2,FALSE),-100)</calculatedColumnFormula>
    </tableColumn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63FD93-AC33-49EE-A136-9304EEB3CBDA}" name="Table111" displayName="Table111" ref="O1:AH16" totalsRowShown="0">
  <autoFilter ref="O1:AH16" xr:uid="{C7C9A7BB-A6E3-4E05-A8FC-CB65979215EC}"/>
  <tableColumns count="20">
    <tableColumn id="1" xr3:uid="{ED7A10B9-7452-4C36-8D5D-1531B2757FB5}" name="GP [ml/g]"/>
    <tableColumn id="2" xr3:uid="{0812993C-9842-4060-8425-C65FEFA23A8B}" name="SCFA [mmol/g]"/>
    <tableColumn id="3" xr3:uid="{B787E101-4EA9-4776-A3AD-31535F547B51}" name="Acetate [%]"/>
    <tableColumn id="4" xr3:uid="{E2BA1F4F-8B5B-45F5-A66B-63CB540E0B00}" name="Propionate [%]"/>
    <tableColumn id="5" xr3:uid="{B0827451-F9A0-469A-A224-6D9A31719FA2}" name="Butyrate [%]"/>
    <tableColumn id="6" xr3:uid="{6A14C63B-A6E2-4297-870C-38784CCE34A2}" name="Valerate [%]"/>
    <tableColumn id="7" xr3:uid="{E077B0A0-044C-4FA2-A9D3-36E32B27F0F9}" name="Caproate [%]"/>
    <tableColumn id="8" xr3:uid="{1FFC2B41-16DC-4BB0-ADC0-BD016EDE673E}" name="Isobutyrate [%]"/>
    <tableColumn id="9" xr3:uid="{B11337F3-7068-4FBC-9D54-5B25A22F68A9}" name="Isovalerate [%]"/>
    <tableColumn id="10" xr3:uid="{9C4BA687-6C54-4FF1-85FC-A93B155D364E}" name="CH4 [g/mmol SCFA]"/>
    <tableColumn id="11" xr3:uid="{2F146079-7C00-422B-861F-1C49E6AA0090}" name="DMD [mg/g]"/>
    <tableColumn id="12" xr3:uid="{E5DC120C-8EC9-41F4-BCDE-7AE4116AE406}" name="CH4 [ml/g]"/>
    <tableColumn id="13" xr3:uid="{001C02ED-22E4-4991-A485-17ECBC132D01}" name="CH4 [% GP]"/>
    <tableColumn id="14" xr3:uid="{E4DE38B7-2461-433D-8C70-9DBD67F8C391}" name="CH4 [g/g DDM]"/>
    <tableColumn id="15" xr3:uid="{1CA3E17A-0F72-4086-B287-CA1564E260C4}" name="Column1"/>
    <tableColumn id="16" xr3:uid="{6925964C-83E3-4DD2-AD55-B952CA5A67E1}" name="Column2"/>
    <tableColumn id="17" xr3:uid="{5E34EEC3-A7FB-47FD-A9E2-78D18EE7FA7F}" name="Column3"/>
    <tableColumn id="18" xr3:uid="{1B626979-9F13-40CC-AA14-B1293C5A9CC4}" name="Column4"/>
    <tableColumn id="19" xr3:uid="{2A7CC054-6F4C-4882-8B1B-607F28C16982}" name="Column5"/>
    <tableColumn id="20" xr3:uid="{B8E0F5A8-4C43-4506-A856-DB619890EB6C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N9" dT="2024-11-26T13:00:31.19" personId="{F6544481-0AEA-4AF7-A1D5-9705C306698C}" id="{F977CB38-0FFA-4C3E-832F-990D38702B5E}">
    <text>check these units, shouldn't they be ml/g?</text>
  </threadedComment>
  <threadedComment ref="AN9" dT="2024-11-26T18:19:46.17" personId="{E11B2AE3-39E1-4161-9458-4100AE6C81FA}" id="{4CA9827C-3569-4E08-AE52-7E6731692A01}" parentId="{F977CB38-0FFA-4C3E-832F-990D38702B5E}">
    <text>This what Stefan provided</text>
  </threadedComment>
  <threadedComment ref="AB19" dT="2024-11-26T13:00:31.19" personId="{F6544481-0AEA-4AF7-A1D5-9705C306698C}" id="{0BAB9A71-A9A8-4037-BCE9-1925A67350AB}">
    <text>check these units, shouldn't they be ml/g?</text>
  </threadedComment>
  <threadedComment ref="AB19" dT="2024-11-26T18:19:46.17" personId="{E11B2AE3-39E1-4161-9458-4100AE6C81FA}" id="{C9D0DFD2-25A4-46EC-863D-B0B247BD175D}" parentId="{0BAB9A71-A9A8-4037-BCE9-1925A67350AB}">
    <text>This what Stefan provided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N9" dT="2024-11-26T13:00:31.19" personId="{F6544481-0AEA-4AF7-A1D5-9705C306698C}" id="{D44B3EB4-3011-488E-895D-BD01B838659D}">
    <text>check these units, shouldn't they be ml/g?</text>
  </threadedComment>
  <threadedComment ref="AN9" dT="2024-11-26T18:19:46.17" personId="{E11B2AE3-39E1-4161-9458-4100AE6C81FA}" id="{1C32B2B8-0990-4293-B4EB-18AD83003732}" parentId="{D44B3EB4-3011-488E-895D-BD01B838659D}">
    <text>This what Stefan provided</text>
  </threadedComment>
  <threadedComment ref="AB19" dT="2024-11-26T13:00:31.19" personId="{F6544481-0AEA-4AF7-A1D5-9705C306698C}" id="{590B3D88-7DB0-4C24-B6FB-09C1B5AB3F35}">
    <text>check these units, shouldn't they be ml/g?</text>
  </threadedComment>
  <threadedComment ref="AB19" dT="2024-11-26T18:19:46.17" personId="{E11B2AE3-39E1-4161-9458-4100AE6C81FA}" id="{DCD47E2F-0B74-48F6-A77F-66AEF052215C}" parentId="{590B3D88-7DB0-4C24-B6FB-09C1B5AB3F35}">
    <text>This what Stefan provided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N1" dT="2024-11-26T13:00:31.19" personId="{F6544481-0AEA-4AF7-A1D5-9705C306698C}" id="{7316DA26-4D5F-4F10-A219-4B1DF78A054B}">
    <text>check these units, shouldn't they be ml/g?</text>
  </threadedComment>
  <threadedComment ref="N1" dT="2024-11-26T18:19:46.17" personId="{E11B2AE3-39E1-4161-9458-4100AE6C81FA}" id="{3DA1FE46-C0E2-43D3-BD47-E80FE783A4A7}" parentId="{7316DA26-4D5F-4F10-A219-4B1DF78A054B}">
    <text>This what Stefan provided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Boraginaceae" TargetMode="External"/><Relationship Id="rId18" Type="http://schemas.openxmlformats.org/officeDocument/2006/relationships/hyperlink" Target="https://en.wikipedia.org/wiki/Caryophyllales" TargetMode="External"/><Relationship Id="rId26" Type="http://schemas.openxmlformats.org/officeDocument/2006/relationships/hyperlink" Target="https://en.wikipedia.org/wiki/Geraniales" TargetMode="External"/><Relationship Id="rId39" Type="http://schemas.openxmlformats.org/officeDocument/2006/relationships/table" Target="../tables/table1.xml"/><Relationship Id="rId21" Type="http://schemas.openxmlformats.org/officeDocument/2006/relationships/hyperlink" Target="https://en.wikipedia.org/wiki/Caryophyllales" TargetMode="External"/><Relationship Id="rId34" Type="http://schemas.openxmlformats.org/officeDocument/2006/relationships/hyperlink" Target="https://en.wikipedia.org/wiki/Lamiaceae" TargetMode="External"/><Relationship Id="rId42" Type="http://schemas.openxmlformats.org/officeDocument/2006/relationships/table" Target="../tables/table4.xml"/><Relationship Id="rId7" Type="http://schemas.openxmlformats.org/officeDocument/2006/relationships/hyperlink" Target="https://en.wikipedia.org/wiki/Polygonaceae" TargetMode="External"/><Relationship Id="rId2" Type="http://schemas.openxmlformats.org/officeDocument/2006/relationships/hyperlink" Target="https://en.wikipedia.org/wiki/Ranunculales" TargetMode="External"/><Relationship Id="rId16" Type="http://schemas.openxmlformats.org/officeDocument/2006/relationships/hyperlink" Target="https://en.wikipedia.org/wiki/Amaranthaceae" TargetMode="External"/><Relationship Id="rId20" Type="http://schemas.openxmlformats.org/officeDocument/2006/relationships/hyperlink" Target="https://en.wikipedia.org/wiki/Polygonaceae" TargetMode="External"/><Relationship Id="rId29" Type="http://schemas.openxmlformats.org/officeDocument/2006/relationships/hyperlink" Target="https://en.wikipedia.org/wiki/Ranunculales" TargetMode="External"/><Relationship Id="rId41" Type="http://schemas.openxmlformats.org/officeDocument/2006/relationships/table" Target="../tables/table3.xml"/><Relationship Id="rId1" Type="http://schemas.openxmlformats.org/officeDocument/2006/relationships/hyperlink" Target="https://en.wikipedia.org/wiki/Papaveraceae" TargetMode="External"/><Relationship Id="rId6" Type="http://schemas.openxmlformats.org/officeDocument/2006/relationships/hyperlink" Target="https://en.wikipedia.org/wiki/Geraniales" TargetMode="External"/><Relationship Id="rId11" Type="http://schemas.openxmlformats.org/officeDocument/2006/relationships/hyperlink" Target="https://en.wikipedia.org/wiki/Boraginaceae" TargetMode="External"/><Relationship Id="rId24" Type="http://schemas.openxmlformats.org/officeDocument/2006/relationships/hyperlink" Target="https://en.wikipedia.org/wiki/Geraniaceae" TargetMode="External"/><Relationship Id="rId32" Type="http://schemas.openxmlformats.org/officeDocument/2006/relationships/hyperlink" Target="https://en.wikipedia.org/wiki/Lamiales" TargetMode="External"/><Relationship Id="rId37" Type="http://schemas.openxmlformats.org/officeDocument/2006/relationships/drawing" Target="../drawings/drawing1.xml"/><Relationship Id="rId40" Type="http://schemas.openxmlformats.org/officeDocument/2006/relationships/table" Target="../tables/table2.xml"/><Relationship Id="rId5" Type="http://schemas.openxmlformats.org/officeDocument/2006/relationships/hyperlink" Target="https://en.wikipedia.org/wiki/Geraniaceae" TargetMode="External"/><Relationship Id="rId15" Type="http://schemas.openxmlformats.org/officeDocument/2006/relationships/hyperlink" Target="https://en.wikipedia.org/wiki/Amaranthaceae" TargetMode="External"/><Relationship Id="rId23" Type="http://schemas.openxmlformats.org/officeDocument/2006/relationships/hyperlink" Target="https://en.wikipedia.org/wiki/Geraniaceae" TargetMode="External"/><Relationship Id="rId28" Type="http://schemas.openxmlformats.org/officeDocument/2006/relationships/hyperlink" Target="https://en.wikipedia.org/wiki/Papaveraceae" TargetMode="External"/><Relationship Id="rId36" Type="http://schemas.openxmlformats.org/officeDocument/2006/relationships/hyperlink" Target="https://en.wikipedia.org/wiki/Lamiales" TargetMode="External"/><Relationship Id="rId10" Type="http://schemas.openxmlformats.org/officeDocument/2006/relationships/hyperlink" Target="https://en.wikipedia.org/wiki/Caryophyllales" TargetMode="External"/><Relationship Id="rId19" Type="http://schemas.openxmlformats.org/officeDocument/2006/relationships/hyperlink" Target="https://en.wikipedia.org/wiki/Polygonaceae" TargetMode="External"/><Relationship Id="rId31" Type="http://schemas.openxmlformats.org/officeDocument/2006/relationships/hyperlink" Target="https://en.wikipedia.org/wiki/Lamiaceae" TargetMode="External"/><Relationship Id="rId44" Type="http://schemas.microsoft.com/office/2017/10/relationships/threadedComment" Target="../threadedComments/threadedComment1.xml"/><Relationship Id="rId4" Type="http://schemas.openxmlformats.org/officeDocument/2006/relationships/hyperlink" Target="https://en.wikipedia.org/wiki/Boraginaceae" TargetMode="External"/><Relationship Id="rId9" Type="http://schemas.openxmlformats.org/officeDocument/2006/relationships/hyperlink" Target="https://en.wikipedia.org/wiki/Amaranthaceae" TargetMode="External"/><Relationship Id="rId14" Type="http://schemas.openxmlformats.org/officeDocument/2006/relationships/hyperlink" Target="https://en.wikipedia.org/wiki/Boraginaceae" TargetMode="External"/><Relationship Id="rId22" Type="http://schemas.openxmlformats.org/officeDocument/2006/relationships/hyperlink" Target="https://en.wikipedia.org/wiki/Caryophyllales" TargetMode="External"/><Relationship Id="rId27" Type="http://schemas.openxmlformats.org/officeDocument/2006/relationships/hyperlink" Target="https://en.wikipedia.org/wiki/Papaveraceae" TargetMode="External"/><Relationship Id="rId30" Type="http://schemas.openxmlformats.org/officeDocument/2006/relationships/hyperlink" Target="https://en.wikipedia.org/wiki/Ranunculales" TargetMode="External"/><Relationship Id="rId35" Type="http://schemas.openxmlformats.org/officeDocument/2006/relationships/hyperlink" Target="https://en.wikipedia.org/wiki/Lamiales" TargetMode="External"/><Relationship Id="rId43" Type="http://schemas.openxmlformats.org/officeDocument/2006/relationships/comments" Target="../comments1.xml"/><Relationship Id="rId8" Type="http://schemas.openxmlformats.org/officeDocument/2006/relationships/hyperlink" Target="https://en.wikipedia.org/wiki/Caryophyllales" TargetMode="External"/><Relationship Id="rId3" Type="http://schemas.openxmlformats.org/officeDocument/2006/relationships/hyperlink" Target="https://en.wikipedia.org/wiki/Boraginaceae" TargetMode="External"/><Relationship Id="rId12" Type="http://schemas.openxmlformats.org/officeDocument/2006/relationships/hyperlink" Target="https://en.wikipedia.org/wiki/Boraginaceae" TargetMode="External"/><Relationship Id="rId17" Type="http://schemas.openxmlformats.org/officeDocument/2006/relationships/hyperlink" Target="https://en.wikipedia.org/wiki/Caryophyllales" TargetMode="External"/><Relationship Id="rId25" Type="http://schemas.openxmlformats.org/officeDocument/2006/relationships/hyperlink" Target="https://en.wikipedia.org/wiki/Geraniales" TargetMode="External"/><Relationship Id="rId33" Type="http://schemas.openxmlformats.org/officeDocument/2006/relationships/hyperlink" Target="https://en.wikipedia.org/wiki/Lamiaceae" TargetMode="External"/><Relationship Id="rId38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Caryophyllales" TargetMode="External"/><Relationship Id="rId13" Type="http://schemas.openxmlformats.org/officeDocument/2006/relationships/printerSettings" Target="../printerSettings/printerSettings1.bin"/><Relationship Id="rId18" Type="http://schemas.openxmlformats.org/officeDocument/2006/relationships/table" Target="../tables/table7.xml"/><Relationship Id="rId3" Type="http://schemas.openxmlformats.org/officeDocument/2006/relationships/hyperlink" Target="https://en.wikipedia.org/wiki/Boraginaceae" TargetMode="External"/><Relationship Id="rId21" Type="http://schemas.microsoft.com/office/2017/10/relationships/threadedComment" Target="../threadedComments/threadedComment2.xml"/><Relationship Id="rId7" Type="http://schemas.openxmlformats.org/officeDocument/2006/relationships/hyperlink" Target="https://en.wikipedia.org/wiki/Polygonaceae" TargetMode="External"/><Relationship Id="rId12" Type="http://schemas.openxmlformats.org/officeDocument/2006/relationships/hyperlink" Target="https://en.wikipedia.org/wiki/Lamiales" TargetMode="External"/><Relationship Id="rId17" Type="http://schemas.openxmlformats.org/officeDocument/2006/relationships/table" Target="../tables/table6.xml"/><Relationship Id="rId2" Type="http://schemas.openxmlformats.org/officeDocument/2006/relationships/hyperlink" Target="https://en.wikipedia.org/wiki/Ranunculales" TargetMode="External"/><Relationship Id="rId16" Type="http://schemas.openxmlformats.org/officeDocument/2006/relationships/table" Target="../tables/table5.xml"/><Relationship Id="rId20" Type="http://schemas.openxmlformats.org/officeDocument/2006/relationships/comments" Target="../comments2.xml"/><Relationship Id="rId1" Type="http://schemas.openxmlformats.org/officeDocument/2006/relationships/hyperlink" Target="https://en.wikipedia.org/wiki/Papaveraceae" TargetMode="External"/><Relationship Id="rId6" Type="http://schemas.openxmlformats.org/officeDocument/2006/relationships/hyperlink" Target="https://en.wikipedia.org/wiki/Caryophyllales" TargetMode="External"/><Relationship Id="rId11" Type="http://schemas.openxmlformats.org/officeDocument/2006/relationships/hyperlink" Target="https://en.wikipedia.org/wiki/Lamiaceae" TargetMode="External"/><Relationship Id="rId5" Type="http://schemas.openxmlformats.org/officeDocument/2006/relationships/hyperlink" Target="https://en.wikipedia.org/wiki/Amaranthaceae" TargetMode="External"/><Relationship Id="rId15" Type="http://schemas.openxmlformats.org/officeDocument/2006/relationships/vmlDrawing" Target="../drawings/vmlDrawing2.vml"/><Relationship Id="rId10" Type="http://schemas.openxmlformats.org/officeDocument/2006/relationships/hyperlink" Target="https://en.wikipedia.org/wiki/Geraniales" TargetMode="External"/><Relationship Id="rId19" Type="http://schemas.openxmlformats.org/officeDocument/2006/relationships/table" Target="../tables/table8.xml"/><Relationship Id="rId4" Type="http://schemas.openxmlformats.org/officeDocument/2006/relationships/hyperlink" Target="https://en.wikipedia.org/wiki/Boraginaceae" TargetMode="External"/><Relationship Id="rId9" Type="http://schemas.openxmlformats.org/officeDocument/2006/relationships/hyperlink" Target="https://en.wikipedia.org/wiki/Geraniaceae" TargetMode="External"/><Relationship Id="rId1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EA336-3DC5-482A-A7EF-74D196A91F4A}">
  <dimension ref="A1:CV533"/>
  <sheetViews>
    <sheetView zoomScale="55" zoomScaleNormal="55" workbookViewId="0">
      <pane xSplit="3" ySplit="19" topLeftCell="U20" activePane="bottomRight" state="frozen"/>
      <selection pane="topRight" activeCell="D1" sqref="D1"/>
      <selection pane="bottomLeft" activeCell="A20" sqref="A20"/>
      <selection pane="bottomRight" activeCell="AP28" sqref="AP28"/>
    </sheetView>
  </sheetViews>
  <sheetFormatPr defaultColWidth="8.85546875" defaultRowHeight="15" x14ac:dyDescent="0.25"/>
  <cols>
    <col min="2" max="2" width="19.85546875" customWidth="1"/>
    <col min="3" max="3" width="16.42578125" customWidth="1"/>
    <col min="4" max="4" width="17.28515625" customWidth="1"/>
    <col min="5" max="5" width="15.140625" customWidth="1"/>
    <col min="6" max="6" width="30.28515625" customWidth="1"/>
    <col min="7" max="7" width="14.140625" customWidth="1"/>
    <col min="8" max="8" width="16" customWidth="1"/>
    <col min="9" max="10" width="14.85546875" customWidth="1"/>
    <col min="11" max="12" width="9.42578125" customWidth="1"/>
    <col min="13" max="13" width="30.7109375" bestFit="1" customWidth="1"/>
    <col min="14" max="14" width="11.140625" customWidth="1"/>
    <col min="15" max="15" width="9.7109375" customWidth="1"/>
    <col min="16" max="16" width="14.140625" customWidth="1"/>
    <col min="17" max="17" width="11.42578125" customWidth="1"/>
    <col min="18" max="18" width="14" customWidth="1"/>
    <col min="19" max="19" width="12" customWidth="1"/>
    <col min="20" max="20" width="11.85546875" customWidth="1"/>
    <col min="21" max="21" width="12.42578125" customWidth="1"/>
    <col min="22" max="22" width="14.28515625" customWidth="1"/>
    <col min="23" max="23" width="14" customWidth="1"/>
    <col min="24" max="24" width="17.85546875" customWidth="1"/>
    <col min="25" max="25" width="12.140625" bestFit="1" customWidth="1"/>
    <col min="26" max="26" width="16.28515625" customWidth="1"/>
    <col min="27" max="27" width="13.42578125" customWidth="1"/>
    <col min="28" max="28" width="14.42578125" bestFit="1" customWidth="1"/>
    <col min="29" max="30" width="9.85546875" customWidth="1"/>
    <col min="31" max="32" width="9.85546875" hidden="1" customWidth="1"/>
    <col min="33" max="34" width="10.140625" hidden="1" customWidth="1"/>
    <col min="35" max="35" width="0" hidden="1" customWidth="1"/>
    <col min="40" max="40" width="11.85546875" bestFit="1" customWidth="1"/>
    <col min="42" max="42" width="18.28515625" bestFit="1" customWidth="1"/>
    <col min="43" max="43" width="12.7109375" hidden="1" customWidth="1"/>
    <col min="44" max="52" width="9.140625" hidden="1" customWidth="1"/>
    <col min="53" max="53" width="8" hidden="1" customWidth="1"/>
    <col min="54" max="57" width="13.28515625" hidden="1" customWidth="1"/>
    <col min="58" max="68" width="9.140625" hidden="1" customWidth="1"/>
    <col min="69" max="69" width="12.140625" hidden="1" customWidth="1"/>
    <col min="70" max="70" width="11.7109375" hidden="1" customWidth="1"/>
    <col min="71" max="71" width="12.140625" hidden="1" customWidth="1"/>
    <col min="72" max="72" width="14.42578125" hidden="1" customWidth="1"/>
    <col min="73" max="73" width="9.140625" hidden="1" customWidth="1"/>
    <col min="74" max="86" width="0" hidden="1" customWidth="1"/>
    <col min="87" max="87" width="26.42578125" hidden="1" customWidth="1"/>
    <col min="88" max="88" width="21.42578125" hidden="1" customWidth="1"/>
    <col min="89" max="89" width="20.42578125" hidden="1" customWidth="1"/>
    <col min="90" max="90" width="17" hidden="1" customWidth="1"/>
    <col min="91" max="92" width="0" hidden="1" customWidth="1"/>
    <col min="93" max="93" width="19.42578125" hidden="1" customWidth="1"/>
    <col min="94" max="94" width="10.42578125" hidden="1" customWidth="1"/>
    <col min="95" max="95" width="13" hidden="1" customWidth="1"/>
    <col min="96" max="96" width="10" hidden="1" customWidth="1"/>
    <col min="97" max="97" width="12.7109375" hidden="1" customWidth="1"/>
    <col min="98" max="104" width="0" hidden="1" customWidth="1"/>
  </cols>
  <sheetData>
    <row r="1" spans="3:100" x14ac:dyDescent="0.25"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</row>
    <row r="2" spans="3:100" x14ac:dyDescent="0.25">
      <c r="C2" s="45" t="s">
        <v>20</v>
      </c>
      <c r="M2" s="45" t="s">
        <v>20</v>
      </c>
      <c r="O2" s="46">
        <f>_xlfn.STDEV.S(Table2912[GP '[ml/g']])</f>
        <v>53.335493502522894</v>
      </c>
      <c r="P2" s="46">
        <f>_xlfn.STDEV.S(Table2912[SCFA '[mmol/g']])</f>
        <v>1.1989478828420512</v>
      </c>
      <c r="Q2" s="46">
        <f>_xlfn.STDEV.S(Table2912[Acetate '[%']])</f>
        <v>2.8441230222667539E-2</v>
      </c>
      <c r="R2" s="46">
        <f>_xlfn.STDEV.S(Table2912[Propionate '[%']])</f>
        <v>2.3759177152412457E-2</v>
      </c>
      <c r="S2" s="46">
        <f>_xlfn.STDEV.S(Table2912[Butyrate '[%']])</f>
        <v>1.7322682960368742E-2</v>
      </c>
      <c r="T2" s="46">
        <f>_xlfn.STDEV.S(Table2912[Valerate '[%']])</f>
        <v>5.1546092803372145E-3</v>
      </c>
      <c r="U2" s="46">
        <f>_xlfn.STDEV.S(Table2912[Caproate '[%']])</f>
        <v>9.8040867590462187E-4</v>
      </c>
      <c r="V2" s="46">
        <f>_xlfn.STDEV.S(Table2912[Isobutyrate '[%']])</f>
        <v>4.4249052703724916E-3</v>
      </c>
      <c r="W2" s="46">
        <f>_xlfn.STDEV.S(Table2912[Isovalerate '[%']])</f>
        <v>8.7814923028549895E-3</v>
      </c>
      <c r="X2" s="46">
        <f>_xlfn.STDEV.S(Table2912[CH4 '[g/mmol SCFA']])</f>
        <v>1.341401161371357</v>
      </c>
      <c r="Y2" s="46">
        <f>_xlfn.STDEV.S(Table2912[DMD '[mg/g']])</f>
        <v>136.80888016386575</v>
      </c>
      <c r="Z2" s="46">
        <f>_xlfn.STDEV.S(Table2912[CH4 '[ml/g']])</f>
        <v>11.906583141014854</v>
      </c>
      <c r="AA2" s="46">
        <f>_xlfn.STDEV.S(Table2912[CH4 '[% GP']])</f>
        <v>2.9613391255930077</v>
      </c>
      <c r="AB2" s="46">
        <f>_xlfn.STDEV.S(Table2912[CH4 '[g/g DDM']])</f>
        <v>12.143573477220306</v>
      </c>
      <c r="AC2" s="46"/>
      <c r="AD2" s="46"/>
      <c r="AE2" s="46">
        <f>_xlfn.STDEV.S(Table2912[APB])</f>
        <v>1.1223784944785256</v>
      </c>
      <c r="AF2" s="46">
        <f>_xlfn.STDEV.S(Table2912[ch4/APB])</f>
        <v>1.5816097130308133</v>
      </c>
      <c r="AG2" s="46">
        <f>_xlfn.STDEV.S(Table2912[P/A])</f>
        <v>4.6344260218623069E-2</v>
      </c>
      <c r="AH2" s="46"/>
      <c r="CI2" t="s">
        <v>21</v>
      </c>
      <c r="CO2" s="47" t="s">
        <v>22</v>
      </c>
      <c r="CP2" s="48" t="s">
        <v>10</v>
      </c>
      <c r="CQ2" s="49" t="s">
        <v>11</v>
      </c>
      <c r="CR2" s="48" t="s">
        <v>12</v>
      </c>
      <c r="CS2" s="48" t="s">
        <v>13</v>
      </c>
    </row>
    <row r="3" spans="3:100" x14ac:dyDescent="0.25">
      <c r="C3" s="45" t="s">
        <v>23</v>
      </c>
      <c r="M3" s="45" t="s">
        <v>23</v>
      </c>
      <c r="O3" s="46">
        <f>MIN(Table2912[GP '[ml/g']])</f>
        <v>63.05312294543063</v>
      </c>
      <c r="P3" s="46">
        <f>MIN(Table2912[SCFA '[mmol/g']])</f>
        <v>2.2459761841032746</v>
      </c>
      <c r="Q3" s="46">
        <f>MIN(Table2912[Acetate '[%']])</f>
        <v>0.53230164567888605</v>
      </c>
      <c r="R3" s="46">
        <f>MIN(Table2912[Propionate '[%']])</f>
        <v>0.12693345847919654</v>
      </c>
      <c r="S3" s="46">
        <f>MIN(Table2912[Butyrate '[%']])</f>
        <v>4.2226204790771396E-2</v>
      </c>
      <c r="T3" s="46">
        <f>MIN(Table2912[Valerate '[%']])</f>
        <v>4.7019642740047159E-3</v>
      </c>
      <c r="U3" s="46">
        <f>MIN(Table2912[Caproate '[%']])</f>
        <v>-6.2206305870113354E-4</v>
      </c>
      <c r="V3" s="46">
        <f>MIN(Table2912[Isobutyrate '[%']])</f>
        <v>8.4234599362050628E-4</v>
      </c>
      <c r="W3" s="46">
        <f>MIN(Table2912[Isovalerate '[%']])</f>
        <v>4.8215148460655036E-4</v>
      </c>
      <c r="X3" s="46">
        <f>MIN(Table2912[CH4 '[g/mmol SCFA']])</f>
        <v>1.2174893904990609</v>
      </c>
      <c r="Y3" s="46">
        <f>MIN(Table2912[DMD '[mg/g']])</f>
        <v>316.26968285650935</v>
      </c>
      <c r="Z3" s="46">
        <f>MIN(Table2912[CH4 '[ml/g']])</f>
        <v>5.3620261906562812</v>
      </c>
      <c r="AA3" s="46">
        <f>MIN(Table2912[CH4 '[% GP']])</f>
        <v>3.5993452409864299</v>
      </c>
      <c r="AB3" s="46">
        <f>MIN(Table2912[CH4 '[g/g DDM']])</f>
        <v>11.824517613211125</v>
      </c>
      <c r="AC3" s="46"/>
      <c r="AD3" s="46"/>
      <c r="AE3" s="46">
        <f>MIN(Table2912[APB])</f>
        <v>2.179979415015687</v>
      </c>
      <c r="AF3" s="46">
        <f>MIN(Table2912[ch4/APB])</f>
        <v>0</v>
      </c>
      <c r="AG3" s="46">
        <f>MIN(Table2912[P/A])</f>
        <v>0.18541452590526106</v>
      </c>
      <c r="AH3" s="46"/>
      <c r="AX3" t="s">
        <v>24</v>
      </c>
      <c r="BA3" t="s">
        <v>25</v>
      </c>
      <c r="CI3" s="50" t="s">
        <v>26</v>
      </c>
      <c r="CJ3" s="48" t="s">
        <v>12</v>
      </c>
      <c r="CK3" s="49" t="s">
        <v>13</v>
      </c>
      <c r="CL3" s="48" t="s">
        <v>10</v>
      </c>
      <c r="CM3" s="48" t="s">
        <v>1</v>
      </c>
      <c r="CO3" s="48" t="s">
        <v>10</v>
      </c>
      <c r="CP3" s="51">
        <f>CORREL(INDEX(Table2912[[DMD '[mg/g']]:[CH4 '[g/g DDM']]],,MATCH(CP$2,Table2912[[#Headers],[DMD '[mg/g']]:[CH4 '[g/g DDM']]],0)),INDEX(Table2912[[DMD '[mg/g']]:[CH4 '[g/g DDM']]],,MATCH($CO3,Table2912[[#Headers],[DMD '[mg/g']]:[CH4 '[g/g DDM']]],0)))</f>
        <v>1</v>
      </c>
      <c r="CQ3" s="51">
        <f>CORREL(INDEX(Table2912[[DMD '[mg/g']]:[CH4 '[g/g DDM']]],,MATCH(CQ$2,Table2912[[#Headers],[DMD '[mg/g']]:[CH4 '[g/g DDM']]],0)),INDEX(Table2912[[DMD '[mg/g']]:[CH4 '[g/g DDM']]],,MATCH($CO3,Table2912[[#Headers],[DMD '[mg/g']]:[CH4 '[g/g DDM']]],0)))</f>
        <v>0.61431260507674712</v>
      </c>
      <c r="CR3" s="51">
        <f>CORREL(INDEX(Table2912[[DMD '[mg/g']]:[CH4 '[g/g DDM']]],,MATCH(CR$2,Table2912[[#Headers],[DMD '[mg/g']]:[CH4 '[g/g DDM']]],0)),INDEX(Table2912[[DMD '[mg/g']]:[CH4 '[g/g DDM']]],,MATCH($CO3,Table2912[[#Headers],[DMD '[mg/g']]:[CH4 '[g/g DDM']]],0)))</f>
        <v>0.22014117907542893</v>
      </c>
      <c r="CS3" s="51">
        <f>CORREL(INDEX(Table2912[[DMD '[mg/g']]:[CH4 '[g/g DDM']]],,MATCH(CS$2,Table2912[[#Headers],[DMD '[mg/g']]:[CH4 '[g/g DDM']]],0)),INDEX(Table2912[[DMD '[mg/g']]:[CH4 '[g/g DDM']]],,MATCH($CO3,Table2912[[#Headers],[DMD '[mg/g']]:[CH4 '[g/g DDM']]],0)))</f>
        <v>3.9465072257358451E-2</v>
      </c>
    </row>
    <row r="4" spans="3:100" x14ac:dyDescent="0.25">
      <c r="C4" s="45" t="s">
        <v>27</v>
      </c>
      <c r="M4" s="45" t="s">
        <v>27</v>
      </c>
      <c r="O4" s="46">
        <f>MAX(Table2912[GP '[ml/g']])</f>
        <v>398.7452537182844</v>
      </c>
      <c r="P4" s="46">
        <f>MAX(Table2912[SCFA '[mmol/g']])</f>
        <v>9.4255025403136745</v>
      </c>
      <c r="Q4" s="46">
        <f>MAX(Table2912[Acetate '[%']])</f>
        <v>0.74840678516866621</v>
      </c>
      <c r="R4" s="46">
        <f>MAX(Table2912[Propionate '[%']])</f>
        <v>0.39004522104475958</v>
      </c>
      <c r="S4" s="46">
        <f>MAX(Table2912[Butyrate '[%']])</f>
        <v>0.18242888283913589</v>
      </c>
      <c r="T4" s="46">
        <f>MAX(Table2912[Valerate '[%']])</f>
        <v>4.4274379078830001E-2</v>
      </c>
      <c r="U4" s="46">
        <f>MAX(Table2912[Caproate '[%']])</f>
        <v>6.8313666400325011E-3</v>
      </c>
      <c r="V4" s="46">
        <f>MAX(Table2912[Isobutyrate '[%']])</f>
        <v>2.6961978393407197E-2</v>
      </c>
      <c r="W4" s="46">
        <f>MAX(Table2912[Isovalerate '[%']])</f>
        <v>5.5290634891771023E-2</v>
      </c>
      <c r="X4" s="46">
        <f>MAX(Table2912[CH4 '[g/mmol SCFA']])</f>
        <v>9.8206279817054103</v>
      </c>
      <c r="Y4" s="46">
        <f>MAX(Table2912[DMD '[mg/g']])</f>
        <v>997.11111111111143</v>
      </c>
      <c r="Z4" s="46">
        <f>MAX(Table2912[CH4 '[ml/g']])</f>
        <v>71.647142173082528</v>
      </c>
      <c r="AA4" s="46">
        <f>MAX(Table2912[CH4 '[% GP']])</f>
        <v>25.229662547268667</v>
      </c>
      <c r="AB4" s="46">
        <f>MAX(Table2912[CH4 '[g/g DDM']])</f>
        <v>84.963255181639781</v>
      </c>
      <c r="AC4" s="46"/>
      <c r="AD4" s="46"/>
      <c r="AE4" s="46">
        <f>MAX(Table2912[APB])</f>
        <v>8.9678815846419404</v>
      </c>
      <c r="AF4" s="46">
        <f>MAX(Table2912[ch4/APB])</f>
        <v>10.49684009806038</v>
      </c>
      <c r="AG4" s="46">
        <f>MAX(Table2912[P/A])</f>
        <v>0.73275223590057537</v>
      </c>
      <c r="AH4" s="46"/>
      <c r="AX4" t="s">
        <v>28</v>
      </c>
      <c r="AY4" s="199" t="s">
        <v>29</v>
      </c>
      <c r="AZ4" s="199"/>
      <c r="BA4" t="s">
        <v>30</v>
      </c>
      <c r="CI4" t="e" cm="1" vm="1">
        <f t="array" ref="CI4">_xlfn._xlws.SORT(_xlfn.UNIQUE(_xlfn._xlws.FILTER(Table2912[Substrate],Table2912[Rank]&lt;AC15)))</f>
        <v>#VALUE!</v>
      </c>
      <c r="CJ4" t="str" cm="1">
        <f t="array" ref="CJ4:CJ166">_xlfn.UNIQUE(_xlfn._xlws.FILTER(Table2912[Substrate],(Table2912[CH4 '[% GP']]&gt;0)*(Table2912[CH4 '[% GP']]&lt;Z10)))</f>
        <v xml:space="preserve">Leucaena pallida  </v>
      </c>
      <c r="CK4" t="str" cm="1">
        <f t="array" ref="CK4:CK28">_xlfn.UNIQUE(_xlfn._xlws.FILTER(Table2912[Substrate],(Table2912[CH4 '[g/g DDM']]&gt;0)*(Table2912[CH4 '[g/g DDM']]&lt;AB10)))</f>
        <v xml:space="preserve">Calliandra calothyrsus    </v>
      </c>
      <c r="CL4" t="str" cm="1">
        <f t="array" ref="CL4:CL166">_xlfn.UNIQUE(_xlfn._xlws.FILTER(Table2912[Substrate],Table2912[DMD '[mg/g']]&gt;O10))</f>
        <v xml:space="preserve">Leucaena pallida  </v>
      </c>
      <c r="CO4" s="49" t="s">
        <v>11</v>
      </c>
      <c r="CP4" s="51">
        <f>CORREL(INDEX(Table2912[[DMD '[mg/g']]:[CH4 '[g/g DDM']]],,MATCH(CP$2,Table2912[[#Headers],[DMD '[mg/g']]:[CH4 '[g/g DDM']]],0)),INDEX(Table2912[[DMD '[mg/g']]:[CH4 '[g/g DDM']]],,MATCH($CO4,Table2912[[#Headers],[DMD '[mg/g']]:[CH4 '[g/g DDM']]],0)))</f>
        <v>0.61431260507674712</v>
      </c>
      <c r="CQ4" s="51">
        <f>CORREL(INDEX(Table2912[[DMD '[mg/g']]:[CH4 '[g/g DDM']]],,MATCH(CQ$2,Table2912[[#Headers],[DMD '[mg/g']]:[CH4 '[g/g DDM']]],0)),INDEX(Table2912[[DMD '[mg/g']]:[CH4 '[g/g DDM']]],,MATCH($CO4,Table2912[[#Headers],[DMD '[mg/g']]:[CH4 '[g/g DDM']]],0)))</f>
        <v>0.99999999999999978</v>
      </c>
      <c r="CR4" s="51">
        <f>CORREL(INDEX(Table2912[[DMD '[mg/g']]:[CH4 '[g/g DDM']]],,MATCH(CR$2,Table2912[[#Headers],[DMD '[mg/g']]:[CH4 '[g/g DDM']]],0)),INDEX(Table2912[[DMD '[mg/g']]:[CH4 '[g/g DDM']]],,MATCH($CO4,Table2912[[#Headers],[DMD '[mg/g']]:[CH4 '[g/g DDM']]],0)))</f>
        <v>0.70229615840768889</v>
      </c>
      <c r="CS4" s="51">
        <f>CORREL(INDEX(Table2912[[DMD '[mg/g']]:[CH4 '[g/g DDM']]],,MATCH(CS$2,Table2912[[#Headers],[DMD '[mg/g']]:[CH4 '[g/g DDM']]],0)),INDEX(Table2912[[DMD '[mg/g']]:[CH4 '[g/g DDM']]],,MATCH($CO4,Table2912[[#Headers],[DMD '[mg/g']]:[CH4 '[g/g DDM']]],0)))</f>
        <v>0.79693899934163681</v>
      </c>
      <c r="CT4" s="51"/>
    </row>
    <row r="5" spans="3:100" x14ac:dyDescent="0.25">
      <c r="C5" s="45" t="s">
        <v>31</v>
      </c>
      <c r="M5" s="45" t="s">
        <v>31</v>
      </c>
      <c r="O5" s="46">
        <f>MEDIAN(Table2912[GP '[ml/g']])</f>
        <v>263.34945256610217</v>
      </c>
      <c r="P5" s="46">
        <f>MEDIAN(Table2912[SCFA '[mmol/g']])</f>
        <v>6.7153408872711449</v>
      </c>
      <c r="Q5" s="46">
        <f>MEDIAN(Table2912[Acetate '[%']])</f>
        <v>0.6739951400777735</v>
      </c>
      <c r="R5" s="46">
        <f>MEDIAN(Table2912[Propionate '[%']])</f>
        <v>0.16923557490742558</v>
      </c>
      <c r="S5" s="46">
        <f>MEDIAN(Table2912[Butyrate '[%']])</f>
        <v>9.3693847129908997E-2</v>
      </c>
      <c r="T5" s="46">
        <f>MEDIAN(Table2912[Valerate '[%']])</f>
        <v>1.706908054952104E-2</v>
      </c>
      <c r="U5" s="46">
        <f>MEDIAN(Table2912[Caproate '[%']])</f>
        <v>1.1660680713587311E-3</v>
      </c>
      <c r="V5" s="46">
        <f>MEDIAN(Table2912[Isobutyrate '[%']])</f>
        <v>1.507504726933556E-2</v>
      </c>
      <c r="W5" s="46">
        <f>MEDIAN(Table2912[Isovalerate '[%']])</f>
        <v>2.7453223123573376E-2</v>
      </c>
      <c r="X5" s="46">
        <f>MEDIAN(Table2912[CH4 '[g/mmol SCFA']])</f>
        <v>6.363602238112688</v>
      </c>
      <c r="Y5" s="46">
        <f>MEDIAN(Table2912[DMD '[mg/g']])</f>
        <v>800.55761207139972</v>
      </c>
      <c r="Z5" s="46">
        <f>MEDIAN(Table2912[CH4 '[ml/g']])</f>
        <v>42.306588772661037</v>
      </c>
      <c r="AA5" s="46">
        <f>MEDIAN(Table2912[CH4 '[% GP']])</f>
        <v>16.262219926870145</v>
      </c>
      <c r="AB5" s="46">
        <f>MEDIAN(Table2912[CH4 '[g/g DDM']])</f>
        <v>53.946044063391462</v>
      </c>
      <c r="AC5" s="46"/>
      <c r="AD5" s="46"/>
      <c r="AE5" s="46">
        <f>MEDIAN(Table2912[APB])</f>
        <v>6.2792504256860058</v>
      </c>
      <c r="AF5" s="46">
        <f>MEDIAN(Table2912[ch4/APB])</f>
        <v>6.7808783733254838</v>
      </c>
      <c r="AG5" s="46">
        <f>MEDIAN(Table2912[P/A])</f>
        <v>0.25096432526434942</v>
      </c>
      <c r="AH5" s="46"/>
      <c r="AW5" s="52" t="s">
        <v>32</v>
      </c>
      <c r="AX5">
        <v>20</v>
      </c>
      <c r="AY5">
        <v>0</v>
      </c>
      <c r="AZ5" s="16">
        <v>15</v>
      </c>
      <c r="BA5">
        <v>900</v>
      </c>
      <c r="BD5" s="53"/>
      <c r="CJ5" t="str">
        <v xml:space="preserve">Calliandra calothyrsus    </v>
      </c>
      <c r="CK5" t="str">
        <v xml:space="preserve">Leucaena diversifolia    </v>
      </c>
      <c r="CL5" t="str">
        <v xml:space="preserve">Calliandra calothyrsus    </v>
      </c>
      <c r="CO5" s="48" t="s">
        <v>12</v>
      </c>
      <c r="CP5" s="51">
        <f>CORREL(INDEX(Table2912[[DMD '[mg/g']]:[CH4 '[g/g DDM']]],,MATCH(CP$2,Table2912[[#Headers],[DMD '[mg/g']]:[CH4 '[g/g DDM']]],0)),INDEX(Table2912[[DMD '[mg/g']]:[CH4 '[g/g DDM']]],,MATCH($CO5,Table2912[[#Headers],[DMD '[mg/g']]:[CH4 '[g/g DDM']]],0)))</f>
        <v>0.22014117907542893</v>
      </c>
      <c r="CQ5" s="51">
        <f>CORREL(INDEX(Table2912[[DMD '[mg/g']]:[CH4 '[g/g DDM']]],,MATCH(CQ$2,Table2912[[#Headers],[DMD '[mg/g']]:[CH4 '[g/g DDM']]],0)),INDEX(Table2912[[DMD '[mg/g']]:[CH4 '[g/g DDM']]],,MATCH($CO5,Table2912[[#Headers],[DMD '[mg/g']]:[CH4 '[g/g DDM']]],0)))</f>
        <v>0.70229615840768889</v>
      </c>
      <c r="CR5" s="51">
        <f>CORREL(INDEX(Table2912[[DMD '[mg/g']]:[CH4 '[g/g DDM']]],,MATCH(CR$2,Table2912[[#Headers],[DMD '[mg/g']]:[CH4 '[g/g DDM']]],0)),INDEX(Table2912[[DMD '[mg/g']]:[CH4 '[g/g DDM']]],,MATCH($CO5,Table2912[[#Headers],[DMD '[mg/g']]:[CH4 '[g/g DDM']]],0)))</f>
        <v>1</v>
      </c>
      <c r="CS5" s="51">
        <f>CORREL(INDEX(Table2912[[DMD '[mg/g']]:[CH4 '[g/g DDM']]],,MATCH(CS$2,Table2912[[#Headers],[DMD '[mg/g']]:[CH4 '[g/g DDM']]],0)),INDEX(Table2912[[DMD '[mg/g']]:[CH4 '[g/g DDM']]],,MATCH($CO5,Table2912[[#Headers],[DMD '[mg/g']]:[CH4 '[g/g DDM']]],0)))</f>
        <v>0.73574130058503084</v>
      </c>
      <c r="CT5" s="51"/>
    </row>
    <row r="6" spans="3:100" x14ac:dyDescent="0.25">
      <c r="C6" s="45" t="s">
        <v>33</v>
      </c>
      <c r="M6" s="45" t="s">
        <v>33</v>
      </c>
      <c r="O6" s="54">
        <f>AVERAGE(Table2912[GP '[ml/g']])</f>
        <v>255.48975475009155</v>
      </c>
      <c r="P6" s="54">
        <f>AVERAGE(Table2912[SCFA '[mmol/g']])</f>
        <v>6.5374741757751247</v>
      </c>
      <c r="Q6" s="54">
        <f>AVERAGE(Table2912[Acetate '[%']])</f>
        <v>0.67312495150766816</v>
      </c>
      <c r="R6" s="54">
        <f>AVERAGE(Table2912[Propionate '[%']])</f>
        <v>0.17186748536493393</v>
      </c>
      <c r="S6" s="54">
        <f>AVERAGE(Table2912[Butyrate '[%']])</f>
        <v>9.2921818890954772E-2</v>
      </c>
      <c r="T6" s="54">
        <f>AVERAGE(Table2912[Valerate '[%']])</f>
        <v>1.765904650446112E-2</v>
      </c>
      <c r="U6" s="54">
        <f>AVERAGE(Table2912[Caproate '[%']])</f>
        <v>1.3330619059906158E-3</v>
      </c>
      <c r="V6" s="54">
        <f>AVERAGE(Table2912[Isobutyrate '[%']])</f>
        <v>1.5317645096750038E-2</v>
      </c>
      <c r="W6" s="54">
        <f>AVERAGE(Table2912[Isovalerate '[%']])</f>
        <v>2.7895099832521062E-2</v>
      </c>
      <c r="X6" s="54">
        <f>AVERAGE(Table2912[CH4 '[g/mmol SCFA']])</f>
        <v>6.2827380714676888</v>
      </c>
      <c r="Y6" s="54">
        <f>AVERAGE(Table2912[DMD '[mg/g']])</f>
        <v>775.99679019956091</v>
      </c>
      <c r="Z6" s="54">
        <f>AVERAGE(Table2912[CH4 '[ml/g']])</f>
        <v>41.398090159577315</v>
      </c>
      <c r="AA6" s="54">
        <f>AVERAGE(Table2912[CH4 '[% GP']])</f>
        <v>16.068272002528779</v>
      </c>
      <c r="AB6" s="54">
        <f>AVERAGE(Table2912[CH4 '[g/g DDM']])</f>
        <v>53.354177248667924</v>
      </c>
      <c r="AC6" s="54"/>
      <c r="AD6" s="54"/>
      <c r="AE6" s="54">
        <f>AVERAGE(Table2912[APB])</f>
        <v>6.1292493928406495</v>
      </c>
      <c r="AF6" s="54">
        <f>AVERAGE(Table2912[ch4/APB])</f>
        <v>6.6577779760893563</v>
      </c>
      <c r="AG6" s="54">
        <f>AVERAGE(Table2912[P/A])</f>
        <v>0.25665515319652149</v>
      </c>
      <c r="AH6" s="54"/>
      <c r="AW6" t="s">
        <v>34</v>
      </c>
      <c r="AX6">
        <v>20</v>
      </c>
      <c r="AY6">
        <v>15</v>
      </c>
      <c r="AZ6" s="16">
        <v>20</v>
      </c>
      <c r="BA6">
        <v>750</v>
      </c>
      <c r="CJ6" t="str">
        <v>Flemingia macrophylla</v>
      </c>
      <c r="CK6" t="str">
        <v>Albizzia saman</v>
      </c>
      <c r="CL6" t="str">
        <v>Flemingia macrophylla</v>
      </c>
      <c r="CO6" s="48" t="s">
        <v>13</v>
      </c>
      <c r="CP6" s="51">
        <f>CORREL(INDEX(Table2912[[DMD '[mg/g']]:[CH4 '[g/g DDM']]],,MATCH(CP$2,Table2912[[#Headers],[DMD '[mg/g']]:[CH4 '[g/g DDM']]],0)),INDEX(Table2912[[DMD '[mg/g']]:[CH4 '[g/g DDM']]],,MATCH($CO6,Table2912[[#Headers],[DMD '[mg/g']]:[CH4 '[g/g DDM']]],0)))</f>
        <v>3.9465072257358451E-2</v>
      </c>
      <c r="CQ6" s="51">
        <f>CORREL(INDEX(Table2912[[DMD '[mg/g']]:[CH4 '[g/g DDM']]],,MATCH(CQ$2,Table2912[[#Headers],[DMD '[mg/g']]:[CH4 '[g/g DDM']]],0)),INDEX(Table2912[[DMD '[mg/g']]:[CH4 '[g/g DDM']]],,MATCH($CO6,Table2912[[#Headers],[DMD '[mg/g']]:[CH4 '[g/g DDM']]],0)))</f>
        <v>0.79693899934163681</v>
      </c>
      <c r="CR6" s="51">
        <f>CORREL(INDEX(Table2912[[DMD '[mg/g']]:[CH4 '[g/g DDM']]],,MATCH(CR$2,Table2912[[#Headers],[DMD '[mg/g']]:[CH4 '[g/g DDM']]],0)),INDEX(Table2912[[DMD '[mg/g']]:[CH4 '[g/g DDM']]],,MATCH($CO6,Table2912[[#Headers],[DMD '[mg/g']]:[CH4 '[g/g DDM']]],0)))</f>
        <v>0.73574130058503084</v>
      </c>
      <c r="CS6" s="51">
        <f>CORREL(INDEX(Table2912[[DMD '[mg/g']]:[CH4 '[g/g DDM']]],,MATCH(CS$2,Table2912[[#Headers],[DMD '[mg/g']]:[CH4 '[g/g DDM']]],0)),INDEX(Table2912[[DMD '[mg/g']]:[CH4 '[g/g DDM']]],,MATCH($CO6,Table2912[[#Headers],[DMD '[mg/g']]:[CH4 '[g/g DDM']]],0)))</f>
        <v>1.0000000000000002</v>
      </c>
      <c r="CT6" s="51"/>
    </row>
    <row r="7" spans="3:100" x14ac:dyDescent="0.25">
      <c r="C7" s="45" t="s">
        <v>35</v>
      </c>
      <c r="M7" s="45" t="s">
        <v>35</v>
      </c>
      <c r="O7" s="55">
        <f>COUNT(Table2912[GP '[ml/g']])</f>
        <v>510</v>
      </c>
      <c r="P7" s="55">
        <f>COUNT(Table2912[SCFA '[mmol/g']])</f>
        <v>514</v>
      </c>
      <c r="Q7" s="55">
        <f>COUNT(Table2912[Acetate '[%']])</f>
        <v>514</v>
      </c>
      <c r="R7" s="55">
        <f>COUNT(Table2912[Propionate '[%']])</f>
        <v>514</v>
      </c>
      <c r="S7" s="55">
        <f>COUNT(Table2912[Butyrate '[%']])</f>
        <v>514</v>
      </c>
      <c r="T7" s="55">
        <f>COUNT(Table2912[Valerate '[%']])</f>
        <v>514</v>
      </c>
      <c r="U7" s="55">
        <f>COUNT(Table2912[Caproate '[%']])</f>
        <v>514</v>
      </c>
      <c r="V7" s="55">
        <f>COUNT(Table2912[Isobutyrate '[%']])</f>
        <v>514</v>
      </c>
      <c r="W7" s="55">
        <f>COUNT(Table2912[Isovalerate '[%']])</f>
        <v>514</v>
      </c>
      <c r="X7" s="55">
        <f>COUNT(Table2912[CH4 '[g/mmol SCFA']])</f>
        <v>510</v>
      </c>
      <c r="Y7" s="55">
        <f>COUNT(Table2912[DMD '[mg/g']])</f>
        <v>511</v>
      </c>
      <c r="Z7" s="55">
        <f>COUNT(Table2912[CH4 '[ml/g']])</f>
        <v>510</v>
      </c>
      <c r="AA7" s="55">
        <f>COUNT(Table2912[CH4 '[% GP']])</f>
        <v>510</v>
      </c>
      <c r="AB7" s="55">
        <f>COUNT(Table2912[CH4 '[g/g DDM']])</f>
        <v>509</v>
      </c>
      <c r="AC7" s="55"/>
      <c r="AD7" s="55"/>
      <c r="AE7" s="55">
        <f>COUNT(Table2912[APB])</f>
        <v>514</v>
      </c>
      <c r="AF7" s="55">
        <f>COUNT(Table2912[ch4/APB])</f>
        <v>514</v>
      </c>
      <c r="AG7" s="55">
        <f>COUNT(Table2912[P/A])</f>
        <v>514</v>
      </c>
      <c r="AH7" s="55"/>
      <c r="CJ7" t="str">
        <v>Cajanus cajan</v>
      </c>
      <c r="CK7" t="str">
        <v xml:space="preserve">Codariocalyx gyroides    </v>
      </c>
      <c r="CL7" t="str">
        <v>Cajanus cajan</v>
      </c>
    </row>
    <row r="8" spans="3:100" ht="15.75" thickBot="1" x14ac:dyDescent="0.3">
      <c r="C8" s="45" t="s">
        <v>36</v>
      </c>
      <c r="M8" s="45" t="s">
        <v>36</v>
      </c>
      <c r="O8" s="46">
        <f>_xlfn.VAR.S(Table2912[GP '[ml/g']])</f>
        <v>2844.6748671576615</v>
      </c>
      <c r="P8" s="46">
        <f>_xlfn.VAR.S(Table2912[SCFA '[mmol/g']])</f>
        <v>1.437476025771437</v>
      </c>
      <c r="Q8" s="46">
        <f>_xlfn.VAR.S(Table2912[Acetate '[%']])</f>
        <v>8.0890357657877738E-4</v>
      </c>
      <c r="R8" s="46">
        <f>_xlfn.VAR.S(Table2912[Propionate '[%']])</f>
        <v>5.6449849895971814E-4</v>
      </c>
      <c r="S8" s="46">
        <f>_xlfn.VAR.S(Table2912[Butyrate '[%']])</f>
        <v>3.0007534494544955E-4</v>
      </c>
      <c r="T8" s="46">
        <f>_xlfn.VAR.S(Table2912[Valerate '[%']])</f>
        <v>2.656999683293854E-5</v>
      </c>
      <c r="U8" s="46">
        <f>_xlfn.VAR.S(Table2912[Caproate '[%']])</f>
        <v>9.6120117178905409E-7</v>
      </c>
      <c r="V8" s="46">
        <f>_xlfn.VAR.S(Table2912[Isobutyrate '[%']])</f>
        <v>1.957978665177025E-5</v>
      </c>
      <c r="W8" s="46">
        <f>_xlfn.VAR.S(Table2912[Isovalerate '[%']])</f>
        <v>7.7114607065101415E-5</v>
      </c>
      <c r="X8" s="46">
        <f>_xlfn.VAR.S(Table2912[CH4 '[g/mmol SCFA']])</f>
        <v>1.7993570757284254</v>
      </c>
      <c r="Y8" s="46">
        <f>_xlfn.VAR.S(Table2912[DMD '[mg/g']])</f>
        <v>18716.669691690979</v>
      </c>
      <c r="Z8" s="46">
        <f>_xlfn.VAR.S(Table2912[CH4 '[ml/g']])</f>
        <v>141.76672209389915</v>
      </c>
      <c r="AA8" s="46">
        <f>_xlfn.VAR.S(Table2912[CH4 '[% GP']])</f>
        <v>8.7695294167679592</v>
      </c>
      <c r="AB8" s="46">
        <f>_xlfn.VAR.S(Table2912[CH4 '[g/g DDM']])</f>
        <v>147.46637679664849</v>
      </c>
      <c r="AC8" s="46"/>
      <c r="AD8" s="46"/>
      <c r="AE8" s="46">
        <f>_xlfn.VAR.S(Table2912[APB])</f>
        <v>1.2597334848678816</v>
      </c>
      <c r="AF8" s="46">
        <f>_xlfn.VAR.S(Table2912[ch4/APB])</f>
        <v>2.5014892843534118</v>
      </c>
      <c r="AG8" s="46">
        <f>_xlfn.VAR.S(Table2912[P/A])</f>
        <v>2.1477904552114485E-3</v>
      </c>
      <c r="AH8" s="46"/>
      <c r="CJ8" t="str">
        <v xml:space="preserve">Leucaena diversifolia    </v>
      </c>
      <c r="CK8" t="str">
        <v>Grona heterocarpa</v>
      </c>
      <c r="CL8" t="str">
        <v xml:space="preserve">Leucaena diversifolia    </v>
      </c>
      <c r="CO8" s="56" t="s">
        <v>37</v>
      </c>
      <c r="CP8" s="48" t="s">
        <v>10</v>
      </c>
      <c r="CQ8" s="48" t="s">
        <v>13</v>
      </c>
      <c r="CR8" s="48" t="s">
        <v>12</v>
      </c>
      <c r="CS8" s="49" t="s">
        <v>11</v>
      </c>
    </row>
    <row r="9" spans="3:100" x14ac:dyDescent="0.25">
      <c r="C9" s="12"/>
      <c r="M9" s="12"/>
      <c r="AK9" s="57" t="s">
        <v>10</v>
      </c>
      <c r="AL9" s="58" t="s">
        <v>11</v>
      </c>
      <c r="AM9" s="58" t="s">
        <v>12</v>
      </c>
      <c r="AN9" s="58" t="s">
        <v>13</v>
      </c>
      <c r="BD9" s="53"/>
      <c r="CJ9" t="str">
        <v>Grona heterocarpa</v>
      </c>
      <c r="CK9" t="str">
        <v xml:space="preserve">Desmanthus leptophyllus  </v>
      </c>
      <c r="CL9" t="str">
        <v>Grona heterocarpa</v>
      </c>
      <c r="CO9" s="48" t="s">
        <v>10</v>
      </c>
      <c r="CP9" s="51">
        <f>_xlfn.COVARIANCE.S(INDEX(Table2912[[DMD '[mg/g']]:[CH4 '[g/g DDM']]],,MATCH(CP$8,Table2912[[#Headers],[DMD '[mg/g']]:[CH4 '[g/g DDM']]],0)),INDEX(Table2912[[DMD '[mg/g']]:[CH4 '[g/g DDM']]],,MATCH($CO9,Table2912[[#Headers],[DMD '[mg/g']]:[CH4 '[g/g DDM']]],0)))</f>
        <v>18716.669691688909</v>
      </c>
      <c r="CQ9" s="51">
        <f>_xlfn.COVARIANCE.S(INDEX(Table2912[[DMD '[mg/g']]:[CH4 '[g/g DDM']]],,MATCH(CQ$8,Table2912[[#Headers],[DMD '[mg/g']]:[CH4 '[g/g DDM']]],0)),INDEX(Table2912[[DMD '[mg/g']]:[CH4 '[g/g DDM']]],,MATCH($CO9,Table2912[[#Headers],[DMD '[mg/g']]:[CH4 '[g/g DDM']]],0)))</f>
        <v>65.693430311943786</v>
      </c>
      <c r="CR9" s="51">
        <f>_xlfn.COVARIANCE.S(INDEX(Table2912[[DMD '[mg/g']]:[CH4 '[g/g DDM']]],,MATCH(CR$8,Table2912[[#Headers],[DMD '[mg/g']]:[CH4 '[g/g DDM']]],0)),INDEX(Table2912[[DMD '[mg/g']]:[CH4 '[g/g DDM']]],,MATCH($CO9,Table2912[[#Headers],[DMD '[mg/g']]:[CH4 '[g/g DDM']]],0)))</f>
        <v>87.874996429139344</v>
      </c>
      <c r="CS9" s="51">
        <f>_xlfn.COVARIANCE.S(INDEX(Table2912[[DMD '[mg/g']]:[CH4 '[g/g DDM']]],,MATCH(CS$8,Table2912[[#Headers],[DMD '[mg/g']]:[CH4 '[g/g DDM']]],0)),INDEX(Table2912[[DMD '[mg/g']]:[CH4 '[g/g DDM']]],,MATCH($CO9,Table2912[[#Headers],[DMD '[mg/g']]:[CH4 '[g/g DDM']]],0)))</f>
        <v>994.52314038186569</v>
      </c>
    </row>
    <row r="10" spans="3:100" x14ac:dyDescent="0.25">
      <c r="C10" s="45" t="s">
        <v>38</v>
      </c>
      <c r="M10" s="45" t="s">
        <v>38</v>
      </c>
      <c r="O10" s="46">
        <f t="shared" ref="O10:AB10" si="0">IFERROR(O6+O11,"")</f>
        <v>202.15426124756866</v>
      </c>
      <c r="P10" s="46">
        <f t="shared" si="0"/>
        <v>5.3385262929330732</v>
      </c>
      <c r="Q10" s="46">
        <f t="shared" si="0"/>
        <v>0.64468372128500062</v>
      </c>
      <c r="R10" s="46">
        <f t="shared" si="0"/>
        <v>0.14810830821252147</v>
      </c>
      <c r="S10" s="46">
        <f t="shared" si="0"/>
        <v>7.5599135930586037E-2</v>
      </c>
      <c r="T10" s="46">
        <f t="shared" si="0"/>
        <v>1.2504437224123905E-2</v>
      </c>
      <c r="U10" s="46">
        <f t="shared" si="0"/>
        <v>3.5265323008599396E-4</v>
      </c>
      <c r="V10" s="46">
        <f t="shared" si="0"/>
        <v>1.0892739826377546E-2</v>
      </c>
      <c r="W10" s="46">
        <f t="shared" si="0"/>
        <v>1.9113607529666073E-2</v>
      </c>
      <c r="X10" s="46">
        <f t="shared" si="0"/>
        <v>4.9413369100963322</v>
      </c>
      <c r="Y10" s="46">
        <f t="shared" si="0"/>
        <v>912.80567036342666</v>
      </c>
      <c r="Z10" s="46">
        <f t="shared" si="0"/>
        <v>29.491507018562459</v>
      </c>
      <c r="AA10" s="46">
        <f t="shared" si="0"/>
        <v>11.626263314139267</v>
      </c>
      <c r="AB10" s="46">
        <f t="shared" si="0"/>
        <v>35.138817032837466</v>
      </c>
      <c r="AC10" s="46"/>
      <c r="AD10" s="46" t="str">
        <f t="shared" ref="AD10:AG10" si="1">IFERROR(AD6+AD11,"")</f>
        <v/>
      </c>
      <c r="AE10" s="46">
        <f t="shared" si="1"/>
        <v>1.6397354149265473</v>
      </c>
      <c r="AF10" s="46">
        <f t="shared" si="1"/>
        <v>0.33133912396610299</v>
      </c>
      <c r="AG10" s="46">
        <f t="shared" si="1"/>
        <v>7.1278112322029213E-2</v>
      </c>
      <c r="AH10" s="46"/>
      <c r="AI10" s="51"/>
      <c r="AJ10" s="51"/>
      <c r="AK10" s="59">
        <f>Y6</f>
        <v>775.99679019956091</v>
      </c>
      <c r="AL10" s="59">
        <f>Z6</f>
        <v>41.398090159577315</v>
      </c>
      <c r="AM10" s="59">
        <f t="shared" ref="AM10:AN10" si="2">AA6</f>
        <v>16.068272002528779</v>
      </c>
      <c r="AN10" s="59">
        <f t="shared" si="2"/>
        <v>53.354177248667924</v>
      </c>
      <c r="CJ10" t="str">
        <v xml:space="preserve">Desmanthus leptophyllus  </v>
      </c>
      <c r="CK10" t="str">
        <v>Trifolium burchellianum</v>
      </c>
      <c r="CL10" t="str">
        <v xml:space="preserve">Desmanthus leptophyllus  </v>
      </c>
      <c r="CO10" s="49" t="s">
        <v>11</v>
      </c>
      <c r="CP10" s="51">
        <f>_xlfn.COVARIANCE.S(INDEX(Table2912[[DMD '[mg/g']]:[CH4 '[g/g DDM']]],,MATCH(CP$8,Table2912[[#Headers],[DMD '[mg/g']]:[CH4 '[g/g DDM']]],0)),INDEX(Table2912[[DMD '[mg/g']]:[CH4 '[g/g DDM']]],,MATCH($CO10,Table2912[[#Headers],[DMD '[mg/g']]:[CH4 '[g/g DDM']]],0)))</f>
        <v>994.52314038186569</v>
      </c>
      <c r="CQ10" s="51">
        <f>_xlfn.COVARIANCE.S(INDEX(Table2912[[DMD '[mg/g']]:[CH4 '[g/g DDM']]],,MATCH(CQ$8,Table2912[[#Headers],[DMD '[mg/g']]:[CH4 '[g/g DDM']]],0)),INDEX(Table2912[[DMD '[mg/g']]:[CH4 '[g/g DDM']]],,MATCH($CO10,Table2912[[#Headers],[DMD '[mg/g']]:[CH4 '[g/g DDM']]],0)))</f>
        <v>114.2969175946903</v>
      </c>
      <c r="CR10" s="51">
        <f>_xlfn.COVARIANCE.S(INDEX(Table2912[[DMD '[mg/g']]:[CH4 '[g/g DDM']]],,MATCH(CR$8,Table2912[[#Headers],[DMD '[mg/g']]:[CH4 '[g/g DDM']]],0)),INDEX(Table2912[[DMD '[mg/g']]:[CH4 '[g/g DDM']]],,MATCH($CO10,Table2912[[#Headers],[DMD '[mg/g']]:[CH4 '[g/g DDM']]],0)))</f>
        <v>24.762562593139627</v>
      </c>
      <c r="CS10" s="51">
        <f>_xlfn.COVARIANCE.S(INDEX(Table2912[[DMD '[mg/g']]:[CH4 '[g/g DDM']]],,MATCH(CS$8,Table2912[[#Headers],[DMD '[mg/g']]:[CH4 '[g/g DDM']]],0)),INDEX(Table2912[[DMD '[mg/g']]:[CH4 '[g/g DDM']]],,MATCH($CO10,Table2912[[#Headers],[DMD '[mg/g']]:[CH4 '[g/g DDM']]],0)))</f>
        <v>141.76672209390077</v>
      </c>
    </row>
    <row r="11" spans="3:100" x14ac:dyDescent="0.25">
      <c r="C11" s="45" t="s">
        <v>39</v>
      </c>
      <c r="M11" s="45" t="s">
        <v>39</v>
      </c>
      <c r="N11" s="51" t="str">
        <f t="shared" ref="N11:AB11" si="3">IFERROR(N13*N2*IF(N14="&lt;",-1,IF(N14="&gt;",1,"")),"")</f>
        <v/>
      </c>
      <c r="O11" s="46">
        <f t="shared" si="3"/>
        <v>-53.335493502522894</v>
      </c>
      <c r="P11" s="46">
        <f t="shared" si="3"/>
        <v>-1.1989478828420512</v>
      </c>
      <c r="Q11" s="46">
        <f t="shared" si="3"/>
        <v>-2.8441230222667539E-2</v>
      </c>
      <c r="R11" s="46">
        <f t="shared" si="3"/>
        <v>-2.3759177152412457E-2</v>
      </c>
      <c r="S11" s="46">
        <f t="shared" si="3"/>
        <v>-1.7322682960368742E-2</v>
      </c>
      <c r="T11" s="46">
        <f t="shared" si="3"/>
        <v>-5.1546092803372145E-3</v>
      </c>
      <c r="U11" s="46">
        <f t="shared" si="3"/>
        <v>-9.8040867590462187E-4</v>
      </c>
      <c r="V11" s="46">
        <f t="shared" si="3"/>
        <v>-4.4249052703724916E-3</v>
      </c>
      <c r="W11" s="46">
        <f t="shared" si="3"/>
        <v>-8.7814923028549895E-3</v>
      </c>
      <c r="X11" s="46">
        <f t="shared" si="3"/>
        <v>-1.341401161371357</v>
      </c>
      <c r="Y11" s="46">
        <f t="shared" si="3"/>
        <v>136.80888016386575</v>
      </c>
      <c r="Z11" s="46">
        <f t="shared" si="3"/>
        <v>-11.906583141014854</v>
      </c>
      <c r="AA11" s="46">
        <f t="shared" si="3"/>
        <v>-4.442008688389512</v>
      </c>
      <c r="AB11" s="46">
        <f t="shared" si="3"/>
        <v>-18.215360215830458</v>
      </c>
      <c r="AC11" s="46"/>
      <c r="AD11" s="46" t="str">
        <f>IFERROR(AD13*AD2*IF(AD14="&lt;",-1,IF(AD14="&gt;",1,"")),"")</f>
        <v/>
      </c>
      <c r="AE11" s="46">
        <f>IFERROR(AE13*AE2*IF(AE14="&lt;",-1,IF(AE14="&gt;",1,"")),"")</f>
        <v>-4.4895139779141022</v>
      </c>
      <c r="AF11" s="46">
        <f>IFERROR(AF13*AF2*IF(AF14="&lt;",-1,IF(AF14="&gt;",1,"")),"")</f>
        <v>-6.3264388521232533</v>
      </c>
      <c r="AG11" s="46">
        <f>IFERROR(AG13*AG2*IF(AG14="&lt;",-1,IF(AG14="&gt;",1,"")),"")</f>
        <v>-0.18537704087449228</v>
      </c>
      <c r="AH11" s="46"/>
      <c r="AI11" s="51"/>
      <c r="AJ11" s="60" t="s">
        <v>40</v>
      </c>
      <c r="AK11" s="61">
        <v>0.1</v>
      </c>
      <c r="AL11" s="61">
        <v>0.1</v>
      </c>
      <c r="AM11" s="61">
        <v>0.1</v>
      </c>
      <c r="AN11" s="61">
        <v>0.1</v>
      </c>
      <c r="CJ11" t="str">
        <v>Cratylia mollis</v>
      </c>
      <c r="CK11" t="str">
        <v>Cajanus cajan</v>
      </c>
      <c r="CL11" t="str">
        <v>Cratylia mollis</v>
      </c>
      <c r="CO11" s="48" t="s">
        <v>12</v>
      </c>
      <c r="CP11" s="51">
        <f>_xlfn.COVARIANCE.S(INDEX(Table2912[[DMD '[mg/g']]:[CH4 '[g/g DDM']]],,MATCH(CP$8,Table2912[[#Headers],[DMD '[mg/g']]:[CH4 '[g/g DDM']]],0)),INDEX(Table2912[[DMD '[mg/g']]:[CH4 '[g/g DDM']]],,MATCH($CO11,Table2912[[#Headers],[DMD '[mg/g']]:[CH4 '[g/g DDM']]],0)))</f>
        <v>87.874996429139344</v>
      </c>
      <c r="CQ11" s="51">
        <f>_xlfn.COVARIANCE.S(INDEX(Table2912[[DMD '[mg/g']]:[CH4 '[g/g DDM']]],,MATCH(CQ$8,Table2912[[#Headers],[DMD '[mg/g']]:[CH4 '[g/g DDM']]],0)),INDEX(Table2912[[DMD '[mg/g']]:[CH4 '[g/g DDM']]],,MATCH($CO11,Table2912[[#Headers],[DMD '[mg/g']]:[CH4 '[g/g DDM']]],0)))</f>
        <v>26.017953912105234</v>
      </c>
      <c r="CR11" s="51">
        <f>_xlfn.COVARIANCE.S(INDEX(Table2912[[DMD '[mg/g']]:[CH4 '[g/g DDM']]],,MATCH(CR$8,Table2912[[#Headers],[DMD '[mg/g']]:[CH4 '[g/g DDM']]],0)),INDEX(Table2912[[DMD '[mg/g']]:[CH4 '[g/g DDM']]],,MATCH($CO11,Table2912[[#Headers],[DMD '[mg/g']]:[CH4 '[g/g DDM']]],0)))</f>
        <v>8.769529416767778</v>
      </c>
      <c r="CS11" s="51">
        <f>_xlfn.COVARIANCE.S(INDEX(Table2912[[DMD '[mg/g']]:[CH4 '[g/g DDM']]],,MATCH(CS$8,Table2912[[#Headers],[DMD '[mg/g']]:[CH4 '[g/g DDM']]],0)),INDEX(Table2912[[DMD '[mg/g']]:[CH4 '[g/g DDM']]],,MATCH($CO11,Table2912[[#Headers],[DMD '[mg/g']]:[CH4 '[g/g DDM']]],0)))</f>
        <v>24.762562593139627</v>
      </c>
    </row>
    <row r="12" spans="3:100" x14ac:dyDescent="0.25">
      <c r="AB12" s="51"/>
      <c r="AJ12" s="62" t="s">
        <v>41</v>
      </c>
      <c r="AK12" s="63">
        <f>COUNT(Y20:Y533)*AK11</f>
        <v>51.1</v>
      </c>
      <c r="AL12" s="62">
        <f>COUNT(Z20:Z533)*AL11</f>
        <v>51</v>
      </c>
      <c r="AM12" s="62">
        <f t="shared" ref="AM12:AN12" si="4">COUNT(AA20:AA533)*AM11</f>
        <v>51</v>
      </c>
      <c r="AN12" s="63">
        <f t="shared" si="4"/>
        <v>50.900000000000006</v>
      </c>
      <c r="CJ12" t="str">
        <v>Cajanus  cajan</v>
      </c>
      <c r="CK12" t="str">
        <v xml:space="preserve">Leucaena trichodes  </v>
      </c>
      <c r="CL12" t="str">
        <v>Cajanus  cajan</v>
      </c>
      <c r="CO12" s="48" t="s">
        <v>13</v>
      </c>
      <c r="CP12" s="51">
        <f>_xlfn.COVARIANCE.S(INDEX(Table2912[[DMD '[mg/g']]:[CH4 '[g/g DDM']]],,MATCH(CP$8,Table2912[[#Headers],[DMD '[mg/g']]:[CH4 '[g/g DDM']]],0)),INDEX(Table2912[[DMD '[mg/g']]:[CH4 '[g/g DDM']]],,MATCH($CO12,Table2912[[#Headers],[DMD '[mg/g']]:[CH4 '[g/g DDM']]],0)))</f>
        <v>65.693430311943786</v>
      </c>
      <c r="CQ12" s="51">
        <f>_xlfn.COVARIANCE.S(INDEX(Table2912[[DMD '[mg/g']]:[CH4 '[g/g DDM']]],,MATCH(CQ$8,Table2912[[#Headers],[DMD '[mg/g']]:[CH4 '[g/g DDM']]],0)),INDEX(Table2912[[DMD '[mg/g']]:[CH4 '[g/g DDM']]],,MATCH($CO12,Table2912[[#Headers],[DMD '[mg/g']]:[CH4 '[g/g DDM']]],0)))</f>
        <v>147.46637679665287</v>
      </c>
      <c r="CR12" s="51">
        <f>_xlfn.COVARIANCE.S(INDEX(Table2912[[DMD '[mg/g']]:[CH4 '[g/g DDM']]],,MATCH(CR$8,Table2912[[#Headers],[DMD '[mg/g']]:[CH4 '[g/g DDM']]],0)),INDEX(Table2912[[DMD '[mg/g']]:[CH4 '[g/g DDM']]],,MATCH($CO12,Table2912[[#Headers],[DMD '[mg/g']]:[CH4 '[g/g DDM']]],0)))</f>
        <v>26.017953912105234</v>
      </c>
      <c r="CS12" s="51">
        <f>_xlfn.COVARIANCE.S(INDEX(Table2912[[DMD '[mg/g']]:[CH4 '[g/g DDM']]],,MATCH(CS$8,Table2912[[#Headers],[DMD '[mg/g']]:[CH4 '[g/g DDM']]],0)),INDEX(Table2912[[DMD '[mg/g']]:[CH4 '[g/g DDM']]],,MATCH($CO12,Table2912[[#Headers],[DMD '[mg/g']]:[CH4 '[g/g DDM']]],0)))</f>
        <v>114.2969175946903</v>
      </c>
    </row>
    <row r="13" spans="3:100" x14ac:dyDescent="0.25">
      <c r="C13" s="64" t="s">
        <v>42</v>
      </c>
      <c r="M13" s="64" t="s">
        <v>42</v>
      </c>
      <c r="O13" s="65">
        <v>1</v>
      </c>
      <c r="P13" s="65">
        <v>1</v>
      </c>
      <c r="Q13" s="65">
        <v>1</v>
      </c>
      <c r="R13" s="65">
        <v>1</v>
      </c>
      <c r="S13" s="65">
        <v>1</v>
      </c>
      <c r="T13" s="65">
        <v>1</v>
      </c>
      <c r="U13" s="65">
        <v>1</v>
      </c>
      <c r="V13" s="65">
        <v>1</v>
      </c>
      <c r="W13" s="65">
        <v>1</v>
      </c>
      <c r="X13" s="65">
        <v>1</v>
      </c>
      <c r="Y13" s="65">
        <v>1</v>
      </c>
      <c r="Z13" s="65">
        <v>1</v>
      </c>
      <c r="AA13" s="65">
        <v>1.5</v>
      </c>
      <c r="AB13" s="66">
        <v>1.5</v>
      </c>
      <c r="AC13" s="67">
        <v>0.05</v>
      </c>
      <c r="AE13" s="66">
        <v>4</v>
      </c>
      <c r="AF13" s="66">
        <v>4</v>
      </c>
      <c r="AG13" s="66">
        <v>4</v>
      </c>
      <c r="AH13" s="66"/>
      <c r="AJ13" s="68" t="s">
        <v>33</v>
      </c>
      <c r="AK13" s="69" cm="1">
        <f t="array" ref="AK13">AVERAGE(_xlfn._xlws.FILTER(Y$20:Y$534,Y$20:Y$534&gt;LARGE(Y$20:Y$534,COUNT(Y$20:Y$534)*AK$11)))</f>
        <v>958.48795421974046</v>
      </c>
      <c r="AL13" s="69" cm="1">
        <f t="array" ref="AL13">AVERAGE(_xlfn._xlws.FILTER(Z$20:Z$534,Z$20:Z$534&lt;=SMALL(Z$20:Z$534,COUNT(Z$20:Z$534)*AL$11)))</f>
        <v>18.280372452277589</v>
      </c>
      <c r="AM13" s="69" cm="1">
        <f t="array" ref="AM13">AVERAGE(_xlfn._xlws.FILTER(AA$20:AA$534,AA$20:AA$534&lt;=SMALL(AA$20:AA$534,COUNT(AA$20:AA$534)*AM$11)))</f>
        <v>10.549879726017934</v>
      </c>
      <c r="AN13" s="69" cm="1">
        <f t="array" ref="AN13">AVERAGE(_xlfn._xlws.FILTER(AB$20:AB$534,AB$20:AB$534&lt;=SMALL(AB$20:AB$534,COUNT(AB$20:AB$534)*AN$11)))</f>
        <v>29.709854034672979</v>
      </c>
      <c r="BD13" s="70"/>
      <c r="CJ13" t="str">
        <v>Albizzia saman</v>
      </c>
      <c r="CK13" t="str">
        <v>Leucaena diversifolia</v>
      </c>
      <c r="CL13" t="str">
        <v>Albizzia saman</v>
      </c>
    </row>
    <row r="14" spans="3:100" x14ac:dyDescent="0.25">
      <c r="C14" s="64" t="s">
        <v>43</v>
      </c>
      <c r="I14" t="s">
        <v>44</v>
      </c>
      <c r="M14" s="64" t="s">
        <v>43</v>
      </c>
      <c r="O14" s="66" t="s">
        <v>24</v>
      </c>
      <c r="P14" s="66" t="s">
        <v>24</v>
      </c>
      <c r="Q14" s="66" t="s">
        <v>24</v>
      </c>
      <c r="R14" s="66" t="s">
        <v>24</v>
      </c>
      <c r="S14" s="66" t="s">
        <v>24</v>
      </c>
      <c r="T14" s="66" t="s">
        <v>24</v>
      </c>
      <c r="U14" s="66" t="s">
        <v>24</v>
      </c>
      <c r="V14" s="66" t="s">
        <v>24</v>
      </c>
      <c r="W14" s="66" t="s">
        <v>24</v>
      </c>
      <c r="X14" s="66" t="s">
        <v>24</v>
      </c>
      <c r="Y14" s="66" t="s">
        <v>25</v>
      </c>
      <c r="Z14" s="66" t="s">
        <v>24</v>
      </c>
      <c r="AA14" s="66" t="s">
        <v>24</v>
      </c>
      <c r="AB14" s="66" t="s">
        <v>24</v>
      </c>
      <c r="AC14" s="71"/>
      <c r="AE14" s="66" t="s">
        <v>24</v>
      </c>
      <c r="AF14" s="66" t="s">
        <v>24</v>
      </c>
      <c r="AG14" s="66" t="s">
        <v>24</v>
      </c>
      <c r="AH14" s="66"/>
      <c r="AJ14" s="62" t="s">
        <v>45</v>
      </c>
      <c r="AK14" s="72" cm="1">
        <f t="array" ref="AK14">AVERAGE(_xlfn._xlws.FILTER(Y$20:Y$533,Y$20:Y$533=SMALL(Y$20:Y$533,COUNT(Y$20:Y$533)*AK$11)))</f>
        <v>571.00329778846481</v>
      </c>
      <c r="AL14" s="72" cm="1">
        <f t="array" ref="AL14">AVERAGE(_xlfn._xlws.FILTER(Z$20:Z$533,Z$20:Z$533=LARGE(Z$20:Z$533,COUNT(Z$20:Z$533)*AL$11)))</f>
        <v>56.176572878541506</v>
      </c>
      <c r="AM14" s="72" cm="1">
        <f t="array" ref="AM14">AVERAGE(_xlfn._xlws.FILTER(AA$20:AA$533,AA$20:AA$533=LARGE(AA$20:AA$533,COUNT(AA$20:AA$533)*AM$11)))</f>
        <v>19.55955106601084</v>
      </c>
      <c r="AN14" s="72" cm="1">
        <f t="array" ref="AN14">AVERAGE(_xlfn._xlws.FILTER(AB$20:AB$533,AB$20:AB$533=LARGE(AB$20:AB$533,COUNT(AB$20:AB$533)*AN$11)))</f>
        <v>67.818417811704734</v>
      </c>
      <c r="CJ14" t="str">
        <v xml:space="preserve">Leucaena trichodes  </v>
      </c>
      <c r="CK14" t="str">
        <v>Calliandra magdalenae</v>
      </c>
      <c r="CL14" t="str">
        <v xml:space="preserve">Leucaena trichodes  </v>
      </c>
      <c r="CO14" s="73" t="s">
        <v>46</v>
      </c>
      <c r="CP14" s="74">
        <f>INDEX(O11:AC19,1,MATCH(CP8,Table2912[[#Headers],[GP '[ml/g']]:[CH4 '[g/g DDM']]],0))</f>
        <v>136.80888016386575</v>
      </c>
      <c r="CQ14" s="74">
        <f>INDEX($O$11:$AB$16,1,MATCH(CQ8,Table2912[[#Headers],[GP '[ml/g']]:[CH4 '[g/g DDM']]],0))</f>
        <v>-18.215360215830458</v>
      </c>
      <c r="CR14" s="74">
        <f>INDEX($O$11:$AB$16,1,MATCH(CR8,Table2912[[#Headers],[GP '[ml/g']]:[CH4 '[g/g DDM']]],0))</f>
        <v>-4.442008688389512</v>
      </c>
      <c r="CS14" s="74">
        <f>INDEX($O$11:$AB$16,1,MATCH(CS8,Table2912[[#Headers],[GP '[ml/g']]:[CH4 '[g/g DDM']]],0))</f>
        <v>-11.906583141014854</v>
      </c>
      <c r="CU14">
        <f>MATCH(CP8,Table2912[[#Headers],[DMD '[mg/g']]:[Index]],0)</f>
        <v>1</v>
      </c>
      <c r="CV14">
        <f>MATCH(CQ8,Table2912[[#Headers],[DMD '[mg/g']]:[Index]],0)</f>
        <v>4</v>
      </c>
    </row>
    <row r="15" spans="3:100" x14ac:dyDescent="0.25">
      <c r="C15" s="64" t="s">
        <v>47</v>
      </c>
      <c r="I15" t="s">
        <v>48</v>
      </c>
      <c r="M15" s="64" t="s">
        <v>47</v>
      </c>
      <c r="O15" s="75">
        <f>COUNTIF(Table2912[GP '[ml/g']],O14&amp;O10)</f>
        <v>95</v>
      </c>
      <c r="P15" s="75">
        <f>COUNTIF(Table2912[SCFA '[mmol/g']],P14&amp;P10)</f>
        <v>89</v>
      </c>
      <c r="Q15" s="75">
        <f>COUNTIF(Table2912[Acetate '[%']],Q14&amp;Q10)</f>
        <v>62</v>
      </c>
      <c r="R15" s="75">
        <f>COUNTIF(Table2912[Propionate '[%']],R14&amp;R10)</f>
        <v>48</v>
      </c>
      <c r="S15" s="75">
        <f>COUNTIF(Table2912[Butyrate '[%']],S14&amp;S10)</f>
        <v>76</v>
      </c>
      <c r="T15" s="75">
        <f>COUNTIF(Table2912[Valerate '[%']],T14&amp;T10)</f>
        <v>66</v>
      </c>
      <c r="U15" s="75">
        <f>COUNTIF(Table2912[Caproate '[%']],U14&amp;U10)</f>
        <v>47</v>
      </c>
      <c r="V15" s="75">
        <f>COUNTIF(Table2912[Isobutyrate '[%']],V14&amp;V10)</f>
        <v>64</v>
      </c>
      <c r="W15" s="75">
        <f>COUNTIF(Table2912[Isovalerate '[%']],W14&amp;W10)</f>
        <v>68</v>
      </c>
      <c r="X15" s="75">
        <f>COUNTIF(Table2912[CH4 '[g/mmol SCFA']],X14&amp;X10)</f>
        <v>78</v>
      </c>
      <c r="Y15" s="75">
        <f>COUNTIF(Table2912[DMD '[mg/g']],Y14&amp;Y10)</f>
        <v>69</v>
      </c>
      <c r="Z15" s="75">
        <f>COUNTIF(Table2912[CH4 '[ml/g']],Z14&amp;Z10)</f>
        <v>79</v>
      </c>
      <c r="AA15" s="75">
        <f>COUNTIF(Table2912[CH4 '[% GP']],AA14&amp;AA10)</f>
        <v>28</v>
      </c>
      <c r="AB15" s="75">
        <f>COUNTIF(Table2912[CH4 '[g/g DDM']],AB14&amp;AB10)</f>
        <v>35</v>
      </c>
      <c r="AC15" s="75">
        <f>COUNTIF(Table2912[Index],AC14&amp;AC10)</f>
        <v>0</v>
      </c>
      <c r="AD15" s="75">
        <f>COUNTIF(Table2912[Rank],AD14&amp;AD10)</f>
        <v>0</v>
      </c>
      <c r="AE15" s="75">
        <f>COUNTIF(Table2912[APB],AE14&amp;AE10)</f>
        <v>0</v>
      </c>
      <c r="AF15" s="75">
        <f>COUNTIF(Table2912[ch4/APB],AF14&amp;AF10)</f>
        <v>4</v>
      </c>
      <c r="AG15" s="75">
        <f>COUNTIF(Table2912[P/A],AG14&amp;AG10)</f>
        <v>0</v>
      </c>
      <c r="AH15" s="75"/>
      <c r="AJ15" s="62" t="s">
        <v>49</v>
      </c>
      <c r="AK15" s="76" cm="1">
        <f t="array" ref="AK15">AVERAGE(_xlfn._xlws.FILTER(Y20:Y533,Y20:Y533&lt;=SMALL(Y20:Y533,COUNT(Y20:Y533)*AK11)))</f>
        <v>490.28912025136742</v>
      </c>
      <c r="AL15" s="76" cm="1">
        <f t="array" ref="AL15">AVERAGE(_xlfn._xlws.FILTER(Z20:Z533,Z20:Z533&lt;=LARGE(Z20:Z533,COUNT(Z20:Z533)*AL11)))</f>
        <v>39.332207922913163</v>
      </c>
      <c r="AM15" s="76" cm="1">
        <f t="array" ref="AM15">AVERAGE(_xlfn._xlws.FILTER(AA20:AA533,AA20:AA533&lt;=LARGE(AA20:AA533,COUNT(AA20:AA533)*AM11)))</f>
        <v>15.522353786572543</v>
      </c>
      <c r="AN15" s="76" cm="1">
        <f t="array" ref="AN15">AVERAGE(_xlfn._xlws.FILTER(AB20:AB533,AB20:AB533&lt;=LARGE(AB20:AB533,COUNT(AB20:AB533)*AN11)))</f>
        <v>51.215525163854821</v>
      </c>
      <c r="CJ15" t="str">
        <v>Desmodium heterocarpon</v>
      </c>
      <c r="CK15" t="str">
        <v>Desmodium heterocarpon</v>
      </c>
      <c r="CL15" t="str">
        <v>Desmodium heterocarpon</v>
      </c>
      <c r="CO15" s="50" t="s">
        <v>26</v>
      </c>
      <c r="CP15" s="77" cm="1">
        <f t="array" ref="CP15:CS15">MMULT(CP14:CS14,MINVERSE(CP9:CS12))</f>
        <v>5.3547506339005062E-2</v>
      </c>
      <c r="CQ15" s="77">
        <v>-0.88258641220587508</v>
      </c>
      <c r="CR15" s="77">
        <v>-0.30054007158627349</v>
      </c>
      <c r="CS15" s="77">
        <v>0.58971588272889863</v>
      </c>
    </row>
    <row r="16" spans="3:100" x14ac:dyDescent="0.25">
      <c r="C16" s="64" t="s">
        <v>50</v>
      </c>
      <c r="I16" t="s">
        <v>51</v>
      </c>
      <c r="M16" s="64" t="s">
        <v>50</v>
      </c>
      <c r="O16" s="54">
        <f>AVERAGEIF(Table2912[GP '[ml/g']],O14&amp;O10)</f>
        <v>168.09880637685765</v>
      </c>
      <c r="P16" s="54">
        <f>AVERAGEIF(Table2912[SCFA '[mmol/g']],P14&amp;P10)</f>
        <v>4.5549143651081181</v>
      </c>
      <c r="Q16" s="54">
        <f>AVERAGEIF(Table2912[Acetate '[%']],Q14&amp;Q10)</f>
        <v>0.62425415906861081</v>
      </c>
      <c r="R16" s="54">
        <f>AVERAGEIF(Table2912[Propionate '[%']],R14&amp;R10)</f>
        <v>0.14247296763912431</v>
      </c>
      <c r="S16" s="54">
        <f>AVERAGEIF(Table2912[Butyrate '[%']],S14&amp;S10)</f>
        <v>6.5618625715005138E-2</v>
      </c>
      <c r="T16" s="54">
        <f>AVERAGEIF(Table2912[Valerate '[%']],T14&amp;T10)</f>
        <v>1.0529779863951571E-2</v>
      </c>
      <c r="U16" s="54">
        <f>AVERAGEIF(Table2912[Caproate '[%']],U14&amp;U10)</f>
        <v>8.2219517885122312E-5</v>
      </c>
      <c r="V16" s="54">
        <f>AVERAGEIF(Table2912[Isobutyrate '[%']],V14&amp;V10)</f>
        <v>7.8745225471471142E-3</v>
      </c>
      <c r="W16" s="54">
        <f>AVERAGEIF(Table2912[Isovalerate '[%']],W14&amp;W10)</f>
        <v>1.3758234159201653E-2</v>
      </c>
      <c r="X16" s="54">
        <f>AVERAGEIF(Table2912[CH4 '[g/mmol SCFA']],X14&amp;X10)</f>
        <v>4.1137172673876217</v>
      </c>
      <c r="Y16" s="54">
        <f>AVERAGEIF(Table2912[DMD '[mg/g']],Y14&amp;Y10)</f>
        <v>948.11317546868918</v>
      </c>
      <c r="Z16" s="54">
        <f>AVERAGEIF(Table2912[CH4 '[ml/g']],Z14&amp;Z10)</f>
        <v>21.50827347400217</v>
      </c>
      <c r="AA16" s="54">
        <f>AVERAGEIF(Table2912[CH4 '[% GP']],AA14&amp;AA10)</f>
        <v>9.2214028421337364</v>
      </c>
      <c r="AB16" s="54">
        <f>AVERAGEIF(Table2912[CH4 '[g/g DDM']],AB14&amp;AB10)</f>
        <v>26.760653242453827</v>
      </c>
      <c r="AC16" s="78"/>
      <c r="AD16" s="78"/>
      <c r="AE16" s="78"/>
      <c r="AF16" s="78"/>
      <c r="AG16" s="78"/>
      <c r="AH16" s="78"/>
      <c r="AK16" s="79">
        <v>30</v>
      </c>
      <c r="AL16" s="79">
        <v>30</v>
      </c>
      <c r="AM16" s="79">
        <v>31</v>
      </c>
      <c r="AN16" s="79">
        <v>32</v>
      </c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CJ16" t="str">
        <v xml:space="preserve">Codariocalyx gyroides    </v>
      </c>
      <c r="CK16" t="str">
        <v>Centrosema   virginianum</v>
      </c>
      <c r="CL16" t="str">
        <v xml:space="preserve">Codariocalyx gyroides    </v>
      </c>
      <c r="CO16" s="81"/>
      <c r="CP16" s="80" cm="1">
        <f t="array" ref="CP16:CR16">MMULT(CP14:CR14,MINVERSE(CP9:CR11))</f>
        <v>1.2774562439773882E-2</v>
      </c>
      <c r="CQ16" s="80">
        <v>-6.2338213838417977E-2</v>
      </c>
      <c r="CR16" s="80">
        <v>-0.4585102807639726</v>
      </c>
      <c r="CS16" s="51"/>
    </row>
    <row r="17" spans="1:97" x14ac:dyDescent="0.25">
      <c r="I17" t="s">
        <v>52</v>
      </c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CJ17" t="str">
        <v>Enterolobium cyclocarpum</v>
      </c>
      <c r="CK17" t="str">
        <v>Centrosema   schottii</v>
      </c>
      <c r="CL17" t="str">
        <v>Enterolobium cyclocarpum</v>
      </c>
      <c r="CO17" s="81"/>
      <c r="CP17" s="80" cm="1">
        <f t="array" ref="CP17:CQ17">MMULT(CP14:CQ14,MINVERSE(CP9:CQ10))</f>
        <v>1.6274670756608715E-2</v>
      </c>
      <c r="CQ17" s="80">
        <v>-0.16872282797174429</v>
      </c>
      <c r="CR17" s="51"/>
      <c r="CS17" s="51"/>
    </row>
    <row r="18" spans="1:97" x14ac:dyDescent="0.25">
      <c r="Z18" s="151"/>
      <c r="BG18" s="80"/>
      <c r="BH18" s="80"/>
      <c r="BI18" s="80"/>
      <c r="BJ18" s="80"/>
      <c r="BK18" s="80"/>
      <c r="BL18" s="80"/>
      <c r="BM18" s="80"/>
      <c r="BN18" s="80"/>
      <c r="BO18" s="80"/>
      <c r="BP18" s="80"/>
      <c r="BQ18" s="80"/>
      <c r="BR18" s="80"/>
      <c r="BS18" s="80"/>
      <c r="BT18" s="80"/>
      <c r="CJ18" t="str">
        <v>Leucaena diversifolia</v>
      </c>
      <c r="CK18" t="str">
        <v xml:space="preserve">Rhus tripartita </v>
      </c>
      <c r="CL18" t="str">
        <v>Leucaena diversifolia</v>
      </c>
      <c r="CR18" s="51"/>
      <c r="CS18" s="51"/>
    </row>
    <row r="19" spans="1:97" x14ac:dyDescent="0.25">
      <c r="A19" s="82" t="s">
        <v>53</v>
      </c>
      <c r="B19" s="82" t="s">
        <v>54</v>
      </c>
      <c r="C19" s="82" t="s">
        <v>55</v>
      </c>
      <c r="D19" s="82" t="s">
        <v>56</v>
      </c>
      <c r="E19" s="82" t="s">
        <v>57</v>
      </c>
      <c r="F19" s="82" t="s">
        <v>58</v>
      </c>
      <c r="G19" s="83" t="s">
        <v>59</v>
      </c>
      <c r="H19" s="83" t="s">
        <v>60</v>
      </c>
      <c r="I19" s="84" t="s">
        <v>61</v>
      </c>
      <c r="J19" s="84" t="s">
        <v>62</v>
      </c>
      <c r="K19" s="84" t="s">
        <v>15</v>
      </c>
      <c r="L19" s="84" t="s">
        <v>14</v>
      </c>
      <c r="M19" s="82" t="s">
        <v>63</v>
      </c>
      <c r="N19" s="82" t="s">
        <v>64</v>
      </c>
      <c r="O19" s="82" t="s">
        <v>0</v>
      </c>
      <c r="P19" s="85" t="s">
        <v>1</v>
      </c>
      <c r="Q19" s="82" t="s">
        <v>2</v>
      </c>
      <c r="R19" s="82" t="s">
        <v>3</v>
      </c>
      <c r="S19" s="82" t="s">
        <v>4</v>
      </c>
      <c r="T19" s="82" t="s">
        <v>5</v>
      </c>
      <c r="U19" s="82" t="s">
        <v>6</v>
      </c>
      <c r="V19" s="82" t="s">
        <v>7</v>
      </c>
      <c r="W19" s="82" t="s">
        <v>8</v>
      </c>
      <c r="X19" s="82" t="s">
        <v>9</v>
      </c>
      <c r="Y19" s="86" t="s">
        <v>10</v>
      </c>
      <c r="Z19" s="82" t="s">
        <v>11</v>
      </c>
      <c r="AA19" s="86" t="s">
        <v>12</v>
      </c>
      <c r="AB19" s="86" t="s">
        <v>13</v>
      </c>
      <c r="AC19" s="87" t="s">
        <v>65</v>
      </c>
      <c r="AD19" s="87" t="s">
        <v>66</v>
      </c>
      <c r="AE19" s="87" t="s">
        <v>67</v>
      </c>
      <c r="AF19" s="87" t="s">
        <v>68</v>
      </c>
      <c r="AG19" s="87" t="s">
        <v>69</v>
      </c>
      <c r="AH19" s="87" t="s">
        <v>17</v>
      </c>
      <c r="AI19" s="12"/>
      <c r="AJ19" s="12"/>
      <c r="AK19" s="12"/>
      <c r="AL19" s="12"/>
      <c r="AM19" s="12"/>
      <c r="AN19" s="12"/>
      <c r="AO19" s="12"/>
      <c r="AP19" s="12"/>
      <c r="AR19" s="88" t="s">
        <v>0</v>
      </c>
      <c r="AS19" s="88" t="s">
        <v>1</v>
      </c>
      <c r="AT19" s="88" t="s">
        <v>2</v>
      </c>
      <c r="AU19" s="88" t="s">
        <v>3</v>
      </c>
      <c r="AV19" s="88" t="s">
        <v>4</v>
      </c>
      <c r="AW19" s="88" t="s">
        <v>5</v>
      </c>
      <c r="AX19" s="88" t="s">
        <v>6</v>
      </c>
      <c r="AY19" s="88" t="s">
        <v>7</v>
      </c>
      <c r="AZ19" s="88" t="s">
        <v>8</v>
      </c>
      <c r="BA19" s="88" t="s">
        <v>9</v>
      </c>
      <c r="BB19" s="89" t="s">
        <v>10</v>
      </c>
      <c r="BC19" s="89" t="s">
        <v>11</v>
      </c>
      <c r="BD19" s="89" t="s">
        <v>12</v>
      </c>
      <c r="BE19" s="90" t="s">
        <v>13</v>
      </c>
      <c r="BG19" s="91" t="s">
        <v>0</v>
      </c>
      <c r="BH19" s="92" t="s">
        <v>1</v>
      </c>
      <c r="BI19" s="92" t="s">
        <v>2</v>
      </c>
      <c r="BJ19" s="92" t="s">
        <v>3</v>
      </c>
      <c r="BK19" s="92" t="s">
        <v>4</v>
      </c>
      <c r="BL19" s="92" t="s">
        <v>5</v>
      </c>
      <c r="BM19" s="92" t="s">
        <v>6</v>
      </c>
      <c r="BN19" s="92" t="s">
        <v>7</v>
      </c>
      <c r="BO19" s="92" t="s">
        <v>8</v>
      </c>
      <c r="BP19" s="92" t="s">
        <v>9</v>
      </c>
      <c r="BQ19" s="93" t="s">
        <v>10</v>
      </c>
      <c r="BR19" s="93" t="s">
        <v>11</v>
      </c>
      <c r="BS19" s="94" t="s">
        <v>12</v>
      </c>
      <c r="BT19" s="95" t="s">
        <v>13</v>
      </c>
      <c r="CJ19" t="str">
        <v xml:space="preserve">Erythrina abyssinica  </v>
      </c>
      <c r="CK19" t="str">
        <v>Brachiaria brizantha</v>
      </c>
      <c r="CL19" t="str">
        <v xml:space="preserve">Erythrina abyssinica  </v>
      </c>
      <c r="CR19" s="51"/>
    </row>
    <row r="20" spans="1:97" x14ac:dyDescent="0.25">
      <c r="A20" s="12" t="s">
        <v>70</v>
      </c>
      <c r="B20" s="13">
        <v>1010</v>
      </c>
      <c r="C20" s="96" t="s">
        <v>71</v>
      </c>
      <c r="D20" s="96"/>
      <c r="E20" s="96"/>
      <c r="F20" s="96" t="s">
        <v>72</v>
      </c>
      <c r="G20" s="15" t="s">
        <v>73</v>
      </c>
      <c r="H20" s="15" t="s">
        <v>74</v>
      </c>
      <c r="I20" t="s">
        <v>75</v>
      </c>
      <c r="J20" s="70">
        <v>3</v>
      </c>
      <c r="K20" s="70"/>
      <c r="L20" s="70"/>
      <c r="M20" t="s">
        <v>72</v>
      </c>
      <c r="N20" t="s">
        <v>76</v>
      </c>
      <c r="O20" s="18">
        <v>168.81652251053418</v>
      </c>
      <c r="P20" s="18">
        <v>5.0859414504324683</v>
      </c>
      <c r="Q20" s="97">
        <v>0.73369828241121049</v>
      </c>
      <c r="R20" s="97">
        <v>0.18042620432194664</v>
      </c>
      <c r="S20" s="97">
        <v>5.804231575977678E-2</v>
      </c>
      <c r="T20" s="97">
        <v>1.0715687879532025E-2</v>
      </c>
      <c r="U20" s="97">
        <v>5.9972202091867523E-4</v>
      </c>
      <c r="V20" s="97">
        <v>5.6190889189275915E-3</v>
      </c>
      <c r="W20" s="97">
        <v>1.0898698687687735E-2</v>
      </c>
      <c r="X20" s="51">
        <f t="shared" ref="X20:X83" si="5">Z20/P20</f>
        <v>3.8749989177189152</v>
      </c>
      <c r="Y20" s="18">
        <v>316.26968285650935</v>
      </c>
      <c r="Z20" s="18">
        <v>19.708017616007584</v>
      </c>
      <c r="AA20" s="18">
        <f t="shared" ref="AA20:AA83" si="6">Z20/O20*100</f>
        <v>11.674223187945245</v>
      </c>
      <c r="AB20" s="18">
        <f t="shared" ref="AB20:AB83" si="7">Z20/Y20*1000</f>
        <v>62.313963950028864</v>
      </c>
      <c r="AC20" s="18">
        <f>$CP$15*Table2912[[#This Row],[DMD '[mg/g']]]+$CS$15*Table2912[[#This Row],[CH4 '[ml/g']]]+$CR$15*Table2912[[#This Row],[CH4 '[% GP']]]+$CQ$15*Table2912[[#This Row],[CH4 '[g/g DDM']]]</f>
        <v>-29.948445892746765</v>
      </c>
      <c r="AD20" s="18">
        <f>_xlfn.RANK.AVG(Table2912[[#This Row],[Index]],Table2912[Index])</f>
        <v>513</v>
      </c>
      <c r="AE2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4.9443834375332072</v>
      </c>
      <c r="AF20" s="18">
        <f>Table2912[[#This Row],[CH4 '[ml/g']]]/Table2912[[#This Row],[APB]]</f>
        <v>3.9859403836689644</v>
      </c>
      <c r="AG20" s="18">
        <f>Table2912[[#This Row],[Propionate '[%']]]/Table2912[[#This Row],[Acetate '[%']]]</f>
        <v>0.24591335246008453</v>
      </c>
      <c r="AH20" s="51"/>
      <c r="AI20" s="18"/>
      <c r="AJ20" s="18"/>
      <c r="AK20" s="18">
        <f>(Table2912[[#This Row],[DMD '[mg/g']]]-AK$15)/AK$15*100</f>
        <v>-35.493228425227883</v>
      </c>
      <c r="AL20" s="18">
        <f>(Table2912[[#This Row],[CH4 '[ml/g']]]-AL$15)/AL$15*100</f>
        <v>-49.8934368123113</v>
      </c>
      <c r="AM20" s="18">
        <f>(Table2912[[#This Row],[CH4 '[% GP']]]-AM$15)/AM$15*100</f>
        <v>-24.790896094354487</v>
      </c>
      <c r="AN20" s="18">
        <f>(Table2912[[#This Row],[CH4 '[g/g DDM']]]-AN$15)/AN$15*100</f>
        <v>21.670067329518915</v>
      </c>
      <c r="AO20" s="18"/>
      <c r="AP20" s="18"/>
      <c r="AR20">
        <f>_xlfn.NORM.DIST(Table2912[[#This Row],[GP '[ml/g']]],O$6,O$2,FALSE)</f>
        <v>1.9973256842260117E-3</v>
      </c>
      <c r="AS20">
        <f>_xlfn.NORM.DIST(Table2912[[#This Row],[SCFA '[mmol/g']]],P$6,P$2,FALSE)</f>
        <v>0.15989364844812556</v>
      </c>
      <c r="AT20">
        <f>_xlfn.NORM.DIST(Table2912[[#This Row],[Acetate '[%']]],Q$6,Q$2,FALSE)</f>
        <v>1.4521030191469784</v>
      </c>
      <c r="AU20">
        <f>_xlfn.NORM.DIST(Table2912[[#This Row],[Propionate '[%']]],R$6,R$2,FALSE)</f>
        <v>15.736231720582907</v>
      </c>
      <c r="AV20">
        <f>_xlfn.NORM.DIST(Table2912[[#This Row],[Butyrate '[%']]],S$6,S$2,FALSE)</f>
        <v>3.0333759168572767</v>
      </c>
      <c r="AW20">
        <f>_xlfn.NORM.DIST(Table2912[[#This Row],[Valerate '[%']]],T$6,T$2,FALSE)</f>
        <v>31.239859050346336</v>
      </c>
      <c r="AX20">
        <f>_xlfn.NORM.DIST(Table2912[[#This Row],[Caproate '[%']]],U$6,U$2,FALSE)</f>
        <v>307.6168306942119</v>
      </c>
      <c r="AY20">
        <f>_xlfn.NORM.DIST(Table2912[[#This Row],[Isobutyrate '[%']]],V$6,V$2,FALSE)</f>
        <v>8.1624966157878944</v>
      </c>
      <c r="AZ20">
        <f>_xlfn.NORM.DIST(Table2912[[#This Row],[Isovalerate '[%']]],W$6,W$2,FALSE)</f>
        <v>6.9805612294248487</v>
      </c>
      <c r="BA20">
        <f>_xlfn.NORM.DIST(Table2912[[#This Row],[CH4 '[g/mmol SCFA']]],X$6,X$2,FALSE)</f>
        <v>5.9393877037647487E-2</v>
      </c>
      <c r="BB20">
        <f>_xlfn.NORM.DIST(Table2912[[#This Row],[DMD '[mg/g']]],Y$6,Y$2,FALSE)</f>
        <v>1.0298280934399894E-5</v>
      </c>
      <c r="BC20">
        <f>_xlfn.NORM.DIST(Table2912[[#This Row],[CH4 '[ml/g']]],Z$6,Z$2,FALSE)</f>
        <v>6.3754379892450837E-3</v>
      </c>
      <c r="BD20">
        <f>_xlfn.NORM.DIST(Table2912[[#This Row],[CH4 '[% GP']]],AA$6,AA$2,FALSE)</f>
        <v>4.4805774572295752E-2</v>
      </c>
      <c r="BE20">
        <f>_xlfn.NORM.DIST(Table2912[[#This Row],[CH4 '[g/g DDM']]],AB$6,AB$2,FALSE)</f>
        <v>2.5023779203233142E-2</v>
      </c>
      <c r="BG20">
        <f>IF(Table2912[[#This Row],[GP '[ml/g']]]&lt;O$10,_xlfn.NORM.DIST(Table2912[[#This Row],[GP '[ml/g']]],O$6,O$2,FALSE),-100)</f>
        <v>1.9973256842260117E-3</v>
      </c>
      <c r="BH20">
        <f>IF(Table2912[[#This Row],[SCFA '[mmol/g']]]&lt;P$10,_xlfn.NORM.DIST(Table2912[[#This Row],[SCFA '[mmol/g']]],P$6,P$2,FALSE),-100)</f>
        <v>0.15989364844812556</v>
      </c>
      <c r="BI20">
        <f>IF(Table2912[[#This Row],[Acetate '[%']]]&lt;Q$10,_xlfn.NORM.DIST(Table2912[[#This Row],[Acetate '[%']]],Q$6,Q$2,FALSE),-100)</f>
        <v>-100</v>
      </c>
      <c r="BJ20">
        <f>IF(Table2912[[#This Row],[Propionate '[%']]]&lt;R$10,_xlfn.NORM.DIST(Table2912[[#This Row],[Propionate '[%']]],R$6,R$2,FALSE),-100)</f>
        <v>-100</v>
      </c>
      <c r="BK20">
        <f>IF(Table2912[[#This Row],[Butyrate '[%']]]&lt;S$10,_xlfn.NORM.DIST(Table2912[[#This Row],[Butyrate '[%']]],S$6,S$2,FALSE),-100)</f>
        <v>3.0333759168572767</v>
      </c>
      <c r="BL20">
        <f>IF(Table2912[[#This Row],[Valerate '[%']]]&lt;T$10,_xlfn.NORM.DIST(Table2912[[#This Row],[Valerate '[%']]],T$6,T$2,FALSE),-100)</f>
        <v>31.239859050346336</v>
      </c>
      <c r="BM20">
        <f>IF(Table2912[[#This Row],[Caproate '[%']]]&lt;U$10,_xlfn.NORM.DIST(Table2912[[#This Row],[Caproate '[%']]],U$6,U$2,FALSE),-100)</f>
        <v>-100</v>
      </c>
      <c r="BN20">
        <f>IF(Table2912[[#This Row],[Isobutyrate '[%']]]&lt;V$10,_xlfn.NORM.DIST(Table2912[[#This Row],[Isobutyrate '[%']]],V$6,V$2,FALSE),-100)</f>
        <v>8.1624966157878944</v>
      </c>
      <c r="BO20">
        <f>IF(Table2912[[#This Row],[Isovalerate '[%']]]&lt;W$10,_xlfn.NORM.DIST(Table2912[[#This Row],[Isovalerate '[%']]],W$6,W$2,FALSE),-100)</f>
        <v>6.9805612294248487</v>
      </c>
      <c r="BP20">
        <f>IF(Table2912[[#This Row],[CH4 '[g/mmol SCFA']]]&lt;X$10,_xlfn.NORM.DIST(Table2912[[#This Row],[CH4 '[g/mmol SCFA']]],X$6,X$2,FALSE),-100)</f>
        <v>5.9393877037647487E-2</v>
      </c>
      <c r="BQ20">
        <f>IF(Table2912[[#This Row],[DMD '[mg/g']]]&gt;Y$10,_xlfn.NORM.DIST(Table2912[[#This Row],[DMD '[mg/g']]],Y$6,Y$2,FALSE),-100)</f>
        <v>-100</v>
      </c>
      <c r="BR20">
        <f>IF(Table2912[[#This Row],[CH4 '[ml/g']]]&lt;Z$10,_xlfn.NORM.DIST(Table2912[[#This Row],[CH4 '[ml/g']]],Z$6,Z$2,FALSE),-100)</f>
        <v>6.3754379892450837E-3</v>
      </c>
      <c r="BS20">
        <f>IF(Table2912[[#This Row],[CH4 '[% GP']]]&lt;AA$10,_xlfn.NORM.DIST(Table2912[[#This Row],[CH4 '[% GP']]],AA$6,AA$2,FALSE),-100)</f>
        <v>-100</v>
      </c>
      <c r="BT20">
        <f>IF(Table2912[[#This Row],[CH4 '[g/g DDM']]]&lt;AB$10,_xlfn.NORM.DIST(Table2912[[#This Row],[CH4 '[g/g DDM']]],AB$6,AB$2,FALSE),-100)</f>
        <v>-100</v>
      </c>
      <c r="CJ20" t="str">
        <v>Trifolium burchellianum</v>
      </c>
      <c r="CK20" t="str">
        <v>Geranium</v>
      </c>
      <c r="CL20" t="str">
        <v>Trifolium burchellianum</v>
      </c>
    </row>
    <row r="21" spans="1:97" x14ac:dyDescent="0.25">
      <c r="A21" s="12" t="s">
        <v>70</v>
      </c>
      <c r="B21" s="13">
        <v>1024</v>
      </c>
      <c r="C21" s="96" t="s">
        <v>77</v>
      </c>
      <c r="D21" s="96"/>
      <c r="E21" s="96"/>
      <c r="F21" s="98" t="s">
        <v>78</v>
      </c>
      <c r="G21" s="15" t="s">
        <v>73</v>
      </c>
      <c r="H21" s="15" t="s">
        <v>74</v>
      </c>
      <c r="I21" s="99" t="s">
        <v>79</v>
      </c>
      <c r="J21" s="100">
        <v>1</v>
      </c>
      <c r="K21" s="100"/>
      <c r="L21" s="100"/>
      <c r="M21" t="s">
        <v>78</v>
      </c>
      <c r="N21" t="s">
        <v>80</v>
      </c>
      <c r="O21" s="18">
        <v>118.77003098716253</v>
      </c>
      <c r="P21" s="18">
        <v>2.4264432220312466</v>
      </c>
      <c r="Q21" s="97">
        <v>0.74433104897855418</v>
      </c>
      <c r="R21" s="97">
        <v>0.14558336591731394</v>
      </c>
      <c r="S21" s="97">
        <v>8.2667277042802412E-2</v>
      </c>
      <c r="T21" s="97">
        <v>1.168800402325049E-2</v>
      </c>
      <c r="U21" s="97">
        <v>1.5126114991105284E-3</v>
      </c>
      <c r="V21" s="97">
        <v>5.338859999532727E-3</v>
      </c>
      <c r="W21" s="97">
        <v>8.8788325394360511E-3</v>
      </c>
      <c r="X21" s="51">
        <f t="shared" si="5"/>
        <v>3.7683395806153088</v>
      </c>
      <c r="Y21" s="18">
        <v>326.62326175747643</v>
      </c>
      <c r="Z21" s="101">
        <v>9.1436620336960868</v>
      </c>
      <c r="AA21" s="18">
        <f t="shared" si="6"/>
        <v>7.698627303283601</v>
      </c>
      <c r="AB21" s="18">
        <f t="shared" si="7"/>
        <v>27.994521836859921</v>
      </c>
      <c r="AC21" s="18">
        <f>$CP$15*Table2912[[#This Row],[DMD '[mg/g']]]+$CS$15*Table2912[[#This Row],[CH4 '[ml/g']]]+$CR$15*Table2912[[#This Row],[CH4 '[% GP']]]+$CQ$15*Table2912[[#This Row],[CH4 '[g/g DDM']]]</f>
        <v>-4.1393066832573346</v>
      </c>
      <c r="AD21" s="18">
        <f>_xlfn.RANK.AVG(Table2912[[#This Row],[Index]],Table2912[Index])</f>
        <v>467</v>
      </c>
      <c r="AE2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2.3599142542762692</v>
      </c>
      <c r="AF21" s="18">
        <f>Table2912[[#This Row],[CH4 '[ml/g']]]/Table2912[[#This Row],[APB]]</f>
        <v>3.8745738397602225</v>
      </c>
      <c r="AG21" s="18">
        <f>Table2912[[#This Row],[Propionate '[%']]]/Table2912[[#This Row],[Acetate '[%']]]</f>
        <v>0.19558953790399858</v>
      </c>
      <c r="AH21" s="51"/>
      <c r="AI21" s="18"/>
      <c r="AJ21" s="18"/>
      <c r="AK21" s="18">
        <f>(Table2912[[#This Row],[DMD '[mg/g']]]-$AK$15)/$AK$15*100</f>
        <v>-33.381499146866808</v>
      </c>
      <c r="AL21" s="18">
        <f>(Table2912[[#This Row],[CH4 '[ml/g']]]-AL$15)/AL$15*100</f>
        <v>-76.752736455536223</v>
      </c>
      <c r="AM21" s="18">
        <f>(Table2912[[#This Row],[CH4 '[% GP']]]-AM$15)/AM$15*100</f>
        <v>-50.402964594562825</v>
      </c>
      <c r="AN21" s="18">
        <f>(Table2912[[#This Row],[CH4 '[g/g DDM']]]-AN$15)/AN$15*100</f>
        <v>-45.339773931251301</v>
      </c>
      <c r="AO21" s="18"/>
      <c r="AP21" s="18"/>
      <c r="AR21">
        <f>_xlfn.NORM.DIST(Table2912[[#This Row],[GP '[ml/g']]],O$6,O$2,FALSE)</f>
        <v>2.799142479645073E-4</v>
      </c>
      <c r="AS21">
        <f>_xlfn.NORM.DIST(Table2912[[#This Row],[SCFA '[mmol/g']]],P$6,P$2,FALSE)</f>
        <v>9.3128796017098649E-4</v>
      </c>
      <c r="AT21">
        <f>_xlfn.NORM.DIST(Table2912[[#This Row],[Acetate '[%']]],Q$6,Q$2,FALSE)</f>
        <v>0.61073913466711072</v>
      </c>
      <c r="AU21">
        <f>_xlfn.NORM.DIST(Table2912[[#This Row],[Propionate '[%']]],R$6,R$2,FALSE)</f>
        <v>9.1059558424340583</v>
      </c>
      <c r="AV21">
        <f>_xlfn.NORM.DIST(Table2912[[#This Row],[Butyrate '[%']]],S$6,S$2,FALSE)</f>
        <v>19.328575055303716</v>
      </c>
      <c r="AW21">
        <f>_xlfn.NORM.DIST(Table2912[[#This Row],[Valerate '[%']]],T$6,T$2,FALSE)</f>
        <v>39.566900970170316</v>
      </c>
      <c r="AX21">
        <f>_xlfn.NORM.DIST(Table2912[[#This Row],[Caproate '[%']]],U$6,U$2,FALSE)</f>
        <v>400.14734908278922</v>
      </c>
      <c r="AY21">
        <f>_xlfn.NORM.DIST(Table2912[[#This Row],[Isobutyrate '[%']]],V$6,V$2,FALSE)</f>
        <v>7.0903699046371154</v>
      </c>
      <c r="AZ21">
        <f>_xlfn.NORM.DIST(Table2912[[#This Row],[Isovalerate '[%']]],W$6,W$2,FALSE)</f>
        <v>4.3557144466957594</v>
      </c>
      <c r="BA21">
        <f>_xlfn.NORM.DIST(Table2912[[#This Row],[CH4 '[g/mmol SCFA']]],X$6,X$2,FALSE)</f>
        <v>5.1331671524581922E-2</v>
      </c>
      <c r="BB21">
        <f>_xlfn.NORM.DIST(Table2912[[#This Row],[DMD '[mg/g']]],Y$6,Y$2,FALSE)</f>
        <v>1.3242382653602058E-5</v>
      </c>
      <c r="BC21">
        <f>_xlfn.NORM.DIST(Table2912[[#This Row],[CH4 '[ml/g']]],Z$6,Z$2,FALSE)</f>
        <v>8.5427666668950607E-4</v>
      </c>
      <c r="BD21">
        <f>_xlfn.NORM.DIST(Table2912[[#This Row],[CH4 '[% GP']]],AA$6,AA$2,FALSE)</f>
        <v>2.4822811173885692E-3</v>
      </c>
      <c r="BE21">
        <f>_xlfn.NORM.DIST(Table2912[[#This Row],[CH4 '[g/g DDM']]],AB$6,AB$2,FALSE)</f>
        <v>3.7116573132729824E-3</v>
      </c>
      <c r="BG21">
        <f>IF(Table2912[[#This Row],[GP '[ml/g']]]&lt;O$10,_xlfn.NORM.DIST(Table2912[[#This Row],[GP '[ml/g']]],O$6,O$2,FALSE),-100)</f>
        <v>2.799142479645073E-4</v>
      </c>
      <c r="BH21">
        <f>IF(Table2912[[#This Row],[SCFA '[mmol/g']]]&lt;P$10,_xlfn.NORM.DIST(Table2912[[#This Row],[SCFA '[mmol/g']]],P$6,P$2,FALSE),-100)</f>
        <v>9.3128796017098649E-4</v>
      </c>
      <c r="BI21">
        <f>IF(Table2912[[#This Row],[Acetate '[%']]]&lt;Q$10,_xlfn.NORM.DIST(Table2912[[#This Row],[Acetate '[%']]],Q$6,Q$2,FALSE),-100)</f>
        <v>-100</v>
      </c>
      <c r="BJ21">
        <f>IF(Table2912[[#This Row],[Propionate '[%']]]&lt;R$10,_xlfn.NORM.DIST(Table2912[[#This Row],[Propionate '[%']]],R$6,R$2,FALSE),-100)</f>
        <v>9.1059558424340583</v>
      </c>
      <c r="BK21">
        <f>IF(Table2912[[#This Row],[Butyrate '[%']]]&lt;S$10,_xlfn.NORM.DIST(Table2912[[#This Row],[Butyrate '[%']]],S$6,S$2,FALSE),-100)</f>
        <v>-100</v>
      </c>
      <c r="BL21">
        <f>IF(Table2912[[#This Row],[Valerate '[%']]]&lt;T$10,_xlfn.NORM.DIST(Table2912[[#This Row],[Valerate '[%']]],T$6,T$2,FALSE),-100)</f>
        <v>39.566900970170316</v>
      </c>
      <c r="BM21">
        <f>IF(Table2912[[#This Row],[Caproate '[%']]]&lt;U$10,_xlfn.NORM.DIST(Table2912[[#This Row],[Caproate '[%']]],U$6,U$2,FALSE),-100)</f>
        <v>-100</v>
      </c>
      <c r="BN21">
        <f>IF(Table2912[[#This Row],[Isobutyrate '[%']]]&lt;V$10,_xlfn.NORM.DIST(Table2912[[#This Row],[Isobutyrate '[%']]],V$6,V$2,FALSE),-100)</f>
        <v>7.0903699046371154</v>
      </c>
      <c r="BO21">
        <f>IF(Table2912[[#This Row],[Isovalerate '[%']]]&lt;W$10,_xlfn.NORM.DIST(Table2912[[#This Row],[Isovalerate '[%']]],W$6,W$2,FALSE),-100)</f>
        <v>4.3557144466957594</v>
      </c>
      <c r="BP21">
        <f>IF(Table2912[[#This Row],[CH4 '[g/mmol SCFA']]]&lt;X$10,_xlfn.NORM.DIST(Table2912[[#This Row],[CH4 '[g/mmol SCFA']]],X$6,X$2,FALSE),-100)</f>
        <v>5.1331671524581922E-2</v>
      </c>
      <c r="BQ21">
        <f>IF(Table2912[[#This Row],[DMD '[mg/g']]]&gt;Y$10,_xlfn.NORM.DIST(Table2912[[#This Row],[DMD '[mg/g']]],Y$6,Y$2,FALSE),-100)</f>
        <v>-100</v>
      </c>
      <c r="BR21">
        <f>IF(Table2912[[#This Row],[CH4 '[ml/g']]]&lt;Z$10,_xlfn.NORM.DIST(Table2912[[#This Row],[CH4 '[ml/g']]],Z$6,Z$2,FALSE),-100)</f>
        <v>8.5427666668950607E-4</v>
      </c>
      <c r="BS21">
        <f>IF(Table2912[[#This Row],[CH4 '[% GP']]]&lt;AA$10,_xlfn.NORM.DIST(Table2912[[#This Row],[CH4 '[% GP']]],AA$6,AA$2,FALSE),-100)</f>
        <v>2.4822811173885692E-3</v>
      </c>
      <c r="BT21">
        <f>IF(Table2912[[#This Row],[CH4 '[g/g DDM']]]&lt;AB$10,_xlfn.NORM.DIST(Table2912[[#This Row],[CH4 '[g/g DDM']]],AB$6,AB$2,FALSE),-100)</f>
        <v>3.7116573132729824E-3</v>
      </c>
      <c r="CJ21" t="str">
        <v>Erythrina peruviana</v>
      </c>
      <c r="CK21" t="str">
        <v>Opuntia ficus-indica</v>
      </c>
      <c r="CL21" t="str">
        <v>Erythrina peruviana</v>
      </c>
    </row>
    <row r="22" spans="1:97" x14ac:dyDescent="0.25">
      <c r="A22" s="12" t="s">
        <v>70</v>
      </c>
      <c r="B22" s="13">
        <v>1024</v>
      </c>
      <c r="C22" s="96" t="s">
        <v>77</v>
      </c>
      <c r="D22" s="96"/>
      <c r="E22" s="96"/>
      <c r="F22" s="96" t="s">
        <v>78</v>
      </c>
      <c r="G22" s="15" t="s">
        <v>73</v>
      </c>
      <c r="H22" s="15" t="s">
        <v>74</v>
      </c>
      <c r="I22" s="99" t="s">
        <v>79</v>
      </c>
      <c r="J22" s="100">
        <v>2</v>
      </c>
      <c r="K22" s="100"/>
      <c r="L22" s="100"/>
      <c r="M22" t="s">
        <v>78</v>
      </c>
      <c r="N22" t="s">
        <v>81</v>
      </c>
      <c r="O22" s="18">
        <v>122.10205195372195</v>
      </c>
      <c r="P22" s="18">
        <v>4.4867387033398822</v>
      </c>
      <c r="Q22" s="97">
        <v>0.74074690619249972</v>
      </c>
      <c r="R22" s="97">
        <v>0.15213669336287244</v>
      </c>
      <c r="S22" s="97">
        <v>7.0278976940991944E-2</v>
      </c>
      <c r="T22" s="97">
        <v>1.1559415503251267E-2</v>
      </c>
      <c r="U22" s="97">
        <v>8.0670900523144924E-4</v>
      </c>
      <c r="V22" s="97">
        <v>8.3300526488358246E-3</v>
      </c>
      <c r="W22" s="97">
        <v>1.6141246346317334E-2</v>
      </c>
      <c r="X22" s="51">
        <f t="shared" si="5"/>
        <v>3.3947183563477332</v>
      </c>
      <c r="Y22" s="18">
        <v>327.22113075747654</v>
      </c>
      <c r="Z22" s="18">
        <v>15.231214236363725</v>
      </c>
      <c r="AA22" s="18">
        <f t="shared" si="6"/>
        <v>12.474167299118385</v>
      </c>
      <c r="AB22" s="18">
        <f t="shared" si="7"/>
        <v>46.547159717666588</v>
      </c>
      <c r="AC22" s="18">
        <f>$CP$15*Table2912[[#This Row],[DMD '[mg/g']]]+$CS$15*Table2912[[#This Row],[CH4 '[ml/g']]]+$CR$15*Table2912[[#This Row],[CH4 '[% GP']]]+$CQ$15*Table2912[[#This Row],[CH4 '[g/g DDM']]]</f>
        <v>-18.326913304722794</v>
      </c>
      <c r="AD22" s="18">
        <f>_xlfn.RANK.AVG(Table2912[[#This Row],[Index]],Table2912[Index])</f>
        <v>507</v>
      </c>
      <c r="AE2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4.3214588095747972</v>
      </c>
      <c r="AF22" s="18">
        <f>Table2912[[#This Row],[CH4 '[ml/g']]]/Table2912[[#This Row],[APB]]</f>
        <v>3.5245538387677873</v>
      </c>
      <c r="AG22" s="18">
        <f>Table2912[[#This Row],[Propionate '[%']]]/Table2912[[#This Row],[Acetate '[%']]]</f>
        <v>0.20538282656470022</v>
      </c>
      <c r="AH22" s="51"/>
      <c r="AI22" s="18"/>
      <c r="AJ22" s="18"/>
      <c r="AK22" s="18">
        <f>(Table2912[[#This Row],[DMD '[mg/g']]]-$AK$15)/$AK$15*100</f>
        <v>-33.259557016131055</v>
      </c>
      <c r="AL22" s="18">
        <f>(Table2912[[#This Row],[CH4 '[ml/g']]]-AL$15)/AL$15*100</f>
        <v>-61.275465983971088</v>
      </c>
      <c r="AM22" s="18">
        <f>(Table2912[[#This Row],[CH4 '[% GP']]]-AM$15)/AM$15*100</f>
        <v>-19.637398614705983</v>
      </c>
      <c r="AN22" s="18">
        <f>(Table2912[[#This Row],[CH4 '[g/g DDM']]]-AN$15)/AN$15*100</f>
        <v>-9.1151373167660399</v>
      </c>
      <c r="AO22" s="18"/>
      <c r="AP22" s="18"/>
      <c r="AR22">
        <f>_xlfn.NORM.DIST(Table2912[[#This Row],[GP '[ml/g']]],O$6,O$2,FALSE)</f>
        <v>3.2788870722763326E-4</v>
      </c>
      <c r="AS22">
        <f>_xlfn.NORM.DIST(Table2912[[#This Row],[SCFA '[mmol/g']]],P$6,P$2,FALSE)</f>
        <v>7.7058107125597824E-2</v>
      </c>
      <c r="AT22">
        <f>_xlfn.NORM.DIST(Table2912[[#This Row],[Acetate '[%']]],Q$6,Q$2,FALSE)</f>
        <v>0.83067125849125467</v>
      </c>
      <c r="AU22">
        <f>_xlfn.NORM.DIST(Table2912[[#This Row],[Propionate '[%']]],R$6,R$2,FALSE)</f>
        <v>11.893890497676205</v>
      </c>
      <c r="AV22">
        <f>_xlfn.NORM.DIST(Table2912[[#This Row],[Butyrate '[%']]],S$6,S$2,FALSE)</f>
        <v>9.8013227357867354</v>
      </c>
      <c r="AW22">
        <f>_xlfn.NORM.DIST(Table2912[[#This Row],[Valerate '[%']]],T$6,T$2,FALSE)</f>
        <v>38.427918375187119</v>
      </c>
      <c r="AX22">
        <f>_xlfn.NORM.DIST(Table2912[[#This Row],[Caproate '[%']]],U$6,U$2,FALSE)</f>
        <v>352.30149725538439</v>
      </c>
      <c r="AY22">
        <f>_xlfn.NORM.DIST(Table2912[[#This Row],[Isobutyrate '[%']]],V$6,V$2,FALSE)</f>
        <v>25.912081831569683</v>
      </c>
      <c r="AZ22">
        <f>_xlfn.NORM.DIST(Table2912[[#This Row],[Isovalerate '[%']]],W$6,W$2,FALSE)</f>
        <v>18.548812612103717</v>
      </c>
      <c r="BA22">
        <f>_xlfn.NORM.DIST(Table2912[[#This Row],[CH4 '[g/mmol SCFA']]],X$6,X$2,FALSE)</f>
        <v>2.9295232729225806E-2</v>
      </c>
      <c r="BB22">
        <f>_xlfn.NORM.DIST(Table2912[[#This Row],[DMD '[mg/g']]],Y$6,Y$2,FALSE)</f>
        <v>1.3433711629171104E-5</v>
      </c>
      <c r="BC22">
        <f>_xlfn.NORM.DIST(Table2912[[#This Row],[CH4 '[ml/g']]],Z$6,Z$2,FALSE)</f>
        <v>2.9946387191617501E-3</v>
      </c>
      <c r="BD22">
        <f>_xlfn.NORM.DIST(Table2912[[#This Row],[CH4 '[% GP']]],AA$6,AA$2,FALSE)</f>
        <v>6.4500377687563351E-2</v>
      </c>
      <c r="BE22">
        <f>_xlfn.NORM.DIST(Table2912[[#This Row],[CH4 '[g/g DDM']]],AB$6,AB$2,FALSE)</f>
        <v>2.8075895178228682E-2</v>
      </c>
      <c r="BG22">
        <f>IF(Table2912[[#This Row],[GP '[ml/g']]]&lt;O$10,_xlfn.NORM.DIST(Table2912[[#This Row],[GP '[ml/g']]],O$6,O$2,FALSE),-100)</f>
        <v>3.2788870722763326E-4</v>
      </c>
      <c r="BH22">
        <f>IF(Table2912[[#This Row],[SCFA '[mmol/g']]]&lt;P$10,_xlfn.NORM.DIST(Table2912[[#This Row],[SCFA '[mmol/g']]],P$6,P$2,FALSE),-100)</f>
        <v>7.7058107125597824E-2</v>
      </c>
      <c r="BI22">
        <f>IF(Table2912[[#This Row],[Acetate '[%']]]&lt;Q$10,_xlfn.NORM.DIST(Table2912[[#This Row],[Acetate '[%']]],Q$6,Q$2,FALSE),-100)</f>
        <v>-100</v>
      </c>
      <c r="BJ22">
        <f>IF(Table2912[[#This Row],[Propionate '[%']]]&lt;R$10,_xlfn.NORM.DIST(Table2912[[#This Row],[Propionate '[%']]],R$6,R$2,FALSE),-100)</f>
        <v>-100</v>
      </c>
      <c r="BK22">
        <f>IF(Table2912[[#This Row],[Butyrate '[%']]]&lt;S$10,_xlfn.NORM.DIST(Table2912[[#This Row],[Butyrate '[%']]],S$6,S$2,FALSE),-100)</f>
        <v>9.8013227357867354</v>
      </c>
      <c r="BL22">
        <f>IF(Table2912[[#This Row],[Valerate '[%']]]&lt;T$10,_xlfn.NORM.DIST(Table2912[[#This Row],[Valerate '[%']]],T$6,T$2,FALSE),-100)</f>
        <v>38.427918375187119</v>
      </c>
      <c r="BM22">
        <f>IF(Table2912[[#This Row],[Caproate '[%']]]&lt;U$10,_xlfn.NORM.DIST(Table2912[[#This Row],[Caproate '[%']]],U$6,U$2,FALSE),-100)</f>
        <v>-100</v>
      </c>
      <c r="BN22">
        <f>IF(Table2912[[#This Row],[Isobutyrate '[%']]]&lt;V$10,_xlfn.NORM.DIST(Table2912[[#This Row],[Isobutyrate '[%']]],V$6,V$2,FALSE),-100)</f>
        <v>25.912081831569683</v>
      </c>
      <c r="BO22">
        <f>IF(Table2912[[#This Row],[Isovalerate '[%']]]&lt;W$10,_xlfn.NORM.DIST(Table2912[[#This Row],[Isovalerate '[%']]],W$6,W$2,FALSE),-100)</f>
        <v>18.548812612103717</v>
      </c>
      <c r="BP22">
        <f>IF(Table2912[[#This Row],[CH4 '[g/mmol SCFA']]]&lt;X$10,_xlfn.NORM.DIST(Table2912[[#This Row],[CH4 '[g/mmol SCFA']]],X$6,X$2,FALSE),-100)</f>
        <v>2.9295232729225806E-2</v>
      </c>
      <c r="BQ22">
        <f>IF(Table2912[[#This Row],[DMD '[mg/g']]]&gt;Y$10,_xlfn.NORM.DIST(Table2912[[#This Row],[DMD '[mg/g']]],Y$6,Y$2,FALSE),-100)</f>
        <v>-100</v>
      </c>
      <c r="BR22">
        <f>IF(Table2912[[#This Row],[CH4 '[ml/g']]]&lt;Z$10,_xlfn.NORM.DIST(Table2912[[#This Row],[CH4 '[ml/g']]],Z$6,Z$2,FALSE),-100)</f>
        <v>2.9946387191617501E-3</v>
      </c>
      <c r="BS22">
        <f>IF(Table2912[[#This Row],[CH4 '[% GP']]]&lt;AA$10,_xlfn.NORM.DIST(Table2912[[#This Row],[CH4 '[% GP']]],AA$6,AA$2,FALSE),-100)</f>
        <v>-100</v>
      </c>
      <c r="BT22">
        <f>IF(Table2912[[#This Row],[CH4 '[g/g DDM']]]&lt;AB$10,_xlfn.NORM.DIST(Table2912[[#This Row],[CH4 '[g/g DDM']]],AB$6,AB$2,FALSE),-100)</f>
        <v>-100</v>
      </c>
      <c r="CJ22" t="str">
        <v>Bouffordia dichotoma</v>
      </c>
      <c r="CK22" t="str">
        <v>Fumaria</v>
      </c>
      <c r="CL22" t="str">
        <v>Bouffordia dichotoma</v>
      </c>
    </row>
    <row r="23" spans="1:97" x14ac:dyDescent="0.25">
      <c r="A23" s="12" t="s">
        <v>70</v>
      </c>
      <c r="B23" s="13">
        <v>1032</v>
      </c>
      <c r="C23" s="102" t="s">
        <v>82</v>
      </c>
      <c r="D23" s="13"/>
      <c r="E23" s="13"/>
      <c r="F23" t="s">
        <v>83</v>
      </c>
      <c r="G23" s="15" t="s">
        <v>73</v>
      </c>
      <c r="H23" s="15" t="s">
        <v>74</v>
      </c>
      <c r="I23" t="s">
        <v>75</v>
      </c>
      <c r="J23" s="70">
        <v>3</v>
      </c>
      <c r="K23" s="70"/>
      <c r="L23" s="70"/>
      <c r="M23" t="s">
        <v>83</v>
      </c>
      <c r="N23" t="s">
        <v>84</v>
      </c>
      <c r="O23" s="18">
        <v>164.10170769571968</v>
      </c>
      <c r="P23" s="18">
        <v>5.0077099135063197</v>
      </c>
      <c r="Q23" s="97">
        <v>0.69317693835059813</v>
      </c>
      <c r="R23" s="97">
        <v>0.16002397821811343</v>
      </c>
      <c r="S23" s="97">
        <v>8.4450020129352987E-2</v>
      </c>
      <c r="T23" s="97">
        <v>1.6366958025986068E-2</v>
      </c>
      <c r="U23" s="97">
        <v>9.6576780637086155E-4</v>
      </c>
      <c r="V23" s="97">
        <v>1.567531256062181E-2</v>
      </c>
      <c r="W23" s="97">
        <v>2.9341024908956702E-2</v>
      </c>
      <c r="X23" s="51">
        <f t="shared" si="5"/>
        <v>4.9478158101161061</v>
      </c>
      <c r="Y23" s="18">
        <v>336.30472388556211</v>
      </c>
      <c r="Z23" s="18">
        <v>24.777226282521728</v>
      </c>
      <c r="AA23" s="18">
        <f t="shared" si="6"/>
        <v>15.098701061943915</v>
      </c>
      <c r="AB23" s="18">
        <f t="shared" si="7"/>
        <v>73.674927893528277</v>
      </c>
      <c r="AC23" s="18">
        <f>$CP$15*Table2912[[#This Row],[DMD '[mg/g']]]+$CS$15*Table2912[[#This Row],[CH4 '[ml/g']]]+$CR$15*Table2912[[#This Row],[CH4 '[% GP']]]+$CQ$15*Table2912[[#This Row],[CH4 '[g/g DDM']]]</f>
        <v>-36.942451774221595</v>
      </c>
      <c r="AD23" s="18">
        <f>_xlfn.RANK.AVG(Table2912[[#This Row],[Index]],Table2912[Index])</f>
        <v>514</v>
      </c>
      <c r="AE2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4.695483891111385</v>
      </c>
      <c r="AF23" s="18">
        <f>Table2912[[#This Row],[CH4 '[ml/g']]]/Table2912[[#This Row],[APB]]</f>
        <v>5.276820633848911</v>
      </c>
      <c r="AG23" s="18">
        <f>Table2912[[#This Row],[Propionate '[%']]]/Table2912[[#This Row],[Acetate '[%']]]</f>
        <v>0.23085588882816493</v>
      </c>
      <c r="AH23" s="51"/>
      <c r="AI23" s="18"/>
      <c r="AJ23" s="18"/>
      <c r="AK23" s="18">
        <f>(Table2912[[#This Row],[DMD '[mg/g']]]-$AK$15)/$AK$15*100</f>
        <v>-31.406855670559995</v>
      </c>
      <c r="AL23" s="18">
        <f>(Table2912[[#This Row],[CH4 '[ml/g']]]-AL$15)/AL$15*100</f>
        <v>-37.005249410146547</v>
      </c>
      <c r="AM23" s="18">
        <f>(Table2912[[#This Row],[CH4 '[% GP']]]-AM$15)/AM$15*100</f>
        <v>-2.7293072329990604</v>
      </c>
      <c r="AN23" s="18">
        <f>(Table2912[[#This Row],[CH4 '[g/g DDM']]]-AN$15)/AN$15*100</f>
        <v>43.852723676695014</v>
      </c>
      <c r="AO23" s="18"/>
      <c r="AP23" s="18"/>
      <c r="AR23">
        <f>_xlfn.NORM.DIST(Table2912[[#This Row],[GP '[ml/g']]],O$6,O$2,FALSE)</f>
        <v>1.7233122388574012E-3</v>
      </c>
      <c r="AS23">
        <f>_xlfn.NORM.DIST(Table2912[[#This Row],[SCFA '[mmol/g']]],P$6,P$2,FALSE)</f>
        <v>0.1474344341976202</v>
      </c>
      <c r="AT23">
        <f>_xlfn.NORM.DIST(Table2912[[#This Row],[Acetate '[%']]],Q$6,Q$2,FALSE)</f>
        <v>10.940172788480705</v>
      </c>
      <c r="AU23">
        <f>_xlfn.NORM.DIST(Table2912[[#This Row],[Propionate '[%']]],R$6,R$2,FALSE)</f>
        <v>14.829316202687554</v>
      </c>
      <c r="AV23">
        <f>_xlfn.NORM.DIST(Table2912[[#This Row],[Butyrate '[%']]],S$6,S$2,FALSE)</f>
        <v>20.434221644272768</v>
      </c>
      <c r="AW23">
        <f>_xlfn.NORM.DIST(Table2912[[#This Row],[Valerate '[%']]],T$6,T$2,FALSE)</f>
        <v>75.001532649291207</v>
      </c>
      <c r="AX23">
        <f>_xlfn.NORM.DIST(Table2912[[#This Row],[Caproate '[%']]],U$6,U$2,FALSE)</f>
        <v>379.33788714597813</v>
      </c>
      <c r="AY23">
        <f>_xlfn.NORM.DIST(Table2912[[#This Row],[Isobutyrate '[%']]],V$6,V$2,FALSE)</f>
        <v>89.864329915968895</v>
      </c>
      <c r="AZ23">
        <f>_xlfn.NORM.DIST(Table2912[[#This Row],[Isovalerate '[%']]],W$6,W$2,FALSE)</f>
        <v>44.818212832718167</v>
      </c>
      <c r="BA23">
        <f>_xlfn.NORM.DIST(Table2912[[#This Row],[CH4 '[g/mmol SCFA']]],X$6,X$2,FALSE)</f>
        <v>0.18125779880701337</v>
      </c>
      <c r="BB23">
        <f>_xlfn.NORM.DIST(Table2912[[#This Row],[DMD '[mg/g']]],Y$6,Y$2,FALSE)</f>
        <v>1.6665877572686575E-5</v>
      </c>
      <c r="BC23">
        <f>_xlfn.NORM.DIST(Table2912[[#This Row],[CH4 '[ml/g']]],Z$6,Z$2,FALSE)</f>
        <v>1.264677743243053E-2</v>
      </c>
      <c r="BD23">
        <f>_xlfn.NORM.DIST(Table2912[[#This Row],[CH4 '[% GP']]],AA$6,AA$2,FALSE)</f>
        <v>0.12768632115879364</v>
      </c>
      <c r="BE23">
        <f>_xlfn.NORM.DIST(Table2912[[#This Row],[CH4 '[g/g DDM']]],AB$6,AB$2,FALSE)</f>
        <v>8.1004930169720091E-3</v>
      </c>
      <c r="BG23">
        <f>IF(Table2912[[#This Row],[GP '[ml/g']]]&lt;O$10,_xlfn.NORM.DIST(Table2912[[#This Row],[GP '[ml/g']]],O$6,O$2,FALSE),-100)</f>
        <v>1.7233122388574012E-3</v>
      </c>
      <c r="BH23">
        <f>IF(Table2912[[#This Row],[SCFA '[mmol/g']]]&lt;P$10,_xlfn.NORM.DIST(Table2912[[#This Row],[SCFA '[mmol/g']]],P$6,P$2,FALSE),-100)</f>
        <v>0.1474344341976202</v>
      </c>
      <c r="BI23">
        <f>IF(Table2912[[#This Row],[Acetate '[%']]]&lt;Q$10,_xlfn.NORM.DIST(Table2912[[#This Row],[Acetate '[%']]],Q$6,Q$2,FALSE),-100)</f>
        <v>-100</v>
      </c>
      <c r="BJ23">
        <f>IF(Table2912[[#This Row],[Propionate '[%']]]&lt;R$10,_xlfn.NORM.DIST(Table2912[[#This Row],[Propionate '[%']]],R$6,R$2,FALSE),-100)</f>
        <v>-100</v>
      </c>
      <c r="BK23">
        <f>IF(Table2912[[#This Row],[Butyrate '[%']]]&lt;S$10,_xlfn.NORM.DIST(Table2912[[#This Row],[Butyrate '[%']]],S$6,S$2,FALSE),-100)</f>
        <v>-100</v>
      </c>
      <c r="BL23">
        <f>IF(Table2912[[#This Row],[Valerate '[%']]]&lt;T$10,_xlfn.NORM.DIST(Table2912[[#This Row],[Valerate '[%']]],T$6,T$2,FALSE),-100)</f>
        <v>-100</v>
      </c>
      <c r="BM23">
        <f>IF(Table2912[[#This Row],[Caproate '[%']]]&lt;U$10,_xlfn.NORM.DIST(Table2912[[#This Row],[Caproate '[%']]],U$6,U$2,FALSE),-100)</f>
        <v>-100</v>
      </c>
      <c r="BN23">
        <f>IF(Table2912[[#This Row],[Isobutyrate '[%']]]&lt;V$10,_xlfn.NORM.DIST(Table2912[[#This Row],[Isobutyrate '[%']]],V$6,V$2,FALSE),-100)</f>
        <v>-100</v>
      </c>
      <c r="BO23">
        <f>IF(Table2912[[#This Row],[Isovalerate '[%']]]&lt;W$10,_xlfn.NORM.DIST(Table2912[[#This Row],[Isovalerate '[%']]],W$6,W$2,FALSE),-100)</f>
        <v>-100</v>
      </c>
      <c r="BP23">
        <f>IF(Table2912[[#This Row],[CH4 '[g/mmol SCFA']]]&lt;X$10,_xlfn.NORM.DIST(Table2912[[#This Row],[CH4 '[g/mmol SCFA']]],X$6,X$2,FALSE),-100)</f>
        <v>-100</v>
      </c>
      <c r="BQ23">
        <f>IF(Table2912[[#This Row],[DMD '[mg/g']]]&gt;Y$10,_xlfn.NORM.DIST(Table2912[[#This Row],[DMD '[mg/g']]],Y$6,Y$2,FALSE),-100)</f>
        <v>-100</v>
      </c>
      <c r="BR23">
        <f>IF(Table2912[[#This Row],[CH4 '[ml/g']]]&lt;Z$10,_xlfn.NORM.DIST(Table2912[[#This Row],[CH4 '[ml/g']]],Z$6,Z$2,FALSE),-100)</f>
        <v>1.264677743243053E-2</v>
      </c>
      <c r="BS23">
        <f>IF(Table2912[[#This Row],[CH4 '[% GP']]]&lt;AA$10,_xlfn.NORM.DIST(Table2912[[#This Row],[CH4 '[% GP']]],AA$6,AA$2,FALSE),-100)</f>
        <v>-100</v>
      </c>
      <c r="BT23">
        <f>IF(Table2912[[#This Row],[CH4 '[g/g DDM']]]&lt;AB$10,_xlfn.NORM.DIST(Table2912[[#This Row],[CH4 '[g/g DDM']]],AB$6,AB$2,FALSE),-100)</f>
        <v>-100</v>
      </c>
      <c r="CJ23" t="str">
        <v>Paspalum corypheum</v>
      </c>
      <c r="CK23" t="str">
        <v xml:space="preserve">Hedysarum carnosum </v>
      </c>
      <c r="CL23" t="str">
        <v>Paspalum corypheum</v>
      </c>
    </row>
    <row r="24" spans="1:97" x14ac:dyDescent="0.25">
      <c r="A24" s="12" t="s">
        <v>70</v>
      </c>
      <c r="B24" s="13">
        <v>1032</v>
      </c>
      <c r="C24" s="102" t="s">
        <v>82</v>
      </c>
      <c r="D24" s="13"/>
      <c r="E24" s="13"/>
      <c r="F24" t="s">
        <v>83</v>
      </c>
      <c r="G24" s="15" t="s">
        <v>73</v>
      </c>
      <c r="H24" s="15" t="s">
        <v>74</v>
      </c>
      <c r="I24" t="s">
        <v>75</v>
      </c>
      <c r="J24" s="70">
        <v>1</v>
      </c>
      <c r="K24" s="70"/>
      <c r="L24" s="70"/>
      <c r="M24" s="103" t="s">
        <v>83</v>
      </c>
      <c r="N24" t="s">
        <v>80</v>
      </c>
      <c r="O24" s="18">
        <v>140.61078367168733</v>
      </c>
      <c r="P24" s="18">
        <v>3.4738586568404335</v>
      </c>
      <c r="Q24" s="97">
        <v>0.69861734008044463</v>
      </c>
      <c r="R24" s="97">
        <v>0.16774323226538479</v>
      </c>
      <c r="S24" s="97">
        <v>8.2377768646803587E-2</v>
      </c>
      <c r="T24" s="97">
        <v>1.5639194425624107E-2</v>
      </c>
      <c r="U24" s="97">
        <v>6.1705655492647787E-4</v>
      </c>
      <c r="V24" s="97">
        <v>1.215899384504705E-2</v>
      </c>
      <c r="W24" s="97">
        <v>2.2846414181769512E-2</v>
      </c>
      <c r="X24" s="51">
        <f t="shared" si="5"/>
        <v>4.2752902024437125</v>
      </c>
      <c r="Y24" s="18">
        <v>377.18254824121664</v>
      </c>
      <c r="Z24" s="18">
        <v>14.85175388026418</v>
      </c>
      <c r="AA24" s="18">
        <f t="shared" si="6"/>
        <v>10.562314989255446</v>
      </c>
      <c r="AB24" s="18">
        <f t="shared" si="7"/>
        <v>39.375506500810197</v>
      </c>
      <c r="AC24" s="18">
        <f>$CP$15*Table2912[[#This Row],[DMD '[mg/g']]]+$CS$15*Table2912[[#This Row],[CH4 '[ml/g']]]+$CR$15*Table2912[[#This Row],[CH4 '[% GP']]]+$CQ$15*Table2912[[#This Row],[CH4 '[g/g DDM']]]</f>
        <v>-8.9711858718458188</v>
      </c>
      <c r="AD24" s="18">
        <f>_xlfn.RANK.AVG(Table2912[[#This Row],[Index]],Table2912[Index])</f>
        <v>488</v>
      </c>
      <c r="AE2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3.2957828989336893</v>
      </c>
      <c r="AF24" s="18">
        <f>Table2912[[#This Row],[CH4 '[ml/g']]]/Table2912[[#This Row],[APB]]</f>
        <v>4.506290109421129</v>
      </c>
      <c r="AG24" s="18">
        <f>Table2912[[#This Row],[Propionate '[%']]]/Table2912[[#This Row],[Acetate '[%']]]</f>
        <v>0.24010745603032047</v>
      </c>
      <c r="AH24" s="51"/>
      <c r="AI24" s="18"/>
      <c r="AJ24" s="18"/>
      <c r="AK24" s="18">
        <f>(Table2912[[#This Row],[DMD '[mg/g']]]-$AK$15)/$AK$15*100</f>
        <v>-23.069362002600002</v>
      </c>
      <c r="AL24" s="18">
        <f>(Table2912[[#This Row],[CH4 '[ml/g']]]-AL$15)/AL$15*100</f>
        <v>-62.240223306629531</v>
      </c>
      <c r="AM24" s="18">
        <f>(Table2912[[#This Row],[CH4 '[% GP']]]-AM$15)/AM$15*100</f>
        <v>-31.954166652274917</v>
      </c>
      <c r="AN24" s="18">
        <f>(Table2912[[#This Row],[CH4 '[g/g DDM']]]-AN$15)/AN$15*100</f>
        <v>-23.118026467881805</v>
      </c>
      <c r="AO24" s="18"/>
      <c r="AP24" s="18"/>
      <c r="AR24">
        <f>_xlfn.NORM.DIST(Table2912[[#This Row],[GP '[ml/g']]],O$6,O$2,FALSE)</f>
        <v>7.3534623745477752E-4</v>
      </c>
      <c r="AS24">
        <f>_xlfn.NORM.DIST(Table2912[[#This Row],[SCFA '[mmol/g']]],P$6,P$2,FALSE)</f>
        <v>1.2714113259600821E-2</v>
      </c>
      <c r="AT24">
        <f>_xlfn.NORM.DIST(Table2912[[#This Row],[Acetate '[%']]],Q$6,Q$2,FALSE)</f>
        <v>9.3866066049180716</v>
      </c>
      <c r="AU24">
        <f>_xlfn.NORM.DIST(Table2912[[#This Row],[Propionate '[%']]],R$6,R$2,FALSE)</f>
        <v>16.540003282755162</v>
      </c>
      <c r="AV24">
        <f>_xlfn.NORM.DIST(Table2912[[#This Row],[Butyrate '[%']]],S$6,S$2,FALSE)</f>
        <v>19.135619275310962</v>
      </c>
      <c r="AW24">
        <f>_xlfn.NORM.DIST(Table2912[[#This Row],[Valerate '[%']]],T$6,T$2,FALSE)</f>
        <v>71.675630832378857</v>
      </c>
      <c r="AX24">
        <f>_xlfn.NORM.DIST(Table2912[[#This Row],[Caproate '[%']]],U$6,U$2,FALSE)</f>
        <v>311.66343552500081</v>
      </c>
      <c r="AY24">
        <f>_xlfn.NORM.DIST(Table2912[[#This Row],[Isobutyrate '[%']]],V$6,V$2,FALSE)</f>
        <v>69.880583370053657</v>
      </c>
      <c r="AZ24">
        <f>_xlfn.NORM.DIST(Table2912[[#This Row],[Isovalerate '[%']]],W$6,W$2,FALSE)</f>
        <v>38.509382497630639</v>
      </c>
      <c r="BA24">
        <f>_xlfn.NORM.DIST(Table2912[[#This Row],[CH4 '[g/mmol SCFA']]],X$6,X$2,FALSE)</f>
        <v>9.7057164980408145E-2</v>
      </c>
      <c r="BB24">
        <f>_xlfn.NORM.DIST(Table2912[[#This Row],[DMD '[mg/g']]],Y$6,Y$2,FALSE)</f>
        <v>4.1638536482008459E-5</v>
      </c>
      <c r="BC24">
        <f>_xlfn.NORM.DIST(Table2912[[#This Row],[CH4 '[ml/g']]],Z$6,Z$2,FALSE)</f>
        <v>2.7906543466014273E-3</v>
      </c>
      <c r="BD24">
        <f>_xlfn.NORM.DIST(Table2912[[#This Row],[CH4 '[% GP']]],AA$6,AA$2,FALSE)</f>
        <v>2.3920004456765866E-2</v>
      </c>
      <c r="BE24">
        <f>_xlfn.NORM.DIST(Table2912[[#This Row],[CH4 '[g/g DDM']]],AB$6,AB$2,FALSE)</f>
        <v>1.6936681453220706E-2</v>
      </c>
      <c r="BG24">
        <f>IF(Table2912[[#This Row],[GP '[ml/g']]]&lt;O$10,_xlfn.NORM.DIST(Table2912[[#This Row],[GP '[ml/g']]],O$6,O$2,FALSE),-100)</f>
        <v>7.3534623745477752E-4</v>
      </c>
      <c r="BH24">
        <f>IF(Table2912[[#This Row],[SCFA '[mmol/g']]]&lt;P$10,_xlfn.NORM.DIST(Table2912[[#This Row],[SCFA '[mmol/g']]],P$6,P$2,FALSE),-100)</f>
        <v>1.2714113259600821E-2</v>
      </c>
      <c r="BI24">
        <f>IF(Table2912[[#This Row],[Acetate '[%']]]&lt;Q$10,_xlfn.NORM.DIST(Table2912[[#This Row],[Acetate '[%']]],Q$6,Q$2,FALSE),-100)</f>
        <v>-100</v>
      </c>
      <c r="BJ24">
        <f>IF(Table2912[[#This Row],[Propionate '[%']]]&lt;R$10,_xlfn.NORM.DIST(Table2912[[#This Row],[Propionate '[%']]],R$6,R$2,FALSE),-100)</f>
        <v>-100</v>
      </c>
      <c r="BK24">
        <f>IF(Table2912[[#This Row],[Butyrate '[%']]]&lt;S$10,_xlfn.NORM.DIST(Table2912[[#This Row],[Butyrate '[%']]],S$6,S$2,FALSE),-100)</f>
        <v>-100</v>
      </c>
      <c r="BL24">
        <f>IF(Table2912[[#This Row],[Valerate '[%']]]&lt;T$10,_xlfn.NORM.DIST(Table2912[[#This Row],[Valerate '[%']]],T$6,T$2,FALSE),-100)</f>
        <v>-100</v>
      </c>
      <c r="BM24">
        <f>IF(Table2912[[#This Row],[Caproate '[%']]]&lt;U$10,_xlfn.NORM.DIST(Table2912[[#This Row],[Caproate '[%']]],U$6,U$2,FALSE),-100)</f>
        <v>-100</v>
      </c>
      <c r="BN24">
        <f>IF(Table2912[[#This Row],[Isobutyrate '[%']]]&lt;V$10,_xlfn.NORM.DIST(Table2912[[#This Row],[Isobutyrate '[%']]],V$6,V$2,FALSE),-100)</f>
        <v>-100</v>
      </c>
      <c r="BO24">
        <f>IF(Table2912[[#This Row],[Isovalerate '[%']]]&lt;W$10,_xlfn.NORM.DIST(Table2912[[#This Row],[Isovalerate '[%']]],W$6,W$2,FALSE),-100)</f>
        <v>-100</v>
      </c>
      <c r="BP24">
        <f>IF(Table2912[[#This Row],[CH4 '[g/mmol SCFA']]]&lt;X$10,_xlfn.NORM.DIST(Table2912[[#This Row],[CH4 '[g/mmol SCFA']]],X$6,X$2,FALSE),-100)</f>
        <v>9.7057164980408145E-2</v>
      </c>
      <c r="BQ24">
        <f>IF(Table2912[[#This Row],[DMD '[mg/g']]]&gt;Y$10,_xlfn.NORM.DIST(Table2912[[#This Row],[DMD '[mg/g']]],Y$6,Y$2,FALSE),-100)</f>
        <v>-100</v>
      </c>
      <c r="BR24">
        <f>IF(Table2912[[#This Row],[CH4 '[ml/g']]]&lt;Z$10,_xlfn.NORM.DIST(Table2912[[#This Row],[CH4 '[ml/g']]],Z$6,Z$2,FALSE),-100)</f>
        <v>2.7906543466014273E-3</v>
      </c>
      <c r="BS24">
        <f>IF(Table2912[[#This Row],[CH4 '[% GP']]]&lt;AA$10,_xlfn.NORM.DIST(Table2912[[#This Row],[CH4 '[% GP']]],AA$6,AA$2,FALSE),-100)</f>
        <v>2.3920004456765866E-2</v>
      </c>
      <c r="BT24">
        <f>IF(Table2912[[#This Row],[CH4 '[g/g DDM']]]&lt;AB$10,_xlfn.NORM.DIST(Table2912[[#This Row],[CH4 '[g/g DDM']]],AB$6,AB$2,FALSE),-100)</f>
        <v>-100</v>
      </c>
      <c r="CJ24" t="str">
        <v>Leucaena leucocephala</v>
      </c>
      <c r="CK24" t="str">
        <v xml:space="preserve">Periploca angustifolia </v>
      </c>
      <c r="CL24" t="str">
        <v>Leucaena leucocephala</v>
      </c>
    </row>
    <row r="25" spans="1:97" x14ac:dyDescent="0.25">
      <c r="A25" s="12" t="s">
        <v>70</v>
      </c>
      <c r="B25" s="13">
        <v>1024</v>
      </c>
      <c r="C25" s="96" t="s">
        <v>77</v>
      </c>
      <c r="D25" s="96"/>
      <c r="E25" s="96"/>
      <c r="F25" s="96" t="s">
        <v>78</v>
      </c>
      <c r="G25" s="15" t="s">
        <v>73</v>
      </c>
      <c r="H25" s="15" t="s">
        <v>74</v>
      </c>
      <c r="I25" s="99" t="s">
        <v>79</v>
      </c>
      <c r="J25" s="100">
        <v>3</v>
      </c>
      <c r="K25" s="100"/>
      <c r="L25" s="100"/>
      <c r="M25" t="s">
        <v>78</v>
      </c>
      <c r="N25" t="s">
        <v>76</v>
      </c>
      <c r="O25" s="18">
        <v>136.73062222222225</v>
      </c>
      <c r="P25" s="18">
        <v>3.7220000000000004</v>
      </c>
      <c r="Q25" s="97">
        <v>0.74840678516866621</v>
      </c>
      <c r="R25" s="97">
        <v>0.1541445400904744</v>
      </c>
      <c r="S25" s="97">
        <v>6.1123632909834136E-2</v>
      </c>
      <c r="T25" s="97">
        <v>1.0656529737664591E-2</v>
      </c>
      <c r="U25" s="97">
        <v>1.213156675522708E-3</v>
      </c>
      <c r="V25" s="97">
        <v>7.9244677958013512E-3</v>
      </c>
      <c r="W25" s="97">
        <v>1.653088762203634E-2</v>
      </c>
      <c r="X25" s="51">
        <f t="shared" si="5"/>
        <v>5.0561235704030505</v>
      </c>
      <c r="Y25" s="18">
        <v>394.88888888888869</v>
      </c>
      <c r="Z25" s="18">
        <v>18.818891929040156</v>
      </c>
      <c r="AA25" s="18">
        <f t="shared" si="6"/>
        <v>13.76348006261146</v>
      </c>
      <c r="AB25" s="18">
        <f t="shared" si="7"/>
        <v>47.65616976965714</v>
      </c>
      <c r="AC25" s="18">
        <f>$CP$15*Table2912[[#This Row],[DMD '[mg/g']]]+$CS$15*Table2912[[#This Row],[CH4 '[ml/g']]]+$CR$15*Table2912[[#This Row],[CH4 '[% GP']]]+$CQ$15*Table2912[[#This Row],[CH4 '[g/g DDM']]]</f>
        <v>-13.954050432875178</v>
      </c>
      <c r="AD25" s="18">
        <f>_xlfn.RANK.AVG(Table2912[[#This Row],[Index]],Table2912[Index])</f>
        <v>500</v>
      </c>
      <c r="AE2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3.5867981943049245</v>
      </c>
      <c r="AF25" s="18">
        <f>Table2912[[#This Row],[CH4 '[ml/g']]]/Table2912[[#This Row],[APB]]</f>
        <v>5.2467105506299649</v>
      </c>
      <c r="AG25" s="18">
        <f>Table2912[[#This Row],[Propionate '[%']]]/Table2912[[#This Row],[Acetate '[%']]]</f>
        <v>0.2059635790925323</v>
      </c>
      <c r="AH25" s="51"/>
      <c r="AI25" s="18"/>
      <c r="AJ25" s="18"/>
      <c r="AK25" s="18">
        <f>(Table2912[[#This Row],[DMD '[mg/g']]]-$AK$15)/$AK$15*100</f>
        <v>-19.457953974905209</v>
      </c>
      <c r="AL25" s="18">
        <f>(Table2912[[#This Row],[CH4 '[ml/g']]]-AL$15)/AL$15*100</f>
        <v>-52.153990526229464</v>
      </c>
      <c r="AM25" s="18">
        <f>(Table2912[[#This Row],[CH4 '[% GP']]]-AM$15)/AM$15*100</f>
        <v>-11.331230740808</v>
      </c>
      <c r="AN25" s="18">
        <f>(Table2912[[#This Row],[CH4 '[g/g DDM']]]-AN$15)/AN$15*100</f>
        <v>-6.9497586577706008</v>
      </c>
      <c r="AO25" s="18"/>
      <c r="AP25" s="18"/>
      <c r="AR25">
        <f>_xlfn.NORM.DIST(Table2912[[#This Row],[GP '[ml/g']]],O$6,O$2,FALSE)</f>
        <v>6.2703304914364232E-4</v>
      </c>
      <c r="AS25">
        <f>_xlfn.NORM.DIST(Table2912[[#This Row],[SCFA '[mmol/g']]],P$6,P$2,FALSE)</f>
        <v>2.111841780744048E-2</v>
      </c>
      <c r="AT25">
        <f>_xlfn.NORM.DIST(Table2912[[#This Row],[Acetate '[%']]],Q$6,Q$2,FALSE)</f>
        <v>0.42226089653726712</v>
      </c>
      <c r="AU25">
        <f>_xlfn.NORM.DIST(Table2912[[#This Row],[Propionate '[%']]],R$6,R$2,FALSE)</f>
        <v>12.713111559985498</v>
      </c>
      <c r="AV25">
        <f>_xlfn.NORM.DIST(Table2912[[#This Row],[Butyrate '[%']]],S$6,S$2,FALSE)</f>
        <v>4.2717149026759103</v>
      </c>
      <c r="AW25">
        <f>_xlfn.NORM.DIST(Table2912[[#This Row],[Valerate '[%']]],T$6,T$2,FALSE)</f>
        <v>30.75859772002725</v>
      </c>
      <c r="AX25">
        <f>_xlfn.NORM.DIST(Table2912[[#This Row],[Caproate '[%']]],U$6,U$2,FALSE)</f>
        <v>403.88239049214997</v>
      </c>
      <c r="AY25">
        <f>_xlfn.NORM.DIST(Table2912[[#This Row],[Isobutyrate '[%']]],V$6,V$2,FALSE)</f>
        <v>22.326277468866</v>
      </c>
      <c r="AZ25">
        <f>_xlfn.NORM.DIST(Table2912[[#This Row],[Isovalerate '[%']]],W$6,W$2,FALSE)</f>
        <v>19.664416762443469</v>
      </c>
      <c r="BA25">
        <f>_xlfn.NORM.DIST(Table2912[[#This Row],[CH4 '[g/mmol SCFA']]],X$6,X$2,FALSE)</f>
        <v>0.19578418246134463</v>
      </c>
      <c r="BB25">
        <f>_xlfn.NORM.DIST(Table2912[[#This Row],[DMD '[mg/g']]],Y$6,Y$2,FALSE)</f>
        <v>6.0215934033039259E-5</v>
      </c>
      <c r="BC25">
        <f>_xlfn.NORM.DIST(Table2912[[#This Row],[CH4 '[ml/g']]],Z$6,Z$2,FALSE)</f>
        <v>5.5490672730251628E-3</v>
      </c>
      <c r="BD25">
        <f>_xlfn.NORM.DIST(Table2912[[#This Row],[CH4 '[% GP']]],AA$6,AA$2,FALSE)</f>
        <v>9.9514616955105689E-2</v>
      </c>
      <c r="BE25">
        <f>_xlfn.NORM.DIST(Table2912[[#This Row],[CH4 '[g/g DDM']]],AB$6,AB$2,FALSE)</f>
        <v>2.9427598139775628E-2</v>
      </c>
      <c r="BG25">
        <f>IF(Table2912[[#This Row],[GP '[ml/g']]]&lt;O$10,_xlfn.NORM.DIST(Table2912[[#This Row],[GP '[ml/g']]],O$6,O$2,FALSE),-100)</f>
        <v>6.2703304914364232E-4</v>
      </c>
      <c r="BH25">
        <f>IF(Table2912[[#This Row],[SCFA '[mmol/g']]]&lt;P$10,_xlfn.NORM.DIST(Table2912[[#This Row],[SCFA '[mmol/g']]],P$6,P$2,FALSE),-100)</f>
        <v>2.111841780744048E-2</v>
      </c>
      <c r="BI25">
        <f>IF(Table2912[[#This Row],[Acetate '[%']]]&lt;Q$10,_xlfn.NORM.DIST(Table2912[[#This Row],[Acetate '[%']]],Q$6,Q$2,FALSE),-100)</f>
        <v>-100</v>
      </c>
      <c r="BJ25">
        <f>IF(Table2912[[#This Row],[Propionate '[%']]]&lt;R$10,_xlfn.NORM.DIST(Table2912[[#This Row],[Propionate '[%']]],R$6,R$2,FALSE),-100)</f>
        <v>-100</v>
      </c>
      <c r="BK25">
        <f>IF(Table2912[[#This Row],[Butyrate '[%']]]&lt;S$10,_xlfn.NORM.DIST(Table2912[[#This Row],[Butyrate '[%']]],S$6,S$2,FALSE),-100)</f>
        <v>4.2717149026759103</v>
      </c>
      <c r="BL25">
        <f>IF(Table2912[[#This Row],[Valerate '[%']]]&lt;T$10,_xlfn.NORM.DIST(Table2912[[#This Row],[Valerate '[%']]],T$6,T$2,FALSE),-100)</f>
        <v>30.75859772002725</v>
      </c>
      <c r="BM25">
        <f>IF(Table2912[[#This Row],[Caproate '[%']]]&lt;U$10,_xlfn.NORM.DIST(Table2912[[#This Row],[Caproate '[%']]],U$6,U$2,FALSE),-100)</f>
        <v>-100</v>
      </c>
      <c r="BN25">
        <f>IF(Table2912[[#This Row],[Isobutyrate '[%']]]&lt;V$10,_xlfn.NORM.DIST(Table2912[[#This Row],[Isobutyrate '[%']]],V$6,V$2,FALSE),-100)</f>
        <v>22.326277468866</v>
      </c>
      <c r="BO25">
        <f>IF(Table2912[[#This Row],[Isovalerate '[%']]]&lt;W$10,_xlfn.NORM.DIST(Table2912[[#This Row],[Isovalerate '[%']]],W$6,W$2,FALSE),-100)</f>
        <v>19.664416762443469</v>
      </c>
      <c r="BP25">
        <f>IF(Table2912[[#This Row],[CH4 '[g/mmol SCFA']]]&lt;X$10,_xlfn.NORM.DIST(Table2912[[#This Row],[CH4 '[g/mmol SCFA']]],X$6,X$2,FALSE),-100)</f>
        <v>-100</v>
      </c>
      <c r="BQ25">
        <f>IF(Table2912[[#This Row],[DMD '[mg/g']]]&gt;Y$10,_xlfn.NORM.DIST(Table2912[[#This Row],[DMD '[mg/g']]],Y$6,Y$2,FALSE),-100)</f>
        <v>-100</v>
      </c>
      <c r="BR25">
        <f>IF(Table2912[[#This Row],[CH4 '[ml/g']]]&lt;Z$10,_xlfn.NORM.DIST(Table2912[[#This Row],[CH4 '[ml/g']]],Z$6,Z$2,FALSE),-100)</f>
        <v>5.5490672730251628E-3</v>
      </c>
      <c r="BS25">
        <f>IF(Table2912[[#This Row],[CH4 '[% GP']]]&lt;AA$10,_xlfn.NORM.DIST(Table2912[[#This Row],[CH4 '[% GP']]],AA$6,AA$2,FALSE),-100)</f>
        <v>-100</v>
      </c>
      <c r="BT25">
        <f>IF(Table2912[[#This Row],[CH4 '[g/g DDM']]]&lt;AB$10,_xlfn.NORM.DIST(Table2912[[#This Row],[CH4 '[g/g DDM']]],AB$6,AB$2,FALSE),-100)</f>
        <v>-100</v>
      </c>
      <c r="CJ25" t="str">
        <v xml:space="preserve">Centrosema pascuorum  </v>
      </c>
      <c r="CK25" t="str">
        <v>Cardaria</v>
      </c>
      <c r="CL25" t="str">
        <v xml:space="preserve">Centrosema pascuorum  </v>
      </c>
    </row>
    <row r="26" spans="1:97" ht="15" customHeight="1" x14ac:dyDescent="0.25">
      <c r="A26" s="12" t="s">
        <v>70</v>
      </c>
      <c r="B26" s="13">
        <v>1032</v>
      </c>
      <c r="C26" s="102" t="s">
        <v>82</v>
      </c>
      <c r="D26" s="13"/>
      <c r="E26" s="13"/>
      <c r="F26" t="s">
        <v>83</v>
      </c>
      <c r="G26" s="15" t="s">
        <v>73</v>
      </c>
      <c r="H26" s="15" t="s">
        <v>74</v>
      </c>
      <c r="I26" t="s">
        <v>75</v>
      </c>
      <c r="J26" s="70">
        <v>2</v>
      </c>
      <c r="K26" s="70"/>
      <c r="L26" s="70"/>
      <c r="M26" t="s">
        <v>83</v>
      </c>
      <c r="N26" t="s">
        <v>81</v>
      </c>
      <c r="O26" s="18">
        <v>148.74355909694535</v>
      </c>
      <c r="P26" s="18">
        <v>4.5099601593625493</v>
      </c>
      <c r="Q26" s="97">
        <v>0.71414899882214355</v>
      </c>
      <c r="R26" s="97">
        <v>0.16870337652139769</v>
      </c>
      <c r="S26" s="97">
        <v>6.8143894778170372E-2</v>
      </c>
      <c r="T26" s="97">
        <v>1.4134275618374553E-2</v>
      </c>
      <c r="U26" s="97">
        <v>7.3616018845700805E-4</v>
      </c>
      <c r="V26" s="97">
        <v>1.2784648606203373E-2</v>
      </c>
      <c r="W26" s="97">
        <v>2.1348645465253235E-2</v>
      </c>
      <c r="X26" s="51">
        <f t="shared" si="5"/>
        <v>4.984073819554899</v>
      </c>
      <c r="Y26" s="18">
        <v>399.07038512616242</v>
      </c>
      <c r="Z26" s="18">
        <v>22.477974357514523</v>
      </c>
      <c r="AA26" s="18">
        <f t="shared" si="6"/>
        <v>15.111897613572795</v>
      </c>
      <c r="AB26" s="18">
        <f t="shared" si="7"/>
        <v>56.325839238630344</v>
      </c>
      <c r="AC26" s="18">
        <f>$CP$15*Table2912[[#This Row],[DMD '[mg/g']]]+$CS$15*Table2912[[#This Row],[CH4 '[ml/g']]]+$CR$15*Table2912[[#This Row],[CH4 '[% GP']]]+$CQ$15*Table2912[[#This Row],[CH4 '[g/g DDM']]]</f>
        <v>-19.629308691243654</v>
      </c>
      <c r="AD26" s="18">
        <f>_xlfn.RANK.AVG(Table2912[[#This Row],[Index]],Table2912[Index])</f>
        <v>508</v>
      </c>
      <c r="AE2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4.2889552899513053</v>
      </c>
      <c r="AF26" s="18">
        <f>Table2912[[#This Row],[CH4 '[ml/g']]]/Table2912[[#This Row],[APB]]</f>
        <v>5.2408973369759062</v>
      </c>
      <c r="AG26" s="18">
        <f>Table2912[[#This Row],[Propionate '[%']]]/Table2912[[#This Row],[Acetate '[%']]]</f>
        <v>0.23622994193038518</v>
      </c>
      <c r="AH26" s="51"/>
      <c r="AI26" s="18"/>
      <c r="AJ26" s="18"/>
      <c r="AK26" s="18">
        <f>(Table2912[[#This Row],[DMD '[mg/g']]]-$AK$15)/$AK$15*100</f>
        <v>-18.605090620497119</v>
      </c>
      <c r="AL26" s="18">
        <f>(Table2912[[#This Row],[CH4 '[ml/g']]]-AL$15)/AL$15*100</f>
        <v>-42.850972410272767</v>
      </c>
      <c r="AM26" s="18">
        <f>(Table2912[[#This Row],[CH4 '[% GP']]]-AM$15)/AM$15*100</f>
        <v>-2.6442907992137688</v>
      </c>
      <c r="AN26" s="18">
        <f>(Table2912[[#This Row],[CH4 '[g/g DDM']]]-AN$15)/AN$15*100</f>
        <v>9.9780565725451353</v>
      </c>
      <c r="AO26" s="18"/>
      <c r="AP26" s="18"/>
      <c r="AR26">
        <f>_xlfn.NORM.DIST(Table2912[[#This Row],[GP '[ml/g']]],O$6,O$2,FALSE)</f>
        <v>1.0094377700938747E-3</v>
      </c>
      <c r="AS26">
        <f>_xlfn.NORM.DIST(Table2912[[#This Row],[SCFA '[mmol/g']]],P$6,P$2,FALSE)</f>
        <v>7.9638724295752458E-2</v>
      </c>
      <c r="AT26">
        <f>_xlfn.NORM.DIST(Table2912[[#This Row],[Acetate '[%']]],Q$6,Q$2,FALSE)</f>
        <v>4.9564852210009898</v>
      </c>
      <c r="AU26">
        <f>_xlfn.NORM.DIST(Table2912[[#This Row],[Propionate '[%']]],R$6,R$2,FALSE)</f>
        <v>16.64284181423784</v>
      </c>
      <c r="AV26">
        <f>_xlfn.NORM.DIST(Table2912[[#This Row],[Butyrate '[%']]],S$6,S$2,FALSE)</f>
        <v>8.279762902803224</v>
      </c>
      <c r="AW26">
        <f>_xlfn.NORM.DIST(Table2912[[#This Row],[Valerate '[%']]],T$6,T$2,FALSE)</f>
        <v>61.26003649961855</v>
      </c>
      <c r="AX26">
        <f>_xlfn.NORM.DIST(Table2912[[#This Row],[Caproate '[%']]],U$6,U$2,FALSE)</f>
        <v>338.07435203959051</v>
      </c>
      <c r="AY26">
        <f>_xlfn.NORM.DIST(Table2912[[#This Row],[Isobutyrate '[%']]],V$6,V$2,FALSE)</f>
        <v>76.533122243996331</v>
      </c>
      <c r="AZ26">
        <f>_xlfn.NORM.DIST(Table2912[[#This Row],[Isovalerate '[%']]],W$6,W$2,FALSE)</f>
        <v>34.408300811195339</v>
      </c>
      <c r="BA26">
        <f>_xlfn.NORM.DIST(Table2912[[#This Row],[CH4 '[g/mmol SCFA']]],X$6,X$2,FALSE)</f>
        <v>0.18613168564823518</v>
      </c>
      <c r="BB26">
        <f>_xlfn.NORM.DIST(Table2912[[#This Row],[DMD '[mg/g']]],Y$6,Y$2,FALSE)</f>
        <v>6.5536898959507058E-5</v>
      </c>
      <c r="BC26">
        <f>_xlfn.NORM.DIST(Table2912[[#This Row],[CH4 '[ml/g']]],Z$6,Z$2,FALSE)</f>
        <v>9.4800605091622074E-3</v>
      </c>
      <c r="BD26">
        <f>_xlfn.NORM.DIST(Table2912[[#This Row],[CH4 '[% GP']]],AA$6,AA$2,FALSE)</f>
        <v>0.12787148543914079</v>
      </c>
      <c r="BE26">
        <f>_xlfn.NORM.DIST(Table2912[[#This Row],[CH4 '[g/g DDM']]],AB$6,AB$2,FALSE)</f>
        <v>3.1883065031599593E-2</v>
      </c>
      <c r="BG26">
        <f>IF(Table2912[[#This Row],[GP '[ml/g']]]&lt;O$10,_xlfn.NORM.DIST(Table2912[[#This Row],[GP '[ml/g']]],O$6,O$2,FALSE),-100)</f>
        <v>1.0094377700938747E-3</v>
      </c>
      <c r="BH26">
        <f>IF(Table2912[[#This Row],[SCFA '[mmol/g']]]&lt;P$10,_xlfn.NORM.DIST(Table2912[[#This Row],[SCFA '[mmol/g']]],P$6,P$2,FALSE),-100)</f>
        <v>7.9638724295752458E-2</v>
      </c>
      <c r="BI26">
        <f>IF(Table2912[[#This Row],[Acetate '[%']]]&lt;Q$10,_xlfn.NORM.DIST(Table2912[[#This Row],[Acetate '[%']]],Q$6,Q$2,FALSE),-100)</f>
        <v>-100</v>
      </c>
      <c r="BJ26">
        <f>IF(Table2912[[#This Row],[Propionate '[%']]]&lt;R$10,_xlfn.NORM.DIST(Table2912[[#This Row],[Propionate '[%']]],R$6,R$2,FALSE),-100)</f>
        <v>-100</v>
      </c>
      <c r="BK26">
        <f>IF(Table2912[[#This Row],[Butyrate '[%']]]&lt;S$10,_xlfn.NORM.DIST(Table2912[[#This Row],[Butyrate '[%']]],S$6,S$2,FALSE),-100)</f>
        <v>8.279762902803224</v>
      </c>
      <c r="BL26">
        <f>IF(Table2912[[#This Row],[Valerate '[%']]]&lt;T$10,_xlfn.NORM.DIST(Table2912[[#This Row],[Valerate '[%']]],T$6,T$2,FALSE),-100)</f>
        <v>-100</v>
      </c>
      <c r="BM26">
        <f>IF(Table2912[[#This Row],[Caproate '[%']]]&lt;U$10,_xlfn.NORM.DIST(Table2912[[#This Row],[Caproate '[%']]],U$6,U$2,FALSE),-100)</f>
        <v>-100</v>
      </c>
      <c r="BN26">
        <f>IF(Table2912[[#This Row],[Isobutyrate '[%']]]&lt;V$10,_xlfn.NORM.DIST(Table2912[[#This Row],[Isobutyrate '[%']]],V$6,V$2,FALSE),-100)</f>
        <v>-100</v>
      </c>
      <c r="BO26">
        <f>IF(Table2912[[#This Row],[Isovalerate '[%']]]&lt;W$10,_xlfn.NORM.DIST(Table2912[[#This Row],[Isovalerate '[%']]],W$6,W$2,FALSE),-100)</f>
        <v>-100</v>
      </c>
      <c r="BP26">
        <f>IF(Table2912[[#This Row],[CH4 '[g/mmol SCFA']]]&lt;X$10,_xlfn.NORM.DIST(Table2912[[#This Row],[CH4 '[g/mmol SCFA']]],X$6,X$2,FALSE),-100)</f>
        <v>-100</v>
      </c>
      <c r="BQ26">
        <f>IF(Table2912[[#This Row],[DMD '[mg/g']]]&gt;Y$10,_xlfn.NORM.DIST(Table2912[[#This Row],[DMD '[mg/g']]],Y$6,Y$2,FALSE),-100)</f>
        <v>-100</v>
      </c>
      <c r="BR26">
        <f>IF(Table2912[[#This Row],[CH4 '[ml/g']]]&lt;Z$10,_xlfn.NORM.DIST(Table2912[[#This Row],[CH4 '[ml/g']]],Z$6,Z$2,FALSE),-100)</f>
        <v>9.4800605091622074E-3</v>
      </c>
      <c r="BS26">
        <f>IF(Table2912[[#This Row],[CH4 '[% GP']]]&lt;AA$10,_xlfn.NORM.DIST(Table2912[[#This Row],[CH4 '[% GP']]],AA$6,AA$2,FALSE),-100)</f>
        <v>-100</v>
      </c>
      <c r="BT26">
        <f>IF(Table2912[[#This Row],[CH4 '[g/g DDM']]]&lt;AB$10,_xlfn.NORM.DIST(Table2912[[#This Row],[CH4 '[g/g DDM']]],AB$6,AB$2,FALSE),-100)</f>
        <v>-100</v>
      </c>
      <c r="CJ26" t="str">
        <v>Erythrina fusca</v>
      </c>
      <c r="CK26" t="str">
        <v>Hedysarum coronarium</v>
      </c>
      <c r="CL26" t="str">
        <v>Erythrina fusca</v>
      </c>
    </row>
    <row r="27" spans="1:97" x14ac:dyDescent="0.25">
      <c r="A27" s="12" t="s">
        <v>70</v>
      </c>
      <c r="B27" s="13">
        <v>1010</v>
      </c>
      <c r="C27" s="96" t="s">
        <v>71</v>
      </c>
      <c r="D27" s="96"/>
      <c r="E27" s="96"/>
      <c r="F27" s="96" t="s">
        <v>72</v>
      </c>
      <c r="G27" s="15" t="s">
        <v>73</v>
      </c>
      <c r="H27" s="15" t="s">
        <v>74</v>
      </c>
      <c r="I27" t="s">
        <v>75</v>
      </c>
      <c r="J27" s="70">
        <v>2</v>
      </c>
      <c r="K27" s="70"/>
      <c r="L27" s="70"/>
      <c r="M27" t="s">
        <v>72</v>
      </c>
      <c r="N27" t="s">
        <v>85</v>
      </c>
      <c r="O27" s="18">
        <v>187.72901726427671</v>
      </c>
      <c r="P27" s="18">
        <v>4.5288726282986858</v>
      </c>
      <c r="Q27" s="97">
        <v>0.73233851833103425</v>
      </c>
      <c r="R27" s="97">
        <v>0.18698788907620587</v>
      </c>
      <c r="S27" s="97">
        <v>5.8526544398529723E-2</v>
      </c>
      <c r="T27" s="97">
        <v>1.1068121562844828E-2</v>
      </c>
      <c r="U27" s="97">
        <v>5.6974931733744867E-4</v>
      </c>
      <c r="V27" s="97">
        <v>3.7346166431100024E-3</v>
      </c>
      <c r="W27" s="97">
        <v>6.7745606709379248E-3</v>
      </c>
      <c r="X27" s="51">
        <f t="shared" si="5"/>
        <v>4.5130809051617353</v>
      </c>
      <c r="Y27" s="18">
        <v>410.35747000994922</v>
      </c>
      <c r="Z27" s="18">
        <v>20.439168580684441</v>
      </c>
      <c r="AA27" s="18">
        <f t="shared" si="6"/>
        <v>10.887591528757151</v>
      </c>
      <c r="AB27" s="18">
        <f t="shared" si="7"/>
        <v>49.808204003667555</v>
      </c>
      <c r="AC27" s="18">
        <f>$CP$15*Table2912[[#This Row],[DMD '[mg/g']]]+$CS$15*Table2912[[#This Row],[CH4 '[ml/g']]]+$CR$15*Table2912[[#This Row],[CH4 '[% GP']]]+$CQ$15*Table2912[[#This Row],[CH4 '[g/g DDM']]]</f>
        <v>-13.2052800390511</v>
      </c>
      <c r="AD27" s="18">
        <f>_xlfn.RANK.AVG(Table2912[[#This Row],[Index]],Table2912[Index])</f>
        <v>498</v>
      </c>
      <c r="AE2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4.4285714679342245</v>
      </c>
      <c r="AF27" s="18">
        <f>Table2912[[#This Row],[CH4 '[ml/g']]]/Table2912[[#This Row],[APB]]</f>
        <v>4.615296090099819</v>
      </c>
      <c r="AG27" s="18">
        <f>Table2912[[#This Row],[Propionate '[%']]]/Table2912[[#This Row],[Acetate '[%']]]</f>
        <v>0.25532985688413967</v>
      </c>
      <c r="AH27" s="51"/>
      <c r="AI27" s="18"/>
      <c r="AJ27" s="18"/>
      <c r="AK27" s="18">
        <f>(Table2912[[#This Row],[DMD '[mg/g']]]-$AK$15)/$AK$15*100</f>
        <v>-16.302962260398083</v>
      </c>
      <c r="AL27" s="18">
        <f>(Table2912[[#This Row],[CH4 '[ml/g']]]-AL$15)/AL$15*100</f>
        <v>-48.034525240121326</v>
      </c>
      <c r="AM27" s="18">
        <f>(Table2912[[#This Row],[CH4 '[% GP']]]-AM$15)/AM$15*100</f>
        <v>-29.858630472813001</v>
      </c>
      <c r="AN27" s="18">
        <f>(Table2912[[#This Row],[CH4 '[g/g DDM']]]-AN$15)/AN$15*100</f>
        <v>-2.7478409245727655</v>
      </c>
      <c r="AO27" s="18"/>
      <c r="AP27" s="18"/>
      <c r="AR27">
        <f>_xlfn.NORM.DIST(Table2912[[#This Row],[GP '[ml/g']]],O$6,O$2,FALSE)</f>
        <v>3.337351071422987E-3</v>
      </c>
      <c r="AS27">
        <f>_xlfn.NORM.DIST(Table2912[[#This Row],[SCFA '[mmol/g']]],P$6,P$2,FALSE)</f>
        <v>8.1781534699959774E-2</v>
      </c>
      <c r="AT27">
        <f>_xlfn.NORM.DIST(Table2912[[#This Row],[Acetate '[%']]],Q$6,Q$2,FALSE)</f>
        <v>1.6059147654715957</v>
      </c>
      <c r="AU27">
        <f>_xlfn.NORM.DIST(Table2912[[#This Row],[Propionate '[%']]],R$6,R$2,FALSE)</f>
        <v>13.71299201987363</v>
      </c>
      <c r="AV27">
        <f>_xlfn.NORM.DIST(Table2912[[#This Row],[Butyrate '[%']]],S$6,S$2,FALSE)</f>
        <v>3.2077513499187429</v>
      </c>
      <c r="AW27">
        <f>_xlfn.NORM.DIST(Table2912[[#This Row],[Valerate '[%']]],T$6,T$2,FALSE)</f>
        <v>34.173706631712037</v>
      </c>
      <c r="AX27">
        <f>_xlfn.NORM.DIST(Table2912[[#This Row],[Caproate '[%']]],U$6,U$2,FALSE)</f>
        <v>300.5217804424878</v>
      </c>
      <c r="AY27">
        <f>_xlfn.NORM.DIST(Table2912[[#This Row],[Isobutyrate '[%']]],V$6,V$2,FALSE)</f>
        <v>2.9312193184558017</v>
      </c>
      <c r="AZ27">
        <f>_xlfn.NORM.DIST(Table2912[[#This Row],[Isovalerate '[%']]],W$6,W$2,FALSE)</f>
        <v>2.5190208307982025</v>
      </c>
      <c r="BA27">
        <f>_xlfn.NORM.DIST(Table2912[[#This Row],[CH4 '[g/mmol SCFA']]],X$6,X$2,FALSE)</f>
        <v>0.12457130661035067</v>
      </c>
      <c r="BB27">
        <f>_xlfn.NORM.DIST(Table2912[[#This Row],[DMD '[mg/g']]],Y$6,Y$2,FALSE)</f>
        <v>8.1983286408499569E-5</v>
      </c>
      <c r="BC27">
        <f>_xlfn.NORM.DIST(Table2912[[#This Row],[CH4 '[ml/g']]],Z$6,Z$2,FALSE)</f>
        <v>7.1166153927795014E-3</v>
      </c>
      <c r="BD27">
        <f>_xlfn.NORM.DIST(Table2912[[#This Row],[CH4 '[% GP']]],AA$6,AA$2,FALSE)</f>
        <v>2.9163203496507088E-2</v>
      </c>
      <c r="BE27">
        <f>_xlfn.NORM.DIST(Table2912[[#This Row],[CH4 '[g/g DDM']]],AB$6,AB$2,FALSE)</f>
        <v>3.1480976746972887E-2</v>
      </c>
      <c r="BG27">
        <f>IF(Table2912[[#This Row],[GP '[ml/g']]]&lt;O$10,_xlfn.NORM.DIST(Table2912[[#This Row],[GP '[ml/g']]],O$6,O$2,FALSE),-100)</f>
        <v>3.337351071422987E-3</v>
      </c>
      <c r="BH27">
        <f>IF(Table2912[[#This Row],[SCFA '[mmol/g']]]&lt;P$10,_xlfn.NORM.DIST(Table2912[[#This Row],[SCFA '[mmol/g']]],P$6,P$2,FALSE),-100)</f>
        <v>8.1781534699959774E-2</v>
      </c>
      <c r="BI27">
        <f>IF(Table2912[[#This Row],[Acetate '[%']]]&lt;Q$10,_xlfn.NORM.DIST(Table2912[[#This Row],[Acetate '[%']]],Q$6,Q$2,FALSE),-100)</f>
        <v>-100</v>
      </c>
      <c r="BJ27">
        <f>IF(Table2912[[#This Row],[Propionate '[%']]]&lt;R$10,_xlfn.NORM.DIST(Table2912[[#This Row],[Propionate '[%']]],R$6,R$2,FALSE),-100)</f>
        <v>-100</v>
      </c>
      <c r="BK27">
        <f>IF(Table2912[[#This Row],[Butyrate '[%']]]&lt;S$10,_xlfn.NORM.DIST(Table2912[[#This Row],[Butyrate '[%']]],S$6,S$2,FALSE),-100)</f>
        <v>3.2077513499187429</v>
      </c>
      <c r="BL27">
        <f>IF(Table2912[[#This Row],[Valerate '[%']]]&lt;T$10,_xlfn.NORM.DIST(Table2912[[#This Row],[Valerate '[%']]],T$6,T$2,FALSE),-100)</f>
        <v>34.173706631712037</v>
      </c>
      <c r="BM27">
        <f>IF(Table2912[[#This Row],[Caproate '[%']]]&lt;U$10,_xlfn.NORM.DIST(Table2912[[#This Row],[Caproate '[%']]],U$6,U$2,FALSE),-100)</f>
        <v>-100</v>
      </c>
      <c r="BN27">
        <f>IF(Table2912[[#This Row],[Isobutyrate '[%']]]&lt;V$10,_xlfn.NORM.DIST(Table2912[[#This Row],[Isobutyrate '[%']]],V$6,V$2,FALSE),-100)</f>
        <v>2.9312193184558017</v>
      </c>
      <c r="BO27">
        <f>IF(Table2912[[#This Row],[Isovalerate '[%']]]&lt;W$10,_xlfn.NORM.DIST(Table2912[[#This Row],[Isovalerate '[%']]],W$6,W$2,FALSE),-100)</f>
        <v>2.5190208307982025</v>
      </c>
      <c r="BP27">
        <f>IF(Table2912[[#This Row],[CH4 '[g/mmol SCFA']]]&lt;X$10,_xlfn.NORM.DIST(Table2912[[#This Row],[CH4 '[g/mmol SCFA']]],X$6,X$2,FALSE),-100)</f>
        <v>0.12457130661035067</v>
      </c>
      <c r="BQ27">
        <f>IF(Table2912[[#This Row],[DMD '[mg/g']]]&gt;Y$10,_xlfn.NORM.DIST(Table2912[[#This Row],[DMD '[mg/g']]],Y$6,Y$2,FALSE),-100)</f>
        <v>-100</v>
      </c>
      <c r="BR27">
        <f>IF(Table2912[[#This Row],[CH4 '[ml/g']]]&lt;Z$10,_xlfn.NORM.DIST(Table2912[[#This Row],[CH4 '[ml/g']]],Z$6,Z$2,FALSE),-100)</f>
        <v>7.1166153927795014E-3</v>
      </c>
      <c r="BS27">
        <f>IF(Table2912[[#This Row],[CH4 '[% GP']]]&lt;AA$10,_xlfn.NORM.DIST(Table2912[[#This Row],[CH4 '[% GP']]],AA$6,AA$2,FALSE),-100)</f>
        <v>2.9163203496507088E-2</v>
      </c>
      <c r="BT27">
        <f>IF(Table2912[[#This Row],[CH4 '[g/g DDM']]]&lt;AB$10,_xlfn.NORM.DIST(Table2912[[#This Row],[CH4 '[g/g DDM']]],AB$6,AB$2,FALSE),-100)</f>
        <v>-100</v>
      </c>
      <c r="CJ27" t="str">
        <v>Cratylia argentea</v>
      </c>
      <c r="CK27" t="str">
        <v>Sinapsis</v>
      </c>
      <c r="CL27" t="str">
        <v>Cratylia argentea</v>
      </c>
    </row>
    <row r="28" spans="1:97" x14ac:dyDescent="0.25">
      <c r="A28" s="12" t="s">
        <v>86</v>
      </c>
      <c r="B28" s="13">
        <v>1048</v>
      </c>
      <c r="C28" s="104" t="s">
        <v>87</v>
      </c>
      <c r="D28" s="104" t="s">
        <v>88</v>
      </c>
      <c r="E28" s="104" t="s">
        <v>89</v>
      </c>
      <c r="F28" s="104" t="s">
        <v>90</v>
      </c>
      <c r="G28" s="23" t="s">
        <v>73</v>
      </c>
      <c r="H28" s="23" t="s">
        <v>74</v>
      </c>
      <c r="I28" s="104" t="s">
        <v>48</v>
      </c>
      <c r="J28" s="100">
        <v>2</v>
      </c>
      <c r="K28" s="100"/>
      <c r="L28" s="100"/>
      <c r="M28" t="s">
        <v>91</v>
      </c>
      <c r="N28" t="s">
        <v>84</v>
      </c>
      <c r="O28" s="18">
        <v>145.26919494344622</v>
      </c>
      <c r="P28" s="18">
        <v>4.8029496562430696</v>
      </c>
      <c r="Q28" s="97">
        <v>0.71955356567378925</v>
      </c>
      <c r="R28" s="97">
        <v>0.16034810037574238</v>
      </c>
      <c r="S28" s="97">
        <v>6.5375416535562919E-2</v>
      </c>
      <c r="T28" s="97">
        <v>2.9447708102984672E-2</v>
      </c>
      <c r="U28" s="97">
        <v>1.0381087394851244E-3</v>
      </c>
      <c r="V28" s="97">
        <v>8.8059693417719617E-3</v>
      </c>
      <c r="W28" s="97">
        <v>1.5431131230663742E-2</v>
      </c>
      <c r="X28" s="51">
        <f t="shared" si="5"/>
        <v>3.6095566345942354</v>
      </c>
      <c r="Y28" s="18">
        <v>415.05877134619641</v>
      </c>
      <c r="Z28" s="18">
        <v>17.336518797314273</v>
      </c>
      <c r="AA28" s="18">
        <f t="shared" si="6"/>
        <v>11.934064069167203</v>
      </c>
      <c r="AB28" s="18">
        <f t="shared" si="7"/>
        <v>41.768828884365519</v>
      </c>
      <c r="AC28" s="18">
        <f>$CP$15*Table2912[[#This Row],[DMD '[mg/g']]]+$CS$15*Table2912[[#This Row],[CH4 '[ml/g']]]+$CR$15*Table2912[[#This Row],[CH4 '[% GP']]]+$CQ$15*Table2912[[#This Row],[CH4 '[g/g DDM']]]</f>
        <v>-8.002282621031533</v>
      </c>
      <c r="AD28" s="18">
        <f>_xlfn.RANK.AVG(Table2912[[#This Row],[Index]],Table2912[Index])</f>
        <v>482</v>
      </c>
      <c r="AE2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4.5401182388565315</v>
      </c>
      <c r="AF28" s="18">
        <f>Table2912[[#This Row],[CH4 '[ml/g']]]/Table2912[[#This Row],[APB]]</f>
        <v>3.8185170264818096</v>
      </c>
      <c r="AG28" s="18">
        <f>Table2912[[#This Row],[Propionate '[%']]]/Table2912[[#This Row],[Acetate '[%']]]</f>
        <v>0.22284386878910478</v>
      </c>
      <c r="AH28" s="51"/>
      <c r="AI28" s="18"/>
      <c r="AJ28" s="18"/>
      <c r="AK28" s="18">
        <f>(Table2912[[#This Row],[DMD '[mg/g']]]-$AK$15)/$AK$15*100</f>
        <v>-15.344078788980879</v>
      </c>
      <c r="AL28" s="18">
        <f>(Table2912[[#This Row],[CH4 '[ml/g']]]-AL$15)/AL$15*100</f>
        <v>-55.922843611291896</v>
      </c>
      <c r="AM28" s="18">
        <f>(Table2912[[#This Row],[CH4 '[% GP']]]-AM$15)/AM$15*100</f>
        <v>-23.11691749037027</v>
      </c>
      <c r="AN28" s="18">
        <f>(Table2912[[#This Row],[CH4 '[g/g DDM']]]-AN$15)/AN$15*100</f>
        <v>-18.444985674297595</v>
      </c>
      <c r="AO28" s="18"/>
      <c r="AP28" s="18"/>
      <c r="AR28">
        <f>_xlfn.NORM.DIST(Table2912[[#This Row],[GP '[ml/g']]],O$6,O$2,FALSE)</f>
        <v>8.8417219662102547E-4</v>
      </c>
      <c r="AS28">
        <f>_xlfn.NORM.DIST(Table2912[[#This Row],[SCFA '[mmol/g']]],P$6,P$2,FALSE)</f>
        <v>0.11685033267322419</v>
      </c>
      <c r="AT28">
        <f>_xlfn.NORM.DIST(Table2912[[#This Row],[Acetate '[%']]],Q$6,Q$2,FALSE)</f>
        <v>3.7007888592902169</v>
      </c>
      <c r="AU28">
        <f>_xlfn.NORM.DIST(Table2912[[#This Row],[Propionate '[%']]],R$6,R$2,FALSE)</f>
        <v>14.929113994528667</v>
      </c>
      <c r="AV28">
        <f>_xlfn.NORM.DIST(Table2912[[#This Row],[Butyrate '[%']]],S$6,S$2,FALSE)</f>
        <v>6.5041711573828289</v>
      </c>
      <c r="AW28">
        <f>_xlfn.NORM.DIST(Table2912[[#This Row],[Valerate '[%']]],T$6,T$2,FALSE)</f>
        <v>5.6616184149689577</v>
      </c>
      <c r="AX28">
        <f>_xlfn.NORM.DIST(Table2912[[#This Row],[Caproate '[%']]],U$6,U$2,FALSE)</f>
        <v>388.91002424841639</v>
      </c>
      <c r="AY28">
        <f>_xlfn.NORM.DIST(Table2912[[#This Row],[Isobutyrate '[%']]],V$6,V$2,FALSE)</f>
        <v>30.5318234370121</v>
      </c>
      <c r="AZ28">
        <f>_xlfn.NORM.DIST(Table2912[[#This Row],[Isovalerate '[%']]],W$6,W$2,FALSE)</f>
        <v>16.591658086189721</v>
      </c>
      <c r="BA28">
        <f>_xlfn.NORM.DIST(Table2912[[#This Row],[CH4 '[g/mmol SCFA']]],X$6,X$2,FALSE)</f>
        <v>4.0830152752029114E-2</v>
      </c>
      <c r="BB28">
        <f>_xlfn.NORM.DIST(Table2912[[#This Row],[DMD '[mg/g']]],Y$6,Y$2,FALSE)</f>
        <v>8.9816364065409515E-5</v>
      </c>
      <c r="BC28">
        <f>_xlfn.NORM.DIST(Table2912[[#This Row],[CH4 '[ml/g']]],Z$6,Z$2,FALSE)</f>
        <v>4.3482870868995632E-3</v>
      </c>
      <c r="BD28">
        <f>_xlfn.NORM.DIST(Table2912[[#This Row],[CH4 '[% GP']]],AA$6,AA$2,FALSE)</f>
        <v>5.0839978205255709E-2</v>
      </c>
      <c r="BE28">
        <f>_xlfn.NORM.DIST(Table2912[[#This Row],[CH4 '[g/g DDM']]],AB$6,AB$2,FALSE)</f>
        <v>2.0841138629142775E-2</v>
      </c>
      <c r="BG28">
        <f>IF(Table2912[[#This Row],[GP '[ml/g']]]&lt;O$10,_xlfn.NORM.DIST(Table2912[[#This Row],[GP '[ml/g']]],O$6,O$2,FALSE),-100)</f>
        <v>8.8417219662102547E-4</v>
      </c>
      <c r="BH28">
        <f>IF(Table2912[[#This Row],[SCFA '[mmol/g']]]&lt;P$10,_xlfn.NORM.DIST(Table2912[[#This Row],[SCFA '[mmol/g']]],P$6,P$2,FALSE),-100)</f>
        <v>0.11685033267322419</v>
      </c>
      <c r="BI28">
        <f>IF(Table2912[[#This Row],[Acetate '[%']]]&lt;Q$10,_xlfn.NORM.DIST(Table2912[[#This Row],[Acetate '[%']]],Q$6,Q$2,FALSE),-100)</f>
        <v>-100</v>
      </c>
      <c r="BJ28">
        <f>IF(Table2912[[#This Row],[Propionate '[%']]]&lt;R$10,_xlfn.NORM.DIST(Table2912[[#This Row],[Propionate '[%']]],R$6,R$2,FALSE),-100)</f>
        <v>-100</v>
      </c>
      <c r="BK28">
        <f>IF(Table2912[[#This Row],[Butyrate '[%']]]&lt;S$10,_xlfn.NORM.DIST(Table2912[[#This Row],[Butyrate '[%']]],S$6,S$2,FALSE),-100)</f>
        <v>6.5041711573828289</v>
      </c>
      <c r="BL28">
        <f>IF(Table2912[[#This Row],[Valerate '[%']]]&lt;T$10,_xlfn.NORM.DIST(Table2912[[#This Row],[Valerate '[%']]],T$6,T$2,FALSE),-100)</f>
        <v>-100</v>
      </c>
      <c r="BM28">
        <f>IF(Table2912[[#This Row],[Caproate '[%']]]&lt;U$10,_xlfn.NORM.DIST(Table2912[[#This Row],[Caproate '[%']]],U$6,U$2,FALSE),-100)</f>
        <v>-100</v>
      </c>
      <c r="BN28">
        <f>IF(Table2912[[#This Row],[Isobutyrate '[%']]]&lt;V$10,_xlfn.NORM.DIST(Table2912[[#This Row],[Isobutyrate '[%']]],V$6,V$2,FALSE),-100)</f>
        <v>30.5318234370121</v>
      </c>
      <c r="BO28">
        <f>IF(Table2912[[#This Row],[Isovalerate '[%']]]&lt;W$10,_xlfn.NORM.DIST(Table2912[[#This Row],[Isovalerate '[%']]],W$6,W$2,FALSE),-100)</f>
        <v>16.591658086189721</v>
      </c>
      <c r="BP28">
        <f>IF(Table2912[[#This Row],[CH4 '[g/mmol SCFA']]]&lt;X$10,_xlfn.NORM.DIST(Table2912[[#This Row],[CH4 '[g/mmol SCFA']]],X$6,X$2,FALSE),-100)</f>
        <v>4.0830152752029114E-2</v>
      </c>
      <c r="BQ28">
        <f>IF(Table2912[[#This Row],[DMD '[mg/g']]]&gt;Y$10,_xlfn.NORM.DIST(Table2912[[#This Row],[DMD '[mg/g']]],Y$6,Y$2,FALSE),-100)</f>
        <v>-100</v>
      </c>
      <c r="BR28">
        <f>IF(Table2912[[#This Row],[CH4 '[ml/g']]]&lt;Z$10,_xlfn.NORM.DIST(Table2912[[#This Row],[CH4 '[ml/g']]],Z$6,Z$2,FALSE),-100)</f>
        <v>4.3482870868995632E-3</v>
      </c>
      <c r="BS28">
        <f>IF(Table2912[[#This Row],[CH4 '[% GP']]]&lt;AA$10,_xlfn.NORM.DIST(Table2912[[#This Row],[CH4 '[% GP']]],AA$6,AA$2,FALSE),-100)</f>
        <v>-100</v>
      </c>
      <c r="BT28">
        <f>IF(Table2912[[#This Row],[CH4 '[g/g DDM']]]&lt;AB$10,_xlfn.NORM.DIST(Table2912[[#This Row],[CH4 '[g/g DDM']]],AB$6,AB$2,FALSE),-100)</f>
        <v>-100</v>
      </c>
      <c r="CJ28" t="str">
        <v>Neustanthus  phaseoloides</v>
      </c>
      <c r="CK28" t="str">
        <v>Daveas</v>
      </c>
      <c r="CL28" t="str">
        <v>Neustanthus  phaseoloides</v>
      </c>
    </row>
    <row r="29" spans="1:97" x14ac:dyDescent="0.25">
      <c r="A29" s="12" t="s">
        <v>70</v>
      </c>
      <c r="B29" s="13">
        <v>1025</v>
      </c>
      <c r="C29" s="96" t="s">
        <v>92</v>
      </c>
      <c r="D29" s="96"/>
      <c r="E29" s="96"/>
      <c r="F29" s="98" t="s">
        <v>93</v>
      </c>
      <c r="G29" s="15" t="s">
        <v>73</v>
      </c>
      <c r="H29" s="15" t="s">
        <v>74</v>
      </c>
      <c r="I29" t="s">
        <v>75</v>
      </c>
      <c r="J29" s="70">
        <v>1</v>
      </c>
      <c r="K29" s="70"/>
      <c r="L29" s="70"/>
      <c r="M29" t="s">
        <v>93</v>
      </c>
      <c r="N29" t="s">
        <v>80</v>
      </c>
      <c r="O29" s="18">
        <v>140.13837590045841</v>
      </c>
      <c r="P29" s="18">
        <v>3.1709352523941421</v>
      </c>
      <c r="Q29" s="97">
        <v>0.70401533790910009</v>
      </c>
      <c r="R29" s="97">
        <v>0.19098397002767997</v>
      </c>
      <c r="S29" s="97">
        <v>6.8710199361079916E-2</v>
      </c>
      <c r="T29" s="97">
        <v>1.2439829449884868E-2</v>
      </c>
      <c r="U29" s="97">
        <v>1.2445329445649468E-4</v>
      </c>
      <c r="V29" s="97">
        <v>9.591522080359273E-3</v>
      </c>
      <c r="W29" s="97">
        <v>1.4134687877439392E-2</v>
      </c>
      <c r="X29" s="51">
        <f t="shared" si="5"/>
        <v>4.3014779501242622</v>
      </c>
      <c r="Y29" s="18">
        <v>428.27595191629393</v>
      </c>
      <c r="Z29" s="18">
        <v>13.639708069445113</v>
      </c>
      <c r="AA29" s="18">
        <f t="shared" si="6"/>
        <v>9.7330285025805665</v>
      </c>
      <c r="AB29" s="18">
        <f t="shared" si="7"/>
        <v>31.847942917212823</v>
      </c>
      <c r="AC29" s="18">
        <f>$CP$15*Table2912[[#This Row],[DMD '[mg/g']]]+$CS$15*Table2912[[#This Row],[CH4 '[ml/g']]]+$CR$15*Table2912[[#This Row],[CH4 '[% GP']]]+$CQ$15*Table2912[[#This Row],[CH4 '[g/g DDM']]]</f>
        <v>-5.7065023938697834E-2</v>
      </c>
      <c r="AD29" s="18">
        <f>_xlfn.RANK.AVG(Table2912[[#This Row],[Index]],Table2912[Index])</f>
        <v>446</v>
      </c>
      <c r="AE2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3.0558604497581738</v>
      </c>
      <c r="AF29" s="18">
        <f>Table2912[[#This Row],[CH4 '[ml/g']]]/Table2912[[#This Row],[APB]]</f>
        <v>4.4634590792666904</v>
      </c>
      <c r="AG29" s="18">
        <f>Table2912[[#This Row],[Propionate '[%']]]/Table2912[[#This Row],[Acetate '[%']]]</f>
        <v>0.27127813805150242</v>
      </c>
      <c r="AH29" s="51"/>
      <c r="AI29" s="18"/>
      <c r="AJ29" s="18"/>
      <c r="AK29" s="18">
        <f>(Table2912[[#This Row],[DMD '[mg/g']]]-$AK$15)/$AK$15*100</f>
        <v>-12.648285628545015</v>
      </c>
      <c r="AL29" s="18">
        <f>(Table2912[[#This Row],[CH4 '[ml/g']]]-AL$15)/AL$15*100</f>
        <v>-65.321783877026547</v>
      </c>
      <c r="AM29" s="18">
        <f>(Table2912[[#This Row],[CH4 '[% GP']]]-AM$15)/AM$15*100</f>
        <v>-37.296697160710089</v>
      </c>
      <c r="AN29" s="18">
        <f>(Table2912[[#This Row],[CH4 '[g/g DDM']]]-AN$15)/AN$15*100</f>
        <v>-37.815842334290082</v>
      </c>
      <c r="AO29" s="18"/>
      <c r="AP29" s="18"/>
      <c r="AR29">
        <f>_xlfn.NORM.DIST(Table2912[[#This Row],[GP '[ml/g']]],O$6,O$2,FALSE)</f>
        <v>7.2142222876192877E-4</v>
      </c>
      <c r="AS29">
        <f>_xlfn.NORM.DIST(Table2912[[#This Row],[SCFA '[mmol/g']]],P$6,P$2,FALSE)</f>
        <v>6.4571646004549675E-3</v>
      </c>
      <c r="AT29">
        <f>_xlfn.NORM.DIST(Table2912[[#This Row],[Acetate '[%']]],Q$6,Q$2,FALSE)</f>
        <v>7.7768882746892167</v>
      </c>
      <c r="AU29">
        <f>_xlfn.NORM.DIST(Table2912[[#This Row],[Propionate '[%']]],R$6,R$2,FALSE)</f>
        <v>12.147973413527867</v>
      </c>
      <c r="AV29">
        <f>_xlfn.NORM.DIST(Table2912[[#This Row],[Butyrate '[%']]],S$6,S$2,FALSE)</f>
        <v>8.6714937173518027</v>
      </c>
      <c r="AW29">
        <f>_xlfn.NORM.DIST(Table2912[[#This Row],[Valerate '[%']]],T$6,T$2,FALSE)</f>
        <v>46.354245958523592</v>
      </c>
      <c r="AX29">
        <f>_xlfn.NORM.DIST(Table2912[[#This Row],[Caproate '[%']]],U$6,U$2,FALSE)</f>
        <v>190.32895165009003</v>
      </c>
      <c r="AY29">
        <f>_xlfn.NORM.DIST(Table2912[[#This Row],[Isobutyrate '[%']]],V$6,V$2,FALSE)</f>
        <v>39.027379184019424</v>
      </c>
      <c r="AZ29">
        <f>_xlfn.NORM.DIST(Table2912[[#This Row],[Isovalerate '[%']]],W$6,W$2,FALSE)</f>
        <v>13.309248412791717</v>
      </c>
      <c r="BA29">
        <f>_xlfn.NORM.DIST(Table2912[[#This Row],[CH4 '[g/mmol SCFA']]],X$6,X$2,FALSE)</f>
        <v>9.9915602749846497E-2</v>
      </c>
      <c r="BB29">
        <f>_xlfn.NORM.DIST(Table2912[[#This Row],[DMD '[mg/g']]],Y$6,Y$2,FALSE)</f>
        <v>1.1535156660718958E-4</v>
      </c>
      <c r="BC29">
        <f>_xlfn.NORM.DIST(Table2912[[#This Row],[CH4 '[ml/g']]],Z$6,Z$2,FALSE)</f>
        <v>2.2125260178583557E-3</v>
      </c>
      <c r="BD29">
        <f>_xlfn.NORM.DIST(Table2912[[#This Row],[CH4 '[% GP']]],AA$6,AA$2,FALSE)</f>
        <v>1.3664979168630444E-2</v>
      </c>
      <c r="BE29">
        <f>_xlfn.NORM.DIST(Table2912[[#This Row],[CH4 '[g/g DDM']]],AB$6,AB$2,FALSE)</f>
        <v>6.8469352925672857E-3</v>
      </c>
      <c r="BG29">
        <f>IF(Table2912[[#This Row],[GP '[ml/g']]]&lt;O$10,_xlfn.NORM.DIST(Table2912[[#This Row],[GP '[ml/g']]],O$6,O$2,FALSE),-100)</f>
        <v>7.2142222876192877E-4</v>
      </c>
      <c r="BH29">
        <f>IF(Table2912[[#This Row],[SCFA '[mmol/g']]]&lt;P$10,_xlfn.NORM.DIST(Table2912[[#This Row],[SCFA '[mmol/g']]],P$6,P$2,FALSE),-100)</f>
        <v>6.4571646004549675E-3</v>
      </c>
      <c r="BI29">
        <f>IF(Table2912[[#This Row],[Acetate '[%']]]&lt;Q$10,_xlfn.NORM.DIST(Table2912[[#This Row],[Acetate '[%']]],Q$6,Q$2,FALSE),-100)</f>
        <v>-100</v>
      </c>
      <c r="BJ29">
        <f>IF(Table2912[[#This Row],[Propionate '[%']]]&lt;R$10,_xlfn.NORM.DIST(Table2912[[#This Row],[Propionate '[%']]],R$6,R$2,FALSE),-100)</f>
        <v>-100</v>
      </c>
      <c r="BK29">
        <f>IF(Table2912[[#This Row],[Butyrate '[%']]]&lt;S$10,_xlfn.NORM.DIST(Table2912[[#This Row],[Butyrate '[%']]],S$6,S$2,FALSE),-100)</f>
        <v>8.6714937173518027</v>
      </c>
      <c r="BL29">
        <f>IF(Table2912[[#This Row],[Valerate '[%']]]&lt;T$10,_xlfn.NORM.DIST(Table2912[[#This Row],[Valerate '[%']]],T$6,T$2,FALSE),-100)</f>
        <v>46.354245958523592</v>
      </c>
      <c r="BM29">
        <f>IF(Table2912[[#This Row],[Caproate '[%']]]&lt;U$10,_xlfn.NORM.DIST(Table2912[[#This Row],[Caproate '[%']]],U$6,U$2,FALSE),-100)</f>
        <v>190.32895165009003</v>
      </c>
      <c r="BN29">
        <f>IF(Table2912[[#This Row],[Isobutyrate '[%']]]&lt;V$10,_xlfn.NORM.DIST(Table2912[[#This Row],[Isobutyrate '[%']]],V$6,V$2,FALSE),-100)</f>
        <v>39.027379184019424</v>
      </c>
      <c r="BO29">
        <f>IF(Table2912[[#This Row],[Isovalerate '[%']]]&lt;W$10,_xlfn.NORM.DIST(Table2912[[#This Row],[Isovalerate '[%']]],W$6,W$2,FALSE),-100)</f>
        <v>13.309248412791717</v>
      </c>
      <c r="BP29">
        <f>IF(Table2912[[#This Row],[CH4 '[g/mmol SCFA']]]&lt;X$10,_xlfn.NORM.DIST(Table2912[[#This Row],[CH4 '[g/mmol SCFA']]],X$6,X$2,FALSE),-100)</f>
        <v>9.9915602749846497E-2</v>
      </c>
      <c r="BQ29">
        <f>IF(Table2912[[#This Row],[DMD '[mg/g']]]&gt;Y$10,_xlfn.NORM.DIST(Table2912[[#This Row],[DMD '[mg/g']]],Y$6,Y$2,FALSE),-100)</f>
        <v>-100</v>
      </c>
      <c r="BR29">
        <f>IF(Table2912[[#This Row],[CH4 '[ml/g']]]&lt;Z$10,_xlfn.NORM.DIST(Table2912[[#This Row],[CH4 '[ml/g']]],Z$6,Z$2,FALSE),-100)</f>
        <v>2.2125260178583557E-3</v>
      </c>
      <c r="BS29">
        <f>IF(Table2912[[#This Row],[CH4 '[% GP']]]&lt;AA$10,_xlfn.NORM.DIST(Table2912[[#This Row],[CH4 '[% GP']]],AA$6,AA$2,FALSE),-100)</f>
        <v>1.3664979168630444E-2</v>
      </c>
      <c r="BT29">
        <f>IF(Table2912[[#This Row],[CH4 '[g/g DDM']]]&lt;AB$10,_xlfn.NORM.DIST(Table2912[[#This Row],[CH4 '[g/g DDM']]],AB$6,AB$2,FALSE),-100)</f>
        <v>6.8469352925672857E-3</v>
      </c>
      <c r="CJ29" t="str">
        <v>Calliandra magdalenae</v>
      </c>
      <c r="CL29" t="str">
        <v>Calliandra magdalenae</v>
      </c>
    </row>
    <row r="30" spans="1:97" ht="15" customHeight="1" x14ac:dyDescent="0.25">
      <c r="A30" s="12" t="s">
        <v>70</v>
      </c>
      <c r="B30" s="13">
        <v>1016</v>
      </c>
      <c r="C30" s="96" t="s">
        <v>94</v>
      </c>
      <c r="D30" s="96"/>
      <c r="E30" s="96"/>
      <c r="F30" s="96" t="s">
        <v>95</v>
      </c>
      <c r="G30" s="15" t="s">
        <v>73</v>
      </c>
      <c r="H30" s="15" t="s">
        <v>74</v>
      </c>
      <c r="I30" t="s">
        <v>75</v>
      </c>
      <c r="J30" s="70">
        <v>3</v>
      </c>
      <c r="K30" s="70"/>
      <c r="L30" s="70"/>
      <c r="M30" t="s">
        <v>95</v>
      </c>
      <c r="N30" t="s">
        <v>81</v>
      </c>
      <c r="O30" s="18">
        <v>198.78146675502506</v>
      </c>
      <c r="P30" s="18">
        <v>5.9536245997331854</v>
      </c>
      <c r="Q30" s="97">
        <v>0.70605008530824176</v>
      </c>
      <c r="R30" s="97">
        <v>0.18849521040391465</v>
      </c>
      <c r="S30" s="97">
        <v>6.3346999400532983E-2</v>
      </c>
      <c r="T30" s="97">
        <v>1.6825420703108558E-2</v>
      </c>
      <c r="U30" s="97">
        <v>7.0427651863781563E-5</v>
      </c>
      <c r="V30" s="97">
        <v>8.8993099750641624E-3</v>
      </c>
      <c r="W30" s="97">
        <v>1.6312546557273995E-2</v>
      </c>
      <c r="X30" s="51">
        <f t="shared" si="5"/>
        <v>4.7333153214975825</v>
      </c>
      <c r="Y30" s="18">
        <v>432.01203974751667</v>
      </c>
      <c r="Z30" s="18">
        <v>28.180382536361996</v>
      </c>
      <c r="AA30" s="18">
        <f t="shared" si="6"/>
        <v>14.176564342937978</v>
      </c>
      <c r="AB30" s="18">
        <f t="shared" si="7"/>
        <v>65.23054902088289</v>
      </c>
      <c r="AC30" s="18">
        <f>$CP$15*Table2912[[#This Row],[DMD '[mg/g']]]+$CS$15*Table2912[[#This Row],[CH4 '[ml/g']]]+$CR$15*Table2912[[#This Row],[CH4 '[% GP']]]+$CQ$15*Table2912[[#This Row],[CH4 '[g/g DDM']]]</f>
        <v>-22.080635289059067</v>
      </c>
      <c r="AD30" s="18">
        <f>_xlfn.RANK.AVG(Table2912[[#This Row],[Index]],Table2912[Index])</f>
        <v>509</v>
      </c>
      <c r="AE3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5.7029311320777882</v>
      </c>
      <c r="AF30" s="18">
        <f>Table2912[[#This Row],[CH4 '[ml/g']]]/Table2912[[#This Row],[APB]]</f>
        <v>4.9413857337068778</v>
      </c>
      <c r="AG30" s="18">
        <f>Table2912[[#This Row],[Propionate '[%']]]/Table2912[[#This Row],[Acetate '[%']]]</f>
        <v>0.26697144342334139</v>
      </c>
      <c r="AH30" s="51"/>
      <c r="AI30" s="18"/>
      <c r="AJ30" s="18"/>
      <c r="AK30" s="18">
        <f>(Table2912[[#This Row],[DMD '[mg/g']]]-$AK$15)/$AK$15*100</f>
        <v>-11.886268345904259</v>
      </c>
      <c r="AL30" s="18">
        <f>(Table2912[[#This Row],[CH4 '[ml/g']]]-AL$15)/AL$15*100</f>
        <v>-28.35290967750279</v>
      </c>
      <c r="AM30" s="18">
        <f>(Table2912[[#This Row],[CH4 '[% GP']]]-AM$15)/AM$15*100</f>
        <v>-8.6700088281632066</v>
      </c>
      <c r="AN30" s="18">
        <f>(Table2912[[#This Row],[CH4 '[g/g DDM']]]-AN$15)/AN$15*100</f>
        <v>27.364795757125464</v>
      </c>
      <c r="AO30" s="18"/>
      <c r="AP30" s="18"/>
      <c r="AR30">
        <f>_xlfn.NORM.DIST(Table2912[[#This Row],[GP '[ml/g']]],O$6,O$2,FALSE)</f>
        <v>4.2502504097487901E-3</v>
      </c>
      <c r="AS30">
        <f>_xlfn.NORM.DIST(Table2912[[#This Row],[SCFA '[mmol/g']]],P$6,P$2,FALSE)</f>
        <v>0.29553973357424734</v>
      </c>
      <c r="AT30">
        <f>_xlfn.NORM.DIST(Table2912[[#This Row],[Acetate '[%']]],Q$6,Q$2,FALSE)</f>
        <v>7.1770919304450356</v>
      </c>
      <c r="AU30">
        <f>_xlfn.NORM.DIST(Table2912[[#This Row],[Propionate '[%']]],R$6,R$2,FALSE)</f>
        <v>13.143887892104095</v>
      </c>
      <c r="AV30">
        <f>_xlfn.NORM.DIST(Table2912[[#This Row],[Butyrate '[%']]],S$6,S$2,FALSE)</f>
        <v>5.3622450118752782</v>
      </c>
      <c r="AW30">
        <f>_xlfn.NORM.DIST(Table2912[[#This Row],[Valerate '[%']]],T$6,T$2,FALSE)</f>
        <v>76.389713256350163</v>
      </c>
      <c r="AX30">
        <f>_xlfn.NORM.DIST(Table2912[[#This Row],[Caproate '[%']]],U$6,U$2,FALSE)</f>
        <v>177.5592021127261</v>
      </c>
      <c r="AY30">
        <f>_xlfn.NORM.DIST(Table2912[[#This Row],[Isobutyrate '[%']]],V$6,V$2,FALSE)</f>
        <v>31.487462901462258</v>
      </c>
      <c r="AZ30">
        <f>_xlfn.NORM.DIST(Table2912[[#This Row],[Isovalerate '[%']]],W$6,W$2,FALSE)</f>
        <v>19.035871910576546</v>
      </c>
      <c r="BA30">
        <f>_xlfn.NORM.DIST(Table2912[[#This Row],[CH4 '[g/mmol SCFA']]],X$6,X$2,FALSE)</f>
        <v>0.15262739621285934</v>
      </c>
      <c r="BB30">
        <f>_xlfn.NORM.DIST(Table2912[[#This Row],[DMD '[mg/g']]],Y$6,Y$2,FALSE)</f>
        <v>1.2359637656554151E-4</v>
      </c>
      <c r="BC30">
        <f>_xlfn.NORM.DIST(Table2912[[#This Row],[CH4 '[ml/g']]],Z$6,Z$2,FALSE)</f>
        <v>1.8093354916130119E-2</v>
      </c>
      <c r="BD30">
        <f>_xlfn.NORM.DIST(Table2912[[#This Row],[CH4 '[% GP']]],AA$6,AA$2,FALSE)</f>
        <v>0.10985282779303504</v>
      </c>
      <c r="BE30">
        <f>_xlfn.NORM.DIST(Table2912[[#This Row],[CH4 '[g/g DDM']]],AB$6,AB$2,FALSE)</f>
        <v>2.0364193092132703E-2</v>
      </c>
      <c r="BG30">
        <f>IF(Table2912[[#This Row],[GP '[ml/g']]]&lt;O$10,_xlfn.NORM.DIST(Table2912[[#This Row],[GP '[ml/g']]],O$6,O$2,FALSE),-100)</f>
        <v>4.2502504097487901E-3</v>
      </c>
      <c r="BH30">
        <f>IF(Table2912[[#This Row],[SCFA '[mmol/g']]]&lt;P$10,_xlfn.NORM.DIST(Table2912[[#This Row],[SCFA '[mmol/g']]],P$6,P$2,FALSE),-100)</f>
        <v>-100</v>
      </c>
      <c r="BI30">
        <f>IF(Table2912[[#This Row],[Acetate '[%']]]&lt;Q$10,_xlfn.NORM.DIST(Table2912[[#This Row],[Acetate '[%']]],Q$6,Q$2,FALSE),-100)</f>
        <v>-100</v>
      </c>
      <c r="BJ30">
        <f>IF(Table2912[[#This Row],[Propionate '[%']]]&lt;R$10,_xlfn.NORM.DIST(Table2912[[#This Row],[Propionate '[%']]],R$6,R$2,FALSE),-100)</f>
        <v>-100</v>
      </c>
      <c r="BK30">
        <f>IF(Table2912[[#This Row],[Butyrate '[%']]]&lt;S$10,_xlfn.NORM.DIST(Table2912[[#This Row],[Butyrate '[%']]],S$6,S$2,FALSE),-100)</f>
        <v>5.3622450118752782</v>
      </c>
      <c r="BL30">
        <f>IF(Table2912[[#This Row],[Valerate '[%']]]&lt;T$10,_xlfn.NORM.DIST(Table2912[[#This Row],[Valerate '[%']]],T$6,T$2,FALSE),-100)</f>
        <v>-100</v>
      </c>
      <c r="BM30">
        <f>IF(Table2912[[#This Row],[Caproate '[%']]]&lt;U$10,_xlfn.NORM.DIST(Table2912[[#This Row],[Caproate '[%']]],U$6,U$2,FALSE),-100)</f>
        <v>177.5592021127261</v>
      </c>
      <c r="BN30">
        <f>IF(Table2912[[#This Row],[Isobutyrate '[%']]]&lt;V$10,_xlfn.NORM.DIST(Table2912[[#This Row],[Isobutyrate '[%']]],V$6,V$2,FALSE),-100)</f>
        <v>31.487462901462258</v>
      </c>
      <c r="BO30">
        <f>IF(Table2912[[#This Row],[Isovalerate '[%']]]&lt;W$10,_xlfn.NORM.DIST(Table2912[[#This Row],[Isovalerate '[%']]],W$6,W$2,FALSE),-100)</f>
        <v>19.035871910576546</v>
      </c>
      <c r="BP30">
        <f>IF(Table2912[[#This Row],[CH4 '[g/mmol SCFA']]]&lt;X$10,_xlfn.NORM.DIST(Table2912[[#This Row],[CH4 '[g/mmol SCFA']]],X$6,X$2,FALSE),-100)</f>
        <v>0.15262739621285934</v>
      </c>
      <c r="BQ30">
        <f>IF(Table2912[[#This Row],[DMD '[mg/g']]]&gt;Y$10,_xlfn.NORM.DIST(Table2912[[#This Row],[DMD '[mg/g']]],Y$6,Y$2,FALSE),-100)</f>
        <v>-100</v>
      </c>
      <c r="BR30">
        <f>IF(Table2912[[#This Row],[CH4 '[ml/g']]]&lt;Z$10,_xlfn.NORM.DIST(Table2912[[#This Row],[CH4 '[ml/g']]],Z$6,Z$2,FALSE),-100)</f>
        <v>1.8093354916130119E-2</v>
      </c>
      <c r="BS30">
        <f>IF(Table2912[[#This Row],[CH4 '[% GP']]]&lt;AA$10,_xlfn.NORM.DIST(Table2912[[#This Row],[CH4 '[% GP']]],AA$6,AA$2,FALSE),-100)</f>
        <v>-100</v>
      </c>
      <c r="BT30">
        <f>IF(Table2912[[#This Row],[CH4 '[g/g DDM']]]&lt;AB$10,_xlfn.NORM.DIST(Table2912[[#This Row],[CH4 '[g/g DDM']]],AB$6,AB$2,FALSE),-100)</f>
        <v>-100</v>
      </c>
      <c r="CJ30" t="str">
        <v>Leucaena macrophylla</v>
      </c>
      <c r="CL30" t="str">
        <v>Leucaena macrophylla</v>
      </c>
    </row>
    <row r="31" spans="1:97" ht="15" customHeight="1" x14ac:dyDescent="0.25">
      <c r="A31" s="12" t="s">
        <v>70</v>
      </c>
      <c r="B31" s="13">
        <v>1010</v>
      </c>
      <c r="C31" s="96" t="s">
        <v>71</v>
      </c>
      <c r="D31" s="96"/>
      <c r="E31" s="96"/>
      <c r="F31" s="96" t="s">
        <v>72</v>
      </c>
      <c r="G31" s="15" t="s">
        <v>73</v>
      </c>
      <c r="H31" s="15" t="s">
        <v>74</v>
      </c>
      <c r="I31" t="s">
        <v>75</v>
      </c>
      <c r="J31" s="70">
        <v>1</v>
      </c>
      <c r="K31" s="70"/>
      <c r="L31" s="70"/>
      <c r="M31" t="s">
        <v>72</v>
      </c>
      <c r="N31" t="s">
        <v>81</v>
      </c>
      <c r="O31" s="18">
        <v>181.01350935093555</v>
      </c>
      <c r="P31" s="18">
        <v>5.7077743643929608</v>
      </c>
      <c r="Q31" s="97">
        <v>0.72103141244914037</v>
      </c>
      <c r="R31" s="97">
        <v>0.19088572437010429</v>
      </c>
      <c r="S31" s="97">
        <v>6.1121301804452591E-2</v>
      </c>
      <c r="T31" s="97">
        <v>1.1085640963194709E-2</v>
      </c>
      <c r="U31" s="97">
        <v>2.3031126056897208E-4</v>
      </c>
      <c r="V31" s="97">
        <v>6.4646411574210694E-3</v>
      </c>
      <c r="W31" s="97">
        <v>9.1809679951180834E-3</v>
      </c>
      <c r="X31" s="51">
        <f t="shared" si="5"/>
        <v>3.4199576442721504</v>
      </c>
      <c r="Y31" s="18">
        <v>434.0088356661754</v>
      </c>
      <c r="Z31" s="18">
        <v>19.520346569286321</v>
      </c>
      <c r="AA31" s="18">
        <f t="shared" si="6"/>
        <v>10.783916979059128</v>
      </c>
      <c r="AB31" s="18">
        <f t="shared" si="7"/>
        <v>44.976841403064654</v>
      </c>
      <c r="AC31" s="18">
        <f>$CP$15*Table2912[[#This Row],[DMD '[mg/g']]]+$CS$15*Table2912[[#This Row],[CH4 '[ml/g']]]+$CR$15*Table2912[[#This Row],[CH4 '[% GP']]]+$CQ$15*Table2912[[#This Row],[CH4 '[g/g DDM']]]</f>
        <v>-8.1853989798509055</v>
      </c>
      <c r="AD31" s="18">
        <f>_xlfn.RANK.AVG(Table2912[[#This Row],[Index]],Table2912[Index])</f>
        <v>483</v>
      </c>
      <c r="AE3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5.5538838555452923</v>
      </c>
      <c r="AF31" s="18">
        <f>Table2912[[#This Row],[CH4 '[ml/g']]]/Table2912[[#This Row],[APB]]</f>
        <v>3.514719982809178</v>
      </c>
      <c r="AG31" s="18">
        <f>Table2912[[#This Row],[Propionate '[%']]]/Table2912[[#This Row],[Acetate '[%']]]</f>
        <v>0.26473981725944412</v>
      </c>
      <c r="AH31" s="51"/>
      <c r="AI31" s="18"/>
      <c r="AJ31" s="18"/>
      <c r="AK31" s="18">
        <f>(Table2912[[#This Row],[DMD '[mg/g']]]-$AK$15)/$AK$15*100</f>
        <v>-11.478999280330259</v>
      </c>
      <c r="AL31" s="18">
        <f>(Table2912[[#This Row],[CH4 '[ml/g']]]-AL$15)/AL$15*100</f>
        <v>-50.370580244200703</v>
      </c>
      <c r="AM31" s="18">
        <f>(Table2912[[#This Row],[CH4 '[% GP']]]-AM$15)/AM$15*100</f>
        <v>-30.526535296549884</v>
      </c>
      <c r="AN31" s="18">
        <f>(Table2912[[#This Row],[CH4 '[g/g DDM']]]-AN$15)/AN$15*100</f>
        <v>-12.181235554708509</v>
      </c>
      <c r="AO31" s="18"/>
      <c r="AP31" s="18"/>
      <c r="AR31">
        <f>_xlfn.NORM.DIST(Table2912[[#This Row],[GP '[ml/g']]],O$6,O$2,FALSE)</f>
        <v>2.8215485862305781E-3</v>
      </c>
      <c r="AS31">
        <f>_xlfn.NORM.DIST(Table2912[[#This Row],[SCFA '[mmol/g']]],P$6,P$2,FALSE)</f>
        <v>0.2618899161408621</v>
      </c>
      <c r="AT31">
        <f>_xlfn.NORM.DIST(Table2912[[#This Row],[Acetate '[%']]],Q$6,Q$2,FALSE)</f>
        <v>3.3952319532036142</v>
      </c>
      <c r="AU31">
        <f>_xlfn.NORM.DIST(Table2912[[#This Row],[Propionate '[%']]],R$6,R$2,FALSE)</f>
        <v>12.188353367033134</v>
      </c>
      <c r="AV31">
        <f>_xlfn.NORM.DIST(Table2912[[#This Row],[Butyrate '[%']]],S$6,S$2,FALSE)</f>
        <v>4.2706597908862891</v>
      </c>
      <c r="AW31">
        <f>_xlfn.NORM.DIST(Table2912[[#This Row],[Valerate '[%']]],T$6,T$2,FALSE)</f>
        <v>34.322345153215693</v>
      </c>
      <c r="AX31">
        <f>_xlfn.NORM.DIST(Table2912[[#This Row],[Caproate '[%']]],U$6,U$2,FALSE)</f>
        <v>216.16239554596464</v>
      </c>
      <c r="AY31">
        <f>_xlfn.NORM.DIST(Table2912[[#This Row],[Isobutyrate '[%']]],V$6,V$2,FALSE)</f>
        <v>12.184007608552438</v>
      </c>
      <c r="AZ31">
        <f>_xlfn.NORM.DIST(Table2912[[#This Row],[Isovalerate '[%']]],W$6,W$2,FALSE)</f>
        <v>4.6898594069873933</v>
      </c>
      <c r="BA31">
        <f>_xlfn.NORM.DIST(Table2912[[#This Row],[CH4 '[g/mmol SCFA']]],X$6,X$2,FALSE)</f>
        <v>3.0500941885738115E-2</v>
      </c>
      <c r="BB31">
        <f>_xlfn.NORM.DIST(Table2912[[#This Row],[DMD '[mg/g']]],Y$6,Y$2,FALSE)</f>
        <v>1.2820273455344195E-4</v>
      </c>
      <c r="BC31">
        <f>_xlfn.NORM.DIST(Table2912[[#This Row],[CH4 '[ml/g']]],Z$6,Z$2,FALSE)</f>
        <v>6.1942114288366396E-3</v>
      </c>
      <c r="BD31">
        <f>_xlfn.NORM.DIST(Table2912[[#This Row],[CH4 '[% GP']]],AA$6,AA$2,FALSE)</f>
        <v>2.7413846588816536E-2</v>
      </c>
      <c r="BE31">
        <f>_xlfn.NORM.DIST(Table2912[[#This Row],[CH4 '[g/g DDM']]],AB$6,AB$2,FALSE)</f>
        <v>2.5895389163650327E-2</v>
      </c>
      <c r="BG31">
        <f>IF(Table2912[[#This Row],[GP '[ml/g']]]&lt;O$10,_xlfn.NORM.DIST(Table2912[[#This Row],[GP '[ml/g']]],O$6,O$2,FALSE),-100)</f>
        <v>2.8215485862305781E-3</v>
      </c>
      <c r="BH31">
        <f>IF(Table2912[[#This Row],[SCFA '[mmol/g']]]&lt;P$10,_xlfn.NORM.DIST(Table2912[[#This Row],[SCFA '[mmol/g']]],P$6,P$2,FALSE),-100)</f>
        <v>-100</v>
      </c>
      <c r="BI31">
        <f>IF(Table2912[[#This Row],[Acetate '[%']]]&lt;Q$10,_xlfn.NORM.DIST(Table2912[[#This Row],[Acetate '[%']]],Q$6,Q$2,FALSE),-100)</f>
        <v>-100</v>
      </c>
      <c r="BJ31">
        <f>IF(Table2912[[#This Row],[Propionate '[%']]]&lt;R$10,_xlfn.NORM.DIST(Table2912[[#This Row],[Propionate '[%']]],R$6,R$2,FALSE),-100)</f>
        <v>-100</v>
      </c>
      <c r="BK31">
        <f>IF(Table2912[[#This Row],[Butyrate '[%']]]&lt;S$10,_xlfn.NORM.DIST(Table2912[[#This Row],[Butyrate '[%']]],S$6,S$2,FALSE),-100)</f>
        <v>4.2706597908862891</v>
      </c>
      <c r="BL31">
        <f>IF(Table2912[[#This Row],[Valerate '[%']]]&lt;T$10,_xlfn.NORM.DIST(Table2912[[#This Row],[Valerate '[%']]],T$6,T$2,FALSE),-100)</f>
        <v>34.322345153215693</v>
      </c>
      <c r="BM31">
        <f>IF(Table2912[[#This Row],[Caproate '[%']]]&lt;U$10,_xlfn.NORM.DIST(Table2912[[#This Row],[Caproate '[%']]],U$6,U$2,FALSE),-100)</f>
        <v>216.16239554596464</v>
      </c>
      <c r="BN31">
        <f>IF(Table2912[[#This Row],[Isobutyrate '[%']]]&lt;V$10,_xlfn.NORM.DIST(Table2912[[#This Row],[Isobutyrate '[%']]],V$6,V$2,FALSE),-100)</f>
        <v>12.184007608552438</v>
      </c>
      <c r="BO31">
        <f>IF(Table2912[[#This Row],[Isovalerate '[%']]]&lt;W$10,_xlfn.NORM.DIST(Table2912[[#This Row],[Isovalerate '[%']]],W$6,W$2,FALSE),-100)</f>
        <v>4.6898594069873933</v>
      </c>
      <c r="BP31">
        <f>IF(Table2912[[#This Row],[CH4 '[g/mmol SCFA']]]&lt;X$10,_xlfn.NORM.DIST(Table2912[[#This Row],[CH4 '[g/mmol SCFA']]],X$6,X$2,FALSE),-100)</f>
        <v>3.0500941885738115E-2</v>
      </c>
      <c r="BQ31">
        <f>IF(Table2912[[#This Row],[DMD '[mg/g']]]&gt;Y$10,_xlfn.NORM.DIST(Table2912[[#This Row],[DMD '[mg/g']]],Y$6,Y$2,FALSE),-100)</f>
        <v>-100</v>
      </c>
      <c r="BR31">
        <f>IF(Table2912[[#This Row],[CH4 '[ml/g']]]&lt;Z$10,_xlfn.NORM.DIST(Table2912[[#This Row],[CH4 '[ml/g']]],Z$6,Z$2,FALSE),-100)</f>
        <v>6.1942114288366396E-3</v>
      </c>
      <c r="BS31">
        <f>IF(Table2912[[#This Row],[CH4 '[% GP']]]&lt;AA$10,_xlfn.NORM.DIST(Table2912[[#This Row],[CH4 '[% GP']]],AA$6,AA$2,FALSE),-100)</f>
        <v>2.7413846588816536E-2</v>
      </c>
      <c r="BT31">
        <f>IF(Table2912[[#This Row],[CH4 '[g/g DDM']]]&lt;AB$10,_xlfn.NORM.DIST(Table2912[[#This Row],[CH4 '[g/g DDM']]],AB$6,AB$2,FALSE),-100)</f>
        <v>-100</v>
      </c>
      <c r="CJ31" t="str">
        <v>Brachiaria brizantha</v>
      </c>
      <c r="CL31" t="str">
        <v>Brachiaria brizantha</v>
      </c>
    </row>
    <row r="32" spans="1:97" x14ac:dyDescent="0.25">
      <c r="A32" s="12" t="s">
        <v>70</v>
      </c>
      <c r="B32" s="13">
        <v>1025</v>
      </c>
      <c r="C32" s="96" t="s">
        <v>92</v>
      </c>
      <c r="D32" s="96"/>
      <c r="E32" s="96"/>
      <c r="F32" s="96" t="s">
        <v>93</v>
      </c>
      <c r="G32" s="15" t="s">
        <v>73</v>
      </c>
      <c r="H32" s="15" t="s">
        <v>74</v>
      </c>
      <c r="I32" t="s">
        <v>75</v>
      </c>
      <c r="J32" s="70">
        <v>2</v>
      </c>
      <c r="K32" s="70"/>
      <c r="L32" s="70"/>
      <c r="M32" t="s">
        <v>93</v>
      </c>
      <c r="N32" t="s">
        <v>84</v>
      </c>
      <c r="O32" s="18">
        <v>167.37959675651987</v>
      </c>
      <c r="P32" s="18">
        <v>5.0917485885434592</v>
      </c>
      <c r="Q32" s="97">
        <v>0.70055224145734285</v>
      </c>
      <c r="R32" s="97">
        <v>0.17085635466790255</v>
      </c>
      <c r="S32" s="97">
        <v>7.391491543354925E-2</v>
      </c>
      <c r="T32" s="97">
        <v>1.3524551513147123E-2</v>
      </c>
      <c r="U32" s="97">
        <v>5.8111789890243429E-4</v>
      </c>
      <c r="V32" s="97">
        <v>1.4886500299617602E-2</v>
      </c>
      <c r="W32" s="97">
        <v>2.5684318729538389E-2</v>
      </c>
      <c r="X32" s="51">
        <f t="shared" si="5"/>
        <v>4.3044344976425828</v>
      </c>
      <c r="Y32" s="18">
        <v>442.52815086148411</v>
      </c>
      <c r="Z32" s="18">
        <v>21.917098277849394</v>
      </c>
      <c r="AA32" s="18">
        <f t="shared" si="6"/>
        <v>13.094247269415568</v>
      </c>
      <c r="AB32" s="18">
        <f t="shared" si="7"/>
        <v>49.527014801618066</v>
      </c>
      <c r="AC32" s="18">
        <f>$CP$15*Table2912[[#This Row],[DMD '[mg/g']]]+$CS$15*Table2912[[#This Row],[CH4 '[ml/g']]]+$CR$15*Table2912[[#This Row],[CH4 '[% GP']]]+$CQ$15*Table2912[[#This Row],[CH4 '[g/g DDM']]]</f>
        <v>-11.026076391524398</v>
      </c>
      <c r="AD32" s="18">
        <f>_xlfn.RANK.AVG(Table2912[[#This Row],[Index]],Table2912[Index])</f>
        <v>494</v>
      </c>
      <c r="AE3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4.813349655696439</v>
      </c>
      <c r="AF32" s="18">
        <f>Table2912[[#This Row],[CH4 '[ml/g']]]/Table2912[[#This Row],[APB]]</f>
        <v>4.5533983287316842</v>
      </c>
      <c r="AG32" s="18">
        <f>Table2912[[#This Row],[Propionate '[%']]]/Table2912[[#This Row],[Acetate '[%']]]</f>
        <v>0.24388809935498026</v>
      </c>
      <c r="AH32" s="51"/>
      <c r="AI32" s="18"/>
      <c r="AJ32" s="18"/>
      <c r="AK32" s="18">
        <f>(Table2912[[#This Row],[DMD '[mg/g']]]-$AK$15)/$AK$15*100</f>
        <v>-9.7413887881902479</v>
      </c>
      <c r="AL32" s="18">
        <f>(Table2912[[#This Row],[CH4 '[ml/g']]]-AL$15)/AL$15*100</f>
        <v>-44.27696934582336</v>
      </c>
      <c r="AM32" s="18">
        <f>(Table2912[[#This Row],[CH4 '[% GP']]]-AM$15)/AM$15*100</f>
        <v>-15.642643831874159</v>
      </c>
      <c r="AN32" s="18">
        <f>(Table2912[[#This Row],[CH4 '[g/g DDM']]]-AN$15)/AN$15*100</f>
        <v>-3.2968721043759119</v>
      </c>
      <c r="AO32" s="18"/>
      <c r="AP32" s="18"/>
      <c r="AR32">
        <f>_xlfn.NORM.DIST(Table2912[[#This Row],[GP '[ml/g']]],O$6,O$2,FALSE)</f>
        <v>1.9110734698497152E-3</v>
      </c>
      <c r="AS32">
        <f>_xlfn.NORM.DIST(Table2912[[#This Row],[SCFA '[mmol/g']]],P$6,P$2,FALSE)</f>
        <v>0.16083212059289004</v>
      </c>
      <c r="AT32">
        <f>_xlfn.NORM.DIST(Table2912[[#This Row],[Acetate '[%']]],Q$6,Q$2,FALSE)</f>
        <v>8.8109192565995649</v>
      </c>
      <c r="AU32">
        <f>_xlfn.NORM.DIST(Table2912[[#This Row],[Propionate '[%']]],R$6,R$2,FALSE)</f>
        <v>16.775882910312095</v>
      </c>
      <c r="AV32">
        <f>_xlfn.NORM.DIST(Table2912[[#This Row],[Butyrate '[%']]],S$6,S$2,FALSE)</f>
        <v>12.614502757796451</v>
      </c>
      <c r="AW32">
        <f>_xlfn.NORM.DIST(Table2912[[#This Row],[Valerate '[%']]],T$6,T$2,FALSE)</f>
        <v>56.106175311416365</v>
      </c>
      <c r="AX32">
        <f>_xlfn.NORM.DIST(Table2912[[#This Row],[Caproate '[%']]],U$6,U$2,FALSE)</f>
        <v>303.22680619037033</v>
      </c>
      <c r="AY32">
        <f>_xlfn.NORM.DIST(Table2912[[#This Row],[Isobutyrate '[%']]],V$6,V$2,FALSE)</f>
        <v>89.731420708223567</v>
      </c>
      <c r="AZ32">
        <f>_xlfn.NORM.DIST(Table2912[[#This Row],[Isovalerate '[%']]],W$6,W$2,FALSE)</f>
        <v>44.01278661148865</v>
      </c>
      <c r="BA32">
        <f>_xlfn.NORM.DIST(Table2912[[#This Row],[CH4 '[g/mmol SCFA']]],X$6,X$2,FALSE)</f>
        <v>0.10024115802042921</v>
      </c>
      <c r="BB32">
        <f>_xlfn.NORM.DIST(Table2912[[#This Row],[DMD '[mg/g']]],Y$6,Y$2,FALSE)</f>
        <v>1.4950615184210542E-4</v>
      </c>
      <c r="BC32">
        <f>_xlfn.NORM.DIST(Table2912[[#This Row],[CH4 '[ml/g']]],Z$6,Z$2,FALSE)</f>
        <v>8.7865922563321926E-3</v>
      </c>
      <c r="BD32">
        <f>_xlfn.NORM.DIST(Table2912[[#This Row],[CH4 '[% GP']]],AA$6,AA$2,FALSE)</f>
        <v>8.1359878389304099E-2</v>
      </c>
      <c r="BE32">
        <f>_xlfn.NORM.DIST(Table2912[[#This Row],[CH4 '[g/g DDM']]],AB$6,AB$2,FALSE)</f>
        <v>3.126045546705164E-2</v>
      </c>
      <c r="BG32">
        <f>IF(Table2912[[#This Row],[GP '[ml/g']]]&lt;O$10,_xlfn.NORM.DIST(Table2912[[#This Row],[GP '[ml/g']]],O$6,O$2,FALSE),-100)</f>
        <v>1.9110734698497152E-3</v>
      </c>
      <c r="BH32">
        <f>IF(Table2912[[#This Row],[SCFA '[mmol/g']]]&lt;P$10,_xlfn.NORM.DIST(Table2912[[#This Row],[SCFA '[mmol/g']]],P$6,P$2,FALSE),-100)</f>
        <v>0.16083212059289004</v>
      </c>
      <c r="BI32">
        <f>IF(Table2912[[#This Row],[Acetate '[%']]]&lt;Q$10,_xlfn.NORM.DIST(Table2912[[#This Row],[Acetate '[%']]],Q$6,Q$2,FALSE),-100)</f>
        <v>-100</v>
      </c>
      <c r="BJ32">
        <f>IF(Table2912[[#This Row],[Propionate '[%']]]&lt;R$10,_xlfn.NORM.DIST(Table2912[[#This Row],[Propionate '[%']]],R$6,R$2,FALSE),-100)</f>
        <v>-100</v>
      </c>
      <c r="BK32">
        <f>IF(Table2912[[#This Row],[Butyrate '[%']]]&lt;S$10,_xlfn.NORM.DIST(Table2912[[#This Row],[Butyrate '[%']]],S$6,S$2,FALSE),-100)</f>
        <v>12.614502757796451</v>
      </c>
      <c r="BL32">
        <f>IF(Table2912[[#This Row],[Valerate '[%']]]&lt;T$10,_xlfn.NORM.DIST(Table2912[[#This Row],[Valerate '[%']]],T$6,T$2,FALSE),-100)</f>
        <v>-100</v>
      </c>
      <c r="BM32">
        <f>IF(Table2912[[#This Row],[Caproate '[%']]]&lt;U$10,_xlfn.NORM.DIST(Table2912[[#This Row],[Caproate '[%']]],U$6,U$2,FALSE),-100)</f>
        <v>-100</v>
      </c>
      <c r="BN32">
        <f>IF(Table2912[[#This Row],[Isobutyrate '[%']]]&lt;V$10,_xlfn.NORM.DIST(Table2912[[#This Row],[Isobutyrate '[%']]],V$6,V$2,FALSE),-100)</f>
        <v>-100</v>
      </c>
      <c r="BO32">
        <f>IF(Table2912[[#This Row],[Isovalerate '[%']]]&lt;W$10,_xlfn.NORM.DIST(Table2912[[#This Row],[Isovalerate '[%']]],W$6,W$2,FALSE),-100)</f>
        <v>-100</v>
      </c>
      <c r="BP32">
        <f>IF(Table2912[[#This Row],[CH4 '[g/mmol SCFA']]]&lt;X$10,_xlfn.NORM.DIST(Table2912[[#This Row],[CH4 '[g/mmol SCFA']]],X$6,X$2,FALSE),-100)</f>
        <v>0.10024115802042921</v>
      </c>
      <c r="BQ32">
        <f>IF(Table2912[[#This Row],[DMD '[mg/g']]]&gt;Y$10,_xlfn.NORM.DIST(Table2912[[#This Row],[DMD '[mg/g']]],Y$6,Y$2,FALSE),-100)</f>
        <v>-100</v>
      </c>
      <c r="BR32">
        <f>IF(Table2912[[#This Row],[CH4 '[ml/g']]]&lt;Z$10,_xlfn.NORM.DIST(Table2912[[#This Row],[CH4 '[ml/g']]],Z$6,Z$2,FALSE),-100)</f>
        <v>8.7865922563321926E-3</v>
      </c>
      <c r="BS32">
        <f>IF(Table2912[[#This Row],[CH4 '[% GP']]]&lt;AA$10,_xlfn.NORM.DIST(Table2912[[#This Row],[CH4 '[% GP']]],AA$6,AA$2,FALSE),-100)</f>
        <v>-100</v>
      </c>
      <c r="BT32">
        <f>IF(Table2912[[#This Row],[CH4 '[g/g DDM']]]&lt;AB$10,_xlfn.NORM.DIST(Table2912[[#This Row],[CH4 '[g/g DDM']]],AB$6,AB$2,FALSE),-100)</f>
        <v>-100</v>
      </c>
      <c r="CJ32" t="str">
        <v>Centrosema  acutifolium</v>
      </c>
      <c r="CL32" t="str">
        <v>Centrosema  acutifolium</v>
      </c>
    </row>
    <row r="33" spans="1:90" ht="15" customHeight="1" x14ac:dyDescent="0.25">
      <c r="A33" s="12" t="s">
        <v>86</v>
      </c>
      <c r="B33" s="13">
        <v>1064</v>
      </c>
      <c r="C33" s="32">
        <v>32055</v>
      </c>
      <c r="D33" t="s">
        <v>96</v>
      </c>
      <c r="E33" t="s">
        <v>97</v>
      </c>
      <c r="F33" t="s">
        <v>83</v>
      </c>
      <c r="G33" s="23" t="s">
        <v>73</v>
      </c>
      <c r="H33" s="23" t="s">
        <v>74</v>
      </c>
      <c r="I33" s="105" t="s">
        <v>48</v>
      </c>
      <c r="J33" s="70">
        <v>3</v>
      </c>
      <c r="K33" s="70"/>
      <c r="L33" s="70"/>
      <c r="M33" t="s">
        <v>83</v>
      </c>
      <c r="N33" t="s">
        <v>98</v>
      </c>
      <c r="O33" s="18">
        <v>153.28437361664405</v>
      </c>
      <c r="P33" s="18">
        <v>4.7142258249729352</v>
      </c>
      <c r="Q33" s="97">
        <v>0.68676429445344733</v>
      </c>
      <c r="R33" s="97">
        <v>0.17263616611464638</v>
      </c>
      <c r="S33" s="97">
        <v>5.8159831063193966E-2</v>
      </c>
      <c r="T33" s="97">
        <v>3.2371301586230583E-2</v>
      </c>
      <c r="U33" s="97">
        <v>8.6323202034338238E-4</v>
      </c>
      <c r="V33" s="97">
        <v>1.7434630225155512E-2</v>
      </c>
      <c r="W33" s="97">
        <v>3.1770544536982803E-2</v>
      </c>
      <c r="X33" s="51">
        <f t="shared" si="5"/>
        <v>6.2275109670803941</v>
      </c>
      <c r="Y33" s="18">
        <v>447.41211172910107</v>
      </c>
      <c r="Z33" s="18">
        <v>29.357893026312571</v>
      </c>
      <c r="AA33" s="18">
        <f t="shared" si="6"/>
        <v>19.152567436348779</v>
      </c>
      <c r="AB33" s="18">
        <f t="shared" si="7"/>
        <v>65.617117321330312</v>
      </c>
      <c r="AC33" s="18">
        <f>$CP$15*Table2912[[#This Row],[DMD '[mg/g']]]+$CS$15*Table2912[[#This Row],[CH4 '[ml/g']]]+$CR$15*Table2912[[#This Row],[CH4 '[% GP']]]+$CQ$15*Table2912[[#This Row],[CH4 '[g/g DDM']]]</f>
        <v>-22.398271454271921</v>
      </c>
      <c r="AD33" s="18">
        <f>_xlfn.RANK.AVG(Table2912[[#This Row],[Index]],Table2912[Index])</f>
        <v>510</v>
      </c>
      <c r="AE3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4.3255864227779144</v>
      </c>
      <c r="AF33" s="18">
        <f>Table2912[[#This Row],[CH4 '[ml/g']]]/Table2912[[#This Row],[APB]]</f>
        <v>6.7870318973904071</v>
      </c>
      <c r="AG33" s="18">
        <f>Table2912[[#This Row],[Propionate '[%']]]/Table2912[[#This Row],[Acetate '[%']]]</f>
        <v>0.25137615264642826</v>
      </c>
      <c r="AH33" s="51"/>
      <c r="AI33" s="18"/>
      <c r="AJ33" s="18"/>
      <c r="AK33" s="18">
        <f>(Table2912[[#This Row],[DMD '[mg/g']]]-$AK$15)/$AK$15*100</f>
        <v>-8.7452498436603374</v>
      </c>
      <c r="AL33" s="18">
        <f>(Table2912[[#This Row],[CH4 '[ml/g']]]-AL$15)/AL$15*100</f>
        <v>-25.359153282595177</v>
      </c>
      <c r="AM33" s="18">
        <f>(Table2912[[#This Row],[CH4 '[% GP']]]-AM$15)/AM$15*100</f>
        <v>23.387004958722919</v>
      </c>
      <c r="AN33" s="18">
        <f>(Table2912[[#This Row],[CH4 '[g/g DDM']]]-AN$15)/AN$15*100</f>
        <v>28.119583097898925</v>
      </c>
      <c r="AO33" s="18"/>
      <c r="AP33" s="18"/>
      <c r="AR33">
        <f>_xlfn.NORM.DIST(Table2912[[#This Row],[GP '[ml/g']]],O$6,O$2,FALSE)</f>
        <v>1.1926325288636607E-3</v>
      </c>
      <c r="AS33">
        <f>_xlfn.NORM.DIST(Table2912[[#This Row],[SCFA '[mmol/g']]],P$6,P$2,FALSE)</f>
        <v>0.1046998367471797</v>
      </c>
      <c r="AT33">
        <f>_xlfn.NORM.DIST(Table2912[[#This Row],[Acetate '[%']]],Q$6,Q$2,FALSE)</f>
        <v>12.503228182458274</v>
      </c>
      <c r="AU33">
        <f>_xlfn.NORM.DIST(Table2912[[#This Row],[Propionate '[%']]],R$6,R$2,FALSE)</f>
        <v>16.782296064588483</v>
      </c>
      <c r="AV33">
        <f>_xlfn.NORM.DIST(Table2912[[#This Row],[Butyrate '[%']]],S$6,S$2,FALSE)</f>
        <v>3.075023796873888</v>
      </c>
      <c r="AW33">
        <f>_xlfn.NORM.DIST(Table2912[[#This Row],[Valerate '[%']]],T$6,T$2,FALSE)</f>
        <v>1.3174705116130145</v>
      </c>
      <c r="AX33">
        <f>_xlfn.NORM.DIST(Table2912[[#This Row],[Caproate '[%']]],U$6,U$2,FALSE)</f>
        <v>362.77303185887024</v>
      </c>
      <c r="AY33">
        <f>_xlfn.NORM.DIST(Table2912[[#This Row],[Isobutyrate '[%']]],V$6,V$2,FALSE)</f>
        <v>80.408722092834893</v>
      </c>
      <c r="AZ33">
        <f>_xlfn.NORM.DIST(Table2912[[#This Row],[Isovalerate '[%']]],W$6,W$2,FALSE)</f>
        <v>41.214448640643162</v>
      </c>
      <c r="BA33">
        <f>_xlfn.NORM.DIST(Table2912[[#This Row],[CH4 '[g/mmol SCFA']]],X$6,X$2,FALSE)</f>
        <v>0.29715518215206183</v>
      </c>
      <c r="BB33">
        <f>_xlfn.NORM.DIST(Table2912[[#This Row],[DMD '[mg/g']]],Y$6,Y$2,FALSE)</f>
        <v>1.6299446168433344E-4</v>
      </c>
      <c r="BC33">
        <f>_xlfn.NORM.DIST(Table2912[[#This Row],[CH4 '[ml/g']]],Z$6,Z$2,FALSE)</f>
        <v>2.0094385945409438E-2</v>
      </c>
      <c r="BD33">
        <f>_xlfn.NORM.DIST(Table2912[[#This Row],[CH4 '[% GP']]],AA$6,AA$2,FALSE)</f>
        <v>7.8319192427169795E-2</v>
      </c>
      <c r="BE33">
        <f>_xlfn.NORM.DIST(Table2912[[#This Row],[CH4 '[g/g DDM']]],AB$6,AB$2,FALSE)</f>
        <v>1.9729968567064483E-2</v>
      </c>
      <c r="BG33">
        <f>IF(Table2912[[#This Row],[GP '[ml/g']]]&lt;O$10,_xlfn.NORM.DIST(Table2912[[#This Row],[GP '[ml/g']]],O$6,O$2,FALSE),-100)</f>
        <v>1.1926325288636607E-3</v>
      </c>
      <c r="BH33">
        <f>IF(Table2912[[#This Row],[SCFA '[mmol/g']]]&lt;P$10,_xlfn.NORM.DIST(Table2912[[#This Row],[SCFA '[mmol/g']]],P$6,P$2,FALSE),-100)</f>
        <v>0.1046998367471797</v>
      </c>
      <c r="BI33">
        <f>IF(Table2912[[#This Row],[Acetate '[%']]]&lt;Q$10,_xlfn.NORM.DIST(Table2912[[#This Row],[Acetate '[%']]],Q$6,Q$2,FALSE),-100)</f>
        <v>-100</v>
      </c>
      <c r="BJ33">
        <f>IF(Table2912[[#This Row],[Propionate '[%']]]&lt;R$10,_xlfn.NORM.DIST(Table2912[[#This Row],[Propionate '[%']]],R$6,R$2,FALSE),-100)</f>
        <v>-100</v>
      </c>
      <c r="BK33">
        <f>IF(Table2912[[#This Row],[Butyrate '[%']]]&lt;S$10,_xlfn.NORM.DIST(Table2912[[#This Row],[Butyrate '[%']]],S$6,S$2,FALSE),-100)</f>
        <v>3.075023796873888</v>
      </c>
      <c r="BL33">
        <f>IF(Table2912[[#This Row],[Valerate '[%']]]&lt;T$10,_xlfn.NORM.DIST(Table2912[[#This Row],[Valerate '[%']]],T$6,T$2,FALSE),-100)</f>
        <v>-100</v>
      </c>
      <c r="BM33">
        <f>IF(Table2912[[#This Row],[Caproate '[%']]]&lt;U$10,_xlfn.NORM.DIST(Table2912[[#This Row],[Caproate '[%']]],U$6,U$2,FALSE),-100)</f>
        <v>-100</v>
      </c>
      <c r="BN33">
        <f>IF(Table2912[[#This Row],[Isobutyrate '[%']]]&lt;V$10,_xlfn.NORM.DIST(Table2912[[#This Row],[Isobutyrate '[%']]],V$6,V$2,FALSE),-100)</f>
        <v>-100</v>
      </c>
      <c r="BO33">
        <f>IF(Table2912[[#This Row],[Isovalerate '[%']]]&lt;W$10,_xlfn.NORM.DIST(Table2912[[#This Row],[Isovalerate '[%']]],W$6,W$2,FALSE),-100)</f>
        <v>-100</v>
      </c>
      <c r="BP33">
        <f>IF(Table2912[[#This Row],[CH4 '[g/mmol SCFA']]]&lt;X$10,_xlfn.NORM.DIST(Table2912[[#This Row],[CH4 '[g/mmol SCFA']]],X$6,X$2,FALSE),-100)</f>
        <v>-100</v>
      </c>
      <c r="BQ33">
        <f>IF(Table2912[[#This Row],[DMD '[mg/g']]]&gt;Y$10,_xlfn.NORM.DIST(Table2912[[#This Row],[DMD '[mg/g']]],Y$6,Y$2,FALSE),-100)</f>
        <v>-100</v>
      </c>
      <c r="BR33">
        <f>IF(Table2912[[#This Row],[CH4 '[ml/g']]]&lt;Z$10,_xlfn.NORM.DIST(Table2912[[#This Row],[CH4 '[ml/g']]],Z$6,Z$2,FALSE),-100)</f>
        <v>2.0094385945409438E-2</v>
      </c>
      <c r="BS33">
        <f>IF(Table2912[[#This Row],[CH4 '[% GP']]]&lt;AA$10,_xlfn.NORM.DIST(Table2912[[#This Row],[CH4 '[% GP']]],AA$6,AA$2,FALSE),-100)</f>
        <v>-100</v>
      </c>
      <c r="BT33">
        <f>IF(Table2912[[#This Row],[CH4 '[g/g DDM']]]&lt;AB$10,_xlfn.NORM.DIST(Table2912[[#This Row],[CH4 '[g/g DDM']]],AB$6,AB$2,FALSE),-100)</f>
        <v>-100</v>
      </c>
      <c r="CJ33" t="str">
        <v xml:space="preserve">Hyparrhenia hirta    </v>
      </c>
      <c r="CL33" t="str">
        <v xml:space="preserve">Hyparrhenia hirta    </v>
      </c>
    </row>
    <row r="34" spans="1:90" ht="15" customHeight="1" x14ac:dyDescent="0.25">
      <c r="A34" s="12" t="s">
        <v>86</v>
      </c>
      <c r="B34" s="13">
        <v>1048</v>
      </c>
      <c r="C34" s="104" t="s">
        <v>87</v>
      </c>
      <c r="D34" s="104" t="s">
        <v>88</v>
      </c>
      <c r="E34" s="104" t="s">
        <v>89</v>
      </c>
      <c r="F34" s="104" t="s">
        <v>90</v>
      </c>
      <c r="G34" s="23" t="s">
        <v>73</v>
      </c>
      <c r="H34" s="23" t="s">
        <v>74</v>
      </c>
      <c r="I34" s="104" t="s">
        <v>48</v>
      </c>
      <c r="J34" s="100">
        <v>3</v>
      </c>
      <c r="K34" s="100"/>
      <c r="L34" s="100"/>
      <c r="M34" t="s">
        <v>91</v>
      </c>
      <c r="N34" t="s">
        <v>99</v>
      </c>
      <c r="O34" s="18">
        <v>114.01283902012239</v>
      </c>
      <c r="P34" s="18">
        <v>3.5542151782309261</v>
      </c>
      <c r="Q34" s="97">
        <v>0.71564206571982503</v>
      </c>
      <c r="R34" s="97">
        <v>0.18029697127409242</v>
      </c>
      <c r="S34" s="97">
        <v>5.3029928370225299E-2</v>
      </c>
      <c r="T34" s="97">
        <v>3.2246625704828107E-2</v>
      </c>
      <c r="U34" s="97">
        <v>8.3595819623203695E-4</v>
      </c>
      <c r="V34" s="97">
        <v>6.4349325880942634E-3</v>
      </c>
      <c r="W34" s="97">
        <v>1.1513518146702911E-2</v>
      </c>
      <c r="X34" s="51">
        <f t="shared" si="5"/>
        <v>5.8501003578800832</v>
      </c>
      <c r="Y34" s="18">
        <v>461.72353455818029</v>
      </c>
      <c r="Z34" s="18">
        <v>20.792515486151565</v>
      </c>
      <c r="AA34" s="18">
        <f t="shared" si="6"/>
        <v>18.236994767301468</v>
      </c>
      <c r="AB34" s="18">
        <f t="shared" si="7"/>
        <v>45.032392611409264</v>
      </c>
      <c r="AC34" s="18">
        <f>$CP$15*Table2912[[#This Row],[DMD '[mg/g']]]+$CS$15*Table2912[[#This Row],[CH4 '[ml/g']]]+$CR$15*Table2912[[#This Row],[CH4 '[% GP']]]+$CQ$15*Table2912[[#This Row],[CH4 '[g/g DDM']]]</f>
        <v>-8.2401050231411901</v>
      </c>
      <c r="AD34" s="18">
        <f>_xlfn.RANK.AVG(Table2912[[#This Row],[Index]],Table2912[Index])</f>
        <v>484</v>
      </c>
      <c r="AE3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3.3728399003673344</v>
      </c>
      <c r="AF34" s="18">
        <f>Table2912[[#This Row],[CH4 '[ml/g']]]/Table2912[[#This Row],[APB]]</f>
        <v>6.1646909134012144</v>
      </c>
      <c r="AG34" s="18">
        <f>Table2912[[#This Row],[Propionate '[%']]]/Table2912[[#This Row],[Acetate '[%']]]</f>
        <v>0.25193735794826649</v>
      </c>
      <c r="AH34" s="51"/>
      <c r="AI34" s="18"/>
      <c r="AJ34" s="18"/>
      <c r="AK34" s="18">
        <f>(Table2912[[#This Row],[DMD '[mg/g']]]-$AK$15)/$AK$15*100</f>
        <v>-5.8262736237226269</v>
      </c>
      <c r="AL34" s="18">
        <f>(Table2912[[#This Row],[CH4 '[ml/g']]]-AL$15)/AL$15*100</f>
        <v>-47.136159945806682</v>
      </c>
      <c r="AM34" s="18">
        <f>(Table2912[[#This Row],[CH4 '[% GP']]]-AM$15)/AM$15*100</f>
        <v>17.48859108647039</v>
      </c>
      <c r="AN34" s="18">
        <f>(Table2912[[#This Row],[CH4 '[g/g DDM']]]-AN$15)/AN$15*100</f>
        <v>-12.072769990474063</v>
      </c>
      <c r="AO34" s="18"/>
      <c r="AP34" s="18"/>
      <c r="AR34">
        <f>_xlfn.NORM.DIST(Table2912[[#This Row],[GP '[ml/g']]],O$6,O$2,FALSE)</f>
        <v>2.2182019384161983E-4</v>
      </c>
      <c r="AS34">
        <f>_xlfn.NORM.DIST(Table2912[[#This Row],[SCFA '[mmol/g']]],P$6,P$2,FALSE)</f>
        <v>1.5055241289941299E-2</v>
      </c>
      <c r="AT34">
        <f>_xlfn.NORM.DIST(Table2912[[#This Row],[Acetate '[%']]],Q$6,Q$2,FALSE)</f>
        <v>4.5887015850076436</v>
      </c>
      <c r="AU34">
        <f>_xlfn.NORM.DIST(Table2912[[#This Row],[Propionate '[%']]],R$6,R$2,FALSE)</f>
        <v>15.766862028492055</v>
      </c>
      <c r="AV34">
        <f>_xlfn.NORM.DIST(Table2912[[#This Row],[Butyrate '[%']]],S$6,S$2,FALSE)</f>
        <v>1.6244906990826564</v>
      </c>
      <c r="AW34">
        <f>_xlfn.NORM.DIST(Table2912[[#This Row],[Valerate '[%']]],T$6,T$2,FALSE)</f>
        <v>1.4112223507156778</v>
      </c>
      <c r="AX34">
        <f>_xlfn.NORM.DIST(Table2912[[#This Row],[Caproate '[%']]],U$6,U$2,FALSE)</f>
        <v>357.83040391753593</v>
      </c>
      <c r="AY34">
        <f>_xlfn.NORM.DIST(Table2912[[#This Row],[Isobutyrate '[%']]],V$6,V$2,FALSE)</f>
        <v>12.021166449056718</v>
      </c>
      <c r="AZ34">
        <f>_xlfn.NORM.DIST(Table2912[[#This Row],[Isovalerate '[%']]],W$6,W$2,FALSE)</f>
        <v>7.9740086647836304</v>
      </c>
      <c r="BA34">
        <f>_xlfn.NORM.DIST(Table2912[[#This Row],[CH4 '[g/mmol SCFA']]],X$6,X$2,FALSE)</f>
        <v>0.28233386624670481</v>
      </c>
      <c r="BB34">
        <f>_xlfn.NORM.DIST(Table2912[[#This Row],[DMD '[mg/g']]],Y$6,Y$2,FALSE)</f>
        <v>2.0840683297111687E-4</v>
      </c>
      <c r="BC34">
        <f>_xlfn.NORM.DIST(Table2912[[#This Row],[CH4 '[ml/g']]],Z$6,Z$2,FALSE)</f>
        <v>7.4949617258244818E-3</v>
      </c>
      <c r="BD34">
        <f>_xlfn.NORM.DIST(Table2912[[#This Row],[CH4 '[% GP']]],AA$6,AA$2,FALSE)</f>
        <v>0.10302898532437191</v>
      </c>
      <c r="BE34">
        <f>_xlfn.NORM.DIST(Table2912[[#This Row],[CH4 '[g/g DDM']]],AB$6,AB$2,FALSE)</f>
        <v>2.5976966537475964E-2</v>
      </c>
      <c r="BG34">
        <f>IF(Table2912[[#This Row],[GP '[ml/g']]]&lt;O$10,_xlfn.NORM.DIST(Table2912[[#This Row],[GP '[ml/g']]],O$6,O$2,FALSE),-100)</f>
        <v>2.2182019384161983E-4</v>
      </c>
      <c r="BH34">
        <f>IF(Table2912[[#This Row],[SCFA '[mmol/g']]]&lt;P$10,_xlfn.NORM.DIST(Table2912[[#This Row],[SCFA '[mmol/g']]],P$6,P$2,FALSE),-100)</f>
        <v>1.5055241289941299E-2</v>
      </c>
      <c r="BI34">
        <f>IF(Table2912[[#This Row],[Acetate '[%']]]&lt;Q$10,_xlfn.NORM.DIST(Table2912[[#This Row],[Acetate '[%']]],Q$6,Q$2,FALSE),-100)</f>
        <v>-100</v>
      </c>
      <c r="BJ34">
        <f>IF(Table2912[[#This Row],[Propionate '[%']]]&lt;R$10,_xlfn.NORM.DIST(Table2912[[#This Row],[Propionate '[%']]],R$6,R$2,FALSE),-100)</f>
        <v>-100</v>
      </c>
      <c r="BK34">
        <f>IF(Table2912[[#This Row],[Butyrate '[%']]]&lt;S$10,_xlfn.NORM.DIST(Table2912[[#This Row],[Butyrate '[%']]],S$6,S$2,FALSE),-100)</f>
        <v>1.6244906990826564</v>
      </c>
      <c r="BL34">
        <f>IF(Table2912[[#This Row],[Valerate '[%']]]&lt;T$10,_xlfn.NORM.DIST(Table2912[[#This Row],[Valerate '[%']]],T$6,T$2,FALSE),-100)</f>
        <v>-100</v>
      </c>
      <c r="BM34">
        <f>IF(Table2912[[#This Row],[Caproate '[%']]]&lt;U$10,_xlfn.NORM.DIST(Table2912[[#This Row],[Caproate '[%']]],U$6,U$2,FALSE),-100)</f>
        <v>-100</v>
      </c>
      <c r="BN34">
        <f>IF(Table2912[[#This Row],[Isobutyrate '[%']]]&lt;V$10,_xlfn.NORM.DIST(Table2912[[#This Row],[Isobutyrate '[%']]],V$6,V$2,FALSE),-100)</f>
        <v>12.021166449056718</v>
      </c>
      <c r="BO34">
        <f>IF(Table2912[[#This Row],[Isovalerate '[%']]]&lt;W$10,_xlfn.NORM.DIST(Table2912[[#This Row],[Isovalerate '[%']]],W$6,W$2,FALSE),-100)</f>
        <v>7.9740086647836304</v>
      </c>
      <c r="BP34">
        <f>IF(Table2912[[#This Row],[CH4 '[g/mmol SCFA']]]&lt;X$10,_xlfn.NORM.DIST(Table2912[[#This Row],[CH4 '[g/mmol SCFA']]],X$6,X$2,FALSE),-100)</f>
        <v>-100</v>
      </c>
      <c r="BQ34">
        <f>IF(Table2912[[#This Row],[DMD '[mg/g']]]&gt;Y$10,_xlfn.NORM.DIST(Table2912[[#This Row],[DMD '[mg/g']]],Y$6,Y$2,FALSE),-100)</f>
        <v>-100</v>
      </c>
      <c r="BR34">
        <f>IF(Table2912[[#This Row],[CH4 '[ml/g']]]&lt;Z$10,_xlfn.NORM.DIST(Table2912[[#This Row],[CH4 '[ml/g']]],Z$6,Z$2,FALSE),-100)</f>
        <v>7.4949617258244818E-3</v>
      </c>
      <c r="BS34">
        <f>IF(Table2912[[#This Row],[CH4 '[% GP']]]&lt;AA$10,_xlfn.NORM.DIST(Table2912[[#This Row],[CH4 '[% GP']]],AA$6,AA$2,FALSE),-100)</f>
        <v>-100</v>
      </c>
      <c r="BT34">
        <f>IF(Table2912[[#This Row],[CH4 '[g/g DDM']]]&lt;AB$10,_xlfn.NORM.DIST(Table2912[[#This Row],[CH4 '[g/g DDM']]],AB$6,AB$2,FALSE),-100)</f>
        <v>-100</v>
      </c>
      <c r="CJ34" t="str">
        <v xml:space="preserve">Desmodium uncinatum </v>
      </c>
      <c r="CL34" t="str">
        <v xml:space="preserve">Desmodium uncinatum </v>
      </c>
    </row>
    <row r="35" spans="1:90" x14ac:dyDescent="0.25">
      <c r="A35" s="12" t="s">
        <v>70</v>
      </c>
      <c r="B35" s="13">
        <v>1005</v>
      </c>
      <c r="C35" s="96" t="s">
        <v>100</v>
      </c>
      <c r="D35" s="96"/>
      <c r="E35" s="96"/>
      <c r="F35" s="96" t="s">
        <v>101</v>
      </c>
      <c r="G35" t="s">
        <v>73</v>
      </c>
      <c r="H35" t="s">
        <v>74</v>
      </c>
      <c r="I35" t="s">
        <v>75</v>
      </c>
      <c r="J35" s="70">
        <v>3</v>
      </c>
      <c r="K35" s="70"/>
      <c r="L35" s="70"/>
      <c r="M35" t="s">
        <v>101</v>
      </c>
      <c r="N35" t="s">
        <v>81</v>
      </c>
      <c r="O35" s="18">
        <v>218.61117685733069</v>
      </c>
      <c r="P35" s="18">
        <v>6.4476230515151753</v>
      </c>
      <c r="Q35" s="97">
        <v>0.69896982701957144</v>
      </c>
      <c r="R35" s="97">
        <v>0.2048689665901787</v>
      </c>
      <c r="S35" s="97">
        <v>6.986929476769603E-2</v>
      </c>
      <c r="T35" s="97">
        <v>1.0117618521164669E-2</v>
      </c>
      <c r="U35" s="97">
        <v>2.0609086025605519E-4</v>
      </c>
      <c r="V35" s="97">
        <v>5.3632178058685403E-3</v>
      </c>
      <c r="W35" s="97">
        <v>1.0604984435264628E-2</v>
      </c>
      <c r="X35" s="51">
        <f t="shared" si="5"/>
        <v>4.2722009845324838</v>
      </c>
      <c r="Y35" s="18">
        <v>475.43684564830784</v>
      </c>
      <c r="Z35" s="18">
        <v>27.545541548577472</v>
      </c>
      <c r="AA35" s="18">
        <f t="shared" si="6"/>
        <v>12.600243932886448</v>
      </c>
      <c r="AB35" s="18">
        <f t="shared" si="7"/>
        <v>57.937330269420428</v>
      </c>
      <c r="AC35" s="18">
        <f>$CP$15*Table2912[[#This Row],[DMD '[mg/g']]]+$CS$15*Table2912[[#This Row],[CH4 '[ml/g']]]+$CR$15*Table2912[[#This Row],[CH4 '[% GP']]]+$CQ$15*Table2912[[#This Row],[CH4 '[g/g DDM']]]</f>
        <v>-13.219077813154563</v>
      </c>
      <c r="AD35" s="18">
        <f>_xlfn.RANK.AVG(Table2912[[#This Row],[Index]],Table2912[Index])</f>
        <v>499</v>
      </c>
      <c r="AE3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6.2781027160691973</v>
      </c>
      <c r="AF35" s="18">
        <f>Table2912[[#This Row],[CH4 '[ml/g']]]/Table2912[[#This Row],[APB]]</f>
        <v>4.3875582790439109</v>
      </c>
      <c r="AG35" s="18">
        <f>Table2912[[#This Row],[Propionate '[%']]]/Table2912[[#This Row],[Acetate '[%']]]</f>
        <v>0.29310130233195641</v>
      </c>
      <c r="AH35" s="51"/>
      <c r="AI35" s="18"/>
      <c r="AJ35" s="18"/>
      <c r="AK35" s="18">
        <f>(Table2912[[#This Row],[DMD '[mg/g']]]-$AK$15)/$AK$15*100</f>
        <v>-3.0292890438696536</v>
      </c>
      <c r="AL35" s="18">
        <f>(Table2912[[#This Row],[CH4 '[ml/g']]]-AL$15)/AL$15*100</f>
        <v>-29.966958370189317</v>
      </c>
      <c r="AM35" s="18">
        <f>(Table2912[[#This Row],[CH4 '[% GP']]]-AM$15)/AM$15*100</f>
        <v>-18.825172353782047</v>
      </c>
      <c r="AN35" s="18">
        <f>(Table2912[[#This Row],[CH4 '[g/g DDM']]]-AN$15)/AN$15*100</f>
        <v>13.124545895137082</v>
      </c>
      <c r="AO35" s="18"/>
      <c r="AP35" s="18"/>
      <c r="AR35">
        <f>_xlfn.NORM.DIST(Table2912[[#This Row],[GP '[ml/g']]],O$6,O$2,FALSE)</f>
        <v>5.8894722629913064E-3</v>
      </c>
      <c r="AS35">
        <f>_xlfn.NORM.DIST(Table2912[[#This Row],[SCFA '[mmol/g']]],P$6,P$2,FALSE)</f>
        <v>0.33181056307996193</v>
      </c>
      <c r="AT35">
        <f>_xlfn.NORM.DIST(Table2912[[#This Row],[Acetate '[%']]],Q$6,Q$2,FALSE)</f>
        <v>9.2821992689727999</v>
      </c>
      <c r="AU35">
        <f>_xlfn.NORM.DIST(Table2912[[#This Row],[Propionate '[%']]],R$6,R$2,FALSE)</f>
        <v>6.3992980810517288</v>
      </c>
      <c r="AV35">
        <f>_xlfn.NORM.DIST(Table2912[[#This Row],[Butyrate '[%']]],S$6,S$2,FALSE)</f>
        <v>9.500308029944124</v>
      </c>
      <c r="AW35">
        <f>_xlfn.NORM.DIST(Table2912[[#This Row],[Valerate '[%']]],T$6,T$2,FALSE)</f>
        <v>26.540565540877704</v>
      </c>
      <c r="AX35">
        <f>_xlfn.NORM.DIST(Table2912[[#This Row],[Caproate '[%']]],U$6,U$2,FALSE)</f>
        <v>210.17439346421787</v>
      </c>
      <c r="AY35">
        <f>_xlfn.NORM.DIST(Table2912[[#This Row],[Isobutyrate '[%']]],V$6,V$2,FALSE)</f>
        <v>7.1788288063782781</v>
      </c>
      <c r="AZ35">
        <f>_xlfn.NORM.DIST(Table2912[[#This Row],[Isovalerate '[%']]],W$6,W$2,FALSE)</f>
        <v>6.5393256356474989</v>
      </c>
      <c r="BA35">
        <f>_xlfn.NORM.DIST(Table2912[[#This Row],[CH4 '[g/mmol SCFA']]],X$6,X$2,FALSE)</f>
        <v>9.6722978907627891E-2</v>
      </c>
      <c r="BB35">
        <f>_xlfn.NORM.DIST(Table2912[[#This Row],[DMD '[mg/g']]],Y$6,Y$2,FALSE)</f>
        <v>2.6105465420248194E-4</v>
      </c>
      <c r="BC35">
        <f>_xlfn.NORM.DIST(Table2912[[#This Row],[CH4 '[ml/g']]],Z$6,Z$2,FALSE)</f>
        <v>1.7029268127988047E-2</v>
      </c>
      <c r="BD35">
        <f>_xlfn.NORM.DIST(Table2912[[#This Row],[CH4 '[% GP']]],AA$6,AA$2,FALSE)</f>
        <v>6.7859273736355211E-2</v>
      </c>
      <c r="BE35">
        <f>_xlfn.NORM.DIST(Table2912[[#This Row],[CH4 '[g/g DDM']]],AB$6,AB$2,FALSE)</f>
        <v>3.0593759017429202E-2</v>
      </c>
      <c r="BG35">
        <f>IF(Table2912[[#This Row],[GP '[ml/g']]]&lt;O$10,_xlfn.NORM.DIST(Table2912[[#This Row],[GP '[ml/g']]],O$6,O$2,FALSE),-100)</f>
        <v>-100</v>
      </c>
      <c r="BH35">
        <f>IF(Table2912[[#This Row],[SCFA '[mmol/g']]]&lt;P$10,_xlfn.NORM.DIST(Table2912[[#This Row],[SCFA '[mmol/g']]],P$6,P$2,FALSE),-100)</f>
        <v>-100</v>
      </c>
      <c r="BI35">
        <f>IF(Table2912[[#This Row],[Acetate '[%']]]&lt;Q$10,_xlfn.NORM.DIST(Table2912[[#This Row],[Acetate '[%']]],Q$6,Q$2,FALSE),-100)</f>
        <v>-100</v>
      </c>
      <c r="BJ35">
        <f>IF(Table2912[[#This Row],[Propionate '[%']]]&lt;R$10,_xlfn.NORM.DIST(Table2912[[#This Row],[Propionate '[%']]],R$6,R$2,FALSE),-100)</f>
        <v>-100</v>
      </c>
      <c r="BK35">
        <f>IF(Table2912[[#This Row],[Butyrate '[%']]]&lt;S$10,_xlfn.NORM.DIST(Table2912[[#This Row],[Butyrate '[%']]],S$6,S$2,FALSE),-100)</f>
        <v>9.500308029944124</v>
      </c>
      <c r="BL35">
        <f>IF(Table2912[[#This Row],[Valerate '[%']]]&lt;T$10,_xlfn.NORM.DIST(Table2912[[#This Row],[Valerate '[%']]],T$6,T$2,FALSE),-100)</f>
        <v>26.540565540877704</v>
      </c>
      <c r="BM35">
        <f>IF(Table2912[[#This Row],[Caproate '[%']]]&lt;U$10,_xlfn.NORM.DIST(Table2912[[#This Row],[Caproate '[%']]],U$6,U$2,FALSE),-100)</f>
        <v>210.17439346421787</v>
      </c>
      <c r="BN35">
        <f>IF(Table2912[[#This Row],[Isobutyrate '[%']]]&lt;V$10,_xlfn.NORM.DIST(Table2912[[#This Row],[Isobutyrate '[%']]],V$6,V$2,FALSE),-100)</f>
        <v>7.1788288063782781</v>
      </c>
      <c r="BO35">
        <f>IF(Table2912[[#This Row],[Isovalerate '[%']]]&lt;W$10,_xlfn.NORM.DIST(Table2912[[#This Row],[Isovalerate '[%']]],W$6,W$2,FALSE),-100)</f>
        <v>6.5393256356474989</v>
      </c>
      <c r="BP35">
        <f>IF(Table2912[[#This Row],[CH4 '[g/mmol SCFA']]]&lt;X$10,_xlfn.NORM.DIST(Table2912[[#This Row],[CH4 '[g/mmol SCFA']]],X$6,X$2,FALSE),-100)</f>
        <v>9.6722978907627891E-2</v>
      </c>
      <c r="BQ35">
        <f>IF(Table2912[[#This Row],[DMD '[mg/g']]]&gt;Y$10,_xlfn.NORM.DIST(Table2912[[#This Row],[DMD '[mg/g']]],Y$6,Y$2,FALSE),-100)</f>
        <v>-100</v>
      </c>
      <c r="BR35">
        <f>IF(Table2912[[#This Row],[CH4 '[ml/g']]]&lt;Z$10,_xlfn.NORM.DIST(Table2912[[#This Row],[CH4 '[ml/g']]],Z$6,Z$2,FALSE),-100)</f>
        <v>1.7029268127988047E-2</v>
      </c>
      <c r="BS35">
        <f>IF(Table2912[[#This Row],[CH4 '[% GP']]]&lt;AA$10,_xlfn.NORM.DIST(Table2912[[#This Row],[CH4 '[% GP']]],AA$6,AA$2,FALSE),-100)</f>
        <v>-100</v>
      </c>
      <c r="BT35">
        <f>IF(Table2912[[#This Row],[CH4 '[g/g DDM']]]&lt;AB$10,_xlfn.NORM.DIST(Table2912[[#This Row],[CH4 '[g/g DDM']]],AB$6,AB$2,FALSE),-100)</f>
        <v>-100</v>
      </c>
      <c r="CJ35" t="str">
        <v>Centrosema molle</v>
      </c>
      <c r="CL35" t="str">
        <v>Centrosema molle</v>
      </c>
    </row>
    <row r="36" spans="1:90" x14ac:dyDescent="0.25">
      <c r="A36" s="12" t="s">
        <v>86</v>
      </c>
      <c r="B36" s="13">
        <v>1052</v>
      </c>
      <c r="C36" s="104" t="s">
        <v>102</v>
      </c>
      <c r="D36" s="104" t="s">
        <v>103</v>
      </c>
      <c r="E36" s="104" t="s">
        <v>104</v>
      </c>
      <c r="F36" s="104" t="s">
        <v>105</v>
      </c>
      <c r="G36" s="23" t="s">
        <v>73</v>
      </c>
      <c r="H36" s="23" t="s">
        <v>74</v>
      </c>
      <c r="I36" s="104" t="s">
        <v>106</v>
      </c>
      <c r="J36" s="70">
        <v>1</v>
      </c>
      <c r="K36" s="70"/>
      <c r="L36" s="70"/>
      <c r="M36" t="s">
        <v>105</v>
      </c>
      <c r="N36" t="s">
        <v>84</v>
      </c>
      <c r="O36" s="18">
        <v>168.78625904010488</v>
      </c>
      <c r="P36" s="18">
        <v>5.6268174411987122</v>
      </c>
      <c r="Q36" s="97">
        <v>0.68277845267884274</v>
      </c>
      <c r="R36" s="97">
        <v>0.17982644693595501</v>
      </c>
      <c r="S36" s="97">
        <v>7.2998356872906872E-2</v>
      </c>
      <c r="T36" s="97">
        <v>2.2370610999044596E-2</v>
      </c>
      <c r="U36" s="97">
        <v>8.8655625713341877E-4</v>
      </c>
      <c r="V36" s="97">
        <v>1.4384564099795322E-2</v>
      </c>
      <c r="W36" s="97">
        <v>2.6755012156322124E-2</v>
      </c>
      <c r="X36" s="51">
        <f t="shared" si="5"/>
        <v>4.1210526411717376</v>
      </c>
      <c r="Y36" s="18">
        <v>477.58196838464403</v>
      </c>
      <c r="Z36" s="18">
        <v>23.18841087744315</v>
      </c>
      <c r="AA36" s="18">
        <f t="shared" si="6"/>
        <v>13.738328587479037</v>
      </c>
      <c r="AB36" s="18">
        <f t="shared" si="7"/>
        <v>48.553782203869197</v>
      </c>
      <c r="AC36" s="18">
        <f>$CP$15*Table2912[[#This Row],[DMD '[mg/g']]]+$CS$15*Table2912[[#This Row],[CH4 '[ml/g']]]+$CR$15*Table2912[[#This Row],[CH4 '[% GP']]]+$CQ$15*Table2912[[#This Row],[CH4 '[g/g DDM']]]</f>
        <v>-7.7339290223520578</v>
      </c>
      <c r="AD36" s="18">
        <f>_xlfn.RANK.AVG(Table2912[[#This Row],[Index]],Table2912[Index])</f>
        <v>480</v>
      </c>
      <c r="AE3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5.2644687216473285</v>
      </c>
      <c r="AF36" s="18">
        <f>Table2912[[#This Row],[CH4 '[ml/g']]]/Table2912[[#This Row],[APB]]</f>
        <v>4.4047010445884389</v>
      </c>
      <c r="AG36" s="18">
        <f>Table2912[[#This Row],[Propionate '[%']]]/Table2912[[#This Row],[Acetate '[%']]]</f>
        <v>0.26337451955376756</v>
      </c>
      <c r="AH36" s="51"/>
      <c r="AI36" s="18"/>
      <c r="AJ36" s="18"/>
      <c r="AK36" s="18">
        <f>(Table2912[[#This Row],[DMD '[mg/g']]]-$AK$15)/$AK$15*100</f>
        <v>-2.5917670496560343</v>
      </c>
      <c r="AL36" s="18">
        <f>(Table2912[[#This Row],[CH4 '[ml/g']]]-AL$15)/AL$15*100</f>
        <v>-41.04472618753082</v>
      </c>
      <c r="AM36" s="18">
        <f>(Table2912[[#This Row],[CH4 '[% GP']]]-AM$15)/AM$15*100</f>
        <v>-11.493264640294173</v>
      </c>
      <c r="AN36" s="18">
        <f>(Table2912[[#This Row],[CH4 '[g/g DDM']]]-AN$15)/AN$15*100</f>
        <v>-5.1971408112478743</v>
      </c>
      <c r="AO36" s="18"/>
      <c r="AP36" s="18"/>
      <c r="AR36">
        <f>_xlfn.NORM.DIST(Table2912[[#This Row],[GP '[ml/g']]],O$6,O$2,FALSE)</f>
        <v>1.9954845072357652E-3</v>
      </c>
      <c r="AS36">
        <f>_xlfn.NORM.DIST(Table2912[[#This Row],[SCFA '[mmol/g']]],P$6,P$2,FALSE)</f>
        <v>0.24936479211126777</v>
      </c>
      <c r="AT36">
        <f>_xlfn.NORM.DIST(Table2912[[#This Row],[Acetate '[%']]],Q$6,Q$2,FALSE)</f>
        <v>13.241742752756249</v>
      </c>
      <c r="AU36">
        <f>_xlfn.NORM.DIST(Table2912[[#This Row],[Propionate '[%']]],R$6,R$2,FALSE)</f>
        <v>15.874919889883722</v>
      </c>
      <c r="AV36">
        <f>_xlfn.NORM.DIST(Table2912[[#This Row],[Butyrate '[%']]],S$6,S$2,FALSE)</f>
        <v>11.886367602021039</v>
      </c>
      <c r="AW36">
        <f>_xlfn.NORM.DIST(Table2912[[#This Row],[Valerate '[%']]],T$6,T$2,FALSE)</f>
        <v>50.967226532288379</v>
      </c>
      <c r="AX36">
        <f>_xlfn.NORM.DIST(Table2912[[#This Row],[Caproate '[%']]],U$6,U$2,FALSE)</f>
        <v>366.82876253182786</v>
      </c>
      <c r="AY36">
        <f>_xlfn.NORM.DIST(Table2912[[#This Row],[Isobutyrate '[%']]],V$6,V$2,FALSE)</f>
        <v>88.175993079800406</v>
      </c>
      <c r="AZ36">
        <f>_xlfn.NORM.DIST(Table2912[[#This Row],[Isovalerate '[%']]],W$6,W$2,FALSE)</f>
        <v>45.048634422322522</v>
      </c>
      <c r="BA36">
        <f>_xlfn.NORM.DIST(Table2912[[#This Row],[CH4 '[g/mmol SCFA']]],X$6,X$2,FALSE)</f>
        <v>8.1175618398807575E-2</v>
      </c>
      <c r="BB36">
        <f>_xlfn.NORM.DIST(Table2912[[#This Row],[DMD '[mg/g']]],Y$6,Y$2,FALSE)</f>
        <v>2.7017073771128683E-4</v>
      </c>
      <c r="BC36">
        <f>_xlfn.NORM.DIST(Table2912[[#This Row],[CH4 '[ml/g']]],Z$6,Z$2,FALSE)</f>
        <v>1.0404361507333813E-2</v>
      </c>
      <c r="BD36">
        <f>_xlfn.NORM.DIST(Table2912[[#This Row],[CH4 '[% GP']]],AA$6,AA$2,FALSE)</f>
        <v>9.8855402746522242E-2</v>
      </c>
      <c r="BE36">
        <f>_xlfn.NORM.DIST(Table2912[[#This Row],[CH4 '[g/g DDM']]],AB$6,AB$2,FALSE)</f>
        <v>3.0383031739732825E-2</v>
      </c>
      <c r="BG36">
        <f>IF(Table2912[[#This Row],[GP '[ml/g']]]&lt;O$10,_xlfn.NORM.DIST(Table2912[[#This Row],[GP '[ml/g']]],O$6,O$2,FALSE),-100)</f>
        <v>1.9954845072357652E-3</v>
      </c>
      <c r="BH36">
        <f>IF(Table2912[[#This Row],[SCFA '[mmol/g']]]&lt;P$10,_xlfn.NORM.DIST(Table2912[[#This Row],[SCFA '[mmol/g']]],P$6,P$2,FALSE),-100)</f>
        <v>-100</v>
      </c>
      <c r="BI36">
        <f>IF(Table2912[[#This Row],[Acetate '[%']]]&lt;Q$10,_xlfn.NORM.DIST(Table2912[[#This Row],[Acetate '[%']]],Q$6,Q$2,FALSE),-100)</f>
        <v>-100</v>
      </c>
      <c r="BJ36">
        <f>IF(Table2912[[#This Row],[Propionate '[%']]]&lt;R$10,_xlfn.NORM.DIST(Table2912[[#This Row],[Propionate '[%']]],R$6,R$2,FALSE),-100)</f>
        <v>-100</v>
      </c>
      <c r="BK36">
        <f>IF(Table2912[[#This Row],[Butyrate '[%']]]&lt;S$10,_xlfn.NORM.DIST(Table2912[[#This Row],[Butyrate '[%']]],S$6,S$2,FALSE),-100)</f>
        <v>11.886367602021039</v>
      </c>
      <c r="BL36">
        <f>IF(Table2912[[#This Row],[Valerate '[%']]]&lt;T$10,_xlfn.NORM.DIST(Table2912[[#This Row],[Valerate '[%']]],T$6,T$2,FALSE),-100)</f>
        <v>-100</v>
      </c>
      <c r="BM36">
        <f>IF(Table2912[[#This Row],[Caproate '[%']]]&lt;U$10,_xlfn.NORM.DIST(Table2912[[#This Row],[Caproate '[%']]],U$6,U$2,FALSE),-100)</f>
        <v>-100</v>
      </c>
      <c r="BN36">
        <f>IF(Table2912[[#This Row],[Isobutyrate '[%']]]&lt;V$10,_xlfn.NORM.DIST(Table2912[[#This Row],[Isobutyrate '[%']]],V$6,V$2,FALSE),-100)</f>
        <v>-100</v>
      </c>
      <c r="BO36">
        <f>IF(Table2912[[#This Row],[Isovalerate '[%']]]&lt;W$10,_xlfn.NORM.DIST(Table2912[[#This Row],[Isovalerate '[%']]],W$6,W$2,FALSE),-100)</f>
        <v>-100</v>
      </c>
      <c r="BP36">
        <f>IF(Table2912[[#This Row],[CH4 '[g/mmol SCFA']]]&lt;X$10,_xlfn.NORM.DIST(Table2912[[#This Row],[CH4 '[g/mmol SCFA']]],X$6,X$2,FALSE),-100)</f>
        <v>8.1175618398807575E-2</v>
      </c>
      <c r="BQ36">
        <f>IF(Table2912[[#This Row],[DMD '[mg/g']]]&gt;Y$10,_xlfn.NORM.DIST(Table2912[[#This Row],[DMD '[mg/g']]],Y$6,Y$2,FALSE),-100)</f>
        <v>-100</v>
      </c>
      <c r="BR36">
        <f>IF(Table2912[[#This Row],[CH4 '[ml/g']]]&lt;Z$10,_xlfn.NORM.DIST(Table2912[[#This Row],[CH4 '[ml/g']]],Z$6,Z$2,FALSE),-100)</f>
        <v>1.0404361507333813E-2</v>
      </c>
      <c r="BS36">
        <f>IF(Table2912[[#This Row],[CH4 '[% GP']]]&lt;AA$10,_xlfn.NORM.DIST(Table2912[[#This Row],[CH4 '[% GP']]],AA$6,AA$2,FALSE),-100)</f>
        <v>-100</v>
      </c>
      <c r="BT36">
        <f>IF(Table2912[[#This Row],[CH4 '[g/g DDM']]]&lt;AB$10,_xlfn.NORM.DIST(Table2912[[#This Row],[CH4 '[g/g DDM']]],AB$6,AB$2,FALSE),-100)</f>
        <v>-100</v>
      </c>
      <c r="CJ36" t="str">
        <v>Stylosanthes  fruticosa</v>
      </c>
      <c r="CL36" t="str">
        <v>Stylosanthes  fruticosa</v>
      </c>
    </row>
    <row r="37" spans="1:90" ht="15" customHeight="1" x14ac:dyDescent="0.25">
      <c r="A37" s="12" t="s">
        <v>70</v>
      </c>
      <c r="B37" s="13">
        <v>1034</v>
      </c>
      <c r="C37" s="96" t="s">
        <v>107</v>
      </c>
      <c r="D37" s="96"/>
      <c r="E37" s="96"/>
      <c r="F37" s="96" t="s">
        <v>108</v>
      </c>
      <c r="G37" t="s">
        <v>73</v>
      </c>
      <c r="H37" t="s">
        <v>74</v>
      </c>
      <c r="I37" t="s">
        <v>75</v>
      </c>
      <c r="J37" s="100">
        <v>3</v>
      </c>
      <c r="K37" s="100"/>
      <c r="L37" s="100"/>
      <c r="M37" t="s">
        <v>108</v>
      </c>
      <c r="N37" t="s">
        <v>81</v>
      </c>
      <c r="O37" s="18">
        <v>189.51996047430771</v>
      </c>
      <c r="P37" s="18">
        <v>5.2894060058179724</v>
      </c>
      <c r="Q37" s="97">
        <v>0.69927244113562381</v>
      </c>
      <c r="R37" s="97">
        <v>0.16771106105287037</v>
      </c>
      <c r="S37" s="97">
        <v>8.4106925906748342E-2</v>
      </c>
      <c r="T37" s="97">
        <v>1.3737166577153459E-2</v>
      </c>
      <c r="U37" s="97">
        <v>9.1789656198298854E-4</v>
      </c>
      <c r="V37" s="97">
        <v>1.1992315179312533E-2</v>
      </c>
      <c r="W37" s="97">
        <v>2.2262193586308501E-2</v>
      </c>
      <c r="X37" s="51">
        <f t="shared" si="5"/>
        <v>5.7713079969621761</v>
      </c>
      <c r="Y37" s="18">
        <v>488.65125642999101</v>
      </c>
      <c r="Z37" s="18">
        <v>30.526791180557026</v>
      </c>
      <c r="AA37" s="18">
        <f t="shared" si="6"/>
        <v>16.107428000807015</v>
      </c>
      <c r="AB37" s="18">
        <f t="shared" si="7"/>
        <v>62.47152908923421</v>
      </c>
      <c r="AC37" s="18">
        <f>$CP$15*Table2912[[#This Row],[DMD '[mg/g']]]+$CS$15*Table2912[[#This Row],[CH4 '[ml/g']]]+$CR$15*Table2912[[#This Row],[CH4 '[% GP']]]+$CQ$15*Table2912[[#This Row],[CH4 '[g/g DDM']]]</f>
        <v>-15.809260429144793</v>
      </c>
      <c r="AD37" s="18">
        <f>_xlfn.RANK.AVG(Table2912[[#This Row],[Index]],Table2912[Index])</f>
        <v>504</v>
      </c>
      <c r="AE3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5.0307034224429623</v>
      </c>
      <c r="AF37" s="18">
        <f>Table2912[[#This Row],[CH4 '[ml/g']]]/Table2912[[#This Row],[APB]]</f>
        <v>6.0680959732929152</v>
      </c>
      <c r="AG37" s="18">
        <f>Table2912[[#This Row],[Propionate '[%']]]/Table2912[[#This Row],[Acetate '[%']]]</f>
        <v>0.23983650890131794</v>
      </c>
      <c r="AH37" s="51"/>
      <c r="AI37" s="18"/>
      <c r="AJ37" s="18"/>
      <c r="AK37" s="18">
        <f>(Table2912[[#This Row],[DMD '[mg/g']]]-$AK$15)/$AK$15*100</f>
        <v>-0.33406081304367785</v>
      </c>
      <c r="AL37" s="18">
        <f>(Table2912[[#This Row],[CH4 '[ml/g']]]-AL$15)/AL$15*100</f>
        <v>-22.387293282934415</v>
      </c>
      <c r="AM37" s="18">
        <f>(Table2912[[#This Row],[CH4 '[% GP']]]-AM$15)/AM$15*100</f>
        <v>3.7692364333338744</v>
      </c>
      <c r="AN37" s="18">
        <f>(Table2912[[#This Row],[CH4 '[g/g DDM']]]-AN$15)/AN$15*100</f>
        <v>21.977718454253544</v>
      </c>
      <c r="AO37" s="18"/>
      <c r="AP37" s="18"/>
      <c r="AR37">
        <f>_xlfn.NORM.DIST(Table2912[[#This Row],[GP '[ml/g']]],O$6,O$2,FALSE)</f>
        <v>3.4808421615653371E-3</v>
      </c>
      <c r="AS37">
        <f>_xlfn.NORM.DIST(Table2912[[#This Row],[SCFA '[mmol/g']]],P$6,P$2,FALSE)</f>
        <v>0.19355536488744426</v>
      </c>
      <c r="AT37">
        <f>_xlfn.NORM.DIST(Table2912[[#This Row],[Acetate '[%']]],Q$6,Q$2,FALSE)</f>
        <v>9.1923648450328432</v>
      </c>
      <c r="AU37">
        <f>_xlfn.NORM.DIST(Table2912[[#This Row],[Propionate '[%']]],R$6,R$2,FALSE)</f>
        <v>16.536100944936759</v>
      </c>
      <c r="AV37">
        <f>_xlfn.NORM.DIST(Table2912[[#This Row],[Butyrate '[%']]],S$6,S$2,FALSE)</f>
        <v>20.233275858972593</v>
      </c>
      <c r="AW37">
        <f>_xlfn.NORM.DIST(Table2912[[#This Row],[Valerate '[%']]],T$6,T$2,FALSE)</f>
        <v>57.944156913352586</v>
      </c>
      <c r="AX37">
        <f>_xlfn.NORM.DIST(Table2912[[#This Row],[Caproate '[%']]],U$6,U$2,FALSE)</f>
        <v>372.01816960652229</v>
      </c>
      <c r="AY37">
        <f>_xlfn.NORM.DIST(Table2912[[#This Row],[Isobutyrate '[%']]],V$6,V$2,FALSE)</f>
        <v>67.978361376007626</v>
      </c>
      <c r="AZ37">
        <f>_xlfn.NORM.DIST(Table2912[[#This Row],[Isovalerate '[%']]],W$6,W$2,FALSE)</f>
        <v>36.982322186117038</v>
      </c>
      <c r="BA37">
        <f>_xlfn.NORM.DIST(Table2912[[#This Row],[CH4 '[g/mmol SCFA']]],X$6,X$2,FALSE)</f>
        <v>0.2765579322683232</v>
      </c>
      <c r="BB37">
        <f>_xlfn.NORM.DIST(Table2912[[#This Row],[DMD '[mg/g']]],Y$6,Y$2,FALSE)</f>
        <v>3.2126533284930259E-4</v>
      </c>
      <c r="BC37">
        <f>_xlfn.NORM.DIST(Table2912[[#This Row],[CH4 '[ml/g']]],Z$6,Z$2,FALSE)</f>
        <v>2.2084934085654991E-2</v>
      </c>
      <c r="BD37">
        <f>_xlfn.NORM.DIST(Table2912[[#This Row],[CH4 '[% GP']]],AA$6,AA$2,FALSE)</f>
        <v>0.13470507467011336</v>
      </c>
      <c r="BE37">
        <f>_xlfn.NORM.DIST(Table2912[[#This Row],[CH4 '[g/g DDM']]],AB$6,AB$2,FALSE)</f>
        <v>2.4783274100076077E-2</v>
      </c>
      <c r="BG37">
        <f>IF(Table2912[[#This Row],[GP '[ml/g']]]&lt;O$10,_xlfn.NORM.DIST(Table2912[[#This Row],[GP '[ml/g']]],O$6,O$2,FALSE),-100)</f>
        <v>3.4808421615653371E-3</v>
      </c>
      <c r="BH37">
        <f>IF(Table2912[[#This Row],[SCFA '[mmol/g']]]&lt;P$10,_xlfn.NORM.DIST(Table2912[[#This Row],[SCFA '[mmol/g']]],P$6,P$2,FALSE),-100)</f>
        <v>0.19355536488744426</v>
      </c>
      <c r="BI37">
        <f>IF(Table2912[[#This Row],[Acetate '[%']]]&lt;Q$10,_xlfn.NORM.DIST(Table2912[[#This Row],[Acetate '[%']]],Q$6,Q$2,FALSE),-100)</f>
        <v>-100</v>
      </c>
      <c r="BJ37">
        <f>IF(Table2912[[#This Row],[Propionate '[%']]]&lt;R$10,_xlfn.NORM.DIST(Table2912[[#This Row],[Propionate '[%']]],R$6,R$2,FALSE),-100)</f>
        <v>-100</v>
      </c>
      <c r="BK37">
        <f>IF(Table2912[[#This Row],[Butyrate '[%']]]&lt;S$10,_xlfn.NORM.DIST(Table2912[[#This Row],[Butyrate '[%']]],S$6,S$2,FALSE),-100)</f>
        <v>-100</v>
      </c>
      <c r="BL37">
        <f>IF(Table2912[[#This Row],[Valerate '[%']]]&lt;T$10,_xlfn.NORM.DIST(Table2912[[#This Row],[Valerate '[%']]],T$6,T$2,FALSE),-100)</f>
        <v>-100</v>
      </c>
      <c r="BM37">
        <f>IF(Table2912[[#This Row],[Caproate '[%']]]&lt;U$10,_xlfn.NORM.DIST(Table2912[[#This Row],[Caproate '[%']]],U$6,U$2,FALSE),-100)</f>
        <v>-100</v>
      </c>
      <c r="BN37">
        <f>IF(Table2912[[#This Row],[Isobutyrate '[%']]]&lt;V$10,_xlfn.NORM.DIST(Table2912[[#This Row],[Isobutyrate '[%']]],V$6,V$2,FALSE),-100)</f>
        <v>-100</v>
      </c>
      <c r="BO37">
        <f>IF(Table2912[[#This Row],[Isovalerate '[%']]]&lt;W$10,_xlfn.NORM.DIST(Table2912[[#This Row],[Isovalerate '[%']]],W$6,W$2,FALSE),-100)</f>
        <v>-100</v>
      </c>
      <c r="BP37">
        <f>IF(Table2912[[#This Row],[CH4 '[g/mmol SCFA']]]&lt;X$10,_xlfn.NORM.DIST(Table2912[[#This Row],[CH4 '[g/mmol SCFA']]],X$6,X$2,FALSE),-100)</f>
        <v>-100</v>
      </c>
      <c r="BQ37">
        <f>IF(Table2912[[#This Row],[DMD '[mg/g']]]&gt;Y$10,_xlfn.NORM.DIST(Table2912[[#This Row],[DMD '[mg/g']]],Y$6,Y$2,FALSE),-100)</f>
        <v>-100</v>
      </c>
      <c r="BR37">
        <f>IF(Table2912[[#This Row],[CH4 '[ml/g']]]&lt;Z$10,_xlfn.NORM.DIST(Table2912[[#This Row],[CH4 '[ml/g']]],Z$6,Z$2,FALSE),-100)</f>
        <v>-100</v>
      </c>
      <c r="BS37">
        <f>IF(Table2912[[#This Row],[CH4 '[% GP']]]&lt;AA$10,_xlfn.NORM.DIST(Table2912[[#This Row],[CH4 '[% GP']]],AA$6,AA$2,FALSE),-100)</f>
        <v>-100</v>
      </c>
      <c r="BT37">
        <f>IF(Table2912[[#This Row],[CH4 '[g/g DDM']]]&lt;AB$10,_xlfn.NORM.DIST(Table2912[[#This Row],[CH4 '[g/g DDM']]],AB$6,AB$2,FALSE),-100)</f>
        <v>-100</v>
      </c>
      <c r="CJ37" t="str">
        <v>Teramnus  uncinatus</v>
      </c>
      <c r="CL37" t="str">
        <v>Teramnus  uncinatus</v>
      </c>
    </row>
    <row r="38" spans="1:90" x14ac:dyDescent="0.25">
      <c r="A38" s="12" t="s">
        <v>86</v>
      </c>
      <c r="B38" s="13">
        <v>1045</v>
      </c>
      <c r="C38" s="104" t="s">
        <v>109</v>
      </c>
      <c r="D38" s="104" t="s">
        <v>110</v>
      </c>
      <c r="E38" s="104" t="s">
        <v>111</v>
      </c>
      <c r="F38" s="106" t="s">
        <v>112</v>
      </c>
      <c r="G38" s="23" t="s">
        <v>73</v>
      </c>
      <c r="H38" s="23" t="s">
        <v>74</v>
      </c>
      <c r="I38" s="104" t="s">
        <v>44</v>
      </c>
      <c r="J38" s="100">
        <v>1</v>
      </c>
      <c r="K38" s="100"/>
      <c r="L38" s="100"/>
      <c r="M38" t="s">
        <v>112</v>
      </c>
      <c r="N38" t="s">
        <v>84</v>
      </c>
      <c r="O38" s="18">
        <v>72.52301273605606</v>
      </c>
      <c r="P38" s="18">
        <v>3.4331888760329017</v>
      </c>
      <c r="Q38" s="97">
        <v>0.55902926804478947</v>
      </c>
      <c r="R38" s="97">
        <v>0.3436185542593464</v>
      </c>
      <c r="S38" s="97">
        <v>6.3138559875792297E-2</v>
      </c>
      <c r="T38" s="97">
        <v>8.2178120486483437E-3</v>
      </c>
      <c r="U38" s="97">
        <v>1.6628165647020329E-4</v>
      </c>
      <c r="V38" s="97">
        <v>6.3647881923787324E-3</v>
      </c>
      <c r="W38" s="97">
        <v>1.9464735922574514E-2</v>
      </c>
      <c r="X38" s="51">
        <f t="shared" si="5"/>
        <v>1.6942187562374662</v>
      </c>
      <c r="Y38" s="18">
        <v>491.90784586274469</v>
      </c>
      <c r="Z38" s="101">
        <v>5.8165729874807672</v>
      </c>
      <c r="AA38" s="18">
        <f t="shared" si="6"/>
        <v>8.0203135088304975</v>
      </c>
      <c r="AB38" s="18">
        <f t="shared" si="7"/>
        <v>11.824517613211125</v>
      </c>
      <c r="AC38" s="18">
        <f>$CP$15*Table2912[[#This Row],[DMD '[mg/g']]]+$CS$15*Table2912[[#This Row],[CH4 '[ml/g']]]+$CR$15*Table2912[[#This Row],[CH4 '[% GP']]]+$CQ$15*Table2912[[#This Row],[CH4 '[g/g DDM']]]</f>
        <v>16.923979795913475</v>
      </c>
      <c r="AD38" s="18">
        <f>_xlfn.RANK.AVG(Table2912[[#This Row],[Index]],Table2912[Index])</f>
        <v>235</v>
      </c>
      <c r="AE3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3.3157270639241903</v>
      </c>
      <c r="AF38" s="18">
        <f>Table2912[[#This Row],[CH4 '[ml/g']]]/Table2912[[#This Row],[APB]]</f>
        <v>1.7542375700238744</v>
      </c>
      <c r="AG38" s="18">
        <f>Table2912[[#This Row],[Propionate '[%']]]/Table2912[[#This Row],[Acetate '[%']]]</f>
        <v>0.61467006094538801</v>
      </c>
      <c r="AH38" s="51"/>
      <c r="AI38" s="18"/>
      <c r="AJ38" s="18"/>
      <c r="AK38" s="18">
        <f>(Table2912[[#This Row],[DMD '[mg/g']]]-$AK$15)/$AK$15*100</f>
        <v>0.33015735910014971</v>
      </c>
      <c r="AL38" s="18">
        <f>(Table2912[[#This Row],[CH4 '[ml/g']]]-AL$15)/AL$15*100</f>
        <v>-85.211679448861304</v>
      </c>
      <c r="AM38" s="18">
        <f>(Table2912[[#This Row],[CH4 '[% GP']]]-AM$15)/AM$15*100</f>
        <v>-48.330558502226708</v>
      </c>
      <c r="AN38" s="18">
        <f>(Table2912[[#This Row],[CH4 '[g/g DDM']]]-AN$15)/AN$15*100</f>
        <v>-76.912239842546342</v>
      </c>
      <c r="AO38" s="18"/>
      <c r="AP38" s="18"/>
      <c r="AR38">
        <f>_xlfn.NORM.DIST(Table2912[[#This Row],[GP '[ml/g']]],O$6,O$2,FALSE)</f>
        <v>2.0818621794073698E-5</v>
      </c>
      <c r="AS38">
        <f>_xlfn.NORM.DIST(Table2912[[#This Row],[SCFA '[mmol/g']]],P$6,P$2,FALSE)</f>
        <v>1.1651792262845068E-2</v>
      </c>
      <c r="AT38">
        <f>_xlfn.NORM.DIST(Table2912[[#This Row],[Acetate '[%']]],Q$6,Q$2,FALSE)</f>
        <v>4.4913161853873014E-3</v>
      </c>
      <c r="AU38">
        <f>_xlfn.NORM.DIST(Table2912[[#This Row],[Propionate '[%']]],R$6,R$2,FALSE)</f>
        <v>7.5480356956611133E-11</v>
      </c>
      <c r="AV38">
        <f>_xlfn.NORM.DIST(Table2912[[#This Row],[Butyrate '[%']]],S$6,S$2,FALSE)</f>
        <v>5.2528299059423231</v>
      </c>
      <c r="AW38">
        <f>_xlfn.NORM.DIST(Table2912[[#This Row],[Valerate '[%']]],T$6,T$2,FALSE)</f>
        <v>14.462045028873179</v>
      </c>
      <c r="AX38">
        <f>_xlfn.NORM.DIST(Table2912[[#This Row],[Caproate '[%']]],U$6,U$2,FALSE)</f>
        <v>200.42467988052039</v>
      </c>
      <c r="AY38">
        <f>_xlfn.NORM.DIST(Table2912[[#This Row],[Isobutyrate '[%']]],V$6,V$2,FALSE)</f>
        <v>11.643185689919353</v>
      </c>
      <c r="AZ38">
        <f>_xlfn.NORM.DIST(Table2912[[#This Row],[Isovalerate '[%']]],W$6,W$2,FALSE)</f>
        <v>28.655804774459909</v>
      </c>
      <c r="BA38">
        <f>_xlfn.NORM.DIST(Table2912[[#This Row],[CH4 '[g/mmol SCFA']]],X$6,X$2,FALSE)</f>
        <v>8.5601914873244917E-4</v>
      </c>
      <c r="BB38">
        <f>_xlfn.NORM.DIST(Table2912[[#This Row],[DMD '[mg/g']]],Y$6,Y$2,FALSE)</f>
        <v>3.3764007710920894E-4</v>
      </c>
      <c r="BC38">
        <f>_xlfn.NORM.DIST(Table2912[[#This Row],[CH4 '[ml/g']]],Z$6,Z$2,FALSE)</f>
        <v>3.8538482420270566E-4</v>
      </c>
      <c r="BD38">
        <f>_xlfn.NORM.DIST(Table2912[[#This Row],[CH4 '[% GP']]],AA$6,AA$2,FALSE)</f>
        <v>3.3544753566437076E-3</v>
      </c>
      <c r="BE38">
        <f>_xlfn.NORM.DIST(Table2912[[#This Row],[CH4 '[g/g DDM']]],AB$6,AB$2,FALSE)</f>
        <v>9.4817633988585816E-5</v>
      </c>
      <c r="BG38">
        <f>IF(Table2912[[#This Row],[GP '[ml/g']]]&lt;O$10,_xlfn.NORM.DIST(Table2912[[#This Row],[GP '[ml/g']]],O$6,O$2,FALSE),-100)</f>
        <v>2.0818621794073698E-5</v>
      </c>
      <c r="BH38">
        <f>IF(Table2912[[#This Row],[SCFA '[mmol/g']]]&lt;P$10,_xlfn.NORM.DIST(Table2912[[#This Row],[SCFA '[mmol/g']]],P$6,P$2,FALSE),-100)</f>
        <v>1.1651792262845068E-2</v>
      </c>
      <c r="BI38">
        <f>IF(Table2912[[#This Row],[Acetate '[%']]]&lt;Q$10,_xlfn.NORM.DIST(Table2912[[#This Row],[Acetate '[%']]],Q$6,Q$2,FALSE),-100)</f>
        <v>4.4913161853873014E-3</v>
      </c>
      <c r="BJ38">
        <f>IF(Table2912[[#This Row],[Propionate '[%']]]&lt;R$10,_xlfn.NORM.DIST(Table2912[[#This Row],[Propionate '[%']]],R$6,R$2,FALSE),-100)</f>
        <v>-100</v>
      </c>
      <c r="BK38">
        <f>IF(Table2912[[#This Row],[Butyrate '[%']]]&lt;S$10,_xlfn.NORM.DIST(Table2912[[#This Row],[Butyrate '[%']]],S$6,S$2,FALSE),-100)</f>
        <v>5.2528299059423231</v>
      </c>
      <c r="BL38">
        <f>IF(Table2912[[#This Row],[Valerate '[%']]]&lt;T$10,_xlfn.NORM.DIST(Table2912[[#This Row],[Valerate '[%']]],T$6,T$2,FALSE),-100)</f>
        <v>14.462045028873179</v>
      </c>
      <c r="BM38">
        <f>IF(Table2912[[#This Row],[Caproate '[%']]]&lt;U$10,_xlfn.NORM.DIST(Table2912[[#This Row],[Caproate '[%']]],U$6,U$2,FALSE),-100)</f>
        <v>200.42467988052039</v>
      </c>
      <c r="BN38">
        <f>IF(Table2912[[#This Row],[Isobutyrate '[%']]]&lt;V$10,_xlfn.NORM.DIST(Table2912[[#This Row],[Isobutyrate '[%']]],V$6,V$2,FALSE),-100)</f>
        <v>11.643185689919353</v>
      </c>
      <c r="BO38">
        <f>IF(Table2912[[#This Row],[Isovalerate '[%']]]&lt;W$10,_xlfn.NORM.DIST(Table2912[[#This Row],[Isovalerate '[%']]],W$6,W$2,FALSE),-100)</f>
        <v>-100</v>
      </c>
      <c r="BP38">
        <f>IF(Table2912[[#This Row],[CH4 '[g/mmol SCFA']]]&lt;X$10,_xlfn.NORM.DIST(Table2912[[#This Row],[CH4 '[g/mmol SCFA']]],X$6,X$2,FALSE),-100)</f>
        <v>8.5601914873244917E-4</v>
      </c>
      <c r="BQ38">
        <f>IF(Table2912[[#This Row],[DMD '[mg/g']]]&gt;Y$10,_xlfn.NORM.DIST(Table2912[[#This Row],[DMD '[mg/g']]],Y$6,Y$2,FALSE),-100)</f>
        <v>-100</v>
      </c>
      <c r="BR38">
        <f>IF(Table2912[[#This Row],[CH4 '[ml/g']]]&lt;Z$10,_xlfn.NORM.DIST(Table2912[[#This Row],[CH4 '[ml/g']]],Z$6,Z$2,FALSE),-100)</f>
        <v>3.8538482420270566E-4</v>
      </c>
      <c r="BS38">
        <f>IF(Table2912[[#This Row],[CH4 '[% GP']]]&lt;AA$10,_xlfn.NORM.DIST(Table2912[[#This Row],[CH4 '[% GP']]],AA$6,AA$2,FALSE),-100)</f>
        <v>3.3544753566437076E-3</v>
      </c>
      <c r="BT38">
        <f>IF(Table2912[[#This Row],[CH4 '[g/g DDM']]]&lt;AB$10,_xlfn.NORM.DIST(Table2912[[#This Row],[CH4 '[g/g DDM']]],AB$6,AB$2,FALSE),-100)</f>
        <v>9.4817633988585816E-5</v>
      </c>
      <c r="CJ38" t="str">
        <v xml:space="preserve">Centrosema macrocarpum    </v>
      </c>
      <c r="CL38" t="str">
        <v xml:space="preserve">Centrosema macrocarpum    </v>
      </c>
    </row>
    <row r="39" spans="1:90" ht="15" customHeight="1" x14ac:dyDescent="0.25">
      <c r="A39" s="12" t="s">
        <v>70</v>
      </c>
      <c r="B39" s="13">
        <v>1027</v>
      </c>
      <c r="C39" s="96" t="s">
        <v>113</v>
      </c>
      <c r="D39" s="96"/>
      <c r="E39" s="96"/>
      <c r="F39" s="96" t="s">
        <v>114</v>
      </c>
      <c r="G39" t="s">
        <v>73</v>
      </c>
      <c r="H39" t="s">
        <v>74</v>
      </c>
      <c r="I39" t="s">
        <v>75</v>
      </c>
      <c r="J39" s="70">
        <v>2</v>
      </c>
      <c r="K39" s="70"/>
      <c r="L39" s="70"/>
      <c r="M39" t="s">
        <v>114</v>
      </c>
      <c r="N39" t="s">
        <v>81</v>
      </c>
      <c r="O39" s="18">
        <v>187.38792839991234</v>
      </c>
      <c r="P39" s="18">
        <v>5.7366295568653136</v>
      </c>
      <c r="Q39" s="97">
        <v>0.69906200650697314</v>
      </c>
      <c r="R39" s="97">
        <v>0.17389980783500447</v>
      </c>
      <c r="S39" s="97">
        <v>7.323198690994881E-2</v>
      </c>
      <c r="T39" s="97">
        <v>1.4079415513993795E-2</v>
      </c>
      <c r="U39" s="97">
        <v>2.4734108335394505E-4</v>
      </c>
      <c r="V39" s="97">
        <v>1.3889153142183067E-2</v>
      </c>
      <c r="W39" s="97">
        <v>2.559028900854278E-2</v>
      </c>
      <c r="X39" s="51">
        <f t="shared" si="5"/>
        <v>3.849068633381338</v>
      </c>
      <c r="Y39" s="18">
        <v>493.56035800043617</v>
      </c>
      <c r="Z39" s="18">
        <v>22.080680888658563</v>
      </c>
      <c r="AA39" s="18">
        <f t="shared" si="6"/>
        <v>11.783406261653774</v>
      </c>
      <c r="AB39" s="18">
        <f t="shared" si="7"/>
        <v>44.737549381222898</v>
      </c>
      <c r="AC39" s="18">
        <f>$CP$15*Table2912[[#This Row],[DMD '[mg/g']]]+$CS$15*Table2912[[#This Row],[CH4 '[ml/g']]]+$CR$15*Table2912[[#This Row],[CH4 '[% GP']]]+$CQ$15*Table2912[[#This Row],[CH4 '[g/g DDM']]]</f>
        <v>-3.5758843404438849</v>
      </c>
      <c r="AD39" s="18">
        <f>_xlfn.RANK.AVG(Table2912[[#This Row],[Index]],Table2912[Index])</f>
        <v>465</v>
      </c>
      <c r="AE3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5.4279633267845453</v>
      </c>
      <c r="AF39" s="18">
        <f>Table2912[[#This Row],[CH4 '[ml/g']]]/Table2912[[#This Row],[APB]]</f>
        <v>4.067949534533585</v>
      </c>
      <c r="AG39" s="18">
        <f>Table2912[[#This Row],[Propionate '[%']]]/Table2912[[#This Row],[Acetate '[%']]]</f>
        <v>0.24876163518589078</v>
      </c>
      <c r="AH39" s="51"/>
      <c r="AI39" s="18"/>
      <c r="AJ39" s="18"/>
      <c r="AK39" s="18">
        <f>(Table2912[[#This Row],[DMD '[mg/g']]]-$AK$15)/$AK$15*100</f>
        <v>0.66720586159276951</v>
      </c>
      <c r="AL39" s="18">
        <f>(Table2912[[#This Row],[CH4 '[ml/g']]]-AL$15)/AL$15*100</f>
        <v>-43.861069452459198</v>
      </c>
      <c r="AM39" s="18">
        <f>(Table2912[[#This Row],[CH4 '[% GP']]]-AM$15)/AM$15*100</f>
        <v>-24.087503585655345</v>
      </c>
      <c r="AN39" s="18">
        <f>(Table2912[[#This Row],[CH4 '[g/g DDM']]]-AN$15)/AN$15*100</f>
        <v>-12.648461109998987</v>
      </c>
      <c r="AO39" s="18"/>
      <c r="AP39" s="18"/>
      <c r="AR39">
        <f>_xlfn.NORM.DIST(Table2912[[#This Row],[GP '[ml/g']]],O$6,O$2,FALSE)</f>
        <v>3.3102779026426003E-3</v>
      </c>
      <c r="AS39">
        <f>_xlfn.NORM.DIST(Table2912[[#This Row],[SCFA '[mmol/g']]],P$6,P$2,FALSE)</f>
        <v>0.2662111057821086</v>
      </c>
      <c r="AT39">
        <f>_xlfn.NORM.DIST(Table2912[[#This Row],[Acetate '[%']]],Q$6,Q$2,FALSE)</f>
        <v>9.2548531221221619</v>
      </c>
      <c r="AU39">
        <f>_xlfn.NORM.DIST(Table2912[[#This Row],[Propionate '[%']]],R$6,R$2,FALSE)</f>
        <v>16.729765077031509</v>
      </c>
      <c r="AV39">
        <f>_xlfn.NORM.DIST(Table2912[[#This Row],[Butyrate '[%']]],S$6,S$2,FALSE)</f>
        <v>12.071086525395021</v>
      </c>
      <c r="AW39">
        <f>_xlfn.NORM.DIST(Table2912[[#This Row],[Valerate '[%']]],T$6,T$2,FALSE)</f>
        <v>60.812376552952884</v>
      </c>
      <c r="AX39">
        <f>_xlfn.NORM.DIST(Table2912[[#This Row],[Caproate '[%']]],U$6,U$2,FALSE)</f>
        <v>220.39398447373736</v>
      </c>
      <c r="AY39">
        <f>_xlfn.NORM.DIST(Table2912[[#This Row],[Isobutyrate '[%']]],V$6,V$2,FALSE)</f>
        <v>85.580571294337986</v>
      </c>
      <c r="AZ39">
        <f>_xlfn.NORM.DIST(Table2912[[#This Row],[Isovalerate '[%']]],W$6,W$2,FALSE)</f>
        <v>43.891784102042998</v>
      </c>
      <c r="BA39">
        <f>_xlfn.NORM.DIST(Table2912[[#This Row],[CH4 '[g/mmol SCFA']]],X$6,X$2,FALSE)</f>
        <v>5.7357677652877206E-2</v>
      </c>
      <c r="BB39">
        <f>_xlfn.NORM.DIST(Table2912[[#This Row],[DMD '[mg/g']]],Y$6,Y$2,FALSE)</f>
        <v>3.461907740274956E-4</v>
      </c>
      <c r="BC39">
        <f>_xlfn.NORM.DIST(Table2912[[#This Row],[CH4 '[ml/g']]],Z$6,Z$2,FALSE)</f>
        <v>8.9854932421302575E-3</v>
      </c>
      <c r="BD39">
        <f>_xlfn.NORM.DIST(Table2912[[#This Row],[CH4 '[% GP']]],AA$6,AA$2,FALSE)</f>
        <v>4.7293103174054961E-2</v>
      </c>
      <c r="BE39">
        <f>_xlfn.NORM.DIST(Table2912[[#This Row],[CH4 '[g/g DDM']]],AB$6,AB$2,FALSE)</f>
        <v>2.5540794850939064E-2</v>
      </c>
      <c r="BG39">
        <f>IF(Table2912[[#This Row],[GP '[ml/g']]]&lt;O$10,_xlfn.NORM.DIST(Table2912[[#This Row],[GP '[ml/g']]],O$6,O$2,FALSE),-100)</f>
        <v>3.3102779026426003E-3</v>
      </c>
      <c r="BH39">
        <f>IF(Table2912[[#This Row],[SCFA '[mmol/g']]]&lt;P$10,_xlfn.NORM.DIST(Table2912[[#This Row],[SCFA '[mmol/g']]],P$6,P$2,FALSE),-100)</f>
        <v>-100</v>
      </c>
      <c r="BI39">
        <f>IF(Table2912[[#This Row],[Acetate '[%']]]&lt;Q$10,_xlfn.NORM.DIST(Table2912[[#This Row],[Acetate '[%']]],Q$6,Q$2,FALSE),-100)</f>
        <v>-100</v>
      </c>
      <c r="BJ39">
        <f>IF(Table2912[[#This Row],[Propionate '[%']]]&lt;R$10,_xlfn.NORM.DIST(Table2912[[#This Row],[Propionate '[%']]],R$6,R$2,FALSE),-100)</f>
        <v>-100</v>
      </c>
      <c r="BK39">
        <f>IF(Table2912[[#This Row],[Butyrate '[%']]]&lt;S$10,_xlfn.NORM.DIST(Table2912[[#This Row],[Butyrate '[%']]],S$6,S$2,FALSE),-100)</f>
        <v>12.071086525395021</v>
      </c>
      <c r="BL39">
        <f>IF(Table2912[[#This Row],[Valerate '[%']]]&lt;T$10,_xlfn.NORM.DIST(Table2912[[#This Row],[Valerate '[%']]],T$6,T$2,FALSE),-100)</f>
        <v>-100</v>
      </c>
      <c r="BM39">
        <f>IF(Table2912[[#This Row],[Caproate '[%']]]&lt;U$10,_xlfn.NORM.DIST(Table2912[[#This Row],[Caproate '[%']]],U$6,U$2,FALSE),-100)</f>
        <v>220.39398447373736</v>
      </c>
      <c r="BN39">
        <f>IF(Table2912[[#This Row],[Isobutyrate '[%']]]&lt;V$10,_xlfn.NORM.DIST(Table2912[[#This Row],[Isobutyrate '[%']]],V$6,V$2,FALSE),-100)</f>
        <v>-100</v>
      </c>
      <c r="BO39">
        <f>IF(Table2912[[#This Row],[Isovalerate '[%']]]&lt;W$10,_xlfn.NORM.DIST(Table2912[[#This Row],[Isovalerate '[%']]],W$6,W$2,FALSE),-100)</f>
        <v>-100</v>
      </c>
      <c r="BP39">
        <f>IF(Table2912[[#This Row],[CH4 '[g/mmol SCFA']]]&lt;X$10,_xlfn.NORM.DIST(Table2912[[#This Row],[CH4 '[g/mmol SCFA']]],X$6,X$2,FALSE),-100)</f>
        <v>5.7357677652877206E-2</v>
      </c>
      <c r="BQ39">
        <f>IF(Table2912[[#This Row],[DMD '[mg/g']]]&gt;Y$10,_xlfn.NORM.DIST(Table2912[[#This Row],[DMD '[mg/g']]],Y$6,Y$2,FALSE),-100)</f>
        <v>-100</v>
      </c>
      <c r="BR39">
        <f>IF(Table2912[[#This Row],[CH4 '[ml/g']]]&lt;Z$10,_xlfn.NORM.DIST(Table2912[[#This Row],[CH4 '[ml/g']]],Z$6,Z$2,FALSE),-100)</f>
        <v>8.9854932421302575E-3</v>
      </c>
      <c r="BS39">
        <f>IF(Table2912[[#This Row],[CH4 '[% GP']]]&lt;AA$10,_xlfn.NORM.DIST(Table2912[[#This Row],[CH4 '[% GP']]],AA$6,AA$2,FALSE),-100)</f>
        <v>-100</v>
      </c>
      <c r="BT39">
        <f>IF(Table2912[[#This Row],[CH4 '[g/g DDM']]]&lt;AB$10,_xlfn.NORM.DIST(Table2912[[#This Row],[CH4 '[g/g DDM']]],AB$6,AB$2,FALSE),-100)</f>
        <v>-100</v>
      </c>
      <c r="CJ39" t="str">
        <v>Bauhinia sp.</v>
      </c>
      <c r="CL39" t="str">
        <v>Bauhinia sp.</v>
      </c>
    </row>
    <row r="40" spans="1:90" x14ac:dyDescent="0.25">
      <c r="A40" s="12" t="s">
        <v>70</v>
      </c>
      <c r="B40" s="13">
        <v>1034</v>
      </c>
      <c r="C40" s="96" t="s">
        <v>107</v>
      </c>
      <c r="D40" s="96"/>
      <c r="E40" s="96"/>
      <c r="F40" s="96" t="s">
        <v>108</v>
      </c>
      <c r="G40" s="15" t="s">
        <v>73</v>
      </c>
      <c r="H40" s="15" t="s">
        <v>74</v>
      </c>
      <c r="I40" t="s">
        <v>75</v>
      </c>
      <c r="J40" s="100">
        <v>2</v>
      </c>
      <c r="K40" s="100"/>
      <c r="L40" s="100"/>
      <c r="M40" t="s">
        <v>108</v>
      </c>
      <c r="N40" t="s">
        <v>84</v>
      </c>
      <c r="O40" s="18">
        <v>185.03466492032237</v>
      </c>
      <c r="P40" s="18">
        <v>5.1160989524988434</v>
      </c>
      <c r="Q40" s="97">
        <v>0.6796511805585268</v>
      </c>
      <c r="R40" s="97">
        <v>0.15958871455726764</v>
      </c>
      <c r="S40" s="97">
        <v>9.367572484806258E-2</v>
      </c>
      <c r="T40" s="97">
        <v>1.7605235653295356E-2</v>
      </c>
      <c r="U40" s="97">
        <v>1.1455156297432701E-3</v>
      </c>
      <c r="V40" s="97">
        <v>1.6469906912211431E-2</v>
      </c>
      <c r="W40" s="97">
        <v>3.1863721840893033E-2</v>
      </c>
      <c r="X40" s="51">
        <f t="shared" si="5"/>
        <v>5.2539016614355321</v>
      </c>
      <c r="Y40" s="18">
        <v>497.87828839156452</v>
      </c>
      <c r="Z40" s="18">
        <v>26.879480786602258</v>
      </c>
      <c r="AA40" s="18">
        <f t="shared" si="6"/>
        <v>14.526727085531141</v>
      </c>
      <c r="AB40" s="18">
        <f t="shared" si="7"/>
        <v>53.98805574237543</v>
      </c>
      <c r="AC40" s="18">
        <f>$CP$15*Table2912[[#This Row],[DMD '[mg/g']]]+$CS$15*Table2912[[#This Row],[CH4 '[ml/g']]]+$CR$15*Table2912[[#This Row],[CH4 '[% GP']]]+$CQ$15*Table2912[[#This Row],[CH4 '[g/g DDM']]]</f>
        <v>-9.5035904747677975</v>
      </c>
      <c r="AD40" s="18">
        <f>_xlfn.RANK.AVG(Table2912[[#This Row],[Index]],Table2912[Index])</f>
        <v>492</v>
      </c>
      <c r="AE4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4.7728886260668979</v>
      </c>
      <c r="AF40" s="18">
        <f>Table2912[[#This Row],[CH4 '[ml/g']]]/Table2912[[#This Row],[APB]]</f>
        <v>5.6317008194579037</v>
      </c>
      <c r="AG40" s="18">
        <f>Table2912[[#This Row],[Propionate '[%']]]/Table2912[[#This Row],[Acetate '[%']]]</f>
        <v>0.23480973640937416</v>
      </c>
      <c r="AH40" s="51"/>
      <c r="AI40" s="18"/>
      <c r="AJ40" s="18"/>
      <c r="AK40" s="18">
        <f>(Table2912[[#This Row],[DMD '[mg/g']]]-$AK$15)/$AK$15*100</f>
        <v>1.547896501620553</v>
      </c>
      <c r="AL40" s="18">
        <f>(Table2912[[#This Row],[CH4 '[ml/g']]]-AL$15)/AL$15*100</f>
        <v>-31.660381641216002</v>
      </c>
      <c r="AM40" s="18">
        <f>(Table2912[[#This Row],[CH4 '[% GP']]]-AM$15)/AM$15*100</f>
        <v>-6.4141477170985448</v>
      </c>
      <c r="AN40" s="18">
        <f>(Table2912[[#This Row],[CH4 '[g/g DDM']]]-AN$15)/AN$15*100</f>
        <v>5.4134572859506926</v>
      </c>
      <c r="AO40" s="18"/>
      <c r="AP40" s="18"/>
      <c r="AR40">
        <f>_xlfn.NORM.DIST(Table2912[[#This Row],[GP '[ml/g']]],O$6,O$2,FALSE)</f>
        <v>3.1258973345413103E-3</v>
      </c>
      <c r="AS40">
        <f>_xlfn.NORM.DIST(Table2912[[#This Row],[SCFA '[mmol/g']]],P$6,P$2,FALSE)</f>
        <v>0.1647855541838415</v>
      </c>
      <c r="AT40">
        <f>_xlfn.NORM.DIST(Table2912[[#This Row],[Acetate '[%']]],Q$6,Q$2,FALSE)</f>
        <v>13.662435017201604</v>
      </c>
      <c r="AU40">
        <f>_xlfn.NORM.DIST(Table2912[[#This Row],[Propionate '[%']]],R$6,R$2,FALSE)</f>
        <v>14.692044447915126</v>
      </c>
      <c r="AV40">
        <f>_xlfn.NORM.DIST(Table2912[[#This Row],[Butyrate '[%']]],S$6,S$2,FALSE)</f>
        <v>23.008251140589518</v>
      </c>
      <c r="AW40">
        <f>_xlfn.NORM.DIST(Table2912[[#This Row],[Valerate '[%']]],T$6,T$2,FALSE)</f>
        <v>77.39103409440159</v>
      </c>
      <c r="AX40">
        <f>_xlfn.NORM.DIST(Table2912[[#This Row],[Caproate '[%']]],U$6,U$2,FALSE)</f>
        <v>399.5367818468992</v>
      </c>
      <c r="AY40">
        <f>_xlfn.NORM.DIST(Table2912[[#This Row],[Isobutyrate '[%']]],V$6,V$2,FALSE)</f>
        <v>87.152793497922431</v>
      </c>
      <c r="AZ40">
        <f>_xlfn.NORM.DIST(Table2912[[#This Row],[Isovalerate '[%']]],W$6,W$2,FALSE)</f>
        <v>41.019596304321794</v>
      </c>
      <c r="BA40">
        <f>_xlfn.NORM.DIST(Table2912[[#This Row],[CH4 '[g/mmol SCFA']]],X$6,X$2,FALSE)</f>
        <v>0.22162083871141466</v>
      </c>
      <c r="BB40">
        <f>_xlfn.NORM.DIST(Table2912[[#This Row],[DMD '[mg/g']]],Y$6,Y$2,FALSE)</f>
        <v>3.6931499515585571E-4</v>
      </c>
      <c r="BC40">
        <f>_xlfn.NORM.DIST(Table2912[[#This Row],[CH4 '[ml/g']]],Z$6,Z$2,FALSE)</f>
        <v>1.5931297894726262E-2</v>
      </c>
      <c r="BD40">
        <f>_xlfn.NORM.DIST(Table2912[[#This Row],[CH4 '[% GP']]],AA$6,AA$2,FALSE)</f>
        <v>0.11764663753351486</v>
      </c>
      <c r="BE40">
        <f>_xlfn.NORM.DIST(Table2912[[#This Row],[CH4 '[g/g DDM']]],AB$6,AB$2,FALSE)</f>
        <v>3.2807406466226402E-2</v>
      </c>
      <c r="BG40">
        <f>IF(Table2912[[#This Row],[GP '[ml/g']]]&lt;O$10,_xlfn.NORM.DIST(Table2912[[#This Row],[GP '[ml/g']]],O$6,O$2,FALSE),-100)</f>
        <v>3.1258973345413103E-3</v>
      </c>
      <c r="BH40">
        <f>IF(Table2912[[#This Row],[SCFA '[mmol/g']]]&lt;P$10,_xlfn.NORM.DIST(Table2912[[#This Row],[SCFA '[mmol/g']]],P$6,P$2,FALSE),-100)</f>
        <v>0.1647855541838415</v>
      </c>
      <c r="BI40">
        <f>IF(Table2912[[#This Row],[Acetate '[%']]]&lt;Q$10,_xlfn.NORM.DIST(Table2912[[#This Row],[Acetate '[%']]],Q$6,Q$2,FALSE),-100)</f>
        <v>-100</v>
      </c>
      <c r="BJ40">
        <f>IF(Table2912[[#This Row],[Propionate '[%']]]&lt;R$10,_xlfn.NORM.DIST(Table2912[[#This Row],[Propionate '[%']]],R$6,R$2,FALSE),-100)</f>
        <v>-100</v>
      </c>
      <c r="BK40">
        <f>IF(Table2912[[#This Row],[Butyrate '[%']]]&lt;S$10,_xlfn.NORM.DIST(Table2912[[#This Row],[Butyrate '[%']]],S$6,S$2,FALSE),-100)</f>
        <v>-100</v>
      </c>
      <c r="BL40">
        <f>IF(Table2912[[#This Row],[Valerate '[%']]]&lt;T$10,_xlfn.NORM.DIST(Table2912[[#This Row],[Valerate '[%']]],T$6,T$2,FALSE),-100)</f>
        <v>-100</v>
      </c>
      <c r="BM40">
        <f>IF(Table2912[[#This Row],[Caproate '[%']]]&lt;U$10,_xlfn.NORM.DIST(Table2912[[#This Row],[Caproate '[%']]],U$6,U$2,FALSE),-100)</f>
        <v>-100</v>
      </c>
      <c r="BN40">
        <f>IF(Table2912[[#This Row],[Isobutyrate '[%']]]&lt;V$10,_xlfn.NORM.DIST(Table2912[[#This Row],[Isobutyrate '[%']]],V$6,V$2,FALSE),-100)</f>
        <v>-100</v>
      </c>
      <c r="BO40">
        <f>IF(Table2912[[#This Row],[Isovalerate '[%']]]&lt;W$10,_xlfn.NORM.DIST(Table2912[[#This Row],[Isovalerate '[%']]],W$6,W$2,FALSE),-100)</f>
        <v>-100</v>
      </c>
      <c r="BP40">
        <f>IF(Table2912[[#This Row],[CH4 '[g/mmol SCFA']]]&lt;X$10,_xlfn.NORM.DIST(Table2912[[#This Row],[CH4 '[g/mmol SCFA']]],X$6,X$2,FALSE),-100)</f>
        <v>-100</v>
      </c>
      <c r="BQ40">
        <f>IF(Table2912[[#This Row],[DMD '[mg/g']]]&gt;Y$10,_xlfn.NORM.DIST(Table2912[[#This Row],[DMD '[mg/g']]],Y$6,Y$2,FALSE),-100)</f>
        <v>-100</v>
      </c>
      <c r="BR40">
        <f>IF(Table2912[[#This Row],[CH4 '[ml/g']]]&lt;Z$10,_xlfn.NORM.DIST(Table2912[[#This Row],[CH4 '[ml/g']]],Z$6,Z$2,FALSE),-100)</f>
        <v>1.5931297894726262E-2</v>
      </c>
      <c r="BS40">
        <f>IF(Table2912[[#This Row],[CH4 '[% GP']]]&lt;AA$10,_xlfn.NORM.DIST(Table2912[[#This Row],[CH4 '[% GP']]],AA$6,AA$2,FALSE),-100)</f>
        <v>-100</v>
      </c>
      <c r="BT40">
        <f>IF(Table2912[[#This Row],[CH4 '[g/g DDM']]]&lt;AB$10,_xlfn.NORM.DIST(Table2912[[#This Row],[CH4 '[g/g DDM']]],AB$6,AB$2,FALSE),-100)</f>
        <v>-100</v>
      </c>
      <c r="CJ40" t="str">
        <v>Centrosema   virginianum</v>
      </c>
      <c r="CL40" t="str">
        <v>Centrosema   virginianum</v>
      </c>
    </row>
    <row r="41" spans="1:90" ht="15" customHeight="1" x14ac:dyDescent="0.25">
      <c r="A41" s="12" t="s">
        <v>86</v>
      </c>
      <c r="B41" s="13">
        <v>1056</v>
      </c>
      <c r="C41" s="103">
        <v>23890</v>
      </c>
      <c r="D41" s="104" t="s">
        <v>115</v>
      </c>
      <c r="E41" s="104" t="s">
        <v>116</v>
      </c>
      <c r="F41" t="s">
        <v>117</v>
      </c>
      <c r="G41" s="23" t="s">
        <v>73</v>
      </c>
      <c r="H41" s="23" t="s">
        <v>74</v>
      </c>
      <c r="I41" s="105" t="s">
        <v>75</v>
      </c>
      <c r="J41" s="70">
        <v>1</v>
      </c>
      <c r="K41" s="70"/>
      <c r="L41" s="70"/>
      <c r="M41" t="s">
        <v>117</v>
      </c>
      <c r="N41" t="s">
        <v>84</v>
      </c>
      <c r="O41" s="18">
        <v>167.71921387790917</v>
      </c>
      <c r="P41" s="18">
        <v>5.255135659919981</v>
      </c>
      <c r="Q41" s="97">
        <v>0.70724511546485447</v>
      </c>
      <c r="R41" s="97">
        <v>0.16662841457110689</v>
      </c>
      <c r="S41" s="97">
        <v>6.546552143119963E-2</v>
      </c>
      <c r="T41" s="97">
        <v>2.0185329456240977E-2</v>
      </c>
      <c r="U41" s="97">
        <v>5.3182106348873513E-4</v>
      </c>
      <c r="V41" s="97">
        <v>1.3856623844076234E-2</v>
      </c>
      <c r="W41" s="97">
        <v>2.6087174169033063E-2</v>
      </c>
      <c r="X41" s="51">
        <f t="shared" si="5"/>
        <v>3.5475319698508772</v>
      </c>
      <c r="Y41" s="18">
        <v>500.56150342867227</v>
      </c>
      <c r="Z41" s="18">
        <v>18.642761759469519</v>
      </c>
      <c r="AA41" s="18">
        <f t="shared" si="6"/>
        <v>11.115459778532276</v>
      </c>
      <c r="AB41" s="18">
        <f t="shared" si="7"/>
        <v>37.24369859002956</v>
      </c>
      <c r="AC41" s="18">
        <f>$CP$15*Table2912[[#This Row],[DMD '[mg/g']]]+$CS$15*Table2912[[#This Row],[CH4 '[ml/g']]]+$CR$15*Table2912[[#This Row],[CH4 '[% GP']]]+$CQ$15*Table2912[[#This Row],[CH4 '[g/g DDM']]]</f>
        <v>1.5863295919932199</v>
      </c>
      <c r="AD41" s="18">
        <f>_xlfn.RANK.AVG(Table2912[[#This Row],[Index]],Table2912[Index])</f>
        <v>437</v>
      </c>
      <c r="AE4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4.9363541461204878</v>
      </c>
      <c r="AF41" s="18">
        <f>Table2912[[#This Row],[CH4 '[ml/g']]]/Table2912[[#This Row],[APB]]</f>
        <v>3.7766256649395755</v>
      </c>
      <c r="AG41" s="18">
        <f>Table2912[[#This Row],[Propionate '[%']]]/Table2912[[#This Row],[Acetate '[%']]]</f>
        <v>0.23560207193737381</v>
      </c>
      <c r="AH41" s="51"/>
      <c r="AI41" s="18"/>
      <c r="AJ41" s="18"/>
      <c r="AK41" s="18">
        <f>(Table2912[[#This Row],[DMD '[mg/g']]]-$AK$15)/$AK$15*100</f>
        <v>2.0951684940588269</v>
      </c>
      <c r="AL41" s="18">
        <f>(Table2912[[#This Row],[CH4 '[ml/g']]]-AL$15)/AL$15*100</f>
        <v>-52.601791905485449</v>
      </c>
      <c r="AM41" s="18">
        <f>(Table2912[[#This Row],[CH4 '[% GP']]]-AM$15)/AM$15*100</f>
        <v>-28.390629853137391</v>
      </c>
      <c r="AN41" s="18">
        <f>(Table2912[[#This Row],[CH4 '[g/g DDM']]]-AN$15)/AN$15*100</f>
        <v>-27.280451638687538</v>
      </c>
      <c r="AO41" s="18"/>
      <c r="AP41" s="18"/>
      <c r="AR41">
        <f>_xlfn.NORM.DIST(Table2912[[#This Row],[GP '[ml/g']]],O$6,O$2,FALSE)</f>
        <v>1.9312433965548578E-3</v>
      </c>
      <c r="AS41">
        <f>_xlfn.NORM.DIST(Table2912[[#This Row],[SCFA '[mmol/g']]],P$6,P$2,FALSE)</f>
        <v>0.18780427682391876</v>
      </c>
      <c r="AT41">
        <f>_xlfn.NORM.DIST(Table2912[[#This Row],[Acetate '[%']]],Q$6,Q$2,FALSE)</f>
        <v>6.8303078029014692</v>
      </c>
      <c r="AU41">
        <f>_xlfn.NORM.DIST(Table2912[[#This Row],[Propionate '[%']]],R$6,R$2,FALSE)</f>
        <v>16.387783686159505</v>
      </c>
      <c r="AV41">
        <f>_xlfn.NORM.DIST(Table2912[[#This Row],[Butyrate '[%']]],S$6,S$2,FALSE)</f>
        <v>6.5581046408293817</v>
      </c>
      <c r="AW41">
        <f>_xlfn.NORM.DIST(Table2912[[#This Row],[Valerate '[%']]],T$6,T$2,FALSE)</f>
        <v>68.636575976435367</v>
      </c>
      <c r="AX41">
        <f>_xlfn.NORM.DIST(Table2912[[#This Row],[Caproate '[%']]],U$6,U$2,FALSE)</f>
        <v>291.38697613571111</v>
      </c>
      <c r="AY41">
        <f>_xlfn.NORM.DIST(Table2912[[#This Row],[Isobutyrate '[%']]],V$6,V$2,FALSE)</f>
        <v>85.375400520075488</v>
      </c>
      <c r="AZ41">
        <f>_xlfn.NORM.DIST(Table2912[[#This Row],[Isovalerate '[%']]],W$6,W$2,FALSE)</f>
        <v>44.477226143390936</v>
      </c>
      <c r="BA41">
        <f>_xlfn.NORM.DIST(Table2912[[#This Row],[CH4 '[g/mmol SCFA']]],X$6,X$2,FALSE)</f>
        <v>3.7196179165035502E-2</v>
      </c>
      <c r="BB41">
        <f>_xlfn.NORM.DIST(Table2912[[#This Row],[DMD '[mg/g']]],Y$6,Y$2,FALSE)</f>
        <v>3.8426351774091988E-4</v>
      </c>
      <c r="BC41">
        <f>_xlfn.NORM.DIST(Table2912[[#This Row],[CH4 '[ml/g']]],Z$6,Z$2,FALSE)</f>
        <v>5.3949761376074568E-3</v>
      </c>
      <c r="BD41">
        <f>_xlfn.NORM.DIST(Table2912[[#This Row],[CH4 '[% GP']]],AA$6,AA$2,FALSE)</f>
        <v>3.3266888342511437E-2</v>
      </c>
      <c r="BE41">
        <f>_xlfn.NORM.DIST(Table2912[[#This Row],[CH4 '[g/g DDM']]],AB$6,AB$2,FALSE)</f>
        <v>1.3626193494891891E-2</v>
      </c>
      <c r="BG41">
        <f>IF(Table2912[[#This Row],[GP '[ml/g']]]&lt;O$10,_xlfn.NORM.DIST(Table2912[[#This Row],[GP '[ml/g']]],O$6,O$2,FALSE),-100)</f>
        <v>1.9312433965548578E-3</v>
      </c>
      <c r="BH41">
        <f>IF(Table2912[[#This Row],[SCFA '[mmol/g']]]&lt;P$10,_xlfn.NORM.DIST(Table2912[[#This Row],[SCFA '[mmol/g']]],P$6,P$2,FALSE),-100)</f>
        <v>0.18780427682391876</v>
      </c>
      <c r="BI41">
        <f>IF(Table2912[[#This Row],[Acetate '[%']]]&lt;Q$10,_xlfn.NORM.DIST(Table2912[[#This Row],[Acetate '[%']]],Q$6,Q$2,FALSE),-100)</f>
        <v>-100</v>
      </c>
      <c r="BJ41">
        <f>IF(Table2912[[#This Row],[Propionate '[%']]]&lt;R$10,_xlfn.NORM.DIST(Table2912[[#This Row],[Propionate '[%']]],R$6,R$2,FALSE),-100)</f>
        <v>-100</v>
      </c>
      <c r="BK41">
        <f>IF(Table2912[[#This Row],[Butyrate '[%']]]&lt;S$10,_xlfn.NORM.DIST(Table2912[[#This Row],[Butyrate '[%']]],S$6,S$2,FALSE),-100)</f>
        <v>6.5581046408293817</v>
      </c>
      <c r="BL41">
        <f>IF(Table2912[[#This Row],[Valerate '[%']]]&lt;T$10,_xlfn.NORM.DIST(Table2912[[#This Row],[Valerate '[%']]],T$6,T$2,FALSE),-100)</f>
        <v>-100</v>
      </c>
      <c r="BM41">
        <f>IF(Table2912[[#This Row],[Caproate '[%']]]&lt;U$10,_xlfn.NORM.DIST(Table2912[[#This Row],[Caproate '[%']]],U$6,U$2,FALSE),-100)</f>
        <v>-100</v>
      </c>
      <c r="BN41">
        <f>IF(Table2912[[#This Row],[Isobutyrate '[%']]]&lt;V$10,_xlfn.NORM.DIST(Table2912[[#This Row],[Isobutyrate '[%']]],V$6,V$2,FALSE),-100)</f>
        <v>-100</v>
      </c>
      <c r="BO41">
        <f>IF(Table2912[[#This Row],[Isovalerate '[%']]]&lt;W$10,_xlfn.NORM.DIST(Table2912[[#This Row],[Isovalerate '[%']]],W$6,W$2,FALSE),-100)</f>
        <v>-100</v>
      </c>
      <c r="BP41">
        <f>IF(Table2912[[#This Row],[CH4 '[g/mmol SCFA']]]&lt;X$10,_xlfn.NORM.DIST(Table2912[[#This Row],[CH4 '[g/mmol SCFA']]],X$6,X$2,FALSE),-100)</f>
        <v>3.7196179165035502E-2</v>
      </c>
      <c r="BQ41">
        <f>IF(Table2912[[#This Row],[DMD '[mg/g']]]&gt;Y$10,_xlfn.NORM.DIST(Table2912[[#This Row],[DMD '[mg/g']]],Y$6,Y$2,FALSE),-100)</f>
        <v>-100</v>
      </c>
      <c r="BR41">
        <f>IF(Table2912[[#This Row],[CH4 '[ml/g']]]&lt;Z$10,_xlfn.NORM.DIST(Table2912[[#This Row],[CH4 '[ml/g']]],Z$6,Z$2,FALSE),-100)</f>
        <v>5.3949761376074568E-3</v>
      </c>
      <c r="BS41">
        <f>IF(Table2912[[#This Row],[CH4 '[% GP']]]&lt;AA$10,_xlfn.NORM.DIST(Table2912[[#This Row],[CH4 '[% GP']]],AA$6,AA$2,FALSE),-100)</f>
        <v>3.3266888342511437E-2</v>
      </c>
      <c r="BT41">
        <f>IF(Table2912[[#This Row],[CH4 '[g/g DDM']]]&lt;AB$10,_xlfn.NORM.DIST(Table2912[[#This Row],[CH4 '[g/g DDM']]],AB$6,AB$2,FALSE),-100)</f>
        <v>-100</v>
      </c>
      <c r="CJ41" t="str">
        <v>Desmodium scorpiurus</v>
      </c>
      <c r="CL41" t="str">
        <v>Desmodium scorpiurus</v>
      </c>
    </row>
    <row r="42" spans="1:90" ht="15" customHeight="1" x14ac:dyDescent="0.25">
      <c r="A42" s="12" t="s">
        <v>70</v>
      </c>
      <c r="B42" s="13">
        <v>1034</v>
      </c>
      <c r="C42" s="96" t="s">
        <v>107</v>
      </c>
      <c r="D42" s="96"/>
      <c r="E42" s="96"/>
      <c r="F42" s="96" t="s">
        <v>108</v>
      </c>
      <c r="G42" s="15" t="s">
        <v>73</v>
      </c>
      <c r="H42" s="15" t="s">
        <v>74</v>
      </c>
      <c r="I42" t="s">
        <v>75</v>
      </c>
      <c r="J42" s="100">
        <v>1</v>
      </c>
      <c r="K42" s="100"/>
      <c r="L42" s="100"/>
      <c r="M42" t="s">
        <v>108</v>
      </c>
      <c r="N42" t="s">
        <v>80</v>
      </c>
      <c r="O42" s="18">
        <v>163.5667775559987</v>
      </c>
      <c r="P42" s="18">
        <v>3.5250445409116269</v>
      </c>
      <c r="Q42" s="97">
        <v>0.71071820707222755</v>
      </c>
      <c r="R42" s="97">
        <v>0.15337342680834459</v>
      </c>
      <c r="S42" s="97">
        <v>8.3686238783270972E-2</v>
      </c>
      <c r="T42" s="97">
        <v>1.5072753790309642E-2</v>
      </c>
      <c r="U42" s="97">
        <v>1.2772878055949417E-3</v>
      </c>
      <c r="V42" s="97">
        <v>1.179642973024363E-2</v>
      </c>
      <c r="W42" s="97">
        <v>2.4075656010008654E-2</v>
      </c>
      <c r="X42" s="51">
        <f t="shared" si="5"/>
        <v>6.5006088493570982</v>
      </c>
      <c r="Y42" s="18">
        <v>501.26683981959673</v>
      </c>
      <c r="Z42" s="18">
        <v>22.914935737028053</v>
      </c>
      <c r="AA42" s="18">
        <f t="shared" si="6"/>
        <v>14.00952936740647</v>
      </c>
      <c r="AB42" s="18">
        <f t="shared" si="7"/>
        <v>45.714046724644732</v>
      </c>
      <c r="AC42" s="18">
        <f>$CP$15*Table2912[[#This Row],[DMD '[mg/g']]]+$CS$15*Table2912[[#This Row],[CH4 '[ml/g']]]+$CR$15*Table2912[[#This Row],[CH4 '[% GP']]]+$CQ$15*Table2912[[#This Row],[CH4 '[g/g DDM']]]</f>
        <v>-4.2021306064758974</v>
      </c>
      <c r="AD42" s="18">
        <f>_xlfn.RANK.AVG(Table2912[[#This Row],[Index]],Table2912[Index])</f>
        <v>469</v>
      </c>
      <c r="AE4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3.340959216030515</v>
      </c>
      <c r="AF42" s="18">
        <f>Table2912[[#This Row],[CH4 '[ml/g']]]/Table2912[[#This Row],[APB]]</f>
        <v>6.858789424030717</v>
      </c>
      <c r="AG42" s="18">
        <f>Table2912[[#This Row],[Propionate '[%']]]/Table2912[[#This Row],[Acetate '[%']]]</f>
        <v>0.21580061588707525</v>
      </c>
      <c r="AH42" s="51"/>
      <c r="AI42" s="18"/>
      <c r="AJ42" s="18"/>
      <c r="AK42" s="18">
        <f>(Table2912[[#This Row],[DMD '[mg/g']]]-$AK$15)/$AK$15*100</f>
        <v>2.2390298121649348</v>
      </c>
      <c r="AL42" s="18">
        <f>(Table2912[[#This Row],[CH4 '[ml/g']]]-AL$15)/AL$15*100</f>
        <v>-41.740021862136942</v>
      </c>
      <c r="AM42" s="18">
        <f>(Table2912[[#This Row],[CH4 '[% GP']]]-AM$15)/AM$15*100</f>
        <v>-9.7461019119067274</v>
      </c>
      <c r="AN42" s="18">
        <f>(Table2912[[#This Row],[CH4 '[g/g DDM']]]-AN$15)/AN$15*100</f>
        <v>-10.741817879654857</v>
      </c>
      <c r="AO42" s="18"/>
      <c r="AP42" s="18"/>
      <c r="AR42">
        <f>_xlfn.NORM.DIST(Table2912[[#This Row],[GP '[ml/g']]],O$6,O$2,FALSE)</f>
        <v>1.6938646504153891E-3</v>
      </c>
      <c r="AS42">
        <f>_xlfn.NORM.DIST(Table2912[[#This Row],[SCFA '[mmol/g']]],P$6,P$2,FALSE)</f>
        <v>1.4166656464554058E-2</v>
      </c>
      <c r="AT42">
        <f>_xlfn.NORM.DIST(Table2912[[#This Row],[Acetate '[%']]],Q$6,Q$2,FALSE)</f>
        <v>5.8557033273638046</v>
      </c>
      <c r="AU42">
        <f>_xlfn.NORM.DIST(Table2912[[#This Row],[Propionate '[%']]],R$6,R$2,FALSE)</f>
        <v>12.402491579807329</v>
      </c>
      <c r="AV42">
        <f>_xlfn.NORM.DIST(Table2912[[#This Row],[Butyrate '[%']]],S$6,S$2,FALSE)</f>
        <v>19.978880565525202</v>
      </c>
      <c r="AW42">
        <f>_xlfn.NORM.DIST(Table2912[[#This Row],[Valerate '[%']]],T$6,T$2,FALSE)</f>
        <v>68.241443552984109</v>
      </c>
      <c r="AX42">
        <f>_xlfn.NORM.DIST(Table2912[[#This Row],[Caproate '[%']]],U$6,U$2,FALSE)</f>
        <v>406.25635070661843</v>
      </c>
      <c r="AY42">
        <f>_xlfn.NORM.DIST(Table2912[[#This Row],[Isobutyrate '[%']]],V$6,V$2,FALSE)</f>
        <v>65.689651415297661</v>
      </c>
      <c r="AZ42">
        <f>_xlfn.NORM.DIST(Table2912[[#This Row],[Isovalerate '[%']]],W$6,W$2,FALSE)</f>
        <v>41.329763933040667</v>
      </c>
      <c r="BA42">
        <f>_xlfn.NORM.DIST(Table2912[[#This Row],[CH4 '[g/mmol SCFA']]],X$6,X$2,FALSE)</f>
        <v>0.29351004352177934</v>
      </c>
      <c r="BB42">
        <f>_xlfn.NORM.DIST(Table2912[[#This Row],[DMD '[mg/g']]],Y$6,Y$2,FALSE)</f>
        <v>3.8826769241150349E-4</v>
      </c>
      <c r="BC42">
        <f>_xlfn.NORM.DIST(Table2912[[#This Row],[CH4 '[ml/g']]],Z$6,Z$2,FALSE)</f>
        <v>1.0042578787884358E-2</v>
      </c>
      <c r="BD42">
        <f>_xlfn.NORM.DIST(Table2912[[#This Row],[CH4 '[% GP']]],AA$6,AA$2,FALSE)</f>
        <v>0.10579666884704239</v>
      </c>
      <c r="BE42">
        <f>_xlfn.NORM.DIST(Table2912[[#This Row],[CH4 '[g/g DDM']]],AB$6,AB$2,FALSE)</f>
        <v>2.6953191699475871E-2</v>
      </c>
      <c r="BG42">
        <f>IF(Table2912[[#This Row],[GP '[ml/g']]]&lt;O$10,_xlfn.NORM.DIST(Table2912[[#This Row],[GP '[ml/g']]],O$6,O$2,FALSE),-100)</f>
        <v>1.6938646504153891E-3</v>
      </c>
      <c r="BH42">
        <f>IF(Table2912[[#This Row],[SCFA '[mmol/g']]]&lt;P$10,_xlfn.NORM.DIST(Table2912[[#This Row],[SCFA '[mmol/g']]],P$6,P$2,FALSE),-100)</f>
        <v>1.4166656464554058E-2</v>
      </c>
      <c r="BI42">
        <f>IF(Table2912[[#This Row],[Acetate '[%']]]&lt;Q$10,_xlfn.NORM.DIST(Table2912[[#This Row],[Acetate '[%']]],Q$6,Q$2,FALSE),-100)</f>
        <v>-100</v>
      </c>
      <c r="BJ42">
        <f>IF(Table2912[[#This Row],[Propionate '[%']]]&lt;R$10,_xlfn.NORM.DIST(Table2912[[#This Row],[Propionate '[%']]],R$6,R$2,FALSE),-100)</f>
        <v>-100</v>
      </c>
      <c r="BK42">
        <f>IF(Table2912[[#This Row],[Butyrate '[%']]]&lt;S$10,_xlfn.NORM.DIST(Table2912[[#This Row],[Butyrate '[%']]],S$6,S$2,FALSE),-100)</f>
        <v>-100</v>
      </c>
      <c r="BL42">
        <f>IF(Table2912[[#This Row],[Valerate '[%']]]&lt;T$10,_xlfn.NORM.DIST(Table2912[[#This Row],[Valerate '[%']]],T$6,T$2,FALSE),-100)</f>
        <v>-100</v>
      </c>
      <c r="BM42">
        <f>IF(Table2912[[#This Row],[Caproate '[%']]]&lt;U$10,_xlfn.NORM.DIST(Table2912[[#This Row],[Caproate '[%']]],U$6,U$2,FALSE),-100)</f>
        <v>-100</v>
      </c>
      <c r="BN42">
        <f>IF(Table2912[[#This Row],[Isobutyrate '[%']]]&lt;V$10,_xlfn.NORM.DIST(Table2912[[#This Row],[Isobutyrate '[%']]],V$6,V$2,FALSE),-100)</f>
        <v>-100</v>
      </c>
      <c r="BO42">
        <f>IF(Table2912[[#This Row],[Isovalerate '[%']]]&lt;W$10,_xlfn.NORM.DIST(Table2912[[#This Row],[Isovalerate '[%']]],W$6,W$2,FALSE),-100)</f>
        <v>-100</v>
      </c>
      <c r="BP42">
        <f>IF(Table2912[[#This Row],[CH4 '[g/mmol SCFA']]]&lt;X$10,_xlfn.NORM.DIST(Table2912[[#This Row],[CH4 '[g/mmol SCFA']]],X$6,X$2,FALSE),-100)</f>
        <v>-100</v>
      </c>
      <c r="BQ42">
        <f>IF(Table2912[[#This Row],[DMD '[mg/g']]]&gt;Y$10,_xlfn.NORM.DIST(Table2912[[#This Row],[DMD '[mg/g']]],Y$6,Y$2,FALSE),-100)</f>
        <v>-100</v>
      </c>
      <c r="BR42">
        <f>IF(Table2912[[#This Row],[CH4 '[ml/g']]]&lt;Z$10,_xlfn.NORM.DIST(Table2912[[#This Row],[CH4 '[ml/g']]],Z$6,Z$2,FALSE),-100)</f>
        <v>1.0042578787884358E-2</v>
      </c>
      <c r="BS42">
        <f>IF(Table2912[[#This Row],[CH4 '[% GP']]]&lt;AA$10,_xlfn.NORM.DIST(Table2912[[#This Row],[CH4 '[% GP']]],AA$6,AA$2,FALSE),-100)</f>
        <v>-100</v>
      </c>
      <c r="BT42">
        <f>IF(Table2912[[#This Row],[CH4 '[g/g DDM']]]&lt;AB$10,_xlfn.NORM.DIST(Table2912[[#This Row],[CH4 '[g/g DDM']]],AB$6,AB$2,FALSE),-100)</f>
        <v>-100</v>
      </c>
      <c r="CJ42" t="str">
        <v>Prosopis juliflora</v>
      </c>
      <c r="CL42" t="str">
        <v>Prosopis juliflora</v>
      </c>
    </row>
    <row r="43" spans="1:90" x14ac:dyDescent="0.25">
      <c r="A43" s="12" t="s">
        <v>70</v>
      </c>
      <c r="B43" s="13">
        <v>1005</v>
      </c>
      <c r="C43" s="96" t="s">
        <v>100</v>
      </c>
      <c r="D43" s="96"/>
      <c r="E43" s="96"/>
      <c r="F43" s="96" t="s">
        <v>101</v>
      </c>
      <c r="G43" s="15" t="s">
        <v>73</v>
      </c>
      <c r="H43" s="15" t="s">
        <v>74</v>
      </c>
      <c r="I43" t="s">
        <v>75</v>
      </c>
      <c r="J43" s="70">
        <v>2</v>
      </c>
      <c r="K43" s="70"/>
      <c r="L43" s="70"/>
      <c r="M43" t="s">
        <v>101</v>
      </c>
      <c r="N43" t="s">
        <v>76</v>
      </c>
      <c r="O43" s="18">
        <v>188.83382027445759</v>
      </c>
      <c r="P43" s="18">
        <v>5.2638865878619745</v>
      </c>
      <c r="Q43" s="97">
        <v>0.70490560330265772</v>
      </c>
      <c r="R43" s="97">
        <v>0.20065011449235748</v>
      </c>
      <c r="S43" s="97">
        <v>6.967786742080026E-2</v>
      </c>
      <c r="T43" s="97">
        <v>8.962141354564886E-3</v>
      </c>
      <c r="U43" s="97">
        <v>1.4464689347285479E-4</v>
      </c>
      <c r="V43" s="97">
        <v>5.0296187937157594E-3</v>
      </c>
      <c r="W43" s="97">
        <v>1.0630007742430815E-2</v>
      </c>
      <c r="X43" s="51">
        <f t="shared" si="5"/>
        <v>4.5544198221382706</v>
      </c>
      <c r="Y43" s="18">
        <v>507.60850985496961</v>
      </c>
      <c r="Z43" s="18">
        <v>23.973949417246363</v>
      </c>
      <c r="AA43" s="18">
        <f t="shared" si="6"/>
        <v>12.695792195699795</v>
      </c>
      <c r="AB43" s="18">
        <f t="shared" si="7"/>
        <v>47.229210999823529</v>
      </c>
      <c r="AC43" s="18">
        <f>$CP$15*Table2912[[#This Row],[DMD '[mg/g']]]+$CS$15*Table2912[[#This Row],[CH4 '[ml/g']]]+$CR$15*Table2912[[#This Row],[CH4 '[% GP']]]+$CQ$15*Table2912[[#This Row],[CH4 '[g/g DDM']]]</f>
        <v>-4.1804655407072673</v>
      </c>
      <c r="AD43" s="18">
        <f>_xlfn.RANK.AVG(Table2912[[#This Row],[Index]],Table2912[Index])</f>
        <v>468</v>
      </c>
      <c r="AE4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5.1335189892500788</v>
      </c>
      <c r="AF43" s="18">
        <f>Table2912[[#This Row],[CH4 '[ml/g']]]/Table2912[[#This Row],[APB]]</f>
        <v>4.6700809848856828</v>
      </c>
      <c r="AG43" s="18">
        <f>Table2912[[#This Row],[Propionate '[%']]]/Table2912[[#This Row],[Acetate '[%']]]</f>
        <v>0.2846482047415454</v>
      </c>
      <c r="AH43" s="51"/>
      <c r="AI43" s="18"/>
      <c r="AJ43" s="18"/>
      <c r="AK43" s="18">
        <f>(Table2912[[#This Row],[DMD '[mg/g']]]-$AK$15)/$AK$15*100</f>
        <v>3.5324849947155004</v>
      </c>
      <c r="AL43" s="18">
        <f>(Table2912[[#This Row],[CH4 '[ml/g']]]-AL$15)/AL$15*100</f>
        <v>-39.047537162844534</v>
      </c>
      <c r="AM43" s="18">
        <f>(Table2912[[#This Row],[CH4 '[% GP']]]-AM$15)/AM$15*100</f>
        <v>-18.209619686144745</v>
      </c>
      <c r="AN43" s="18">
        <f>(Table2912[[#This Row],[CH4 '[g/g DDM']]]-AN$15)/AN$15*100</f>
        <v>-7.7834097205443067</v>
      </c>
      <c r="AO43" s="18"/>
      <c r="AP43" s="18"/>
      <c r="AR43">
        <f>_xlfn.NORM.DIST(Table2912[[#This Row],[GP '[ml/g']]],O$6,O$2,FALSE)</f>
        <v>3.4256097817330091E-3</v>
      </c>
      <c r="AS43">
        <f>_xlfn.NORM.DIST(Table2912[[#This Row],[SCFA '[mmol/g']]],P$6,P$2,FALSE)</f>
        <v>0.18927106615993383</v>
      </c>
      <c r="AT43">
        <f>_xlfn.NORM.DIST(Table2912[[#This Row],[Acetate '[%']]],Q$6,Q$2,FALSE)</f>
        <v>7.5132562395935372</v>
      </c>
      <c r="AU43">
        <f>_xlfn.NORM.DIST(Table2912[[#This Row],[Propionate '[%']]],R$6,R$2,FALSE)</f>
        <v>8.061213109248472</v>
      </c>
      <c r="AV43">
        <f>_xlfn.NORM.DIST(Table2912[[#This Row],[Butyrate '[%']]],S$6,S$2,FALSE)</f>
        <v>9.3610479546259135</v>
      </c>
      <c r="AW43">
        <f>_xlfn.NORM.DIST(Table2912[[#This Row],[Valerate '[%']]],T$6,T$2,FALSE)</f>
        <v>18.645180087680547</v>
      </c>
      <c r="AX43">
        <f>_xlfn.NORM.DIST(Table2912[[#This Row],[Caproate '[%']]],U$6,U$2,FALSE)</f>
        <v>195.18212355494268</v>
      </c>
      <c r="AY43">
        <f>_xlfn.NORM.DIST(Table2912[[#This Row],[Isobutyrate '[%']]],V$6,V$2,FALSE)</f>
        <v>6.0417367299034428</v>
      </c>
      <c r="AZ43">
        <f>_xlfn.NORM.DIST(Table2912[[#This Row],[Isovalerate '[%']]],W$6,W$2,FALSE)</f>
        <v>6.5760913098764728</v>
      </c>
      <c r="BA43">
        <f>_xlfn.NORM.DIST(Table2912[[#This Row],[CH4 '[g/mmol SCFA']]],X$6,X$2,FALSE)</f>
        <v>0.12967872082352724</v>
      </c>
      <c r="BB43">
        <f>_xlfn.NORM.DIST(Table2912[[#This Row],[DMD '[mg/g']]],Y$6,Y$2,FALSE)</f>
        <v>4.2568769497826814E-4</v>
      </c>
      <c r="BC43">
        <f>_xlfn.NORM.DIST(Table2912[[#This Row],[CH4 '[ml/g']]],Z$6,Z$2,FALSE)</f>
        <v>1.1483942325567813E-2</v>
      </c>
      <c r="BD43">
        <f>_xlfn.NORM.DIST(Table2912[[#This Row],[CH4 '[% GP']]],AA$6,AA$2,FALSE)</f>
        <v>7.0435780315436569E-2</v>
      </c>
      <c r="BE43">
        <f>_xlfn.NORM.DIST(Table2912[[#This Row],[CH4 '[g/g DDM']]],AB$6,AB$2,FALSE)</f>
        <v>2.8928215787234417E-2</v>
      </c>
      <c r="BG43">
        <f>IF(Table2912[[#This Row],[GP '[ml/g']]]&lt;O$10,_xlfn.NORM.DIST(Table2912[[#This Row],[GP '[ml/g']]],O$6,O$2,FALSE),-100)</f>
        <v>3.4256097817330091E-3</v>
      </c>
      <c r="BH43">
        <f>IF(Table2912[[#This Row],[SCFA '[mmol/g']]]&lt;P$10,_xlfn.NORM.DIST(Table2912[[#This Row],[SCFA '[mmol/g']]],P$6,P$2,FALSE),-100)</f>
        <v>0.18927106615993383</v>
      </c>
      <c r="BI43">
        <f>IF(Table2912[[#This Row],[Acetate '[%']]]&lt;Q$10,_xlfn.NORM.DIST(Table2912[[#This Row],[Acetate '[%']]],Q$6,Q$2,FALSE),-100)</f>
        <v>-100</v>
      </c>
      <c r="BJ43">
        <f>IF(Table2912[[#This Row],[Propionate '[%']]]&lt;R$10,_xlfn.NORM.DIST(Table2912[[#This Row],[Propionate '[%']]],R$6,R$2,FALSE),-100)</f>
        <v>-100</v>
      </c>
      <c r="BK43">
        <f>IF(Table2912[[#This Row],[Butyrate '[%']]]&lt;S$10,_xlfn.NORM.DIST(Table2912[[#This Row],[Butyrate '[%']]],S$6,S$2,FALSE),-100)</f>
        <v>9.3610479546259135</v>
      </c>
      <c r="BL43">
        <f>IF(Table2912[[#This Row],[Valerate '[%']]]&lt;T$10,_xlfn.NORM.DIST(Table2912[[#This Row],[Valerate '[%']]],T$6,T$2,FALSE),-100)</f>
        <v>18.645180087680547</v>
      </c>
      <c r="BM43">
        <f>IF(Table2912[[#This Row],[Caproate '[%']]]&lt;U$10,_xlfn.NORM.DIST(Table2912[[#This Row],[Caproate '[%']]],U$6,U$2,FALSE),-100)</f>
        <v>195.18212355494268</v>
      </c>
      <c r="BN43">
        <f>IF(Table2912[[#This Row],[Isobutyrate '[%']]]&lt;V$10,_xlfn.NORM.DIST(Table2912[[#This Row],[Isobutyrate '[%']]],V$6,V$2,FALSE),-100)</f>
        <v>6.0417367299034428</v>
      </c>
      <c r="BO43">
        <f>IF(Table2912[[#This Row],[Isovalerate '[%']]]&lt;W$10,_xlfn.NORM.DIST(Table2912[[#This Row],[Isovalerate '[%']]],W$6,W$2,FALSE),-100)</f>
        <v>6.5760913098764728</v>
      </c>
      <c r="BP43">
        <f>IF(Table2912[[#This Row],[CH4 '[g/mmol SCFA']]]&lt;X$10,_xlfn.NORM.DIST(Table2912[[#This Row],[CH4 '[g/mmol SCFA']]],X$6,X$2,FALSE),-100)</f>
        <v>0.12967872082352724</v>
      </c>
      <c r="BQ43">
        <f>IF(Table2912[[#This Row],[DMD '[mg/g']]]&gt;Y$10,_xlfn.NORM.DIST(Table2912[[#This Row],[DMD '[mg/g']]],Y$6,Y$2,FALSE),-100)</f>
        <v>-100</v>
      </c>
      <c r="BR43">
        <f>IF(Table2912[[#This Row],[CH4 '[ml/g']]]&lt;Z$10,_xlfn.NORM.DIST(Table2912[[#This Row],[CH4 '[ml/g']]],Z$6,Z$2,FALSE),-100)</f>
        <v>1.1483942325567813E-2</v>
      </c>
      <c r="BS43">
        <f>IF(Table2912[[#This Row],[CH4 '[% GP']]]&lt;AA$10,_xlfn.NORM.DIST(Table2912[[#This Row],[CH4 '[% GP']]],AA$6,AA$2,FALSE),-100)</f>
        <v>-100</v>
      </c>
      <c r="BT43">
        <f>IF(Table2912[[#This Row],[CH4 '[g/g DDM']]]&lt;AB$10,_xlfn.NORM.DIST(Table2912[[#This Row],[CH4 '[g/g DDM']]],AB$6,AB$2,FALSE),-100)</f>
        <v>-100</v>
      </c>
      <c r="CJ43" t="str">
        <v xml:space="preserve">Calopogonium caeruleum    </v>
      </c>
      <c r="CL43" t="str">
        <v xml:space="preserve">Calopogonium caeruleum    </v>
      </c>
    </row>
    <row r="44" spans="1:90" ht="15" customHeight="1" x14ac:dyDescent="0.25">
      <c r="A44" s="12" t="s">
        <v>86</v>
      </c>
      <c r="B44" s="13">
        <v>1045</v>
      </c>
      <c r="C44" s="104" t="s">
        <v>109</v>
      </c>
      <c r="D44" s="104" t="s">
        <v>110</v>
      </c>
      <c r="E44" s="104" t="s">
        <v>111</v>
      </c>
      <c r="F44" s="104" t="s">
        <v>112</v>
      </c>
      <c r="G44" s="23" t="s">
        <v>73</v>
      </c>
      <c r="H44" s="23" t="s">
        <v>74</v>
      </c>
      <c r="I44" s="104" t="s">
        <v>44</v>
      </c>
      <c r="J44" s="100">
        <v>2</v>
      </c>
      <c r="K44" s="100"/>
      <c r="L44" s="100"/>
      <c r="M44" t="s">
        <v>112</v>
      </c>
      <c r="N44" t="s">
        <v>99</v>
      </c>
      <c r="O44" s="18">
        <v>63.05312294543063</v>
      </c>
      <c r="P44" s="18">
        <v>2.2459761841032746</v>
      </c>
      <c r="Q44" s="97">
        <v>0.53230164567888605</v>
      </c>
      <c r="R44" s="97">
        <v>0.39004522104475958</v>
      </c>
      <c r="S44" s="97">
        <v>4.8268685856695935E-2</v>
      </c>
      <c r="T44" s="97">
        <v>4.7019642740047159E-3</v>
      </c>
      <c r="U44" s="97">
        <v>1.1283999639936011E-3</v>
      </c>
      <c r="V44" s="97">
        <v>6.0908373582356269E-3</v>
      </c>
      <c r="W44" s="97">
        <v>1.7463245823424407E-2</v>
      </c>
      <c r="X44" s="51">
        <f t="shared" si="5"/>
        <v>4.4356986303937287</v>
      </c>
      <c r="Y44" s="18">
        <v>514.4152267898088</v>
      </c>
      <c r="Z44" s="18">
        <v>9.9624734837238282</v>
      </c>
      <c r="AA44" s="18">
        <f t="shared" si="6"/>
        <v>15.800126969675803</v>
      </c>
      <c r="AB44" s="18">
        <f t="shared" si="7"/>
        <v>19.36659913022854</v>
      </c>
      <c r="AC44" s="18">
        <f>$CP$15*Table2912[[#This Row],[DMD '[mg/g']]]+$CS$15*Table2912[[#This Row],[CH4 '[ml/g']]]+$CR$15*Table2912[[#This Row],[CH4 '[% GP']]]+$CQ$15*Table2912[[#This Row],[CH4 '[g/g DDM']]]</f>
        <v>11.579412928509051</v>
      </c>
      <c r="AD44" s="18">
        <f>_xlfn.RANK.AVG(Table2912[[#This Row],[Index]],Table2912[Index])</f>
        <v>331</v>
      </c>
      <c r="AE4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2.179979415015687</v>
      </c>
      <c r="AF44" s="18">
        <f>Table2912[[#This Row],[CH4 '[ml/g']]]/Table2912[[#This Row],[APB]]</f>
        <v>4.5699851177962332</v>
      </c>
      <c r="AG44" s="18">
        <f>Table2912[[#This Row],[Propionate '[%']]]/Table2912[[#This Row],[Acetate '[%']]]</f>
        <v>0.73275223590057537</v>
      </c>
      <c r="AH44" s="51"/>
      <c r="AI44" s="18"/>
      <c r="AJ44" s="18"/>
      <c r="AK44" s="18">
        <f>(Table2912[[#This Row],[DMD '[mg/g']]]-$AK$15)/$AK$15*100</f>
        <v>4.9207917414263873</v>
      </c>
      <c r="AL44" s="18">
        <f>(Table2912[[#This Row],[CH4 '[ml/g']]]-AL$15)/AL$15*100</f>
        <v>-74.670952865780677</v>
      </c>
      <c r="AM44" s="18">
        <f>(Table2912[[#This Row],[CH4 '[% GP']]]-AM$15)/AM$15*100</f>
        <v>1.789504265413312</v>
      </c>
      <c r="AN44" s="18">
        <f>(Table2912[[#This Row],[CH4 '[g/g DDM']]]-AN$15)/AN$15*100</f>
        <v>-62.186077232892558</v>
      </c>
      <c r="AO44" s="18"/>
      <c r="AP44" s="18"/>
      <c r="AR44">
        <f>_xlfn.NORM.DIST(Table2912[[#This Row],[GP '[ml/g']]],O$6,O$2,FALSE)</f>
        <v>1.1145001663136176E-5</v>
      </c>
      <c r="AS44">
        <f>_xlfn.NORM.DIST(Table2912[[#This Row],[SCFA '[mmol/g']]],P$6,P$2,FALSE)</f>
        <v>5.4956298167802985E-4</v>
      </c>
      <c r="AT44">
        <f>_xlfn.NORM.DIST(Table2912[[#This Row],[Acetate '[%']]],Q$6,Q$2,FALSE)</f>
        <v>6.6580462492267021E-5</v>
      </c>
      <c r="AU44">
        <f>_xlfn.NORM.DIST(Table2912[[#This Row],[Propionate '[%']]],R$6,R$2,FALSE)</f>
        <v>8.2047451562725583E-18</v>
      </c>
      <c r="AV44">
        <f>_xlfn.NORM.DIST(Table2912[[#This Row],[Butyrate '[%']]],S$6,S$2,FALSE)</f>
        <v>0.83065882370934041</v>
      </c>
      <c r="AW44">
        <f>_xlfn.NORM.DIST(Table2912[[#This Row],[Valerate '[%']]],T$6,T$2,FALSE)</f>
        <v>3.2858008419031193</v>
      </c>
      <c r="AX44">
        <f>_xlfn.NORM.DIST(Table2912[[#This Row],[Caproate '[%']]],U$6,U$2,FALSE)</f>
        <v>398.14405828629521</v>
      </c>
      <c r="AY44">
        <f>_xlfn.NORM.DIST(Table2912[[#This Row],[Isobutyrate '[%']]],V$6,V$2,FALSE)</f>
        <v>10.252694867608968</v>
      </c>
      <c r="AZ44">
        <f>_xlfn.NORM.DIST(Table2912[[#This Row],[Isovalerate '[%']]],W$6,W$2,FALSE)</f>
        <v>22.433917498604757</v>
      </c>
      <c r="BA44">
        <f>_xlfn.NORM.DIST(Table2912[[#This Row],[CH4 '[g/mmol SCFA']]],X$6,X$2,FALSE)</f>
        <v>0.11525065309926064</v>
      </c>
      <c r="BB44">
        <f>_xlfn.NORM.DIST(Table2912[[#This Row],[DMD '[mg/g']]],Y$6,Y$2,FALSE)</f>
        <v>4.6875179048215347E-4</v>
      </c>
      <c r="BC44">
        <f>_xlfn.NORM.DIST(Table2912[[#This Row],[CH4 '[ml/g']]],Z$6,Z$2,FALSE)</f>
        <v>1.0267815833614057E-3</v>
      </c>
      <c r="BD44">
        <f>_xlfn.NORM.DIST(Table2912[[#This Row],[CH4 '[% GP']]],AA$6,AA$2,FALSE)</f>
        <v>0.13416570633178515</v>
      </c>
      <c r="BE44">
        <f>_xlfn.NORM.DIST(Table2912[[#This Row],[CH4 '[g/g DDM']]],AB$6,AB$2,FALSE)</f>
        <v>6.5399379505233393E-4</v>
      </c>
      <c r="BG44">
        <f>IF(Table2912[[#This Row],[GP '[ml/g']]]&lt;O$10,_xlfn.NORM.DIST(Table2912[[#This Row],[GP '[ml/g']]],O$6,O$2,FALSE),-100)</f>
        <v>1.1145001663136176E-5</v>
      </c>
      <c r="BH44">
        <f>IF(Table2912[[#This Row],[SCFA '[mmol/g']]]&lt;P$10,_xlfn.NORM.DIST(Table2912[[#This Row],[SCFA '[mmol/g']]],P$6,P$2,FALSE),-100)</f>
        <v>5.4956298167802985E-4</v>
      </c>
      <c r="BI44">
        <f>IF(Table2912[[#This Row],[Acetate '[%']]]&lt;Q$10,_xlfn.NORM.DIST(Table2912[[#This Row],[Acetate '[%']]],Q$6,Q$2,FALSE),-100)</f>
        <v>6.6580462492267021E-5</v>
      </c>
      <c r="BJ44">
        <f>IF(Table2912[[#This Row],[Propionate '[%']]]&lt;R$10,_xlfn.NORM.DIST(Table2912[[#This Row],[Propionate '[%']]],R$6,R$2,FALSE),-100)</f>
        <v>-100</v>
      </c>
      <c r="BK44">
        <f>IF(Table2912[[#This Row],[Butyrate '[%']]]&lt;S$10,_xlfn.NORM.DIST(Table2912[[#This Row],[Butyrate '[%']]],S$6,S$2,FALSE),-100)</f>
        <v>0.83065882370934041</v>
      </c>
      <c r="BL44">
        <f>IF(Table2912[[#This Row],[Valerate '[%']]]&lt;T$10,_xlfn.NORM.DIST(Table2912[[#This Row],[Valerate '[%']]],T$6,T$2,FALSE),-100)</f>
        <v>3.2858008419031193</v>
      </c>
      <c r="BM44">
        <f>IF(Table2912[[#This Row],[Caproate '[%']]]&lt;U$10,_xlfn.NORM.DIST(Table2912[[#This Row],[Caproate '[%']]],U$6,U$2,FALSE),-100)</f>
        <v>-100</v>
      </c>
      <c r="BN44">
        <f>IF(Table2912[[#This Row],[Isobutyrate '[%']]]&lt;V$10,_xlfn.NORM.DIST(Table2912[[#This Row],[Isobutyrate '[%']]],V$6,V$2,FALSE),-100)</f>
        <v>10.252694867608968</v>
      </c>
      <c r="BO44">
        <f>IF(Table2912[[#This Row],[Isovalerate '[%']]]&lt;W$10,_xlfn.NORM.DIST(Table2912[[#This Row],[Isovalerate '[%']]],W$6,W$2,FALSE),-100)</f>
        <v>22.433917498604757</v>
      </c>
      <c r="BP44">
        <f>IF(Table2912[[#This Row],[CH4 '[g/mmol SCFA']]]&lt;X$10,_xlfn.NORM.DIST(Table2912[[#This Row],[CH4 '[g/mmol SCFA']]],X$6,X$2,FALSE),-100)</f>
        <v>0.11525065309926064</v>
      </c>
      <c r="BQ44">
        <f>IF(Table2912[[#This Row],[DMD '[mg/g']]]&gt;Y$10,_xlfn.NORM.DIST(Table2912[[#This Row],[DMD '[mg/g']]],Y$6,Y$2,FALSE),-100)</f>
        <v>-100</v>
      </c>
      <c r="BR44">
        <f>IF(Table2912[[#This Row],[CH4 '[ml/g']]]&lt;Z$10,_xlfn.NORM.DIST(Table2912[[#This Row],[CH4 '[ml/g']]],Z$6,Z$2,FALSE),-100)</f>
        <v>1.0267815833614057E-3</v>
      </c>
      <c r="BS44">
        <f>IF(Table2912[[#This Row],[CH4 '[% GP']]]&lt;AA$10,_xlfn.NORM.DIST(Table2912[[#This Row],[CH4 '[% GP']]],AA$6,AA$2,FALSE),-100)</f>
        <v>-100</v>
      </c>
      <c r="BT44">
        <f>IF(Table2912[[#This Row],[CH4 '[g/g DDM']]]&lt;AB$10,_xlfn.NORM.DIST(Table2912[[#This Row],[CH4 '[g/g DDM']]],AB$6,AB$2,FALSE),-100)</f>
        <v>6.5399379505233393E-4</v>
      </c>
      <c r="CJ44" t="str">
        <v>Cenchrus  Purpureues</v>
      </c>
      <c r="CL44" t="str">
        <v>Cenchrus  Purpureues</v>
      </c>
    </row>
    <row r="45" spans="1:90" ht="15" customHeight="1" x14ac:dyDescent="0.25">
      <c r="A45" s="12" t="s">
        <v>70</v>
      </c>
      <c r="B45" s="13">
        <v>1025</v>
      </c>
      <c r="C45" s="96" t="s">
        <v>92</v>
      </c>
      <c r="D45" s="96"/>
      <c r="E45" s="96"/>
      <c r="F45" s="96" t="s">
        <v>93</v>
      </c>
      <c r="G45" s="15" t="s">
        <v>73</v>
      </c>
      <c r="H45" s="15" t="s">
        <v>74</v>
      </c>
      <c r="I45" t="s">
        <v>75</v>
      </c>
      <c r="J45" s="70">
        <v>3</v>
      </c>
      <c r="K45" s="70"/>
      <c r="L45" s="70"/>
      <c r="M45" t="s">
        <v>93</v>
      </c>
      <c r="N45" t="s">
        <v>81</v>
      </c>
      <c r="O45" s="18">
        <v>166.27411842980626</v>
      </c>
      <c r="P45" s="18">
        <v>5.5673378784705925</v>
      </c>
      <c r="Q45" s="97">
        <v>0.71578269965348962</v>
      </c>
      <c r="R45" s="97">
        <v>0.17743586921527532</v>
      </c>
      <c r="S45" s="97">
        <v>6.4137217265421917E-2</v>
      </c>
      <c r="T45" s="97">
        <v>1.1157747588749605E-2</v>
      </c>
      <c r="U45" s="97">
        <v>5.4952667305262963E-4</v>
      </c>
      <c r="V45" s="97">
        <v>1.1603183480697922E-2</v>
      </c>
      <c r="W45" s="97">
        <v>1.9333756123313083E-2</v>
      </c>
      <c r="X45" s="51">
        <f t="shared" si="5"/>
        <v>5.364612869925705</v>
      </c>
      <c r="Y45" s="18">
        <v>514.6146396891919</v>
      </c>
      <c r="Z45" s="18">
        <v>29.866612434068212</v>
      </c>
      <c r="AA45" s="18">
        <f t="shared" si="6"/>
        <v>17.96227381393491</v>
      </c>
      <c r="AB45" s="18">
        <f t="shared" si="7"/>
        <v>58.036849577591759</v>
      </c>
      <c r="AC45" s="18">
        <f>$CP$15*Table2912[[#This Row],[DMD '[mg/g']]]+$CS$15*Table2912[[#This Row],[CH4 '[ml/g']]]+$CR$15*Table2912[[#This Row],[CH4 '[% GP']]]+$CQ$15*Table2912[[#This Row],[CH4 '[g/g DDM']]]</f>
        <v>-11.451771505730768</v>
      </c>
      <c r="AD45" s="18">
        <f>_xlfn.RANK.AVG(Table2912[[#This Row],[Index]],Table2912[Index])</f>
        <v>495</v>
      </c>
      <c r="AE4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5.3299231313178499</v>
      </c>
      <c r="AF45" s="18">
        <f>Table2912[[#This Row],[CH4 '[ml/g']]]/Table2912[[#This Row],[APB]]</f>
        <v>5.6035728280162918</v>
      </c>
      <c r="AG45" s="18">
        <f>Table2912[[#This Row],[Propionate '[%']]]/Table2912[[#This Row],[Acetate '[%']]]</f>
        <v>0.24789069266576577</v>
      </c>
      <c r="AH45" s="51"/>
      <c r="AI45" s="18"/>
      <c r="AJ45" s="18"/>
      <c r="AK45" s="18">
        <f>(Table2912[[#This Row],[DMD '[mg/g']]]-$AK$15)/$AK$15*100</f>
        <v>4.9614642530417514</v>
      </c>
      <c r="AL45" s="18">
        <f>(Table2912[[#This Row],[CH4 '[ml/g']]]-AL$15)/AL$15*100</f>
        <v>-24.065761849414823</v>
      </c>
      <c r="AM45" s="18">
        <f>(Table2912[[#This Row],[CH4 '[% GP']]]-AM$15)/AM$15*100</f>
        <v>15.718750267585035</v>
      </c>
      <c r="AN45" s="18">
        <f>(Table2912[[#This Row],[CH4 '[g/g DDM']]]-AN$15)/AN$15*100</f>
        <v>13.318860622659523</v>
      </c>
      <c r="AO45" s="18"/>
      <c r="AP45" s="18"/>
      <c r="AR45">
        <f>_xlfn.NORM.DIST(Table2912[[#This Row],[GP '[ml/g']]],O$6,O$2,FALSE)</f>
        <v>1.8463478157681517E-3</v>
      </c>
      <c r="AS45">
        <f>_xlfn.NORM.DIST(Table2912[[#This Row],[SCFA '[mmol/g']]],P$6,P$2,FALSE)</f>
        <v>0.23984798705535745</v>
      </c>
      <c r="AT45">
        <f>_xlfn.NORM.DIST(Table2912[[#This Row],[Acetate '[%']]],Q$6,Q$2,FALSE)</f>
        <v>4.554851650579451</v>
      </c>
      <c r="AU45">
        <f>_xlfn.NORM.DIST(Table2912[[#This Row],[Propionate '[%']]],R$6,R$2,FALSE)</f>
        <v>16.33620438487603</v>
      </c>
      <c r="AV45">
        <f>_xlfn.NORM.DIST(Table2912[[#This Row],[Butyrate '[%']]],S$6,S$2,FALSE)</f>
        <v>5.7905340812213142</v>
      </c>
      <c r="AW45">
        <f>_xlfn.NORM.DIST(Table2912[[#This Row],[Valerate '[%']]],T$6,T$2,FALSE)</f>
        <v>34.936701967572645</v>
      </c>
      <c r="AX45">
        <f>_xlfn.NORM.DIST(Table2912[[#This Row],[Caproate '[%']]],U$6,U$2,FALSE)</f>
        <v>295.67125745017398</v>
      </c>
      <c r="AY45">
        <f>_xlfn.NORM.DIST(Table2912[[#This Row],[Isobutyrate '[%']]],V$6,V$2,FALSE)</f>
        <v>63.38545941235828</v>
      </c>
      <c r="AZ45">
        <f>_xlfn.NORM.DIST(Table2912[[#This Row],[Isovalerate '[%']]],W$6,W$2,FALSE)</f>
        <v>28.245262783567494</v>
      </c>
      <c r="BA45">
        <f>_xlfn.NORM.DIST(Table2912[[#This Row],[CH4 '[g/mmol SCFA']]],X$6,X$2,FALSE)</f>
        <v>0.23530075706398965</v>
      </c>
      <c r="BB45">
        <f>_xlfn.NORM.DIST(Table2912[[#This Row],[DMD '[mg/g']]],Y$6,Y$2,FALSE)</f>
        <v>4.7005950897116398E-4</v>
      </c>
      <c r="BC45">
        <f>_xlfn.NORM.DIST(Table2912[[#This Row],[CH4 '[ml/g']]],Z$6,Z$2,FALSE)</f>
        <v>2.0962457016836536E-2</v>
      </c>
      <c r="BD45">
        <f>_xlfn.NORM.DIST(Table2912[[#This Row],[CH4 '[% GP']]],AA$6,AA$2,FALSE)</f>
        <v>0.10979844432878111</v>
      </c>
      <c r="BE45">
        <f>_xlfn.NORM.DIST(Table2912[[#This Row],[CH4 '[g/g DDM']]],AB$6,AB$2,FALSE)</f>
        <v>3.0498254801257722E-2</v>
      </c>
      <c r="BG45">
        <f>IF(Table2912[[#This Row],[GP '[ml/g']]]&lt;O$10,_xlfn.NORM.DIST(Table2912[[#This Row],[GP '[ml/g']]],O$6,O$2,FALSE),-100)</f>
        <v>1.8463478157681517E-3</v>
      </c>
      <c r="BH45">
        <f>IF(Table2912[[#This Row],[SCFA '[mmol/g']]]&lt;P$10,_xlfn.NORM.DIST(Table2912[[#This Row],[SCFA '[mmol/g']]],P$6,P$2,FALSE),-100)</f>
        <v>-100</v>
      </c>
      <c r="BI45">
        <f>IF(Table2912[[#This Row],[Acetate '[%']]]&lt;Q$10,_xlfn.NORM.DIST(Table2912[[#This Row],[Acetate '[%']]],Q$6,Q$2,FALSE),-100)</f>
        <v>-100</v>
      </c>
      <c r="BJ45">
        <f>IF(Table2912[[#This Row],[Propionate '[%']]]&lt;R$10,_xlfn.NORM.DIST(Table2912[[#This Row],[Propionate '[%']]],R$6,R$2,FALSE),-100)</f>
        <v>-100</v>
      </c>
      <c r="BK45">
        <f>IF(Table2912[[#This Row],[Butyrate '[%']]]&lt;S$10,_xlfn.NORM.DIST(Table2912[[#This Row],[Butyrate '[%']]],S$6,S$2,FALSE),-100)</f>
        <v>5.7905340812213142</v>
      </c>
      <c r="BL45">
        <f>IF(Table2912[[#This Row],[Valerate '[%']]]&lt;T$10,_xlfn.NORM.DIST(Table2912[[#This Row],[Valerate '[%']]],T$6,T$2,FALSE),-100)</f>
        <v>34.936701967572645</v>
      </c>
      <c r="BM45">
        <f>IF(Table2912[[#This Row],[Caproate '[%']]]&lt;U$10,_xlfn.NORM.DIST(Table2912[[#This Row],[Caproate '[%']]],U$6,U$2,FALSE),-100)</f>
        <v>-100</v>
      </c>
      <c r="BN45">
        <f>IF(Table2912[[#This Row],[Isobutyrate '[%']]]&lt;V$10,_xlfn.NORM.DIST(Table2912[[#This Row],[Isobutyrate '[%']]],V$6,V$2,FALSE),-100)</f>
        <v>-100</v>
      </c>
      <c r="BO45">
        <f>IF(Table2912[[#This Row],[Isovalerate '[%']]]&lt;W$10,_xlfn.NORM.DIST(Table2912[[#This Row],[Isovalerate '[%']]],W$6,W$2,FALSE),-100)</f>
        <v>-100</v>
      </c>
      <c r="BP45">
        <f>IF(Table2912[[#This Row],[CH4 '[g/mmol SCFA']]]&lt;X$10,_xlfn.NORM.DIST(Table2912[[#This Row],[CH4 '[g/mmol SCFA']]],X$6,X$2,FALSE),-100)</f>
        <v>-100</v>
      </c>
      <c r="BQ45">
        <f>IF(Table2912[[#This Row],[DMD '[mg/g']]]&gt;Y$10,_xlfn.NORM.DIST(Table2912[[#This Row],[DMD '[mg/g']]],Y$6,Y$2,FALSE),-100)</f>
        <v>-100</v>
      </c>
      <c r="BR45">
        <f>IF(Table2912[[#This Row],[CH4 '[ml/g']]]&lt;Z$10,_xlfn.NORM.DIST(Table2912[[#This Row],[CH4 '[ml/g']]],Z$6,Z$2,FALSE),-100)</f>
        <v>-100</v>
      </c>
      <c r="BS45">
        <f>IF(Table2912[[#This Row],[CH4 '[% GP']]]&lt;AA$10,_xlfn.NORM.DIST(Table2912[[#This Row],[CH4 '[% GP']]],AA$6,AA$2,FALSE),-100)</f>
        <v>-100</v>
      </c>
      <c r="BT45">
        <f>IF(Table2912[[#This Row],[CH4 '[g/g DDM']]]&lt;AB$10,_xlfn.NORM.DIST(Table2912[[#This Row],[CH4 '[g/g DDM']]],AB$6,AB$2,FALSE),-100)</f>
        <v>-100</v>
      </c>
      <c r="CJ45" t="str">
        <v xml:space="preserve">Rhus tripartita </v>
      </c>
      <c r="CL45" t="str">
        <v xml:space="preserve">Rhus tripartita </v>
      </c>
    </row>
    <row r="46" spans="1:90" ht="15" customHeight="1" x14ac:dyDescent="0.25">
      <c r="A46" s="12" t="s">
        <v>70</v>
      </c>
      <c r="B46" s="13">
        <v>1019</v>
      </c>
      <c r="C46" s="96" t="s">
        <v>118</v>
      </c>
      <c r="D46" s="96"/>
      <c r="E46" s="96"/>
      <c r="F46" s="96" t="s">
        <v>119</v>
      </c>
      <c r="G46" s="15" t="s">
        <v>73</v>
      </c>
      <c r="H46" s="15" t="s">
        <v>74</v>
      </c>
      <c r="I46" t="s">
        <v>75</v>
      </c>
      <c r="J46" s="70">
        <v>3</v>
      </c>
      <c r="K46" s="70"/>
      <c r="L46" s="70"/>
      <c r="M46" t="s">
        <v>119</v>
      </c>
      <c r="N46" t="s">
        <v>81</v>
      </c>
      <c r="O46" s="18">
        <v>182.81113306982758</v>
      </c>
      <c r="P46" s="18">
        <v>5.8374425961082927</v>
      </c>
      <c r="Q46" s="97">
        <v>0.71418862486237333</v>
      </c>
      <c r="R46" s="97">
        <v>0.16616886104528683</v>
      </c>
      <c r="S46" s="97">
        <v>7.2273066722690377E-2</v>
      </c>
      <c r="T46" s="97">
        <v>1.1873253126800081E-2</v>
      </c>
      <c r="U46" s="97">
        <v>3.4730333423241527E-4</v>
      </c>
      <c r="V46" s="97">
        <v>1.2098093905630523E-2</v>
      </c>
      <c r="W46" s="97">
        <v>2.3050797002986359E-2</v>
      </c>
      <c r="X46" s="51">
        <f t="shared" si="5"/>
        <v>3.8613002843843631</v>
      </c>
      <c r="Y46" s="18">
        <v>516.35103171392132</v>
      </c>
      <c r="Z46" s="18">
        <v>22.540118756430346</v>
      </c>
      <c r="AA46" s="18">
        <f t="shared" si="6"/>
        <v>12.32972980251744</v>
      </c>
      <c r="AB46" s="18">
        <f t="shared" si="7"/>
        <v>43.652704017290418</v>
      </c>
      <c r="AC46" s="18">
        <f>$CP$15*Table2912[[#This Row],[DMD '[mg/g']]]+$CS$15*Table2912[[#This Row],[CH4 '[ml/g']]]+$CR$15*Table2912[[#This Row],[CH4 '[% GP']]]+$CQ$15*Table2912[[#This Row],[CH4 '[g/g DDM']]]</f>
        <v>-1.2912851260778169</v>
      </c>
      <c r="AD46" s="18">
        <f>_xlfn.RANK.AVG(Table2912[[#This Row],[Index]],Table2912[Index])</f>
        <v>454</v>
      </c>
      <c r="AE4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5.5609261662785912</v>
      </c>
      <c r="AF46" s="18">
        <f>Table2912[[#This Row],[CH4 '[ml/g']]]/Table2912[[#This Row],[APB]]</f>
        <v>4.0533030078898431</v>
      </c>
      <c r="AG46" s="18">
        <f>Table2912[[#This Row],[Propionate '[%']]]/Table2912[[#This Row],[Acetate '[%']]]</f>
        <v>0.23266803091033292</v>
      </c>
      <c r="AH46" s="51"/>
      <c r="AI46" s="18"/>
      <c r="AJ46" s="18"/>
      <c r="AK46" s="18">
        <f>(Table2912[[#This Row],[DMD '[mg/g']]]-$AK$15)/$AK$15*100</f>
        <v>5.3156210052534218</v>
      </c>
      <c r="AL46" s="18">
        <f>(Table2912[[#This Row],[CH4 '[ml/g']]]-AL$15)/AL$15*100</f>
        <v>-42.6929736550602</v>
      </c>
      <c r="AM46" s="18">
        <f>(Table2912[[#This Row],[CH4 '[% GP']]]-AM$15)/AM$15*100</f>
        <v>-20.567911464670075</v>
      </c>
      <c r="AN46" s="18">
        <f>(Table2912[[#This Row],[CH4 '[g/g DDM']]]-AN$15)/AN$15*100</f>
        <v>-14.766657419539333</v>
      </c>
      <c r="AO46" s="18"/>
      <c r="AP46" s="18"/>
      <c r="AR46">
        <f>_xlfn.NORM.DIST(Table2912[[#This Row],[GP '[ml/g']]],O$6,O$2,FALSE)</f>
        <v>2.9558355354781934E-3</v>
      </c>
      <c r="AS46">
        <f>_xlfn.NORM.DIST(Table2912[[#This Row],[SCFA '[mmol/g']]],P$6,P$2,FALSE)</f>
        <v>0.28059696014971891</v>
      </c>
      <c r="AT46">
        <f>_xlfn.NORM.DIST(Table2912[[#This Row],[Acetate '[%']]],Q$6,Q$2,FALSE)</f>
        <v>4.9465295758752799</v>
      </c>
      <c r="AU46">
        <f>_xlfn.NORM.DIST(Table2912[[#This Row],[Propionate '[%']]],R$6,R$2,FALSE)</f>
        <v>16.314985100894408</v>
      </c>
      <c r="AV46">
        <f>_xlfn.NORM.DIST(Table2912[[#This Row],[Butyrate '[%']]],S$6,S$2,FALSE)</f>
        <v>11.317612032191194</v>
      </c>
      <c r="AW46">
        <f>_xlfn.NORM.DIST(Table2912[[#This Row],[Valerate '[%']]],T$6,T$2,FALSE)</f>
        <v>41.222241261771892</v>
      </c>
      <c r="AX46">
        <f>_xlfn.NORM.DIST(Table2912[[#This Row],[Caproate '[%']]],U$6,U$2,FALSE)</f>
        <v>245.45922249532643</v>
      </c>
      <c r="AY46">
        <f>_xlfn.NORM.DIST(Table2912[[#This Row],[Isobutyrate '[%']]],V$6,V$2,FALSE)</f>
        <v>69.190849454200659</v>
      </c>
      <c r="AZ46">
        <f>_xlfn.NORM.DIST(Table2912[[#This Row],[Isovalerate '[%']]],W$6,W$2,FALSE)</f>
        <v>39.017567365915497</v>
      </c>
      <c r="BA46">
        <f>_xlfn.NORM.DIST(Table2912[[#This Row],[CH4 '[g/mmol SCFA']]],X$6,X$2,FALSE)</f>
        <v>5.8312046831663945E-2</v>
      </c>
      <c r="BB46">
        <f>_xlfn.NORM.DIST(Table2912[[#This Row],[DMD '[mg/g']]],Y$6,Y$2,FALSE)</f>
        <v>4.815585530666516E-4</v>
      </c>
      <c r="BC46">
        <f>_xlfn.NORM.DIST(Table2912[[#This Row],[CH4 '[ml/g']]],Z$6,Z$2,FALSE)</f>
        <v>9.5588826130176621E-3</v>
      </c>
      <c r="BD46">
        <f>_xlfn.NORM.DIST(Table2912[[#This Row],[CH4 '[% GP']]],AA$6,AA$2,FALSE)</f>
        <v>6.0720740771885565E-2</v>
      </c>
      <c r="BE46">
        <f>_xlfn.NORM.DIST(Table2912[[#This Row],[CH4 '[g/g DDM']]],AB$6,AB$2,FALSE)</f>
        <v>2.3876575169383674E-2</v>
      </c>
      <c r="BG46">
        <f>IF(Table2912[[#This Row],[GP '[ml/g']]]&lt;O$10,_xlfn.NORM.DIST(Table2912[[#This Row],[GP '[ml/g']]],O$6,O$2,FALSE),-100)</f>
        <v>2.9558355354781934E-3</v>
      </c>
      <c r="BH46">
        <f>IF(Table2912[[#This Row],[SCFA '[mmol/g']]]&lt;P$10,_xlfn.NORM.DIST(Table2912[[#This Row],[SCFA '[mmol/g']]],P$6,P$2,FALSE),-100)</f>
        <v>-100</v>
      </c>
      <c r="BI46">
        <f>IF(Table2912[[#This Row],[Acetate '[%']]]&lt;Q$10,_xlfn.NORM.DIST(Table2912[[#This Row],[Acetate '[%']]],Q$6,Q$2,FALSE),-100)</f>
        <v>-100</v>
      </c>
      <c r="BJ46">
        <f>IF(Table2912[[#This Row],[Propionate '[%']]]&lt;R$10,_xlfn.NORM.DIST(Table2912[[#This Row],[Propionate '[%']]],R$6,R$2,FALSE),-100)</f>
        <v>-100</v>
      </c>
      <c r="BK46">
        <f>IF(Table2912[[#This Row],[Butyrate '[%']]]&lt;S$10,_xlfn.NORM.DIST(Table2912[[#This Row],[Butyrate '[%']]],S$6,S$2,FALSE),-100)</f>
        <v>11.317612032191194</v>
      </c>
      <c r="BL46">
        <f>IF(Table2912[[#This Row],[Valerate '[%']]]&lt;T$10,_xlfn.NORM.DIST(Table2912[[#This Row],[Valerate '[%']]],T$6,T$2,FALSE),-100)</f>
        <v>41.222241261771892</v>
      </c>
      <c r="BM46">
        <f>IF(Table2912[[#This Row],[Caproate '[%']]]&lt;U$10,_xlfn.NORM.DIST(Table2912[[#This Row],[Caproate '[%']]],U$6,U$2,FALSE),-100)</f>
        <v>245.45922249532643</v>
      </c>
      <c r="BN46">
        <f>IF(Table2912[[#This Row],[Isobutyrate '[%']]]&lt;V$10,_xlfn.NORM.DIST(Table2912[[#This Row],[Isobutyrate '[%']]],V$6,V$2,FALSE),-100)</f>
        <v>-100</v>
      </c>
      <c r="BO46">
        <f>IF(Table2912[[#This Row],[Isovalerate '[%']]]&lt;W$10,_xlfn.NORM.DIST(Table2912[[#This Row],[Isovalerate '[%']]],W$6,W$2,FALSE),-100)</f>
        <v>-100</v>
      </c>
      <c r="BP46">
        <f>IF(Table2912[[#This Row],[CH4 '[g/mmol SCFA']]]&lt;X$10,_xlfn.NORM.DIST(Table2912[[#This Row],[CH4 '[g/mmol SCFA']]],X$6,X$2,FALSE),-100)</f>
        <v>5.8312046831663945E-2</v>
      </c>
      <c r="BQ46">
        <f>IF(Table2912[[#This Row],[DMD '[mg/g']]]&gt;Y$10,_xlfn.NORM.DIST(Table2912[[#This Row],[DMD '[mg/g']]],Y$6,Y$2,FALSE),-100)</f>
        <v>-100</v>
      </c>
      <c r="BR46">
        <f>IF(Table2912[[#This Row],[CH4 '[ml/g']]]&lt;Z$10,_xlfn.NORM.DIST(Table2912[[#This Row],[CH4 '[ml/g']]],Z$6,Z$2,FALSE),-100)</f>
        <v>9.5588826130176621E-3</v>
      </c>
      <c r="BS46">
        <f>IF(Table2912[[#This Row],[CH4 '[% GP']]]&lt;AA$10,_xlfn.NORM.DIST(Table2912[[#This Row],[CH4 '[% GP']]],AA$6,AA$2,FALSE),-100)</f>
        <v>-100</v>
      </c>
      <c r="BT46">
        <f>IF(Table2912[[#This Row],[CH4 '[g/g DDM']]]&lt;AB$10,_xlfn.NORM.DIST(Table2912[[#This Row],[CH4 '[g/g DDM']]],AB$6,AB$2,FALSE),-100)</f>
        <v>-100</v>
      </c>
      <c r="CJ46" t="str">
        <v>Centrosema  pascuorum</v>
      </c>
      <c r="CL46" t="str">
        <v>Centrosema  pascuorum</v>
      </c>
    </row>
    <row r="47" spans="1:90" x14ac:dyDescent="0.25">
      <c r="A47" s="12" t="s">
        <v>86</v>
      </c>
      <c r="B47" s="13">
        <v>1059</v>
      </c>
      <c r="C47" s="104" t="s">
        <v>120</v>
      </c>
      <c r="D47" s="104" t="s">
        <v>121</v>
      </c>
      <c r="E47" s="104" t="s">
        <v>122</v>
      </c>
      <c r="F47" s="104" t="s">
        <v>123</v>
      </c>
      <c r="G47" s="23" t="s">
        <v>73</v>
      </c>
      <c r="H47" s="23" t="s">
        <v>74</v>
      </c>
      <c r="I47" s="105" t="s">
        <v>44</v>
      </c>
      <c r="J47" s="70">
        <v>2</v>
      </c>
      <c r="K47" s="70"/>
      <c r="L47" s="70"/>
      <c r="M47" t="s">
        <v>123</v>
      </c>
      <c r="N47" t="s">
        <v>124</v>
      </c>
      <c r="O47" s="18">
        <v>163.80556647020271</v>
      </c>
      <c r="P47" s="18">
        <v>4.4713553182430221</v>
      </c>
      <c r="Q47" s="97">
        <v>0.62076119803248009</v>
      </c>
      <c r="R47" s="97">
        <v>0.21458944190663676</v>
      </c>
      <c r="S47" s="97">
        <v>8.5430727579991303E-2</v>
      </c>
      <c r="T47" s="97">
        <v>1.9396827357218156E-2</v>
      </c>
      <c r="U47" s="97">
        <v>1.9115290485434405E-3</v>
      </c>
      <c r="V47" s="97">
        <v>2.0304326933476124E-2</v>
      </c>
      <c r="W47" s="97">
        <v>3.7605949141654174E-2</v>
      </c>
      <c r="X47" s="51">
        <f t="shared" si="5"/>
        <v>7.7352356972389211</v>
      </c>
      <c r="Y47" s="18">
        <v>520.09440629721132</v>
      </c>
      <c r="Z47" s="18">
        <v>34.58698727271252</v>
      </c>
      <c r="AA47" s="18">
        <f t="shared" si="6"/>
        <v>21.114659298836536</v>
      </c>
      <c r="AB47" s="18">
        <f t="shared" si="7"/>
        <v>66.501363702318997</v>
      </c>
      <c r="AC47" s="18">
        <f>$CP$15*Table2912[[#This Row],[DMD '[mg/g']]]+$CS$15*Table2912[[#This Row],[CH4 '[ml/g']]]+$CR$15*Table2912[[#This Row],[CH4 '[% GP']]]+$CQ$15*Table2912[[#This Row],[CH4 '[g/g DDM']]]</f>
        <v>-16.792746965477996</v>
      </c>
      <c r="AD47" s="18">
        <f>_xlfn.RANK.AVG(Table2912[[#This Row],[Index]],Table2912[Index])</f>
        <v>506</v>
      </c>
      <c r="AE4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4.117140664595647</v>
      </c>
      <c r="AF47" s="18">
        <f>Table2912[[#This Row],[CH4 '[ml/g']]]/Table2912[[#This Row],[APB]]</f>
        <v>8.4007300430939686</v>
      </c>
      <c r="AG47" s="18">
        <f>Table2912[[#This Row],[Propionate '[%']]]/Table2912[[#This Row],[Acetate '[%']]]</f>
        <v>0.34568758902261282</v>
      </c>
      <c r="AH47" s="51"/>
      <c r="AI47" s="18"/>
      <c r="AJ47" s="18"/>
      <c r="AK47" s="18">
        <f>(Table2912[[#This Row],[DMD '[mg/g']]]-$AK$15)/$AK$15*100</f>
        <v>6.0791245032243344</v>
      </c>
      <c r="AL47" s="18">
        <f>(Table2912[[#This Row],[CH4 '[ml/g']]]-AL$15)/AL$15*100</f>
        <v>-12.064465487167052</v>
      </c>
      <c r="AM47" s="18">
        <f>(Table2912[[#This Row],[CH4 '[% GP']]]-AM$15)/AM$15*100</f>
        <v>36.027432367258378</v>
      </c>
      <c r="AN47" s="18">
        <f>(Table2912[[#This Row],[CH4 '[g/g DDM']]]-AN$15)/AN$15*100</f>
        <v>29.846103285204823</v>
      </c>
      <c r="AO47" s="18"/>
      <c r="AP47" s="18"/>
      <c r="AR47">
        <f>_xlfn.NORM.DIST(Table2912[[#This Row],[GP '[ml/g']]],O$6,O$2,FALSE)</f>
        <v>1.7069683617755463E-3</v>
      </c>
      <c r="AS47">
        <f>_xlfn.NORM.DIST(Table2912[[#This Row],[SCFA '[mmol/g']]],P$6,P$2,FALSE)</f>
        <v>7.5379185298169324E-2</v>
      </c>
      <c r="AT47">
        <f>_xlfn.NORM.DIST(Table2912[[#This Row],[Acetate '[%']]],Q$6,Q$2,FALSE)</f>
        <v>2.5756788941824595</v>
      </c>
      <c r="AU47">
        <f>_xlfn.NORM.DIST(Table2912[[#This Row],[Propionate '[%']]],R$6,R$2,FALSE)</f>
        <v>3.3341646752875449</v>
      </c>
      <c r="AV47">
        <f>_xlfn.NORM.DIST(Table2912[[#This Row],[Butyrate '[%']]],S$6,S$2,FALSE)</f>
        <v>20.974260967288672</v>
      </c>
      <c r="AW47">
        <f>_xlfn.NORM.DIST(Table2912[[#This Row],[Valerate '[%']]],T$6,T$2,FALSE)</f>
        <v>73.119612041003407</v>
      </c>
      <c r="AX47">
        <f>_xlfn.NORM.DIST(Table2912[[#This Row],[Caproate '[%']]],U$6,U$2,FALSE)</f>
        <v>341.90634775893039</v>
      </c>
      <c r="AY47">
        <f>_xlfn.NORM.DIST(Table2912[[#This Row],[Isobutyrate '[%']]],V$6,V$2,FALSE)</f>
        <v>47.7773104650853</v>
      </c>
      <c r="AZ47">
        <f>_xlfn.NORM.DIST(Table2912[[#This Row],[Isovalerate '[%']]],W$6,W$2,FALSE)</f>
        <v>24.649063839517851</v>
      </c>
      <c r="BA47">
        <f>_xlfn.NORM.DIST(Table2912[[#This Row],[CH4 '[g/mmol SCFA']]],X$6,X$2,FALSE)</f>
        <v>0.16548013397643269</v>
      </c>
      <c r="BB47">
        <f>_xlfn.NORM.DIST(Table2912[[#This Row],[DMD '[mg/g']]],Y$6,Y$2,FALSE)</f>
        <v>5.07036606625412E-4</v>
      </c>
      <c r="BC47">
        <f>_xlfn.NORM.DIST(Table2912[[#This Row],[CH4 '[ml/g']]],Z$6,Z$2,FALSE)</f>
        <v>2.8448842626645245E-2</v>
      </c>
      <c r="BD47">
        <f>_xlfn.NORM.DIST(Table2912[[#This Row],[CH4 '[% GP']]],AA$6,AA$2,FALSE)</f>
        <v>3.1538670823074516E-2</v>
      </c>
      <c r="BE47">
        <f>_xlfn.NORM.DIST(Table2912[[#This Row],[CH4 '[g/g DDM']]],AB$6,AB$2,FALSE)</f>
        <v>1.8282711652344241E-2</v>
      </c>
      <c r="BG47">
        <f>IF(Table2912[[#This Row],[GP '[ml/g']]]&lt;O$10,_xlfn.NORM.DIST(Table2912[[#This Row],[GP '[ml/g']]],O$6,O$2,FALSE),-100)</f>
        <v>1.7069683617755463E-3</v>
      </c>
      <c r="BH47">
        <f>IF(Table2912[[#This Row],[SCFA '[mmol/g']]]&lt;P$10,_xlfn.NORM.DIST(Table2912[[#This Row],[SCFA '[mmol/g']]],P$6,P$2,FALSE),-100)</f>
        <v>7.5379185298169324E-2</v>
      </c>
      <c r="BI47">
        <f>IF(Table2912[[#This Row],[Acetate '[%']]]&lt;Q$10,_xlfn.NORM.DIST(Table2912[[#This Row],[Acetate '[%']]],Q$6,Q$2,FALSE),-100)</f>
        <v>2.5756788941824595</v>
      </c>
      <c r="BJ47">
        <f>IF(Table2912[[#This Row],[Propionate '[%']]]&lt;R$10,_xlfn.NORM.DIST(Table2912[[#This Row],[Propionate '[%']]],R$6,R$2,FALSE),-100)</f>
        <v>-100</v>
      </c>
      <c r="BK47">
        <f>IF(Table2912[[#This Row],[Butyrate '[%']]]&lt;S$10,_xlfn.NORM.DIST(Table2912[[#This Row],[Butyrate '[%']]],S$6,S$2,FALSE),-100)</f>
        <v>-100</v>
      </c>
      <c r="BL47">
        <f>IF(Table2912[[#This Row],[Valerate '[%']]]&lt;T$10,_xlfn.NORM.DIST(Table2912[[#This Row],[Valerate '[%']]],T$6,T$2,FALSE),-100)</f>
        <v>-100</v>
      </c>
      <c r="BM47">
        <f>IF(Table2912[[#This Row],[Caproate '[%']]]&lt;U$10,_xlfn.NORM.DIST(Table2912[[#This Row],[Caproate '[%']]],U$6,U$2,FALSE),-100)</f>
        <v>-100</v>
      </c>
      <c r="BN47">
        <f>IF(Table2912[[#This Row],[Isobutyrate '[%']]]&lt;V$10,_xlfn.NORM.DIST(Table2912[[#This Row],[Isobutyrate '[%']]],V$6,V$2,FALSE),-100)</f>
        <v>-100</v>
      </c>
      <c r="BO47">
        <f>IF(Table2912[[#This Row],[Isovalerate '[%']]]&lt;W$10,_xlfn.NORM.DIST(Table2912[[#This Row],[Isovalerate '[%']]],W$6,W$2,FALSE),-100)</f>
        <v>-100</v>
      </c>
      <c r="BP47">
        <f>IF(Table2912[[#This Row],[CH4 '[g/mmol SCFA']]]&lt;X$10,_xlfn.NORM.DIST(Table2912[[#This Row],[CH4 '[g/mmol SCFA']]],X$6,X$2,FALSE),-100)</f>
        <v>-100</v>
      </c>
      <c r="BQ47">
        <f>IF(Table2912[[#This Row],[DMD '[mg/g']]]&gt;Y$10,_xlfn.NORM.DIST(Table2912[[#This Row],[DMD '[mg/g']]],Y$6,Y$2,FALSE),-100)</f>
        <v>-100</v>
      </c>
      <c r="BR47">
        <f>IF(Table2912[[#This Row],[CH4 '[ml/g']]]&lt;Z$10,_xlfn.NORM.DIST(Table2912[[#This Row],[CH4 '[ml/g']]],Z$6,Z$2,FALSE),-100)</f>
        <v>-100</v>
      </c>
      <c r="BS47">
        <f>IF(Table2912[[#This Row],[CH4 '[% GP']]]&lt;AA$10,_xlfn.NORM.DIST(Table2912[[#This Row],[CH4 '[% GP']]],AA$6,AA$2,FALSE),-100)</f>
        <v>-100</v>
      </c>
      <c r="BT47">
        <f>IF(Table2912[[#This Row],[CH4 '[g/g DDM']]]&lt;AB$10,_xlfn.NORM.DIST(Table2912[[#This Row],[CH4 '[g/g DDM']]],AB$6,AB$2,FALSE),-100)</f>
        <v>-100</v>
      </c>
      <c r="CJ47" t="str">
        <v>Trifolium pratense-292</v>
      </c>
      <c r="CL47" t="str">
        <v>Trifolium pratense-292</v>
      </c>
    </row>
    <row r="48" spans="1:90" x14ac:dyDescent="0.25">
      <c r="A48" s="12" t="s">
        <v>70</v>
      </c>
      <c r="B48" s="13">
        <v>1019</v>
      </c>
      <c r="C48" s="96" t="s">
        <v>118</v>
      </c>
      <c r="D48" s="96"/>
      <c r="E48" s="96"/>
      <c r="F48" s="96" t="s">
        <v>119</v>
      </c>
      <c r="G48" s="15" t="s">
        <v>73</v>
      </c>
      <c r="H48" s="15" t="s">
        <v>74</v>
      </c>
      <c r="I48" t="s">
        <v>75</v>
      </c>
      <c r="J48" s="70">
        <v>2</v>
      </c>
      <c r="K48" s="70"/>
      <c r="L48" s="70"/>
      <c r="M48" t="s">
        <v>119</v>
      </c>
      <c r="N48" t="s">
        <v>80</v>
      </c>
      <c r="O48" s="18">
        <v>168.30227976980902</v>
      </c>
      <c r="P48" s="18">
        <v>4.1678035333413819</v>
      </c>
      <c r="Q48" s="97">
        <v>0.71445322244531062</v>
      </c>
      <c r="R48" s="97">
        <v>0.1663291140409377</v>
      </c>
      <c r="S48" s="97">
        <v>7.8151208602197736E-2</v>
      </c>
      <c r="T48" s="97">
        <v>1.058125354165337E-2</v>
      </c>
      <c r="U48" s="97">
        <v>4.6305329576388392E-4</v>
      </c>
      <c r="V48" s="97">
        <v>1.0646553857769411E-2</v>
      </c>
      <c r="W48" s="97">
        <v>1.9375594216367246E-2</v>
      </c>
      <c r="X48" s="51">
        <f t="shared" si="5"/>
        <v>4.3223623410107601</v>
      </c>
      <c r="Y48" s="18">
        <v>520.58345449996227</v>
      </c>
      <c r="Z48" s="18">
        <v>18.014757037246373</v>
      </c>
      <c r="AA48" s="18">
        <f t="shared" si="6"/>
        <v>10.703810466433122</v>
      </c>
      <c r="AB48" s="18">
        <f t="shared" si="7"/>
        <v>34.604935830221777</v>
      </c>
      <c r="AC48" s="18">
        <f>$CP$15*Table2912[[#This Row],[DMD '[mg/g']]]+$CS$15*Table2912[[#This Row],[CH4 '[ml/g']]]+$CR$15*Table2912[[#This Row],[CH4 '[% GP']]]+$CQ$15*Table2912[[#This Row],[CH4 '[g/g DDM']]]</f>
        <v>4.7407640553465775</v>
      </c>
      <c r="AD48" s="18">
        <f>_xlfn.RANK.AVG(Table2912[[#This Row],[Index]],Table2912[Index])</f>
        <v>409</v>
      </c>
      <c r="AE4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3.996646617459203</v>
      </c>
      <c r="AF48" s="18">
        <f>Table2912[[#This Row],[CH4 '[ml/g']]]/Table2912[[#This Row],[APB]]</f>
        <v>4.5074680754984868</v>
      </c>
      <c r="AG48" s="18">
        <f>Table2912[[#This Row],[Propionate '[%']]]/Table2912[[#This Row],[Acetate '[%']]]</f>
        <v>0.23280616395241988</v>
      </c>
      <c r="AH48" s="51"/>
      <c r="AI48" s="18"/>
      <c r="AJ48" s="18"/>
      <c r="AK48" s="18">
        <f>(Table2912[[#This Row],[DMD '[mg/g']]]-$AK$15)/$AK$15*100</f>
        <v>6.1788714040938091</v>
      </c>
      <c r="AL48" s="18">
        <f>(Table2912[[#This Row],[CH4 '[ml/g']]]-AL$15)/AL$15*100</f>
        <v>-54.198459764696324</v>
      </c>
      <c r="AM48" s="18">
        <f>(Table2912[[#This Row],[CH4 '[% GP']]]-AM$15)/AM$15*100</f>
        <v>-31.042607238521093</v>
      </c>
      <c r="AN48" s="18">
        <f>(Table2912[[#This Row],[CH4 '[g/g DDM']]]-AN$15)/AN$15*100</f>
        <v>-32.432722852085313</v>
      </c>
      <c r="AO48" s="18"/>
      <c r="AP48" s="18"/>
      <c r="AR48">
        <f>_xlfn.NORM.DIST(Table2912[[#This Row],[GP '[ml/g']]],O$6,O$2,FALSE)</f>
        <v>1.9661835820702672E-3</v>
      </c>
      <c r="AS48">
        <f>_xlfn.NORM.DIST(Table2912[[#This Row],[SCFA '[mmol/g']]],P$6,P$2,FALSE)</f>
        <v>4.7189829272861979E-2</v>
      </c>
      <c r="AT48">
        <f>_xlfn.NORM.DIST(Table2912[[#This Row],[Acetate '[%']]],Q$6,Q$2,FALSE)</f>
        <v>4.8803198777031325</v>
      </c>
      <c r="AU48">
        <f>_xlfn.NORM.DIST(Table2912[[#This Row],[Propionate '[%']]],R$6,R$2,FALSE)</f>
        <v>16.341028439754233</v>
      </c>
      <c r="AV48">
        <f>_xlfn.NORM.DIST(Table2912[[#This Row],[Butyrate '[%']]],S$6,S$2,FALSE)</f>
        <v>16.010952754297524</v>
      </c>
      <c r="AW48">
        <f>_xlfn.NORM.DIST(Table2912[[#This Row],[Valerate '[%']]],T$6,T$2,FALSE)</f>
        <v>30.151175099892519</v>
      </c>
      <c r="AX48">
        <f>_xlfn.NORM.DIST(Table2912[[#This Row],[Caproate '[%']]],U$6,U$2,FALSE)</f>
        <v>274.4773156438518</v>
      </c>
      <c r="AY48">
        <f>_xlfn.NORM.DIST(Table2912[[#This Row],[Isobutyrate '[%']]],V$6,V$2,FALSE)</f>
        <v>51.644501374457235</v>
      </c>
      <c r="AZ48">
        <f>_xlfn.NORM.DIST(Table2912[[#This Row],[Isovalerate '[%']]],W$6,W$2,FALSE)</f>
        <v>28.37644255510946</v>
      </c>
      <c r="BA48">
        <f>_xlfn.NORM.DIST(Table2912[[#This Row],[CH4 '[g/mmol SCFA']]],X$6,X$2,FALSE)</f>
        <v>0.10222745922703713</v>
      </c>
      <c r="BB48">
        <f>_xlfn.NORM.DIST(Table2912[[#This Row],[DMD '[mg/g']]],Y$6,Y$2,FALSE)</f>
        <v>5.1043499434567984E-4</v>
      </c>
      <c r="BC48">
        <f>_xlfn.NORM.DIST(Table2912[[#This Row],[CH4 '[ml/g']]],Z$6,Z$2,FALSE)</f>
        <v>4.8708798934494766E-3</v>
      </c>
      <c r="BD48">
        <f>_xlfn.NORM.DIST(Table2912[[#This Row],[CH4 '[% GP']]],AA$6,AA$2,FALSE)</f>
        <v>2.6112435888161926E-2</v>
      </c>
      <c r="BE48">
        <f>_xlfn.NORM.DIST(Table2912[[#This Row],[CH4 '[g/g DDM']]],AB$6,AB$2,FALSE)</f>
        <v>9.9752206863011374E-3</v>
      </c>
      <c r="BG48">
        <f>IF(Table2912[[#This Row],[GP '[ml/g']]]&lt;O$10,_xlfn.NORM.DIST(Table2912[[#This Row],[GP '[ml/g']]],O$6,O$2,FALSE),-100)</f>
        <v>1.9661835820702672E-3</v>
      </c>
      <c r="BH48">
        <f>IF(Table2912[[#This Row],[SCFA '[mmol/g']]]&lt;P$10,_xlfn.NORM.DIST(Table2912[[#This Row],[SCFA '[mmol/g']]],P$6,P$2,FALSE),-100)</f>
        <v>4.7189829272861979E-2</v>
      </c>
      <c r="BI48">
        <f>IF(Table2912[[#This Row],[Acetate '[%']]]&lt;Q$10,_xlfn.NORM.DIST(Table2912[[#This Row],[Acetate '[%']]],Q$6,Q$2,FALSE),-100)</f>
        <v>-100</v>
      </c>
      <c r="BJ48">
        <f>IF(Table2912[[#This Row],[Propionate '[%']]]&lt;R$10,_xlfn.NORM.DIST(Table2912[[#This Row],[Propionate '[%']]],R$6,R$2,FALSE),-100)</f>
        <v>-100</v>
      </c>
      <c r="BK48">
        <f>IF(Table2912[[#This Row],[Butyrate '[%']]]&lt;S$10,_xlfn.NORM.DIST(Table2912[[#This Row],[Butyrate '[%']]],S$6,S$2,FALSE),-100)</f>
        <v>-100</v>
      </c>
      <c r="BL48">
        <f>IF(Table2912[[#This Row],[Valerate '[%']]]&lt;T$10,_xlfn.NORM.DIST(Table2912[[#This Row],[Valerate '[%']]],T$6,T$2,FALSE),-100)</f>
        <v>30.151175099892519</v>
      </c>
      <c r="BM48">
        <f>IF(Table2912[[#This Row],[Caproate '[%']]]&lt;U$10,_xlfn.NORM.DIST(Table2912[[#This Row],[Caproate '[%']]],U$6,U$2,FALSE),-100)</f>
        <v>-100</v>
      </c>
      <c r="BN48">
        <f>IF(Table2912[[#This Row],[Isobutyrate '[%']]]&lt;V$10,_xlfn.NORM.DIST(Table2912[[#This Row],[Isobutyrate '[%']]],V$6,V$2,FALSE),-100)</f>
        <v>51.644501374457235</v>
      </c>
      <c r="BO48">
        <f>IF(Table2912[[#This Row],[Isovalerate '[%']]]&lt;W$10,_xlfn.NORM.DIST(Table2912[[#This Row],[Isovalerate '[%']]],W$6,W$2,FALSE),-100)</f>
        <v>-100</v>
      </c>
      <c r="BP48">
        <f>IF(Table2912[[#This Row],[CH4 '[g/mmol SCFA']]]&lt;X$10,_xlfn.NORM.DIST(Table2912[[#This Row],[CH4 '[g/mmol SCFA']]],X$6,X$2,FALSE),-100)</f>
        <v>0.10222745922703713</v>
      </c>
      <c r="BQ48">
        <f>IF(Table2912[[#This Row],[DMD '[mg/g']]]&gt;Y$10,_xlfn.NORM.DIST(Table2912[[#This Row],[DMD '[mg/g']]],Y$6,Y$2,FALSE),-100)</f>
        <v>-100</v>
      </c>
      <c r="BR48">
        <f>IF(Table2912[[#This Row],[CH4 '[ml/g']]]&lt;Z$10,_xlfn.NORM.DIST(Table2912[[#This Row],[CH4 '[ml/g']]],Z$6,Z$2,FALSE),-100)</f>
        <v>4.8708798934494766E-3</v>
      </c>
      <c r="BS48">
        <f>IF(Table2912[[#This Row],[CH4 '[% GP']]]&lt;AA$10,_xlfn.NORM.DIST(Table2912[[#This Row],[CH4 '[% GP']]],AA$6,AA$2,FALSE),-100)</f>
        <v>2.6112435888161926E-2</v>
      </c>
      <c r="BT48">
        <f>IF(Table2912[[#This Row],[CH4 '[g/g DDM']]]&lt;AB$10,_xlfn.NORM.DIST(Table2912[[#This Row],[CH4 '[g/g DDM']]],AB$6,AB$2,FALSE),-100)</f>
        <v>9.9752206863011374E-3</v>
      </c>
      <c r="CJ48" t="str">
        <v xml:space="preserve">Stylosanthes guianensis  </v>
      </c>
      <c r="CL48" t="str">
        <v xml:space="preserve">Stylosanthes guianensis  </v>
      </c>
    </row>
    <row r="49" spans="1:90" x14ac:dyDescent="0.25">
      <c r="A49" s="12" t="s">
        <v>86</v>
      </c>
      <c r="B49" s="13">
        <v>1052</v>
      </c>
      <c r="C49" s="104" t="s">
        <v>102</v>
      </c>
      <c r="D49" s="104" t="s">
        <v>103</v>
      </c>
      <c r="E49" s="104" t="s">
        <v>104</v>
      </c>
      <c r="F49" s="104" t="s">
        <v>105</v>
      </c>
      <c r="G49" s="23" t="s">
        <v>73</v>
      </c>
      <c r="H49" s="23" t="s">
        <v>74</v>
      </c>
      <c r="I49" s="104" t="s">
        <v>106</v>
      </c>
      <c r="J49" s="70">
        <v>3</v>
      </c>
      <c r="K49" s="70"/>
      <c r="L49" s="70"/>
      <c r="M49" t="s">
        <v>105</v>
      </c>
      <c r="N49" t="s">
        <v>98</v>
      </c>
      <c r="O49" s="18">
        <v>175.13788276465471</v>
      </c>
      <c r="P49" s="18">
        <v>5.5162747958298031</v>
      </c>
      <c r="Q49" s="97">
        <v>0.69034584378003294</v>
      </c>
      <c r="R49" s="97">
        <v>0.17835799982243827</v>
      </c>
      <c r="S49" s="97">
        <v>6.0260275597457225E-2</v>
      </c>
      <c r="T49" s="97">
        <v>2.2660431419899846E-2</v>
      </c>
      <c r="U49" s="97">
        <v>9.7212767348136588E-4</v>
      </c>
      <c r="V49" s="97">
        <v>1.6894015575502783E-2</v>
      </c>
      <c r="W49" s="97">
        <v>3.0509306131187498E-2</v>
      </c>
      <c r="X49" s="51">
        <f t="shared" si="5"/>
        <v>7.45339532030928</v>
      </c>
      <c r="Y49" s="18">
        <v>521.06883053960883</v>
      </c>
      <c r="Z49" s="18">
        <v>41.114976748777885</v>
      </c>
      <c r="AA49" s="18">
        <f t="shared" si="6"/>
        <v>23.475775828595015</v>
      </c>
      <c r="AB49" s="18">
        <f t="shared" si="7"/>
        <v>78.905078060800548</v>
      </c>
      <c r="AC49" s="18">
        <f>$CP$15*Table2912[[#This Row],[DMD '[mg/g']]]+$CS$15*Table2912[[#This Row],[CH4 '[ml/g']]]+$CR$15*Table2912[[#This Row],[CH4 '[% GP']]]+$CQ$15*Table2912[[#This Row],[CH4 '[g/g DDM']]]</f>
        <v>-24.54786978541437</v>
      </c>
      <c r="AD49" s="18">
        <f>_xlfn.RANK.AVG(Table2912[[#This Row],[Index]],Table2912[Index])</f>
        <v>512</v>
      </c>
      <c r="AE4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5.1244213569727979</v>
      </c>
      <c r="AF49" s="18">
        <f>Table2912[[#This Row],[CH4 '[ml/g']]]/Table2912[[#This Row],[APB]]</f>
        <v>8.0233403704854904</v>
      </c>
      <c r="AG49" s="18">
        <f>Table2912[[#This Row],[Propionate '[%']]]/Table2912[[#This Row],[Acetate '[%']]]</f>
        <v>0.25836035869474872</v>
      </c>
      <c r="AH49" s="51"/>
      <c r="AI49" s="18"/>
      <c r="AJ49" s="18"/>
      <c r="AK49" s="18">
        <f>(Table2912[[#This Row],[DMD '[mg/g']]]-$AK$15)/$AK$15*100</f>
        <v>6.2778693258502019</v>
      </c>
      <c r="AL49" s="18">
        <f>(Table2912[[#This Row],[CH4 '[ml/g']]]-AL$15)/AL$15*100</f>
        <v>4.5325928037367085</v>
      </c>
      <c r="AM49" s="18">
        <f>(Table2912[[#This Row],[CH4 '[% GP']]]-AM$15)/AM$15*100</f>
        <v>51.238505135107161</v>
      </c>
      <c r="AN49" s="18">
        <f>(Table2912[[#This Row],[CH4 '[g/g DDM']]]-AN$15)/AN$15*100</f>
        <v>54.064764167423853</v>
      </c>
      <c r="AO49" s="18"/>
      <c r="AP49" s="18"/>
      <c r="AR49">
        <f>_xlfn.NORM.DIST(Table2912[[#This Row],[GP '[ml/g']]],O$6,O$2,FALSE)</f>
        <v>2.4046118151180929E-3</v>
      </c>
      <c r="AS49">
        <f>_xlfn.NORM.DIST(Table2912[[#This Row],[SCFA '[mmol/g']]],P$6,P$2,FALSE)</f>
        <v>0.2315131067936132</v>
      </c>
      <c r="AT49">
        <f>_xlfn.NORM.DIST(Table2912[[#This Row],[Acetate '[%']]],Q$6,Q$2,FALSE)</f>
        <v>11.677542630774509</v>
      </c>
      <c r="AU49">
        <f>_xlfn.NORM.DIST(Table2912[[#This Row],[Propionate '[%']]],R$6,R$2,FALSE)</f>
        <v>16.176093285721876</v>
      </c>
      <c r="AV49">
        <f>_xlfn.NORM.DIST(Table2912[[#This Row],[Butyrate '[%']]],S$6,S$2,FALSE)</f>
        <v>3.8934111972872882</v>
      </c>
      <c r="AW49">
        <f>_xlfn.NORM.DIST(Table2912[[#This Row],[Valerate '[%']]],T$6,T$2,FALSE)</f>
        <v>48.337580199154182</v>
      </c>
      <c r="AX49">
        <f>_xlfn.NORM.DIST(Table2912[[#This Row],[Caproate '[%']]],U$6,U$2,FALSE)</f>
        <v>380.2528865275778</v>
      </c>
      <c r="AY49">
        <f>_xlfn.NORM.DIST(Table2912[[#This Row],[Isobutyrate '[%']]],V$6,V$2,FALSE)</f>
        <v>84.614953563295543</v>
      </c>
      <c r="AZ49">
        <f>_xlfn.NORM.DIST(Table2912[[#This Row],[Isovalerate '[%']]],W$6,W$2,FALSE)</f>
        <v>43.460793450079528</v>
      </c>
      <c r="BA49">
        <f>_xlfn.NORM.DIST(Table2912[[#This Row],[CH4 '[g/mmol SCFA']]],X$6,X$2,FALSE)</f>
        <v>0.20321990825344122</v>
      </c>
      <c r="BB49">
        <f>_xlfn.NORM.DIST(Table2912[[#This Row],[DMD '[mg/g']]],Y$6,Y$2,FALSE)</f>
        <v>5.1382389341367198E-4</v>
      </c>
      <c r="BC49">
        <f>_xlfn.NORM.DIST(Table2912[[#This Row],[CH4 '[ml/g']]],Z$6,Z$2,FALSE)</f>
        <v>3.3496555059369625E-2</v>
      </c>
      <c r="BD49">
        <f>_xlfn.NORM.DIST(Table2912[[#This Row],[CH4 '[% GP']]],AA$6,AA$2,FALSE)</f>
        <v>5.8983085868126216E-3</v>
      </c>
      <c r="BE49">
        <f>_xlfn.NORM.DIST(Table2912[[#This Row],[CH4 '[g/g DDM']]],AB$6,AB$2,FALSE)</f>
        <v>3.5911273852563593E-3</v>
      </c>
      <c r="BG49">
        <f>IF(Table2912[[#This Row],[GP '[ml/g']]]&lt;O$10,_xlfn.NORM.DIST(Table2912[[#This Row],[GP '[ml/g']]],O$6,O$2,FALSE),-100)</f>
        <v>2.4046118151180929E-3</v>
      </c>
      <c r="BH49">
        <f>IF(Table2912[[#This Row],[SCFA '[mmol/g']]]&lt;P$10,_xlfn.NORM.DIST(Table2912[[#This Row],[SCFA '[mmol/g']]],P$6,P$2,FALSE),-100)</f>
        <v>-100</v>
      </c>
      <c r="BI49">
        <f>IF(Table2912[[#This Row],[Acetate '[%']]]&lt;Q$10,_xlfn.NORM.DIST(Table2912[[#This Row],[Acetate '[%']]],Q$6,Q$2,FALSE),-100)</f>
        <v>-100</v>
      </c>
      <c r="BJ49">
        <f>IF(Table2912[[#This Row],[Propionate '[%']]]&lt;R$10,_xlfn.NORM.DIST(Table2912[[#This Row],[Propionate '[%']]],R$6,R$2,FALSE),-100)</f>
        <v>-100</v>
      </c>
      <c r="BK49">
        <f>IF(Table2912[[#This Row],[Butyrate '[%']]]&lt;S$10,_xlfn.NORM.DIST(Table2912[[#This Row],[Butyrate '[%']]],S$6,S$2,FALSE),-100)</f>
        <v>3.8934111972872882</v>
      </c>
      <c r="BL49">
        <f>IF(Table2912[[#This Row],[Valerate '[%']]]&lt;T$10,_xlfn.NORM.DIST(Table2912[[#This Row],[Valerate '[%']]],T$6,T$2,FALSE),-100)</f>
        <v>-100</v>
      </c>
      <c r="BM49">
        <f>IF(Table2912[[#This Row],[Caproate '[%']]]&lt;U$10,_xlfn.NORM.DIST(Table2912[[#This Row],[Caproate '[%']]],U$6,U$2,FALSE),-100)</f>
        <v>-100</v>
      </c>
      <c r="BN49">
        <f>IF(Table2912[[#This Row],[Isobutyrate '[%']]]&lt;V$10,_xlfn.NORM.DIST(Table2912[[#This Row],[Isobutyrate '[%']]],V$6,V$2,FALSE),-100)</f>
        <v>-100</v>
      </c>
      <c r="BO49">
        <f>IF(Table2912[[#This Row],[Isovalerate '[%']]]&lt;W$10,_xlfn.NORM.DIST(Table2912[[#This Row],[Isovalerate '[%']]],W$6,W$2,FALSE),-100)</f>
        <v>-100</v>
      </c>
      <c r="BP49">
        <f>IF(Table2912[[#This Row],[CH4 '[g/mmol SCFA']]]&lt;X$10,_xlfn.NORM.DIST(Table2912[[#This Row],[CH4 '[g/mmol SCFA']]],X$6,X$2,FALSE),-100)</f>
        <v>-100</v>
      </c>
      <c r="BQ49">
        <f>IF(Table2912[[#This Row],[DMD '[mg/g']]]&gt;Y$10,_xlfn.NORM.DIST(Table2912[[#This Row],[DMD '[mg/g']]],Y$6,Y$2,FALSE),-100)</f>
        <v>-100</v>
      </c>
      <c r="BR49">
        <f>IF(Table2912[[#This Row],[CH4 '[ml/g']]]&lt;Z$10,_xlfn.NORM.DIST(Table2912[[#This Row],[CH4 '[ml/g']]],Z$6,Z$2,FALSE),-100)</f>
        <v>-100</v>
      </c>
      <c r="BS49">
        <f>IF(Table2912[[#This Row],[CH4 '[% GP']]]&lt;AA$10,_xlfn.NORM.DIST(Table2912[[#This Row],[CH4 '[% GP']]],AA$6,AA$2,FALSE),-100)</f>
        <v>-100</v>
      </c>
      <c r="BT49">
        <f>IF(Table2912[[#This Row],[CH4 '[g/g DDM']]]&lt;AB$10,_xlfn.NORM.DIST(Table2912[[#This Row],[CH4 '[g/g DDM']]],AB$6,AB$2,FALSE),-100)</f>
        <v>-100</v>
      </c>
      <c r="CJ49" t="str">
        <v>Canavalia ensiformis</v>
      </c>
      <c r="CL49" t="str">
        <v>Canavalia ensiformis</v>
      </c>
    </row>
    <row r="50" spans="1:90" ht="15" customHeight="1" x14ac:dyDescent="0.25">
      <c r="A50" s="12" t="s">
        <v>86</v>
      </c>
      <c r="B50" s="13">
        <v>1073</v>
      </c>
      <c r="C50" s="104" t="s">
        <v>125</v>
      </c>
      <c r="D50" s="104" t="s">
        <v>126</v>
      </c>
      <c r="E50" s="104" t="s">
        <v>127</v>
      </c>
      <c r="F50" s="104" t="s">
        <v>128</v>
      </c>
      <c r="G50" s="23" t="s">
        <v>73</v>
      </c>
      <c r="H50" s="23" t="s">
        <v>74</v>
      </c>
      <c r="I50" s="105" t="s">
        <v>44</v>
      </c>
      <c r="J50" s="70">
        <v>3</v>
      </c>
      <c r="K50" s="70"/>
      <c r="L50" s="70"/>
      <c r="M50" t="s">
        <v>128</v>
      </c>
      <c r="N50" t="s">
        <v>98</v>
      </c>
      <c r="O50" s="18">
        <v>167.25676567656765</v>
      </c>
      <c r="P50" s="18">
        <v>5.2135492517505719</v>
      </c>
      <c r="Q50" s="97">
        <v>0.71953521589837688</v>
      </c>
      <c r="R50" s="97">
        <v>0.16328164524084188</v>
      </c>
      <c r="S50" s="97">
        <v>7.0243916754810995E-2</v>
      </c>
      <c r="T50" s="97">
        <v>1.1083488364858769E-2</v>
      </c>
      <c r="U50" s="97">
        <v>6.9636767800158482E-4</v>
      </c>
      <c r="V50" s="97">
        <v>1.3225454510926424E-2</v>
      </c>
      <c r="W50" s="97">
        <v>2.1933911552183563E-2</v>
      </c>
      <c r="X50" s="51">
        <f t="shared" si="5"/>
        <v>5.6577586071194759</v>
      </c>
      <c r="Y50" s="18">
        <v>526.83657254614354</v>
      </c>
      <c r="Z50" s="18">
        <v>29.497003152733104</v>
      </c>
      <c r="AA50" s="18">
        <f t="shared" si="6"/>
        <v>17.635760821641654</v>
      </c>
      <c r="AB50" s="18">
        <f t="shared" si="7"/>
        <v>55.988905649008593</v>
      </c>
      <c r="AC50" s="18">
        <f>$CP$15*Table2912[[#This Row],[DMD '[mg/g']]]+$CS$15*Table2912[[#This Row],[CH4 '[ml/g']]]+$CR$15*Table2912[[#This Row],[CH4 '[% GP']]]+$CQ$15*Table2912[[#This Row],[CH4 '[g/g DDM']]]</f>
        <v>-9.1096642198008979</v>
      </c>
      <c r="AD50" s="18">
        <f>_xlfn.RANK.AVG(Table2912[[#This Row],[Index]],Table2912[Index])</f>
        <v>490</v>
      </c>
      <c r="AE5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4.9688293054622363</v>
      </c>
      <c r="AF50" s="18">
        <f>Table2912[[#This Row],[CH4 '[ml/g']]]/Table2912[[#This Row],[APB]]</f>
        <v>5.9364090290457421</v>
      </c>
      <c r="AG50" s="18">
        <f>Table2912[[#This Row],[Propionate '[%']]]/Table2912[[#This Row],[Acetate '[%']]]</f>
        <v>0.22692655151975613</v>
      </c>
      <c r="AH50" s="51"/>
      <c r="AI50" s="18"/>
      <c r="AJ50" s="18"/>
      <c r="AK50" s="18">
        <f>(Table2912[[#This Row],[DMD '[mg/g']]]-$AK$15)/$AK$15*100</f>
        <v>7.4542654089567657</v>
      </c>
      <c r="AL50" s="18">
        <f>(Table2912[[#This Row],[CH4 '[ml/g']]]-AL$15)/AL$15*100</f>
        <v>-25.005473350125644</v>
      </c>
      <c r="AM50" s="18">
        <f>(Table2912[[#This Row],[CH4 '[% GP']]]-AM$15)/AM$15*100</f>
        <v>13.615248461204979</v>
      </c>
      <c r="AN50" s="18">
        <f>(Table2912[[#This Row],[CH4 '[g/g DDM']]]-AN$15)/AN$15*100</f>
        <v>9.3201826397019349</v>
      </c>
      <c r="AO50" s="18"/>
      <c r="AP50" s="18"/>
      <c r="AR50">
        <f>_xlfn.NORM.DIST(Table2912[[#This Row],[GP '[ml/g']]],O$6,O$2,FALSE)</f>
        <v>1.9038114881273281E-3</v>
      </c>
      <c r="AS50">
        <f>_xlfn.NORM.DIST(Table2912[[#This Row],[SCFA '[mmol/g']]],P$6,P$2,FALSE)</f>
        <v>0.18085589132023855</v>
      </c>
      <c r="AT50">
        <f>_xlfn.NORM.DIST(Table2912[[#This Row],[Acetate '[%']]],Q$6,Q$2,FALSE)</f>
        <v>3.7046878919649884</v>
      </c>
      <c r="AU50">
        <f>_xlfn.NORM.DIST(Table2912[[#This Row],[Propionate '[%']]],R$6,R$2,FALSE)</f>
        <v>15.729752045635307</v>
      </c>
      <c r="AV50">
        <f>_xlfn.NORM.DIST(Table2912[[#This Row],[Butyrate '[%']]],S$6,S$2,FALSE)</f>
        <v>9.7754071613678395</v>
      </c>
      <c r="AW50">
        <f>_xlfn.NORM.DIST(Table2912[[#This Row],[Valerate '[%']]],T$6,T$2,FALSE)</f>
        <v>34.304068598704639</v>
      </c>
      <c r="AX50">
        <f>_xlfn.NORM.DIST(Table2912[[#This Row],[Caproate '[%']]],U$6,U$2,FALSE)</f>
        <v>329.55102351469503</v>
      </c>
      <c r="AY50">
        <f>_xlfn.NORM.DIST(Table2912[[#This Row],[Isobutyrate '[%']]],V$6,V$2,FALSE)</f>
        <v>80.623306033111533</v>
      </c>
      <c r="AZ50">
        <f>_xlfn.NORM.DIST(Table2912[[#This Row],[Isovalerate '[%']]],W$6,W$2,FALSE)</f>
        <v>36.080826495342095</v>
      </c>
      <c r="BA50">
        <f>_xlfn.NORM.DIST(Table2912[[#This Row],[CH4 '[g/mmol SCFA']]],X$6,X$2,FALSE)</f>
        <v>0.26681711291627219</v>
      </c>
      <c r="BB50">
        <f>_xlfn.NORM.DIST(Table2912[[#This Row],[DMD '[mg/g']]],Y$6,Y$2,FALSE)</f>
        <v>5.5532341255548439E-4</v>
      </c>
      <c r="BC50">
        <f>_xlfn.NORM.DIST(Table2912[[#This Row],[CH4 '[ml/g']]],Z$6,Z$2,FALSE)</f>
        <v>2.0331812784261872E-2</v>
      </c>
      <c r="BD50">
        <f>_xlfn.NORM.DIST(Table2912[[#This Row],[CH4 '[% GP']]],AA$6,AA$2,FALSE)</f>
        <v>0.11710683401744834</v>
      </c>
      <c r="BE50">
        <f>_xlfn.NORM.DIST(Table2912[[#This Row],[CH4 '[g/g DDM']]],AB$6,AB$2,FALSE)</f>
        <v>3.2087924588021302E-2</v>
      </c>
      <c r="BG50">
        <f>IF(Table2912[[#This Row],[GP '[ml/g']]]&lt;O$10,_xlfn.NORM.DIST(Table2912[[#This Row],[GP '[ml/g']]],O$6,O$2,FALSE),-100)</f>
        <v>1.9038114881273281E-3</v>
      </c>
      <c r="BH50">
        <f>IF(Table2912[[#This Row],[SCFA '[mmol/g']]]&lt;P$10,_xlfn.NORM.DIST(Table2912[[#This Row],[SCFA '[mmol/g']]],P$6,P$2,FALSE),-100)</f>
        <v>0.18085589132023855</v>
      </c>
      <c r="BI50">
        <f>IF(Table2912[[#This Row],[Acetate '[%']]]&lt;Q$10,_xlfn.NORM.DIST(Table2912[[#This Row],[Acetate '[%']]],Q$6,Q$2,FALSE),-100)</f>
        <v>-100</v>
      </c>
      <c r="BJ50">
        <f>IF(Table2912[[#This Row],[Propionate '[%']]]&lt;R$10,_xlfn.NORM.DIST(Table2912[[#This Row],[Propionate '[%']]],R$6,R$2,FALSE),-100)</f>
        <v>-100</v>
      </c>
      <c r="BK50">
        <f>IF(Table2912[[#This Row],[Butyrate '[%']]]&lt;S$10,_xlfn.NORM.DIST(Table2912[[#This Row],[Butyrate '[%']]],S$6,S$2,FALSE),-100)</f>
        <v>9.7754071613678395</v>
      </c>
      <c r="BL50">
        <f>IF(Table2912[[#This Row],[Valerate '[%']]]&lt;T$10,_xlfn.NORM.DIST(Table2912[[#This Row],[Valerate '[%']]],T$6,T$2,FALSE),-100)</f>
        <v>34.304068598704639</v>
      </c>
      <c r="BM50">
        <f>IF(Table2912[[#This Row],[Caproate '[%']]]&lt;U$10,_xlfn.NORM.DIST(Table2912[[#This Row],[Caproate '[%']]],U$6,U$2,FALSE),-100)</f>
        <v>-100</v>
      </c>
      <c r="BN50">
        <f>IF(Table2912[[#This Row],[Isobutyrate '[%']]]&lt;V$10,_xlfn.NORM.DIST(Table2912[[#This Row],[Isobutyrate '[%']]],V$6,V$2,FALSE),-100)</f>
        <v>-100</v>
      </c>
      <c r="BO50">
        <f>IF(Table2912[[#This Row],[Isovalerate '[%']]]&lt;W$10,_xlfn.NORM.DIST(Table2912[[#This Row],[Isovalerate '[%']]],W$6,W$2,FALSE),-100)</f>
        <v>-100</v>
      </c>
      <c r="BP50">
        <f>IF(Table2912[[#This Row],[CH4 '[g/mmol SCFA']]]&lt;X$10,_xlfn.NORM.DIST(Table2912[[#This Row],[CH4 '[g/mmol SCFA']]],X$6,X$2,FALSE),-100)</f>
        <v>-100</v>
      </c>
      <c r="BQ50">
        <f>IF(Table2912[[#This Row],[DMD '[mg/g']]]&gt;Y$10,_xlfn.NORM.DIST(Table2912[[#This Row],[DMD '[mg/g']]],Y$6,Y$2,FALSE),-100)</f>
        <v>-100</v>
      </c>
      <c r="BR50">
        <f>IF(Table2912[[#This Row],[CH4 '[ml/g']]]&lt;Z$10,_xlfn.NORM.DIST(Table2912[[#This Row],[CH4 '[ml/g']]],Z$6,Z$2,FALSE),-100)</f>
        <v>-100</v>
      </c>
      <c r="BS50">
        <f>IF(Table2912[[#This Row],[CH4 '[% GP']]]&lt;AA$10,_xlfn.NORM.DIST(Table2912[[#This Row],[CH4 '[% GP']]],AA$6,AA$2,FALSE),-100)</f>
        <v>-100</v>
      </c>
      <c r="BT50">
        <f>IF(Table2912[[#This Row],[CH4 '[g/g DDM']]]&lt;AB$10,_xlfn.NORM.DIST(Table2912[[#This Row],[CH4 '[g/g DDM']]],AB$6,AB$2,FALSE),-100)</f>
        <v>-100</v>
      </c>
      <c r="CJ50" t="str">
        <v>Listia  bainesii</v>
      </c>
      <c r="CL50" t="str">
        <v>Listia  bainesii</v>
      </c>
    </row>
    <row r="51" spans="1:90" x14ac:dyDescent="0.25">
      <c r="A51" s="12" t="s">
        <v>70</v>
      </c>
      <c r="B51" s="13">
        <v>1016</v>
      </c>
      <c r="C51" s="96" t="s">
        <v>94</v>
      </c>
      <c r="D51" s="96"/>
      <c r="E51" s="96"/>
      <c r="F51" s="98" t="s">
        <v>95</v>
      </c>
      <c r="G51" t="s">
        <v>73</v>
      </c>
      <c r="H51" t="s">
        <v>74</v>
      </c>
      <c r="I51" t="s">
        <v>75</v>
      </c>
      <c r="J51" s="70">
        <v>1</v>
      </c>
      <c r="K51" s="70"/>
      <c r="L51" s="70"/>
      <c r="M51" t="s">
        <v>95</v>
      </c>
      <c r="N51" t="s">
        <v>80</v>
      </c>
      <c r="O51" s="18">
        <v>140.88941485864561</v>
      </c>
      <c r="P51" s="18">
        <v>3.2667281080742621</v>
      </c>
      <c r="Q51" s="97">
        <v>0.704508882137443</v>
      </c>
      <c r="R51" s="97">
        <v>0.22308752838534562</v>
      </c>
      <c r="S51" s="97">
        <v>5.6529495223538874E-2</v>
      </c>
      <c r="T51" s="97">
        <v>7.1464179344312515E-3</v>
      </c>
      <c r="U51" s="97">
        <v>-2.7120383761153289E-4</v>
      </c>
      <c r="V51" s="97">
        <v>3.0964970957571771E-3</v>
      </c>
      <c r="W51" s="97">
        <v>5.9023830610956014E-3</v>
      </c>
      <c r="X51" s="51">
        <f t="shared" si="5"/>
        <v>3.2475487690498821</v>
      </c>
      <c r="Y51" s="18">
        <v>527.11770660488605</v>
      </c>
      <c r="Z51" s="18">
        <v>10.60885884619722</v>
      </c>
      <c r="AA51" s="18">
        <f t="shared" si="6"/>
        <v>7.5299190197085366</v>
      </c>
      <c r="AB51" s="18">
        <f t="shared" si="7"/>
        <v>20.126166723800363</v>
      </c>
      <c r="AC51" s="18">
        <f>$CP$15*Table2912[[#This Row],[DMD '[mg/g']]]+$CS$15*Table2912[[#This Row],[CH4 '[ml/g']]]+$CR$15*Table2912[[#This Row],[CH4 '[% GP']]]+$CQ$15*Table2912[[#This Row],[CH4 '[g/g DDM']]]</f>
        <v>14.455927613620148</v>
      </c>
      <c r="AD51" s="18">
        <f>_xlfn.RANK.AVG(Table2912[[#This Row],[Index]],Table2912[Index])</f>
        <v>281</v>
      </c>
      <c r="AE5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3.2148717581855699</v>
      </c>
      <c r="AF51" s="18">
        <f>Table2912[[#This Row],[CH4 '[ml/g']]]/Table2912[[#This Row],[APB]]</f>
        <v>3.2999322038850831</v>
      </c>
      <c r="AG51" s="18">
        <f>Table2912[[#This Row],[Propionate '[%']]]/Table2912[[#This Row],[Acetate '[%']]]</f>
        <v>0.3166568002783865</v>
      </c>
      <c r="AH51" s="51"/>
      <c r="AI51" s="18"/>
      <c r="AJ51" s="18"/>
      <c r="AK51" s="18">
        <f>(Table2912[[#This Row],[DMD '[mg/g']]]-$AK$15)/$AK$15*100</f>
        <v>7.5116058734154461</v>
      </c>
      <c r="AL51" s="18">
        <f>(Table2912[[#This Row],[CH4 '[ml/g']]]-AL$15)/AL$15*100</f>
        <v>-73.027553228159917</v>
      </c>
      <c r="AM51" s="18">
        <f>(Table2912[[#This Row],[CH4 '[% GP']]]-AM$15)/AM$15*100</f>
        <v>-51.489837667388962</v>
      </c>
      <c r="AN51" s="18">
        <f>(Table2912[[#This Row],[CH4 '[g/g DDM']]]-AN$15)/AN$15*100</f>
        <v>-60.702996485127649</v>
      </c>
      <c r="AO51" s="18"/>
      <c r="AP51" s="18"/>
      <c r="AR51">
        <f>_xlfn.NORM.DIST(Table2912[[#This Row],[GP '[ml/g']]],O$6,O$2,FALSE)</f>
        <v>7.4365708303680302E-4</v>
      </c>
      <c r="AS51">
        <f>_xlfn.NORM.DIST(Table2912[[#This Row],[SCFA '[mmol/g']]],P$6,P$2,FALSE)</f>
        <v>8.0554056784336303E-3</v>
      </c>
      <c r="AT51">
        <f>_xlfn.NORM.DIST(Table2912[[#This Row],[Acetate '[%']]],Q$6,Q$2,FALSE)</f>
        <v>7.630537399753706</v>
      </c>
      <c r="AU51">
        <f>_xlfn.NORM.DIST(Table2912[[#This Row],[Propionate '[%']]],R$6,R$2,FALSE)</f>
        <v>1.6439637632734212</v>
      </c>
      <c r="AV51">
        <f>_xlfn.NORM.DIST(Table2912[[#This Row],[Butyrate '[%']]],S$6,S$2,FALSE)</f>
        <v>2.5345568575860997</v>
      </c>
      <c r="AW51">
        <f>_xlfn.NORM.DIST(Table2912[[#This Row],[Valerate '[%']]],T$6,T$2,FALSE)</f>
        <v>9.6718854372796983</v>
      </c>
      <c r="AX51">
        <f>_xlfn.NORM.DIST(Table2912[[#This Row],[Caproate '[%']]],U$6,U$2,FALSE)</f>
        <v>106.6790982188772</v>
      </c>
      <c r="AY51">
        <f>_xlfn.NORM.DIST(Table2912[[#This Row],[Isobutyrate '[%']]],V$6,V$2,FALSE)</f>
        <v>1.9887787122907348</v>
      </c>
      <c r="AZ51">
        <f>_xlfn.NORM.DIST(Table2912[[#This Row],[Isovalerate '[%']]],W$6,W$2,FALSE)</f>
        <v>1.9739993597080674</v>
      </c>
      <c r="BA51">
        <f>_xlfn.NORM.DIST(Table2912[[#This Row],[CH4 '[g/mmol SCFA']]],X$6,X$2,FALSE)</f>
        <v>2.2993116333954563E-2</v>
      </c>
      <c r="BB51">
        <f>_xlfn.NORM.DIST(Table2912[[#This Row],[DMD '[mg/g']]],Y$6,Y$2,FALSE)</f>
        <v>5.5740443594442461E-4</v>
      </c>
      <c r="BC51">
        <f>_xlfn.NORM.DIST(Table2912[[#This Row],[CH4 '[ml/g']]],Z$6,Z$2,FALSE)</f>
        <v>1.1832753688927338E-3</v>
      </c>
      <c r="BD51">
        <f>_xlfn.NORM.DIST(Table2912[[#This Row],[CH4 '[% GP']]],AA$6,AA$2,FALSE)</f>
        <v>2.1096875146806816E-3</v>
      </c>
      <c r="BE51">
        <f>_xlfn.NORM.DIST(Table2912[[#This Row],[CH4 '[g/g DDM']]],AB$6,AB$2,FALSE)</f>
        <v>7.7759388157324705E-4</v>
      </c>
      <c r="BG51">
        <f>IF(Table2912[[#This Row],[GP '[ml/g']]]&lt;O$10,_xlfn.NORM.DIST(Table2912[[#This Row],[GP '[ml/g']]],O$6,O$2,FALSE),-100)</f>
        <v>7.4365708303680302E-4</v>
      </c>
      <c r="BH51">
        <f>IF(Table2912[[#This Row],[SCFA '[mmol/g']]]&lt;P$10,_xlfn.NORM.DIST(Table2912[[#This Row],[SCFA '[mmol/g']]],P$6,P$2,FALSE),-100)</f>
        <v>8.0554056784336303E-3</v>
      </c>
      <c r="BI51">
        <f>IF(Table2912[[#This Row],[Acetate '[%']]]&lt;Q$10,_xlfn.NORM.DIST(Table2912[[#This Row],[Acetate '[%']]],Q$6,Q$2,FALSE),-100)</f>
        <v>-100</v>
      </c>
      <c r="BJ51">
        <f>IF(Table2912[[#This Row],[Propionate '[%']]]&lt;R$10,_xlfn.NORM.DIST(Table2912[[#This Row],[Propionate '[%']]],R$6,R$2,FALSE),-100)</f>
        <v>-100</v>
      </c>
      <c r="BK51">
        <f>IF(Table2912[[#This Row],[Butyrate '[%']]]&lt;S$10,_xlfn.NORM.DIST(Table2912[[#This Row],[Butyrate '[%']]],S$6,S$2,FALSE),-100)</f>
        <v>2.5345568575860997</v>
      </c>
      <c r="BL51">
        <f>IF(Table2912[[#This Row],[Valerate '[%']]]&lt;T$10,_xlfn.NORM.DIST(Table2912[[#This Row],[Valerate '[%']]],T$6,T$2,FALSE),-100)</f>
        <v>9.6718854372796983</v>
      </c>
      <c r="BM51">
        <f>IF(Table2912[[#This Row],[Caproate '[%']]]&lt;U$10,_xlfn.NORM.DIST(Table2912[[#This Row],[Caproate '[%']]],U$6,U$2,FALSE),-100)</f>
        <v>106.6790982188772</v>
      </c>
      <c r="BN51">
        <f>IF(Table2912[[#This Row],[Isobutyrate '[%']]]&lt;V$10,_xlfn.NORM.DIST(Table2912[[#This Row],[Isobutyrate '[%']]],V$6,V$2,FALSE),-100)</f>
        <v>1.9887787122907348</v>
      </c>
      <c r="BO51">
        <f>IF(Table2912[[#This Row],[Isovalerate '[%']]]&lt;W$10,_xlfn.NORM.DIST(Table2912[[#This Row],[Isovalerate '[%']]],W$6,W$2,FALSE),-100)</f>
        <v>1.9739993597080674</v>
      </c>
      <c r="BP51">
        <f>IF(Table2912[[#This Row],[CH4 '[g/mmol SCFA']]]&lt;X$10,_xlfn.NORM.DIST(Table2912[[#This Row],[CH4 '[g/mmol SCFA']]],X$6,X$2,FALSE),-100)</f>
        <v>2.2993116333954563E-2</v>
      </c>
      <c r="BQ51">
        <f>IF(Table2912[[#This Row],[DMD '[mg/g']]]&gt;Y$10,_xlfn.NORM.DIST(Table2912[[#This Row],[DMD '[mg/g']]],Y$6,Y$2,FALSE),-100)</f>
        <v>-100</v>
      </c>
      <c r="BR51">
        <f>IF(Table2912[[#This Row],[CH4 '[ml/g']]]&lt;Z$10,_xlfn.NORM.DIST(Table2912[[#This Row],[CH4 '[ml/g']]],Z$6,Z$2,FALSE),-100)</f>
        <v>1.1832753688927338E-3</v>
      </c>
      <c r="BS51">
        <f>IF(Table2912[[#This Row],[CH4 '[% GP']]]&lt;AA$10,_xlfn.NORM.DIST(Table2912[[#This Row],[CH4 '[% GP']]],AA$6,AA$2,FALSE),-100)</f>
        <v>2.1096875146806816E-3</v>
      </c>
      <c r="BT51">
        <f>IF(Table2912[[#This Row],[CH4 '[g/g DDM']]]&lt;AB$10,_xlfn.NORM.DIST(Table2912[[#This Row],[CH4 '[g/g DDM']]],AB$6,AB$2,FALSE),-100)</f>
        <v>7.7759388157324705E-4</v>
      </c>
      <c r="CJ51" t="str">
        <v>Stylosanthes hamata</v>
      </c>
      <c r="CL51" t="str">
        <v>Stylosanthes hamata</v>
      </c>
    </row>
    <row r="52" spans="1:90" x14ac:dyDescent="0.25">
      <c r="A52" s="12" t="s">
        <v>70</v>
      </c>
      <c r="B52" s="13">
        <v>1028</v>
      </c>
      <c r="C52" s="96" t="s">
        <v>129</v>
      </c>
      <c r="D52" s="96"/>
      <c r="E52" s="96"/>
      <c r="F52" s="96" t="s">
        <v>130</v>
      </c>
      <c r="G52" s="15" t="s">
        <v>73</v>
      </c>
      <c r="H52" s="15" t="s">
        <v>74</v>
      </c>
      <c r="I52" s="99" t="s">
        <v>79</v>
      </c>
      <c r="J52" s="70">
        <v>3</v>
      </c>
      <c r="K52" s="70"/>
      <c r="L52" s="70"/>
      <c r="M52" t="s">
        <v>130</v>
      </c>
      <c r="N52" t="s">
        <v>81</v>
      </c>
      <c r="O52" s="18">
        <v>172.02404479578425</v>
      </c>
      <c r="P52" s="18">
        <v>5.4785902503293809</v>
      </c>
      <c r="Q52" s="97">
        <v>0.65929176937413569</v>
      </c>
      <c r="R52" s="97">
        <v>0.16517365077456467</v>
      </c>
      <c r="S52" s="97">
        <v>0.10236678089741279</v>
      </c>
      <c r="T52" s="97">
        <v>1.7615583478626826E-2</v>
      </c>
      <c r="U52" s="97">
        <v>1.3627527605763643E-3</v>
      </c>
      <c r="V52" s="97">
        <v>1.9799995991903643E-2</v>
      </c>
      <c r="W52" s="97">
        <v>3.4389466722780017E-2</v>
      </c>
      <c r="X52" s="51">
        <f t="shared" si="5"/>
        <v>5.0807859771081212</v>
      </c>
      <c r="Y52" s="18">
        <v>527.88757136583195</v>
      </c>
      <c r="Z52" s="18">
        <v>27.835544518194791</v>
      </c>
      <c r="AA52" s="18">
        <f t="shared" si="6"/>
        <v>16.181194059957917</v>
      </c>
      <c r="AB52" s="18">
        <f t="shared" si="7"/>
        <v>52.730062286131094</v>
      </c>
      <c r="AC52" s="18">
        <f>$CP$15*Table2912[[#This Row],[DMD '[mg/g']]]+$CS$15*Table2912[[#This Row],[CH4 '[ml/g']]]+$CR$15*Table2912[[#This Row],[CH4 '[% GP']]]+$CQ$15*Table2912[[#This Row],[CH4 '[g/g DDM']]]</f>
        <v>-6.7198079288592325</v>
      </c>
      <c r="AD52" s="18">
        <f>_xlfn.RANK.AVG(Table2912[[#This Row],[Index]],Table2912[Index])</f>
        <v>475</v>
      </c>
      <c r="AE5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5.0777338603425566</v>
      </c>
      <c r="AF52" s="18">
        <f>Table2912[[#This Row],[CH4 '[ml/g']]]/Table2912[[#This Row],[APB]]</f>
        <v>5.4818833132615055</v>
      </c>
      <c r="AG52" s="18">
        <f>Table2912[[#This Row],[Propionate '[%']]]/Table2912[[#This Row],[Acetate '[%']]]</f>
        <v>0.25053194723083477</v>
      </c>
      <c r="AH52" s="51"/>
      <c r="AI52" s="18"/>
      <c r="AJ52" s="18"/>
      <c r="AK52" s="18">
        <f>(Table2912[[#This Row],[DMD '[mg/g']]]-$AK$15)/$AK$15*100</f>
        <v>7.6686284809232745</v>
      </c>
      <c r="AL52" s="18">
        <f>(Table2912[[#This Row],[CH4 '[ml/g']]]-AL$15)/AL$15*100</f>
        <v>-29.229641588518447</v>
      </c>
      <c r="AM52" s="18">
        <f>(Table2912[[#This Row],[CH4 '[% GP']]]-AM$15)/AM$15*100</f>
        <v>4.2444611329197874</v>
      </c>
      <c r="AN52" s="18">
        <f>(Table2912[[#This Row],[CH4 '[g/g DDM']]]-AN$15)/AN$15*100</f>
        <v>2.9571836224089969</v>
      </c>
      <c r="AO52" s="18"/>
      <c r="AP52" s="18"/>
      <c r="AR52">
        <f>_xlfn.NORM.DIST(Table2912[[#This Row],[GP '[ml/g']]],O$6,O$2,FALSE)</f>
        <v>2.1983992531217733E-3</v>
      </c>
      <c r="AS52">
        <f>_xlfn.NORM.DIST(Table2912[[#This Row],[SCFA '[mmol/g']]],P$6,P$2,FALSE)</f>
        <v>0.22528606454417857</v>
      </c>
      <c r="AT52">
        <f>_xlfn.NORM.DIST(Table2912[[#This Row],[Acetate '[%']]],Q$6,Q$2,FALSE)</f>
        <v>12.462139616007299</v>
      </c>
      <c r="AU52">
        <f>_xlfn.NORM.DIST(Table2912[[#This Row],[Propionate '[%']]],R$6,R$2,FALSE)</f>
        <v>16.137731002323861</v>
      </c>
      <c r="AV52">
        <f>_xlfn.NORM.DIST(Table2912[[#This Row],[Butyrate '[%']]],S$6,S$2,FALSE)</f>
        <v>19.849095415559308</v>
      </c>
      <c r="AW52">
        <f>_xlfn.NORM.DIST(Table2912[[#This Row],[Valerate '[%']]],T$6,T$2,FALSE)</f>
        <v>77.392500042449896</v>
      </c>
      <c r="AX52">
        <f>_xlfn.NORM.DIST(Table2912[[#This Row],[Caproate '[%']]],U$6,U$2,FALSE)</f>
        <v>406.72771578574839</v>
      </c>
      <c r="AY52">
        <f>_xlfn.NORM.DIST(Table2912[[#This Row],[Isobutyrate '[%']]],V$6,V$2,FALSE)</f>
        <v>53.973936075470888</v>
      </c>
      <c r="AZ52">
        <f>_xlfn.NORM.DIST(Table2912[[#This Row],[Isovalerate '[%']]],W$6,W$2,FALSE)</f>
        <v>34.560177655844335</v>
      </c>
      <c r="BA52">
        <f>_xlfn.NORM.DIST(Table2912[[#This Row],[CH4 '[g/mmol SCFA']]],X$6,X$2,FALSE)</f>
        <v>0.19906993438481355</v>
      </c>
      <c r="BB52">
        <f>_xlfn.NORM.DIST(Table2912[[#This Row],[DMD '[mg/g']]],Y$6,Y$2,FALSE)</f>
        <v>5.6313099644707547E-4</v>
      </c>
      <c r="BC52">
        <f>_xlfn.NORM.DIST(Table2912[[#This Row],[CH4 '[ml/g']]],Z$6,Z$2,FALSE)</f>
        <v>1.7513537557060841E-2</v>
      </c>
      <c r="BD52">
        <f>_xlfn.NORM.DIST(Table2912[[#This Row],[CH4 '[% GP']]],AA$6,AA$2,FALSE)</f>
        <v>0.13461894318740808</v>
      </c>
      <c r="BE52">
        <f>_xlfn.NORM.DIST(Table2912[[#This Row],[CH4 '[g/g DDM']]],AB$6,AB$2,FALSE)</f>
        <v>3.2808772757315918E-2</v>
      </c>
      <c r="BG52">
        <f>IF(Table2912[[#This Row],[GP '[ml/g']]]&lt;O$10,_xlfn.NORM.DIST(Table2912[[#This Row],[GP '[ml/g']]],O$6,O$2,FALSE),-100)</f>
        <v>2.1983992531217733E-3</v>
      </c>
      <c r="BH52">
        <f>IF(Table2912[[#This Row],[SCFA '[mmol/g']]]&lt;P$10,_xlfn.NORM.DIST(Table2912[[#This Row],[SCFA '[mmol/g']]],P$6,P$2,FALSE),-100)</f>
        <v>-100</v>
      </c>
      <c r="BI52">
        <f>IF(Table2912[[#This Row],[Acetate '[%']]]&lt;Q$10,_xlfn.NORM.DIST(Table2912[[#This Row],[Acetate '[%']]],Q$6,Q$2,FALSE),-100)</f>
        <v>-100</v>
      </c>
      <c r="BJ52">
        <f>IF(Table2912[[#This Row],[Propionate '[%']]]&lt;R$10,_xlfn.NORM.DIST(Table2912[[#This Row],[Propionate '[%']]],R$6,R$2,FALSE),-100)</f>
        <v>-100</v>
      </c>
      <c r="BK52">
        <f>IF(Table2912[[#This Row],[Butyrate '[%']]]&lt;S$10,_xlfn.NORM.DIST(Table2912[[#This Row],[Butyrate '[%']]],S$6,S$2,FALSE),-100)</f>
        <v>-100</v>
      </c>
      <c r="BL52">
        <f>IF(Table2912[[#This Row],[Valerate '[%']]]&lt;T$10,_xlfn.NORM.DIST(Table2912[[#This Row],[Valerate '[%']]],T$6,T$2,FALSE),-100)</f>
        <v>-100</v>
      </c>
      <c r="BM52">
        <f>IF(Table2912[[#This Row],[Caproate '[%']]]&lt;U$10,_xlfn.NORM.DIST(Table2912[[#This Row],[Caproate '[%']]],U$6,U$2,FALSE),-100)</f>
        <v>-100</v>
      </c>
      <c r="BN52">
        <f>IF(Table2912[[#This Row],[Isobutyrate '[%']]]&lt;V$10,_xlfn.NORM.DIST(Table2912[[#This Row],[Isobutyrate '[%']]],V$6,V$2,FALSE),-100)</f>
        <v>-100</v>
      </c>
      <c r="BO52">
        <f>IF(Table2912[[#This Row],[Isovalerate '[%']]]&lt;W$10,_xlfn.NORM.DIST(Table2912[[#This Row],[Isovalerate '[%']]],W$6,W$2,FALSE),-100)</f>
        <v>-100</v>
      </c>
      <c r="BP52">
        <f>IF(Table2912[[#This Row],[CH4 '[g/mmol SCFA']]]&lt;X$10,_xlfn.NORM.DIST(Table2912[[#This Row],[CH4 '[g/mmol SCFA']]],X$6,X$2,FALSE),-100)</f>
        <v>-100</v>
      </c>
      <c r="BQ52">
        <f>IF(Table2912[[#This Row],[DMD '[mg/g']]]&gt;Y$10,_xlfn.NORM.DIST(Table2912[[#This Row],[DMD '[mg/g']]],Y$6,Y$2,FALSE),-100)</f>
        <v>-100</v>
      </c>
      <c r="BR52">
        <f>IF(Table2912[[#This Row],[CH4 '[ml/g']]]&lt;Z$10,_xlfn.NORM.DIST(Table2912[[#This Row],[CH4 '[ml/g']]],Z$6,Z$2,FALSE),-100)</f>
        <v>1.7513537557060841E-2</v>
      </c>
      <c r="BS52">
        <f>IF(Table2912[[#This Row],[CH4 '[% GP']]]&lt;AA$10,_xlfn.NORM.DIST(Table2912[[#This Row],[CH4 '[% GP']]],AA$6,AA$2,FALSE),-100)</f>
        <v>-100</v>
      </c>
      <c r="BT52">
        <f>IF(Table2912[[#This Row],[CH4 '[g/g DDM']]]&lt;AB$10,_xlfn.NORM.DIST(Table2912[[#This Row],[CH4 '[g/g DDM']]],AB$6,AB$2,FALSE),-100)</f>
        <v>-100</v>
      </c>
      <c r="CJ52" t="str">
        <v>Neonotonia wightii</v>
      </c>
      <c r="CL52" t="str">
        <v>Neonotonia wightii</v>
      </c>
    </row>
    <row r="53" spans="1:90" x14ac:dyDescent="0.25">
      <c r="A53" s="12" t="s">
        <v>86</v>
      </c>
      <c r="B53" s="13">
        <v>1052</v>
      </c>
      <c r="C53" s="104" t="s">
        <v>102</v>
      </c>
      <c r="D53" s="104" t="s">
        <v>103</v>
      </c>
      <c r="E53" s="104" t="s">
        <v>104</v>
      </c>
      <c r="F53" s="104" t="s">
        <v>105</v>
      </c>
      <c r="G53" s="32" t="s">
        <v>73</v>
      </c>
      <c r="H53" s="32" t="s">
        <v>74</v>
      </c>
      <c r="I53" s="104" t="s">
        <v>106</v>
      </c>
      <c r="J53" s="70">
        <v>2</v>
      </c>
      <c r="K53" s="70"/>
      <c r="L53" s="70"/>
      <c r="M53" t="s">
        <v>105</v>
      </c>
      <c r="N53" t="s">
        <v>99</v>
      </c>
      <c r="O53" s="18">
        <v>171.65831689677879</v>
      </c>
      <c r="P53" s="18">
        <v>4.6149541649390518</v>
      </c>
      <c r="Q53" s="97">
        <v>0.68278138442207637</v>
      </c>
      <c r="R53" s="97">
        <v>0.19585197185525277</v>
      </c>
      <c r="S53" s="97">
        <v>6.111494914962582E-2</v>
      </c>
      <c r="T53" s="97">
        <v>2.2195693735948818E-2</v>
      </c>
      <c r="U53" s="97">
        <v>6.1271621649920118E-4</v>
      </c>
      <c r="V53" s="97">
        <v>1.3038467692170114E-2</v>
      </c>
      <c r="W53" s="97">
        <v>2.4404816928426845E-2</v>
      </c>
      <c r="X53" s="51">
        <f t="shared" si="5"/>
        <v>7.4786912655312543</v>
      </c>
      <c r="Y53" s="18">
        <v>528.83361384192597</v>
      </c>
      <c r="Z53" s="18">
        <v>34.513817404156768</v>
      </c>
      <c r="AA53" s="18">
        <f t="shared" si="6"/>
        <v>20.106114302000609</v>
      </c>
      <c r="AB53" s="18">
        <f t="shared" si="7"/>
        <v>65.264038632902256</v>
      </c>
      <c r="AC53" s="18">
        <f>$CP$15*Table2912[[#This Row],[DMD '[mg/g']]]+$CS$15*Table2912[[#This Row],[CH4 '[ml/g']]]+$CR$15*Table2912[[#This Row],[CH4 '[% GP']]]+$CQ$15*Table2912[[#This Row],[CH4 '[g/g DDM']]]</f>
        <v>-14.972779148408073</v>
      </c>
      <c r="AD53" s="18">
        <f>_xlfn.RANK.AVG(Table2912[[#This Row],[Index]],Table2912[Index])</f>
        <v>502</v>
      </c>
      <c r="AE5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4.3368953561245416</v>
      </c>
      <c r="AF53" s="18">
        <f>Table2912[[#This Row],[CH4 '[ml/g']]]/Table2912[[#This Row],[APB]]</f>
        <v>7.9581854229930933</v>
      </c>
      <c r="AG53" s="18">
        <f>Table2912[[#This Row],[Propionate '[%']]]/Table2912[[#This Row],[Acetate '[%']]]</f>
        <v>0.2868443345464477</v>
      </c>
      <c r="AH53" s="51"/>
      <c r="AI53" s="18"/>
      <c r="AJ53" s="18"/>
      <c r="AK53" s="18">
        <f>(Table2912[[#This Row],[DMD '[mg/g']]]-$AK$15)/$AK$15*100</f>
        <v>7.8615845219647307</v>
      </c>
      <c r="AL53" s="18">
        <f>(Table2912[[#This Row],[CH4 '[ml/g']]]-AL$15)/AL$15*100</f>
        <v>-12.250495899441788</v>
      </c>
      <c r="AM53" s="18">
        <f>(Table2912[[#This Row],[CH4 '[% GP']]]-AM$15)/AM$15*100</f>
        <v>29.530060830034699</v>
      </c>
      <c r="AN53" s="18">
        <f>(Table2912[[#This Row],[CH4 '[g/g DDM']]]-AN$15)/AN$15*100</f>
        <v>27.430185327792216</v>
      </c>
      <c r="AO53" s="18"/>
      <c r="AP53" s="18"/>
      <c r="AR53">
        <f>_xlfn.NORM.DIST(Table2912[[#This Row],[GP '[ml/g']]],O$6,O$2,FALSE)</f>
        <v>2.174883581837509E-3</v>
      </c>
      <c r="AS53">
        <f>_xlfn.NORM.DIST(Table2912[[#This Row],[SCFA '[mmol/g']]],P$6,P$2,FALSE)</f>
        <v>9.1997071310452122E-2</v>
      </c>
      <c r="AT53">
        <f>_xlfn.NORM.DIST(Table2912[[#This Row],[Acetate '[%']]],Q$6,Q$2,FALSE)</f>
        <v>13.241279393845261</v>
      </c>
      <c r="AU53">
        <f>_xlfn.NORM.DIST(Table2912[[#This Row],[Propionate '[%']]],R$6,R$2,FALSE)</f>
        <v>10.087730413195894</v>
      </c>
      <c r="AV53">
        <f>_xlfn.NORM.DIST(Table2912[[#This Row],[Butyrate '[%']]],S$6,S$2,FALSE)</f>
        <v>4.2677853638852987</v>
      </c>
      <c r="AW53">
        <f>_xlfn.NORM.DIST(Table2912[[#This Row],[Valerate '[%']]],T$6,T$2,FALSE)</f>
        <v>52.542612747393868</v>
      </c>
      <c r="AX53">
        <f>_xlfn.NORM.DIST(Table2912[[#This Row],[Caproate '[%']]],U$6,U$2,FALSE)</f>
        <v>310.65436447420046</v>
      </c>
      <c r="AY53">
        <f>_xlfn.NORM.DIST(Table2912[[#This Row],[Isobutyrate '[%']]],V$6,V$2,FALSE)</f>
        <v>78.957876259014384</v>
      </c>
      <c r="AZ53">
        <f>_xlfn.NORM.DIST(Table2912[[#This Row],[Isovalerate '[%']]],W$6,W$2,FALSE)</f>
        <v>41.979590897540554</v>
      </c>
      <c r="BA53">
        <f>_xlfn.NORM.DIST(Table2912[[#This Row],[CH4 '[g/mmol SCFA']]],X$6,X$2,FALSE)</f>
        <v>0.19986724998572022</v>
      </c>
      <c r="BB53">
        <f>_xlfn.NORM.DIST(Table2912[[#This Row],[DMD '[mg/g']]],Y$6,Y$2,FALSE)</f>
        <v>5.7022393931085589E-4</v>
      </c>
      <c r="BC53">
        <f>_xlfn.NORM.DIST(Table2912[[#This Row],[CH4 '[ml/g']]],Z$6,Z$2,FALSE)</f>
        <v>2.8348473695751889E-2</v>
      </c>
      <c r="BD53">
        <f>_xlfn.NORM.DIST(Table2912[[#This Row],[CH4 '[% GP']]],AA$6,AA$2,FALSE)</f>
        <v>5.3174719073772692E-2</v>
      </c>
      <c r="BE53">
        <f>_xlfn.NORM.DIST(Table2912[[#This Row],[CH4 '[g/g DDM']]],AB$6,AB$2,FALSE)</f>
        <v>2.0309265112905383E-2</v>
      </c>
      <c r="BG53">
        <f>IF(Table2912[[#This Row],[GP '[ml/g']]]&lt;O$10,_xlfn.NORM.DIST(Table2912[[#This Row],[GP '[ml/g']]],O$6,O$2,FALSE),-100)</f>
        <v>2.174883581837509E-3</v>
      </c>
      <c r="BH53">
        <f>IF(Table2912[[#This Row],[SCFA '[mmol/g']]]&lt;P$10,_xlfn.NORM.DIST(Table2912[[#This Row],[SCFA '[mmol/g']]],P$6,P$2,FALSE),-100)</f>
        <v>9.1997071310452122E-2</v>
      </c>
      <c r="BI53">
        <f>IF(Table2912[[#This Row],[Acetate '[%']]]&lt;Q$10,_xlfn.NORM.DIST(Table2912[[#This Row],[Acetate '[%']]],Q$6,Q$2,FALSE),-100)</f>
        <v>-100</v>
      </c>
      <c r="BJ53">
        <f>IF(Table2912[[#This Row],[Propionate '[%']]]&lt;R$10,_xlfn.NORM.DIST(Table2912[[#This Row],[Propionate '[%']]],R$6,R$2,FALSE),-100)</f>
        <v>-100</v>
      </c>
      <c r="BK53">
        <f>IF(Table2912[[#This Row],[Butyrate '[%']]]&lt;S$10,_xlfn.NORM.DIST(Table2912[[#This Row],[Butyrate '[%']]],S$6,S$2,FALSE),-100)</f>
        <v>4.2677853638852987</v>
      </c>
      <c r="BL53">
        <f>IF(Table2912[[#This Row],[Valerate '[%']]]&lt;T$10,_xlfn.NORM.DIST(Table2912[[#This Row],[Valerate '[%']]],T$6,T$2,FALSE),-100)</f>
        <v>-100</v>
      </c>
      <c r="BM53">
        <f>IF(Table2912[[#This Row],[Caproate '[%']]]&lt;U$10,_xlfn.NORM.DIST(Table2912[[#This Row],[Caproate '[%']]],U$6,U$2,FALSE),-100)</f>
        <v>-100</v>
      </c>
      <c r="BN53">
        <f>IF(Table2912[[#This Row],[Isobutyrate '[%']]]&lt;V$10,_xlfn.NORM.DIST(Table2912[[#This Row],[Isobutyrate '[%']]],V$6,V$2,FALSE),-100)</f>
        <v>-100</v>
      </c>
      <c r="BO53">
        <f>IF(Table2912[[#This Row],[Isovalerate '[%']]]&lt;W$10,_xlfn.NORM.DIST(Table2912[[#This Row],[Isovalerate '[%']]],W$6,W$2,FALSE),-100)</f>
        <v>-100</v>
      </c>
      <c r="BP53">
        <f>IF(Table2912[[#This Row],[CH4 '[g/mmol SCFA']]]&lt;X$10,_xlfn.NORM.DIST(Table2912[[#This Row],[CH4 '[g/mmol SCFA']]],X$6,X$2,FALSE),-100)</f>
        <v>-100</v>
      </c>
      <c r="BQ53">
        <f>IF(Table2912[[#This Row],[DMD '[mg/g']]]&gt;Y$10,_xlfn.NORM.DIST(Table2912[[#This Row],[DMD '[mg/g']]],Y$6,Y$2,FALSE),-100)</f>
        <v>-100</v>
      </c>
      <c r="BR53">
        <f>IF(Table2912[[#This Row],[CH4 '[ml/g']]]&lt;Z$10,_xlfn.NORM.DIST(Table2912[[#This Row],[CH4 '[ml/g']]],Z$6,Z$2,FALSE),-100)</f>
        <v>-100</v>
      </c>
      <c r="BS53">
        <f>IF(Table2912[[#This Row],[CH4 '[% GP']]]&lt;AA$10,_xlfn.NORM.DIST(Table2912[[#This Row],[CH4 '[% GP']]],AA$6,AA$2,FALSE),-100)</f>
        <v>-100</v>
      </c>
      <c r="BT53">
        <f>IF(Table2912[[#This Row],[CH4 '[g/g DDM']]]&lt;AB$10,_xlfn.NORM.DIST(Table2912[[#This Row],[CH4 '[g/g DDM']]],AB$6,AB$2,FALSE),-100)</f>
        <v>-100</v>
      </c>
      <c r="CJ53" t="str">
        <v xml:space="preserve">Desmodium intortum </v>
      </c>
      <c r="CL53" t="str">
        <v xml:space="preserve">Desmodium intortum </v>
      </c>
    </row>
    <row r="54" spans="1:90" x14ac:dyDescent="0.25">
      <c r="A54" s="12" t="s">
        <v>70</v>
      </c>
      <c r="B54" s="13">
        <v>1005</v>
      </c>
      <c r="C54" s="96" t="s">
        <v>100</v>
      </c>
      <c r="D54" s="96"/>
      <c r="E54" s="96"/>
      <c r="F54" s="96" t="s">
        <v>101</v>
      </c>
      <c r="G54" t="s">
        <v>73</v>
      </c>
      <c r="H54" t="s">
        <v>74</v>
      </c>
      <c r="I54" t="s">
        <v>75</v>
      </c>
      <c r="J54" s="70">
        <v>1</v>
      </c>
      <c r="K54" s="70"/>
      <c r="L54" s="70"/>
      <c r="M54" t="s">
        <v>101</v>
      </c>
      <c r="N54" t="s">
        <v>85</v>
      </c>
      <c r="O54" s="18">
        <v>195.48844709520648</v>
      </c>
      <c r="P54" s="18">
        <v>5.293461453501215</v>
      </c>
      <c r="Q54" s="97">
        <v>0.71179084858221875</v>
      </c>
      <c r="R54" s="97">
        <v>0.19656978321196816</v>
      </c>
      <c r="S54" s="97">
        <v>6.8312224841947114E-2</v>
      </c>
      <c r="T54" s="97">
        <v>9.7648507104554829E-3</v>
      </c>
      <c r="U54" s="97">
        <v>2.2951572182694515E-4</v>
      </c>
      <c r="V54" s="97">
        <v>4.6737746990214279E-3</v>
      </c>
      <c r="W54" s="97">
        <v>8.6590022325620224E-3</v>
      </c>
      <c r="X54" s="51">
        <f t="shared" si="5"/>
        <v>3.3021798825634803</v>
      </c>
      <c r="Y54" s="18">
        <v>530.1524188204105</v>
      </c>
      <c r="Z54" s="18">
        <v>17.479961920876953</v>
      </c>
      <c r="AA54" s="18">
        <f t="shared" si="6"/>
        <v>8.9416853940038141</v>
      </c>
      <c r="AB54" s="18">
        <f t="shared" si="7"/>
        <v>32.971578173254173</v>
      </c>
      <c r="AC54" s="18">
        <f>$CP$15*Table2912[[#This Row],[DMD '[mg/g']]]+$CS$15*Table2912[[#This Row],[CH4 '[ml/g']]]+$CR$15*Table2912[[#This Row],[CH4 '[% GP']]]+$CQ$15*Table2912[[#This Row],[CH4 '[g/g DDM']]]</f>
        <v>6.9089495285485008</v>
      </c>
      <c r="AD54" s="18">
        <f>_xlfn.RANK.AVG(Table2912[[#This Row],[Index]],Table2912[Index])</f>
        <v>384</v>
      </c>
      <c r="AE5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5.1699801192842934</v>
      </c>
      <c r="AF54" s="18">
        <f>Table2912[[#This Row],[CH4 '[ml/g']]]/Table2912[[#This Row],[APB]]</f>
        <v>3.3810501235151351</v>
      </c>
      <c r="AG54" s="18">
        <f>Table2912[[#This Row],[Propionate '[%']]]/Table2912[[#This Row],[Acetate '[%']]]</f>
        <v>0.27616227941607546</v>
      </c>
      <c r="AH54" s="51"/>
      <c r="AI54" s="18"/>
      <c r="AJ54" s="18"/>
      <c r="AK54" s="18">
        <f>(Table2912[[#This Row],[DMD '[mg/g']]]-$AK$15)/$AK$15*100</f>
        <v>8.1305696827629941</v>
      </c>
      <c r="AL54" s="18">
        <f>(Table2912[[#This Row],[CH4 '[ml/g']]]-AL$15)/AL$15*100</f>
        <v>-55.55814726919025</v>
      </c>
      <c r="AM54" s="18">
        <f>(Table2912[[#This Row],[CH4 '[% GP']]]-AM$15)/AM$15*100</f>
        <v>-42.394784212825186</v>
      </c>
      <c r="AN54" s="18">
        <f>(Table2912[[#This Row],[CH4 '[g/g DDM']]]-AN$15)/AN$15*100</f>
        <v>-35.621907482608904</v>
      </c>
      <c r="AO54" s="18"/>
      <c r="AP54" s="18"/>
      <c r="AR54">
        <f>_xlfn.NORM.DIST(Table2912[[#This Row],[GP '[ml/g']]],O$6,O$2,FALSE)</f>
        <v>3.9726202681960249E-3</v>
      </c>
      <c r="AS54">
        <f>_xlfn.NORM.DIST(Table2912[[#This Row],[SCFA '[mmol/g']]],P$6,P$2,FALSE)</f>
        <v>0.19423697985932051</v>
      </c>
      <c r="AT54">
        <f>_xlfn.NORM.DIST(Table2912[[#This Row],[Acetate '[%']]],Q$6,Q$2,FALSE)</f>
        <v>5.5669906448634441</v>
      </c>
      <c r="AU54">
        <f>_xlfn.NORM.DIST(Table2912[[#This Row],[Propionate '[%']]],R$6,R$2,FALSE)</f>
        <v>9.7802498436709087</v>
      </c>
      <c r="AV54">
        <f>_xlfn.NORM.DIST(Table2912[[#This Row],[Butyrate '[%']]],S$6,S$2,FALSE)</f>
        <v>8.3952538436568656</v>
      </c>
      <c r="AW54">
        <f>_xlfn.NORM.DIST(Table2912[[#This Row],[Valerate '[%']]],T$6,T$2,FALSE)</f>
        <v>23.955682024285434</v>
      </c>
      <c r="AX54">
        <f>_xlfn.NORM.DIST(Table2912[[#This Row],[Caproate '[%']]],U$6,U$2,FALSE)</f>
        <v>215.9651247088307</v>
      </c>
      <c r="AY54">
        <f>_xlfn.NORM.DIST(Table2912[[#This Row],[Isobutyrate '[%']]],V$6,V$2,FALSE)</f>
        <v>4.9952267226486908</v>
      </c>
      <c r="AZ54">
        <f>_xlfn.NORM.DIST(Table2912[[#This Row],[Isovalerate '[%']]],W$6,W$2,FALSE)</f>
        <v>4.1245862671135054</v>
      </c>
      <c r="BA54">
        <f>_xlfn.NORM.DIST(Table2912[[#This Row],[CH4 '[g/mmol SCFA']]],X$6,X$2,FALSE)</f>
        <v>2.5191794568561129E-2</v>
      </c>
      <c r="BB54">
        <f>_xlfn.NORM.DIST(Table2912[[#This Row],[DMD '[mg/g']]],Y$6,Y$2,FALSE)</f>
        <v>5.8021468988331943E-4</v>
      </c>
      <c r="BC54">
        <f>_xlfn.NORM.DIST(Table2912[[#This Row],[CH4 '[ml/g']]],Z$6,Z$2,FALSE)</f>
        <v>4.4551268132260891E-3</v>
      </c>
      <c r="BD54">
        <f>_xlfn.NORM.DIST(Table2912[[#This Row],[CH4 '[% GP']]],AA$6,AA$2,FALSE)</f>
        <v>7.4443345280851281E-3</v>
      </c>
      <c r="BE54">
        <f>_xlfn.NORM.DIST(Table2912[[#This Row],[CH4 '[g/g DDM']]],AB$6,AB$2,FALSE)</f>
        <v>8.0316444175029221E-3</v>
      </c>
      <c r="BG54">
        <f>IF(Table2912[[#This Row],[GP '[ml/g']]]&lt;O$10,_xlfn.NORM.DIST(Table2912[[#This Row],[GP '[ml/g']]],O$6,O$2,FALSE),-100)</f>
        <v>3.9726202681960249E-3</v>
      </c>
      <c r="BH54">
        <f>IF(Table2912[[#This Row],[SCFA '[mmol/g']]]&lt;P$10,_xlfn.NORM.DIST(Table2912[[#This Row],[SCFA '[mmol/g']]],P$6,P$2,FALSE),-100)</f>
        <v>0.19423697985932051</v>
      </c>
      <c r="BI54">
        <f>IF(Table2912[[#This Row],[Acetate '[%']]]&lt;Q$10,_xlfn.NORM.DIST(Table2912[[#This Row],[Acetate '[%']]],Q$6,Q$2,FALSE),-100)</f>
        <v>-100</v>
      </c>
      <c r="BJ54">
        <f>IF(Table2912[[#This Row],[Propionate '[%']]]&lt;R$10,_xlfn.NORM.DIST(Table2912[[#This Row],[Propionate '[%']]],R$6,R$2,FALSE),-100)</f>
        <v>-100</v>
      </c>
      <c r="BK54">
        <f>IF(Table2912[[#This Row],[Butyrate '[%']]]&lt;S$10,_xlfn.NORM.DIST(Table2912[[#This Row],[Butyrate '[%']]],S$6,S$2,FALSE),-100)</f>
        <v>8.3952538436568656</v>
      </c>
      <c r="BL54">
        <f>IF(Table2912[[#This Row],[Valerate '[%']]]&lt;T$10,_xlfn.NORM.DIST(Table2912[[#This Row],[Valerate '[%']]],T$6,T$2,FALSE),-100)</f>
        <v>23.955682024285434</v>
      </c>
      <c r="BM54">
        <f>IF(Table2912[[#This Row],[Caproate '[%']]]&lt;U$10,_xlfn.NORM.DIST(Table2912[[#This Row],[Caproate '[%']]],U$6,U$2,FALSE),-100)</f>
        <v>215.9651247088307</v>
      </c>
      <c r="BN54">
        <f>IF(Table2912[[#This Row],[Isobutyrate '[%']]]&lt;V$10,_xlfn.NORM.DIST(Table2912[[#This Row],[Isobutyrate '[%']]],V$6,V$2,FALSE),-100)</f>
        <v>4.9952267226486908</v>
      </c>
      <c r="BO54">
        <f>IF(Table2912[[#This Row],[Isovalerate '[%']]]&lt;W$10,_xlfn.NORM.DIST(Table2912[[#This Row],[Isovalerate '[%']]],W$6,W$2,FALSE),-100)</f>
        <v>4.1245862671135054</v>
      </c>
      <c r="BP54">
        <f>IF(Table2912[[#This Row],[CH4 '[g/mmol SCFA']]]&lt;X$10,_xlfn.NORM.DIST(Table2912[[#This Row],[CH4 '[g/mmol SCFA']]],X$6,X$2,FALSE),-100)</f>
        <v>2.5191794568561129E-2</v>
      </c>
      <c r="BQ54">
        <f>IF(Table2912[[#This Row],[DMD '[mg/g']]]&gt;Y$10,_xlfn.NORM.DIST(Table2912[[#This Row],[DMD '[mg/g']]],Y$6,Y$2,FALSE),-100)</f>
        <v>-100</v>
      </c>
      <c r="BR54">
        <f>IF(Table2912[[#This Row],[CH4 '[ml/g']]]&lt;Z$10,_xlfn.NORM.DIST(Table2912[[#This Row],[CH4 '[ml/g']]],Z$6,Z$2,FALSE),-100)</f>
        <v>4.4551268132260891E-3</v>
      </c>
      <c r="BS54">
        <f>IF(Table2912[[#This Row],[CH4 '[% GP']]]&lt;AA$10,_xlfn.NORM.DIST(Table2912[[#This Row],[CH4 '[% GP']]],AA$6,AA$2,FALSE),-100)</f>
        <v>7.4443345280851281E-3</v>
      </c>
      <c r="BT54">
        <f>IF(Table2912[[#This Row],[CH4 '[g/g DDM']]]&lt;AB$10,_xlfn.NORM.DIST(Table2912[[#This Row],[CH4 '[g/g DDM']]],AB$6,AB$2,FALSE),-100)</f>
        <v>8.0316444175029221E-3</v>
      </c>
      <c r="CJ54" t="str">
        <v xml:space="preserve">Panicum coloratum    </v>
      </c>
      <c r="CL54" t="str">
        <v xml:space="preserve">Panicum coloratum    </v>
      </c>
    </row>
    <row r="55" spans="1:90" x14ac:dyDescent="0.25">
      <c r="A55" s="12" t="s">
        <v>86</v>
      </c>
      <c r="B55" s="13">
        <v>1063</v>
      </c>
      <c r="C55" s="32">
        <v>21083</v>
      </c>
      <c r="D55" t="s">
        <v>96</v>
      </c>
      <c r="E55" t="s">
        <v>97</v>
      </c>
      <c r="F55" t="s">
        <v>83</v>
      </c>
      <c r="G55" s="23" t="s">
        <v>73</v>
      </c>
      <c r="H55" s="23" t="s">
        <v>74</v>
      </c>
      <c r="I55" s="105" t="s">
        <v>48</v>
      </c>
      <c r="J55" s="70">
        <v>1</v>
      </c>
      <c r="K55" s="70"/>
      <c r="L55" s="70"/>
      <c r="M55" t="s">
        <v>83</v>
      </c>
      <c r="N55" t="s">
        <v>124</v>
      </c>
      <c r="O55" s="18">
        <v>133.81388888888881</v>
      </c>
      <c r="P55" s="18">
        <v>3.5304038800705464</v>
      </c>
      <c r="Q55" s="97">
        <v>0.67619851029485289</v>
      </c>
      <c r="R55" s="97">
        <v>0.17095847454975324</v>
      </c>
      <c r="S55" s="97">
        <v>8.2482111378089501E-2</v>
      </c>
      <c r="T55" s="97">
        <v>2.2963148117032539E-2</v>
      </c>
      <c r="U55" s="97">
        <v>1.5684274989673723E-3</v>
      </c>
      <c r="V55" s="97">
        <v>1.6020617360966029E-2</v>
      </c>
      <c r="W55" s="97">
        <v>2.9808710800338437E-2</v>
      </c>
      <c r="X55" s="51">
        <f t="shared" si="5"/>
        <v>6.677324561435249</v>
      </c>
      <c r="Y55" s="18">
        <v>535.41181657848301</v>
      </c>
      <c r="Z55" s="18">
        <v>23.573652540181364</v>
      </c>
      <c r="AA55" s="18">
        <f t="shared" si="6"/>
        <v>17.616745717446072</v>
      </c>
      <c r="AB55" s="18">
        <f t="shared" si="7"/>
        <v>44.029010586332163</v>
      </c>
      <c r="AC55" s="18">
        <f>$CP$15*Table2912[[#This Row],[DMD '[mg/g']]]+$CS$15*Table2912[[#This Row],[CH4 '[ml/g']]]+$CR$15*Table2912[[#This Row],[CH4 '[% GP']]]+$CQ$15*Table2912[[#This Row],[CH4 '[g/g DDM']]]</f>
        <v>-1.5822195463118831</v>
      </c>
      <c r="AD55" s="18">
        <f>_xlfn.RANK.AVG(Table2912[[#This Row],[Index]],Table2912[Index])</f>
        <v>457</v>
      </c>
      <c r="AE5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3.2820014723698807</v>
      </c>
      <c r="AF55" s="18">
        <f>Table2912[[#This Row],[CH4 '[ml/g']]]/Table2912[[#This Row],[APB]]</f>
        <v>7.182706265868676</v>
      </c>
      <c r="AG55" s="18">
        <f>Table2912[[#This Row],[Propionate '[%']]]/Table2912[[#This Row],[Acetate '[%']]]</f>
        <v>0.25282290917087008</v>
      </c>
      <c r="AH55" s="51"/>
      <c r="AI55" s="18"/>
      <c r="AJ55" s="18"/>
      <c r="AK55" s="18">
        <f>(Table2912[[#This Row],[DMD '[mg/g']]]-$AK$15)/$AK$15*100</f>
        <v>9.2032832186815678</v>
      </c>
      <c r="AL55" s="18">
        <f>(Table2912[[#This Row],[CH4 '[ml/g']]]-AL$15)/AL$15*100</f>
        <v>-40.065270207095544</v>
      </c>
      <c r="AM55" s="18">
        <f>(Table2912[[#This Row],[CH4 '[% GP']]]-AM$15)/AM$15*100</f>
        <v>13.492747038695008</v>
      </c>
      <c r="AN55" s="18">
        <f>(Table2912[[#This Row],[CH4 '[g/g DDM']]]-AN$15)/AN$15*100</f>
        <v>-14.031906447372556</v>
      </c>
      <c r="AO55" s="18"/>
      <c r="AP55" s="18"/>
      <c r="AR55">
        <f>_xlfn.NORM.DIST(Table2912[[#This Row],[GP '[ml/g']]],O$6,O$2,FALSE)</f>
        <v>5.5431688634634605E-4</v>
      </c>
      <c r="AS55">
        <f>_xlfn.NORM.DIST(Table2912[[#This Row],[SCFA '[mmol/g']]],P$6,P$2,FALSE)</f>
        <v>1.4326519241617234E-2</v>
      </c>
      <c r="AT55">
        <f>_xlfn.NORM.DIST(Table2912[[#This Row],[Acetate '[%']]],Q$6,Q$2,FALSE)</f>
        <v>13.945231827914743</v>
      </c>
      <c r="AU55">
        <f>_xlfn.NORM.DIST(Table2912[[#This Row],[Propionate '[%']]],R$6,R$2,FALSE)</f>
        <v>16.778796805018285</v>
      </c>
      <c r="AV55">
        <f>_xlfn.NORM.DIST(Table2912[[#This Row],[Butyrate '[%']]],S$6,S$2,FALSE)</f>
        <v>19.205558389247109</v>
      </c>
      <c r="AW55">
        <f>_xlfn.NORM.DIST(Table2912[[#This Row],[Valerate '[%']]],T$6,T$2,FALSE)</f>
        <v>45.581557599144233</v>
      </c>
      <c r="AX55">
        <f>_xlfn.NORM.DIST(Table2912[[#This Row],[Caproate '[%']]],U$6,U$2,FALSE)</f>
        <v>395.35575102021483</v>
      </c>
      <c r="AY55">
        <f>_xlfn.NORM.DIST(Table2912[[#This Row],[Isobutyrate '[%']]],V$6,V$2,FALSE)</f>
        <v>89.027782453498034</v>
      </c>
      <c r="AZ55">
        <f>_xlfn.NORM.DIST(Table2912[[#This Row],[Isovalerate '[%']]],W$6,W$2,FALSE)</f>
        <v>44.363945866215602</v>
      </c>
      <c r="BA55">
        <f>_xlfn.NORM.DIST(Table2912[[#This Row],[CH4 '[g/mmol SCFA']]],X$6,X$2,FALSE)</f>
        <v>0.28481418896357708</v>
      </c>
      <c r="BB55">
        <f>_xlfn.NORM.DIST(Table2912[[#This Row],[DMD '[mg/g']]],Y$6,Y$2,FALSE)</f>
        <v>6.2125503958810366E-4</v>
      </c>
      <c r="BC55">
        <f>_xlfn.NORM.DIST(Table2912[[#This Row],[CH4 '[ml/g']]],Z$6,Z$2,FALSE)</f>
        <v>1.0926436885783319E-2</v>
      </c>
      <c r="BD55">
        <f>_xlfn.NORM.DIST(Table2912[[#This Row],[CH4 '[% GP']]],AA$6,AA$2,FALSE)</f>
        <v>0.11750311265745228</v>
      </c>
      <c r="BE55">
        <f>_xlfn.NORM.DIST(Table2912[[#This Row],[CH4 '[g/g DDM']]],AB$6,AB$2,FALSE)</f>
        <v>2.4463300855301805E-2</v>
      </c>
      <c r="BG55">
        <f>IF(Table2912[[#This Row],[GP '[ml/g']]]&lt;O$10,_xlfn.NORM.DIST(Table2912[[#This Row],[GP '[ml/g']]],O$6,O$2,FALSE),-100)</f>
        <v>5.5431688634634605E-4</v>
      </c>
      <c r="BH55">
        <f>IF(Table2912[[#This Row],[SCFA '[mmol/g']]]&lt;P$10,_xlfn.NORM.DIST(Table2912[[#This Row],[SCFA '[mmol/g']]],P$6,P$2,FALSE),-100)</f>
        <v>1.4326519241617234E-2</v>
      </c>
      <c r="BI55">
        <f>IF(Table2912[[#This Row],[Acetate '[%']]]&lt;Q$10,_xlfn.NORM.DIST(Table2912[[#This Row],[Acetate '[%']]],Q$6,Q$2,FALSE),-100)</f>
        <v>-100</v>
      </c>
      <c r="BJ55">
        <f>IF(Table2912[[#This Row],[Propionate '[%']]]&lt;R$10,_xlfn.NORM.DIST(Table2912[[#This Row],[Propionate '[%']]],R$6,R$2,FALSE),-100)</f>
        <v>-100</v>
      </c>
      <c r="BK55">
        <f>IF(Table2912[[#This Row],[Butyrate '[%']]]&lt;S$10,_xlfn.NORM.DIST(Table2912[[#This Row],[Butyrate '[%']]],S$6,S$2,FALSE),-100)</f>
        <v>-100</v>
      </c>
      <c r="BL55">
        <f>IF(Table2912[[#This Row],[Valerate '[%']]]&lt;T$10,_xlfn.NORM.DIST(Table2912[[#This Row],[Valerate '[%']]],T$6,T$2,FALSE),-100)</f>
        <v>-100</v>
      </c>
      <c r="BM55">
        <f>IF(Table2912[[#This Row],[Caproate '[%']]]&lt;U$10,_xlfn.NORM.DIST(Table2912[[#This Row],[Caproate '[%']]],U$6,U$2,FALSE),-100)</f>
        <v>-100</v>
      </c>
      <c r="BN55">
        <f>IF(Table2912[[#This Row],[Isobutyrate '[%']]]&lt;V$10,_xlfn.NORM.DIST(Table2912[[#This Row],[Isobutyrate '[%']]],V$6,V$2,FALSE),-100)</f>
        <v>-100</v>
      </c>
      <c r="BO55">
        <f>IF(Table2912[[#This Row],[Isovalerate '[%']]]&lt;W$10,_xlfn.NORM.DIST(Table2912[[#This Row],[Isovalerate '[%']]],W$6,W$2,FALSE),-100)</f>
        <v>-100</v>
      </c>
      <c r="BP55">
        <f>IF(Table2912[[#This Row],[CH4 '[g/mmol SCFA']]]&lt;X$10,_xlfn.NORM.DIST(Table2912[[#This Row],[CH4 '[g/mmol SCFA']]],X$6,X$2,FALSE),-100)</f>
        <v>-100</v>
      </c>
      <c r="BQ55">
        <f>IF(Table2912[[#This Row],[DMD '[mg/g']]]&gt;Y$10,_xlfn.NORM.DIST(Table2912[[#This Row],[DMD '[mg/g']]],Y$6,Y$2,FALSE),-100)</f>
        <v>-100</v>
      </c>
      <c r="BR55">
        <f>IF(Table2912[[#This Row],[CH4 '[ml/g']]]&lt;Z$10,_xlfn.NORM.DIST(Table2912[[#This Row],[CH4 '[ml/g']]],Z$6,Z$2,FALSE),-100)</f>
        <v>1.0926436885783319E-2</v>
      </c>
      <c r="BS55">
        <f>IF(Table2912[[#This Row],[CH4 '[% GP']]]&lt;AA$10,_xlfn.NORM.DIST(Table2912[[#This Row],[CH4 '[% GP']]],AA$6,AA$2,FALSE),-100)</f>
        <v>-100</v>
      </c>
      <c r="BT55">
        <f>IF(Table2912[[#This Row],[CH4 '[g/g DDM']]]&lt;AB$10,_xlfn.NORM.DIST(Table2912[[#This Row],[CH4 '[g/g DDM']]],AB$6,AB$2,FALSE),-100)</f>
        <v>-100</v>
      </c>
      <c r="CJ55" t="str">
        <v>Medicago Sativa-094</v>
      </c>
      <c r="CL55" t="str">
        <v>Medicago Sativa-094</v>
      </c>
    </row>
    <row r="56" spans="1:90" x14ac:dyDescent="0.25">
      <c r="A56" s="12" t="s">
        <v>70</v>
      </c>
      <c r="B56" s="13">
        <v>1016</v>
      </c>
      <c r="C56" s="96" t="s">
        <v>94</v>
      </c>
      <c r="D56" s="96"/>
      <c r="E56" s="96"/>
      <c r="F56" s="96" t="s">
        <v>95</v>
      </c>
      <c r="G56" s="15" t="s">
        <v>73</v>
      </c>
      <c r="H56" s="15" t="s">
        <v>74</v>
      </c>
      <c r="I56" t="s">
        <v>75</v>
      </c>
      <c r="J56" s="70">
        <v>2</v>
      </c>
      <c r="K56" s="70"/>
      <c r="L56" s="70"/>
      <c r="M56" t="s">
        <v>95</v>
      </c>
      <c r="N56" t="s">
        <v>76</v>
      </c>
      <c r="O56" s="18">
        <v>168.44246666666638</v>
      </c>
      <c r="P56" s="18">
        <v>4.8270555555555559</v>
      </c>
      <c r="Q56" s="97">
        <v>0.71500805390810362</v>
      </c>
      <c r="R56" s="97">
        <v>0.19904028891406486</v>
      </c>
      <c r="S56" s="97">
        <v>5.1741786429651784E-2</v>
      </c>
      <c r="T56" s="97">
        <v>1.5195809961758573E-2</v>
      </c>
      <c r="U56" s="97">
        <v>6.5686028554159899E-5</v>
      </c>
      <c r="V56" s="97">
        <v>6.4928471535394281E-3</v>
      </c>
      <c r="W56" s="97">
        <v>1.2455527604327523E-2</v>
      </c>
      <c r="X56" s="51">
        <f t="shared" si="5"/>
        <v>4.0653036537843992</v>
      </c>
      <c r="Y56" s="18">
        <v>537.00000000000011</v>
      </c>
      <c r="Z56" s="18">
        <v>19.623446587020283</v>
      </c>
      <c r="AA56" s="18">
        <f t="shared" si="6"/>
        <v>11.649940169692155</v>
      </c>
      <c r="AB56" s="18">
        <f t="shared" si="7"/>
        <v>36.542731074525662</v>
      </c>
      <c r="AC56" s="18">
        <f>$CP$15*Table2912[[#This Row],[DMD '[mg/g']]]+$CS$15*Table2912[[#This Row],[CH4 '[ml/g']]]+$CR$15*Table2912[[#This Row],[CH4 '[% GP']]]+$CQ$15*Table2912[[#This Row],[CH4 '[g/g DDM']]]</f>
        <v>4.5738772664489531</v>
      </c>
      <c r="AD56" s="18">
        <f>_xlfn.RANK.AVG(Table2912[[#This Row],[Index]],Table2912[Index])</f>
        <v>411</v>
      </c>
      <c r="AE5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4.6619226089057175</v>
      </c>
      <c r="AF56" s="18">
        <f>Table2912[[#This Row],[CH4 '[ml/g']]]/Table2912[[#This Row],[APB]]</f>
        <v>4.2093033782957736</v>
      </c>
      <c r="AG56" s="18">
        <f>Table2912[[#This Row],[Propionate '[%']]]/Table2912[[#This Row],[Acetate '[%']]]</f>
        <v>0.27837489078080579</v>
      </c>
      <c r="AH56" s="51"/>
      <c r="AI56" s="18"/>
      <c r="AJ56" s="18"/>
      <c r="AK56" s="18">
        <f>(Table2912[[#This Row],[DMD '[mg/g']]]-$AK$15)/$AK$15*100</f>
        <v>9.5272111534280803</v>
      </c>
      <c r="AL56" s="18">
        <f>(Table2912[[#This Row],[CH4 '[ml/g']]]-AL$15)/AL$15*100</f>
        <v>-50.108454055058139</v>
      </c>
      <c r="AM56" s="18">
        <f>(Table2912[[#This Row],[CH4 '[% GP']]]-AM$15)/AM$15*100</f>
        <v>-24.947335115053111</v>
      </c>
      <c r="AN56" s="18">
        <f>(Table2912[[#This Row],[CH4 '[g/g DDM']]]-AN$15)/AN$15*100</f>
        <v>-28.649113803648806</v>
      </c>
      <c r="AO56" s="18"/>
      <c r="AP56" s="18"/>
      <c r="AR56">
        <f>_xlfn.NORM.DIST(Table2912[[#This Row],[GP '[ml/g']]],O$6,O$2,FALSE)</f>
        <v>1.9746429176226449E-3</v>
      </c>
      <c r="AS56">
        <f>_xlfn.NORM.DIST(Table2912[[#This Row],[SCFA '[mmol/g']]],P$6,P$2,FALSE)</f>
        <v>0.12027479327907217</v>
      </c>
      <c r="AT56">
        <f>_xlfn.NORM.DIST(Table2912[[#This Row],[Acetate '[%']]],Q$6,Q$2,FALSE)</f>
        <v>4.7430158777332911</v>
      </c>
      <c r="AU56">
        <f>_xlfn.NORM.DIST(Table2912[[#This Row],[Propionate '[%']]],R$6,R$2,FALSE)</f>
        <v>8.7307419025410713</v>
      </c>
      <c r="AV56">
        <f>_xlfn.NORM.DIST(Table2912[[#This Row],[Butyrate '[%']]],S$6,S$2,FALSE)</f>
        <v>1.3650410201739045</v>
      </c>
      <c r="AW56">
        <f>_xlfn.NORM.DIST(Table2912[[#This Row],[Valerate '[%']]],T$6,T$2,FALSE)</f>
        <v>69.044086910074569</v>
      </c>
      <c r="AX56">
        <f>_xlfn.NORM.DIST(Table2912[[#This Row],[Caproate '[%']]],U$6,U$2,FALSE)</f>
        <v>176.45463057253096</v>
      </c>
      <c r="AY56">
        <f>_xlfn.NORM.DIST(Table2912[[#This Row],[Isobutyrate '[%']]],V$6,V$2,FALSE)</f>
        <v>12.340138842083986</v>
      </c>
      <c r="AZ56">
        <f>_xlfn.NORM.DIST(Table2912[[#This Row],[Isovalerate '[%']]],W$6,W$2,FALSE)</f>
        <v>9.6846899646172329</v>
      </c>
      <c r="BA56">
        <f>_xlfn.NORM.DIST(Table2912[[#This Row],[CH4 '[g/mmol SCFA']]],X$6,X$2,FALSE)</f>
        <v>7.5851418022270661E-2</v>
      </c>
      <c r="BB56">
        <f>_xlfn.NORM.DIST(Table2912[[#This Row],[DMD '[mg/g']]],Y$6,Y$2,FALSE)</f>
        <v>6.3402532203483963E-4</v>
      </c>
      <c r="BC56">
        <f>_xlfn.NORM.DIST(Table2912[[#This Row],[CH4 '[ml/g']]],Z$6,Z$2,FALSE)</f>
        <v>6.2933174029943112E-3</v>
      </c>
      <c r="BD56">
        <f>_xlfn.NORM.DIST(Table2912[[#This Row],[CH4 '[% GP']]],AA$6,AA$2,FALSE)</f>
        <v>4.4262427996334161E-2</v>
      </c>
      <c r="BE56">
        <f>_xlfn.NORM.DIST(Table2912[[#This Row],[CH4 '[g/g DDM']]],AB$6,AB$2,FALSE)</f>
        <v>1.2600648742712033E-2</v>
      </c>
      <c r="BG56">
        <f>IF(Table2912[[#This Row],[GP '[ml/g']]]&lt;O$10,_xlfn.NORM.DIST(Table2912[[#This Row],[GP '[ml/g']]],O$6,O$2,FALSE),-100)</f>
        <v>1.9746429176226449E-3</v>
      </c>
      <c r="BH56">
        <f>IF(Table2912[[#This Row],[SCFA '[mmol/g']]]&lt;P$10,_xlfn.NORM.DIST(Table2912[[#This Row],[SCFA '[mmol/g']]],P$6,P$2,FALSE),-100)</f>
        <v>0.12027479327907217</v>
      </c>
      <c r="BI56">
        <f>IF(Table2912[[#This Row],[Acetate '[%']]]&lt;Q$10,_xlfn.NORM.DIST(Table2912[[#This Row],[Acetate '[%']]],Q$6,Q$2,FALSE),-100)</f>
        <v>-100</v>
      </c>
      <c r="BJ56">
        <f>IF(Table2912[[#This Row],[Propionate '[%']]]&lt;R$10,_xlfn.NORM.DIST(Table2912[[#This Row],[Propionate '[%']]],R$6,R$2,FALSE),-100)</f>
        <v>-100</v>
      </c>
      <c r="BK56">
        <f>IF(Table2912[[#This Row],[Butyrate '[%']]]&lt;S$10,_xlfn.NORM.DIST(Table2912[[#This Row],[Butyrate '[%']]],S$6,S$2,FALSE),-100)</f>
        <v>1.3650410201739045</v>
      </c>
      <c r="BL56">
        <f>IF(Table2912[[#This Row],[Valerate '[%']]]&lt;T$10,_xlfn.NORM.DIST(Table2912[[#This Row],[Valerate '[%']]],T$6,T$2,FALSE),-100)</f>
        <v>-100</v>
      </c>
      <c r="BM56">
        <f>IF(Table2912[[#This Row],[Caproate '[%']]]&lt;U$10,_xlfn.NORM.DIST(Table2912[[#This Row],[Caproate '[%']]],U$6,U$2,FALSE),-100)</f>
        <v>176.45463057253096</v>
      </c>
      <c r="BN56">
        <f>IF(Table2912[[#This Row],[Isobutyrate '[%']]]&lt;V$10,_xlfn.NORM.DIST(Table2912[[#This Row],[Isobutyrate '[%']]],V$6,V$2,FALSE),-100)</f>
        <v>12.340138842083986</v>
      </c>
      <c r="BO56">
        <f>IF(Table2912[[#This Row],[Isovalerate '[%']]]&lt;W$10,_xlfn.NORM.DIST(Table2912[[#This Row],[Isovalerate '[%']]],W$6,W$2,FALSE),-100)</f>
        <v>9.6846899646172329</v>
      </c>
      <c r="BP56">
        <f>IF(Table2912[[#This Row],[CH4 '[g/mmol SCFA']]]&lt;X$10,_xlfn.NORM.DIST(Table2912[[#This Row],[CH4 '[g/mmol SCFA']]],X$6,X$2,FALSE),-100)</f>
        <v>7.5851418022270661E-2</v>
      </c>
      <c r="BQ56">
        <f>IF(Table2912[[#This Row],[DMD '[mg/g']]]&gt;Y$10,_xlfn.NORM.DIST(Table2912[[#This Row],[DMD '[mg/g']]],Y$6,Y$2,FALSE),-100)</f>
        <v>-100</v>
      </c>
      <c r="BR56">
        <f>IF(Table2912[[#This Row],[CH4 '[ml/g']]]&lt;Z$10,_xlfn.NORM.DIST(Table2912[[#This Row],[CH4 '[ml/g']]],Z$6,Z$2,FALSE),-100)</f>
        <v>6.2933174029943112E-3</v>
      </c>
      <c r="BS56">
        <f>IF(Table2912[[#This Row],[CH4 '[% GP']]]&lt;AA$10,_xlfn.NORM.DIST(Table2912[[#This Row],[CH4 '[% GP']]],AA$6,AA$2,FALSE),-100)</f>
        <v>-100</v>
      </c>
      <c r="BT56">
        <f>IF(Table2912[[#This Row],[CH4 '[g/g DDM']]]&lt;AB$10,_xlfn.NORM.DIST(Table2912[[#This Row],[CH4 '[g/g DDM']]],AB$6,AB$2,FALSE),-100)</f>
        <v>-100</v>
      </c>
      <c r="CJ56" t="str">
        <v>Macroptilium  atropurpureum</v>
      </c>
      <c r="CL56" t="str">
        <v>Macroptilium  atropurpureum</v>
      </c>
    </row>
    <row r="57" spans="1:90" ht="15" customHeight="1" x14ac:dyDescent="0.25">
      <c r="A57" s="12" t="s">
        <v>86</v>
      </c>
      <c r="B57" s="13">
        <v>1045</v>
      </c>
      <c r="C57" s="104" t="s">
        <v>109</v>
      </c>
      <c r="D57" s="104" t="s">
        <v>110</v>
      </c>
      <c r="E57" s="104" t="s">
        <v>111</v>
      </c>
      <c r="F57" s="104" t="s">
        <v>112</v>
      </c>
      <c r="G57" s="23" t="s">
        <v>73</v>
      </c>
      <c r="H57" s="23" t="s">
        <v>74</v>
      </c>
      <c r="I57" s="104" t="s">
        <v>44</v>
      </c>
      <c r="J57" s="100">
        <v>3</v>
      </c>
      <c r="K57" s="100"/>
      <c r="L57" s="100"/>
      <c r="M57" t="s">
        <v>112</v>
      </c>
      <c r="N57" t="s">
        <v>98</v>
      </c>
      <c r="O57" s="18">
        <v>67.013214990138025</v>
      </c>
      <c r="P57" s="18">
        <v>3.0176350264076284</v>
      </c>
      <c r="Q57" s="97">
        <v>0.56687460826850322</v>
      </c>
      <c r="R57" s="97">
        <v>0.3295726343290003</v>
      </c>
      <c r="S57" s="97">
        <v>5.7940716133906112E-2</v>
      </c>
      <c r="T57" s="97">
        <v>9.6834653903240479E-3</v>
      </c>
      <c r="U57" s="97">
        <v>2.1063875996043456E-4</v>
      </c>
      <c r="V57" s="97">
        <v>8.8214196945531932E-3</v>
      </c>
      <c r="W57" s="97">
        <v>2.6896517423752764E-2</v>
      </c>
      <c r="X57" s="51">
        <f t="shared" si="5"/>
        <v>3.4740257258690757</v>
      </c>
      <c r="Y57" s="18">
        <v>537.18852401046718</v>
      </c>
      <c r="Z57" s="18">
        <v>10.483341713023709</v>
      </c>
      <c r="AA57" s="18">
        <f t="shared" si="6"/>
        <v>15.643693135102509</v>
      </c>
      <c r="AB57" s="18">
        <f t="shared" si="7"/>
        <v>19.515200426767571</v>
      </c>
      <c r="AC57" s="18">
        <f>$CP$15*Table2912[[#This Row],[DMD '[mg/g']]]+$CS$15*Table2912[[#This Row],[CH4 '[ml/g']]]+$CR$15*Table2912[[#This Row],[CH4 '[% GP']]]+$CQ$15*Table2912[[#This Row],[CH4 '[g/g DDM']]]</f>
        <v>13.021891624098966</v>
      </c>
      <c r="AD57" s="18">
        <f>_xlfn.RANK.AVG(Table2912[[#This Row],[Index]],Table2912[Index])</f>
        <v>302</v>
      </c>
      <c r="AE5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2.87999453304958</v>
      </c>
      <c r="AF57" s="18">
        <f>Table2912[[#This Row],[CH4 '[ml/g']]]/Table2912[[#This Row],[APB]]</f>
        <v>3.6400561156354234</v>
      </c>
      <c r="AG57" s="18">
        <f>Table2912[[#This Row],[Propionate '[%']]]/Table2912[[#This Row],[Acetate '[%']]]</f>
        <v>0.58138542372830437</v>
      </c>
      <c r="AH57" s="51"/>
      <c r="AI57" s="18"/>
      <c r="AJ57" s="18"/>
      <c r="AK57" s="18">
        <f>(Table2912[[#This Row],[DMD '[mg/g']]]-$AK$15)/$AK$15*100</f>
        <v>9.5656627532454319</v>
      </c>
      <c r="AL57" s="18">
        <f>(Table2912[[#This Row],[CH4 '[ml/g']]]-AL$15)/AL$15*100</f>
        <v>-73.346673714402428</v>
      </c>
      <c r="AM57" s="18">
        <f>(Table2912[[#This Row],[CH4 '[% GP']]]-AM$15)/AM$15*100</f>
        <v>0.7817071444082786</v>
      </c>
      <c r="AN57" s="18">
        <f>(Table2912[[#This Row],[CH4 '[g/g DDM']]]-AN$15)/AN$15*100</f>
        <v>-61.895928306246574</v>
      </c>
      <c r="AO57" s="18"/>
      <c r="AP57" s="18"/>
      <c r="AR57">
        <f>_xlfn.NORM.DIST(Table2912[[#This Row],[GP '[ml/g']]],O$6,O$2,FALSE)</f>
        <v>1.4528715625766442E-5</v>
      </c>
      <c r="AS57">
        <f>_xlfn.NORM.DIST(Table2912[[#This Row],[SCFA '[mmol/g']]],P$6,P$2,FALSE)</f>
        <v>4.4726898535697177E-3</v>
      </c>
      <c r="AT57">
        <f>_xlfn.NORM.DIST(Table2912[[#This Row],[Acetate '[%']]],Q$6,Q$2,FALSE)</f>
        <v>1.3074770957806205E-2</v>
      </c>
      <c r="AU57">
        <f>_xlfn.NORM.DIST(Table2912[[#This Row],[Propionate '[%']]],R$6,R$2,FALSE)</f>
        <v>4.5489748587998643E-9</v>
      </c>
      <c r="AV57">
        <f>_xlfn.NORM.DIST(Table2912[[#This Row],[Butyrate '[%']]],S$6,S$2,FALSE)</f>
        <v>2.9977123502300844</v>
      </c>
      <c r="AW57">
        <f>_xlfn.NORM.DIST(Table2912[[#This Row],[Valerate '[%']]],T$6,T$2,FALSE)</f>
        <v>23.380458196210913</v>
      </c>
      <c r="AX57">
        <f>_xlfn.NORM.DIST(Table2912[[#This Row],[Caproate '[%']]],U$6,U$2,FALSE)</f>
        <v>211.29581274797698</v>
      </c>
      <c r="AY57">
        <f>_xlfn.NORM.DIST(Table2912[[#This Row],[Isobutyrate '[%']]],V$6,V$2,FALSE)</f>
        <v>30.688923134930626</v>
      </c>
      <c r="AZ57">
        <f>_xlfn.NORM.DIST(Table2912[[#This Row],[Isovalerate '[%']]],W$6,W$2,FALSE)</f>
        <v>45.137116955665419</v>
      </c>
      <c r="BA57">
        <f>_xlfn.NORM.DIST(Table2912[[#This Row],[CH4 '[g/mmol SCFA']]],X$6,X$2,FALSE)</f>
        <v>3.3213872941410025E-2</v>
      </c>
      <c r="BB57">
        <f>_xlfn.NORM.DIST(Table2912[[#This Row],[DMD '[mg/g']]],Y$6,Y$2,FALSE)</f>
        <v>6.3555284616673288E-4</v>
      </c>
      <c r="BC57">
        <f>_xlfn.NORM.DIST(Table2912[[#This Row],[CH4 '[ml/g']]],Z$6,Z$2,FALSE)</f>
        <v>1.1513908625661114E-3</v>
      </c>
      <c r="BD57">
        <f>_xlfn.NORM.DIST(Table2912[[#This Row],[CH4 '[% GP']]],AA$6,AA$2,FALSE)</f>
        <v>0.13333931616429381</v>
      </c>
      <c r="BE57">
        <f>_xlfn.NORM.DIST(Table2912[[#This Row],[CH4 '[g/g DDM']]],AB$6,AB$2,FALSE)</f>
        <v>6.7672984231327777E-4</v>
      </c>
      <c r="BG57">
        <f>IF(Table2912[[#This Row],[GP '[ml/g']]]&lt;O$10,_xlfn.NORM.DIST(Table2912[[#This Row],[GP '[ml/g']]],O$6,O$2,FALSE),-100)</f>
        <v>1.4528715625766442E-5</v>
      </c>
      <c r="BH57">
        <f>IF(Table2912[[#This Row],[SCFA '[mmol/g']]]&lt;P$10,_xlfn.NORM.DIST(Table2912[[#This Row],[SCFA '[mmol/g']]],P$6,P$2,FALSE),-100)</f>
        <v>4.4726898535697177E-3</v>
      </c>
      <c r="BI57">
        <f>IF(Table2912[[#This Row],[Acetate '[%']]]&lt;Q$10,_xlfn.NORM.DIST(Table2912[[#This Row],[Acetate '[%']]],Q$6,Q$2,FALSE),-100)</f>
        <v>1.3074770957806205E-2</v>
      </c>
      <c r="BJ57">
        <f>IF(Table2912[[#This Row],[Propionate '[%']]]&lt;R$10,_xlfn.NORM.DIST(Table2912[[#This Row],[Propionate '[%']]],R$6,R$2,FALSE),-100)</f>
        <v>-100</v>
      </c>
      <c r="BK57">
        <f>IF(Table2912[[#This Row],[Butyrate '[%']]]&lt;S$10,_xlfn.NORM.DIST(Table2912[[#This Row],[Butyrate '[%']]],S$6,S$2,FALSE),-100)</f>
        <v>2.9977123502300844</v>
      </c>
      <c r="BL57">
        <f>IF(Table2912[[#This Row],[Valerate '[%']]]&lt;T$10,_xlfn.NORM.DIST(Table2912[[#This Row],[Valerate '[%']]],T$6,T$2,FALSE),-100)</f>
        <v>23.380458196210913</v>
      </c>
      <c r="BM57">
        <f>IF(Table2912[[#This Row],[Caproate '[%']]]&lt;U$10,_xlfn.NORM.DIST(Table2912[[#This Row],[Caproate '[%']]],U$6,U$2,FALSE),-100)</f>
        <v>211.29581274797698</v>
      </c>
      <c r="BN57">
        <f>IF(Table2912[[#This Row],[Isobutyrate '[%']]]&lt;V$10,_xlfn.NORM.DIST(Table2912[[#This Row],[Isobutyrate '[%']]],V$6,V$2,FALSE),-100)</f>
        <v>30.688923134930626</v>
      </c>
      <c r="BO57">
        <f>IF(Table2912[[#This Row],[Isovalerate '[%']]]&lt;W$10,_xlfn.NORM.DIST(Table2912[[#This Row],[Isovalerate '[%']]],W$6,W$2,FALSE),-100)</f>
        <v>-100</v>
      </c>
      <c r="BP57">
        <f>IF(Table2912[[#This Row],[CH4 '[g/mmol SCFA']]]&lt;X$10,_xlfn.NORM.DIST(Table2912[[#This Row],[CH4 '[g/mmol SCFA']]],X$6,X$2,FALSE),-100)</f>
        <v>3.3213872941410025E-2</v>
      </c>
      <c r="BQ57">
        <f>IF(Table2912[[#This Row],[DMD '[mg/g']]]&gt;Y$10,_xlfn.NORM.DIST(Table2912[[#This Row],[DMD '[mg/g']]],Y$6,Y$2,FALSE),-100)</f>
        <v>-100</v>
      </c>
      <c r="BR57">
        <f>IF(Table2912[[#This Row],[CH4 '[ml/g']]]&lt;Z$10,_xlfn.NORM.DIST(Table2912[[#This Row],[CH4 '[ml/g']]],Z$6,Z$2,FALSE),-100)</f>
        <v>1.1513908625661114E-3</v>
      </c>
      <c r="BS57">
        <f>IF(Table2912[[#This Row],[CH4 '[% GP']]]&lt;AA$10,_xlfn.NORM.DIST(Table2912[[#This Row],[CH4 '[% GP']]],AA$6,AA$2,FALSE),-100)</f>
        <v>-100</v>
      </c>
      <c r="BT57">
        <f>IF(Table2912[[#This Row],[CH4 '[g/g DDM']]]&lt;AB$10,_xlfn.NORM.DIST(Table2912[[#This Row],[CH4 '[g/g DDM']]],AB$6,AB$2,FALSE),-100)</f>
        <v>6.7672984231327777E-4</v>
      </c>
      <c r="CJ57" t="str">
        <v xml:space="preserve">Chamaecrista rotundifolia    </v>
      </c>
      <c r="CL57" t="str">
        <v xml:space="preserve">Chamaecrista rotundifolia    </v>
      </c>
    </row>
    <row r="58" spans="1:90" x14ac:dyDescent="0.25">
      <c r="A58" s="12" t="s">
        <v>70</v>
      </c>
      <c r="B58" s="13">
        <v>1013</v>
      </c>
      <c r="C58" s="96" t="s">
        <v>131</v>
      </c>
      <c r="D58" s="96"/>
      <c r="E58" s="96"/>
      <c r="F58" s="96" t="s">
        <v>132</v>
      </c>
      <c r="G58" t="s">
        <v>73</v>
      </c>
      <c r="H58" t="s">
        <v>74</v>
      </c>
      <c r="I58" t="s">
        <v>75</v>
      </c>
      <c r="J58" s="107">
        <v>2</v>
      </c>
      <c r="K58" s="107"/>
      <c r="L58" s="107"/>
      <c r="M58" t="s">
        <v>132</v>
      </c>
      <c r="N58" t="s">
        <v>81</v>
      </c>
      <c r="O58" s="18">
        <v>158.98514135437262</v>
      </c>
      <c r="P58" s="18">
        <v>4.5385711154941903</v>
      </c>
      <c r="Q58" s="97">
        <v>0.58613196842029025</v>
      </c>
      <c r="R58" s="97">
        <v>0.24247326106376302</v>
      </c>
      <c r="S58" s="97">
        <v>0.11523696854100775</v>
      </c>
      <c r="T58" s="97">
        <v>2.4360800598759023E-2</v>
      </c>
      <c r="U58" s="97">
        <v>2.8972210821120748E-4</v>
      </c>
      <c r="V58" s="97">
        <v>1.050242642265627E-2</v>
      </c>
      <c r="W58" s="97">
        <v>2.100485284531254E-2</v>
      </c>
      <c r="X58" s="51">
        <f t="shared" si="5"/>
        <v>2.8303260404374782</v>
      </c>
      <c r="Y58" s="18">
        <v>539.77646285338608</v>
      </c>
      <c r="Z58" s="18">
        <v>12.845636014560581</v>
      </c>
      <c r="AA58" s="18">
        <f t="shared" si="6"/>
        <v>8.0797714208575524</v>
      </c>
      <c r="AB58" s="18">
        <f t="shared" si="7"/>
        <v>23.798066234039755</v>
      </c>
      <c r="AC58" s="18">
        <f>$CP$15*Table2912[[#This Row],[DMD '[mg/g']]]+$CS$15*Table2912[[#This Row],[CH4 '[ml/g']]]+$CR$15*Table2912[[#This Row],[CH4 '[% GP']]]+$CQ$15*Table2912[[#This Row],[CH4 '[g/g DDM']]]</f>
        <v>13.046814171663957</v>
      </c>
      <c r="AD58" s="18">
        <f>_xlfn.RANK.AVG(Table2912[[#This Row],[Index]],Table2912[Index])</f>
        <v>299</v>
      </c>
      <c r="AE5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4.2836949375410898</v>
      </c>
      <c r="AF58" s="18">
        <f>Table2912[[#This Row],[CH4 '[ml/g']]]/Table2912[[#This Row],[APB]]</f>
        <v>2.9987280144496435</v>
      </c>
      <c r="AG58" s="18">
        <f>Table2912[[#This Row],[Propionate '[%']]]/Table2912[[#This Row],[Acetate '[%']]]</f>
        <v>0.41368373357498867</v>
      </c>
      <c r="AH58" s="51"/>
      <c r="AI58" s="18"/>
      <c r="AJ58" s="18"/>
      <c r="AK58" s="18">
        <f>(Table2912[[#This Row],[DMD '[mg/g']]]-$AK$15)/$AK$15*100</f>
        <v>10.093502090490379</v>
      </c>
      <c r="AL58" s="18">
        <f>(Table2912[[#This Row],[CH4 '[ml/g']]]-AL$15)/AL$15*100</f>
        <v>-67.340668899806928</v>
      </c>
      <c r="AM58" s="18">
        <f>(Table2912[[#This Row],[CH4 '[% GP']]]-AM$15)/AM$15*100</f>
        <v>-47.947511492445962</v>
      </c>
      <c r="AN58" s="18">
        <f>(Table2912[[#This Row],[CH4 '[g/g DDM']]]-AN$15)/AN$15*100</f>
        <v>-53.533491733410642</v>
      </c>
      <c r="AO58" s="18"/>
      <c r="AP58" s="18"/>
      <c r="AR58">
        <f>_xlfn.NORM.DIST(Table2912[[#This Row],[GP '[ml/g']]],O$6,O$2,FALSE)</f>
        <v>1.4553870226398273E-3</v>
      </c>
      <c r="AS58">
        <f>_xlfn.NORM.DIST(Table2912[[#This Row],[SCFA '[mmol/g']]],P$6,P$2,FALSE)</f>
        <v>8.2894653755412384E-2</v>
      </c>
      <c r="AT58">
        <f>_xlfn.NORM.DIST(Table2912[[#This Row],[Acetate '[%']]],Q$6,Q$2,FALSE)</f>
        <v>0.1304423890604588</v>
      </c>
      <c r="AU58">
        <f>_xlfn.NORM.DIST(Table2912[[#This Row],[Propionate '[%']]],R$6,R$2,FALSE)</f>
        <v>0.20296307177310452</v>
      </c>
      <c r="AV58">
        <f>_xlfn.NORM.DIST(Table2912[[#This Row],[Butyrate '[%']]],S$6,S$2,FALSE)</f>
        <v>10.044901214003271</v>
      </c>
      <c r="AW58">
        <f>_xlfn.NORM.DIST(Table2912[[#This Row],[Valerate '[%']]],T$6,T$2,FALSE)</f>
        <v>33.239310593929616</v>
      </c>
      <c r="AX58">
        <f>_xlfn.NORM.DIST(Table2912[[#This Row],[Caproate '[%']]],U$6,U$2,FALSE)</f>
        <v>230.98522993641942</v>
      </c>
      <c r="AY58">
        <f>_xlfn.NORM.DIST(Table2912[[#This Row],[Isobutyrate '[%']]],V$6,V$2,FALSE)</f>
        <v>49.872473404402314</v>
      </c>
      <c r="AZ58">
        <f>_xlfn.NORM.DIST(Table2912[[#This Row],[Isovalerate '[%']]],W$6,W$2,FALSE)</f>
        <v>33.392992168350901</v>
      </c>
      <c r="BA58">
        <f>_xlfn.NORM.DIST(Table2912[[#This Row],[CH4 '[g/mmol SCFA']]],X$6,X$2,FALSE)</f>
        <v>1.0837846983076379E-2</v>
      </c>
      <c r="BB58">
        <f>_xlfn.NORM.DIST(Table2912[[#This Row],[DMD '[mg/g']]],Y$6,Y$2,FALSE)</f>
        <v>6.567714931170961E-4</v>
      </c>
      <c r="BC58">
        <f>_xlfn.NORM.DIST(Table2912[[#This Row],[CH4 '[ml/g']]],Z$6,Z$2,FALSE)</f>
        <v>1.8897207800073427E-3</v>
      </c>
      <c r="BD58">
        <f>_xlfn.NORM.DIST(Table2912[[#This Row],[CH4 '[% GP']]],AA$6,AA$2,FALSE)</f>
        <v>3.5418862967732953E-3</v>
      </c>
      <c r="BE58">
        <f>_xlfn.NORM.DIST(Table2912[[#This Row],[CH4 '[g/g DDM']]],AB$6,AB$2,FALSE)</f>
        <v>1.6991168119176703E-3</v>
      </c>
      <c r="BG58">
        <f>IF(Table2912[[#This Row],[GP '[ml/g']]]&lt;O$10,_xlfn.NORM.DIST(Table2912[[#This Row],[GP '[ml/g']]],O$6,O$2,FALSE),-100)</f>
        <v>1.4553870226398273E-3</v>
      </c>
      <c r="BH58">
        <f>IF(Table2912[[#This Row],[SCFA '[mmol/g']]]&lt;P$10,_xlfn.NORM.DIST(Table2912[[#This Row],[SCFA '[mmol/g']]],P$6,P$2,FALSE),-100)</f>
        <v>8.2894653755412384E-2</v>
      </c>
      <c r="BI58">
        <f>IF(Table2912[[#This Row],[Acetate '[%']]]&lt;Q$10,_xlfn.NORM.DIST(Table2912[[#This Row],[Acetate '[%']]],Q$6,Q$2,FALSE),-100)</f>
        <v>0.1304423890604588</v>
      </c>
      <c r="BJ58">
        <f>IF(Table2912[[#This Row],[Propionate '[%']]]&lt;R$10,_xlfn.NORM.DIST(Table2912[[#This Row],[Propionate '[%']]],R$6,R$2,FALSE),-100)</f>
        <v>-100</v>
      </c>
      <c r="BK58">
        <f>IF(Table2912[[#This Row],[Butyrate '[%']]]&lt;S$10,_xlfn.NORM.DIST(Table2912[[#This Row],[Butyrate '[%']]],S$6,S$2,FALSE),-100)</f>
        <v>-100</v>
      </c>
      <c r="BL58">
        <f>IF(Table2912[[#This Row],[Valerate '[%']]]&lt;T$10,_xlfn.NORM.DIST(Table2912[[#This Row],[Valerate '[%']]],T$6,T$2,FALSE),-100)</f>
        <v>-100</v>
      </c>
      <c r="BM58">
        <f>IF(Table2912[[#This Row],[Caproate '[%']]]&lt;U$10,_xlfn.NORM.DIST(Table2912[[#This Row],[Caproate '[%']]],U$6,U$2,FALSE),-100)</f>
        <v>230.98522993641942</v>
      </c>
      <c r="BN58">
        <f>IF(Table2912[[#This Row],[Isobutyrate '[%']]]&lt;V$10,_xlfn.NORM.DIST(Table2912[[#This Row],[Isobutyrate '[%']]],V$6,V$2,FALSE),-100)</f>
        <v>49.872473404402314</v>
      </c>
      <c r="BO58">
        <f>IF(Table2912[[#This Row],[Isovalerate '[%']]]&lt;W$10,_xlfn.NORM.DIST(Table2912[[#This Row],[Isovalerate '[%']]],W$6,W$2,FALSE),-100)</f>
        <v>-100</v>
      </c>
      <c r="BP58">
        <f>IF(Table2912[[#This Row],[CH4 '[g/mmol SCFA']]]&lt;X$10,_xlfn.NORM.DIST(Table2912[[#This Row],[CH4 '[g/mmol SCFA']]],X$6,X$2,FALSE),-100)</f>
        <v>1.0837846983076379E-2</v>
      </c>
      <c r="BQ58">
        <f>IF(Table2912[[#This Row],[DMD '[mg/g']]]&gt;Y$10,_xlfn.NORM.DIST(Table2912[[#This Row],[DMD '[mg/g']]],Y$6,Y$2,FALSE),-100)</f>
        <v>-100</v>
      </c>
      <c r="BR58">
        <f>IF(Table2912[[#This Row],[CH4 '[ml/g']]]&lt;Z$10,_xlfn.NORM.DIST(Table2912[[#This Row],[CH4 '[ml/g']]],Z$6,Z$2,FALSE),-100)</f>
        <v>1.8897207800073427E-3</v>
      </c>
      <c r="BS58">
        <f>IF(Table2912[[#This Row],[CH4 '[% GP']]]&lt;AA$10,_xlfn.NORM.DIST(Table2912[[#This Row],[CH4 '[% GP']]],AA$6,AA$2,FALSE),-100)</f>
        <v>3.5418862967732953E-3</v>
      </c>
      <c r="BT58">
        <f>IF(Table2912[[#This Row],[CH4 '[g/g DDM']]]&lt;AB$10,_xlfn.NORM.DIST(Table2912[[#This Row],[CH4 '[g/g DDM']]],AB$6,AB$2,FALSE),-100)</f>
        <v>1.6991168119176703E-3</v>
      </c>
      <c r="CJ58" t="str">
        <v>Medicago Sativa-063</v>
      </c>
      <c r="CL58" t="str">
        <v>Medicago Sativa-063</v>
      </c>
    </row>
    <row r="59" spans="1:90" x14ac:dyDescent="0.25">
      <c r="A59" s="12" t="s">
        <v>86</v>
      </c>
      <c r="B59" s="13">
        <v>1060</v>
      </c>
      <c r="C59" s="104" t="s">
        <v>133</v>
      </c>
      <c r="D59" s="104" t="s">
        <v>134</v>
      </c>
      <c r="E59" s="104" t="s">
        <v>135</v>
      </c>
      <c r="F59" s="104" t="s">
        <v>136</v>
      </c>
      <c r="G59" s="23" t="s">
        <v>73</v>
      </c>
      <c r="H59" s="23" t="s">
        <v>74</v>
      </c>
      <c r="I59" s="105" t="s">
        <v>44</v>
      </c>
      <c r="J59" s="70">
        <v>3</v>
      </c>
      <c r="K59" s="70"/>
      <c r="L59" s="70"/>
      <c r="M59" t="s">
        <v>136</v>
      </c>
      <c r="N59" t="s">
        <v>98</v>
      </c>
      <c r="O59" s="18">
        <v>170.42428476380559</v>
      </c>
      <c r="P59" s="18">
        <v>5.0006676370578997</v>
      </c>
      <c r="Q59" s="97">
        <v>0.65569127905826319</v>
      </c>
      <c r="R59" s="97">
        <v>0.16081284393372719</v>
      </c>
      <c r="S59" s="97">
        <v>9.3419353784067821E-2</v>
      </c>
      <c r="T59" s="97">
        <v>1.8699426215514542E-2</v>
      </c>
      <c r="U59" s="97">
        <v>1.3451084833719204E-3</v>
      </c>
      <c r="V59" s="97">
        <v>2.5686158255953211E-2</v>
      </c>
      <c r="W59" s="97">
        <v>4.4345830269102125E-2</v>
      </c>
      <c r="X59" s="51">
        <f t="shared" si="5"/>
        <v>8.5983462739790379</v>
      </c>
      <c r="Y59" s="18">
        <v>543.99567137135432</v>
      </c>
      <c r="Z59" s="18">
        <v>42.997471944504355</v>
      </c>
      <c r="AA59" s="18">
        <f t="shared" si="6"/>
        <v>25.229662547268667</v>
      </c>
      <c r="AB59" s="18">
        <f t="shared" si="7"/>
        <v>79.040099411291962</v>
      </c>
      <c r="AC59" s="18">
        <f>$CP$15*Table2912[[#This Row],[DMD '[mg/g']]]+$CS$15*Table2912[[#This Row],[CH4 '[ml/g']]]+$CR$15*Table2912[[#This Row],[CH4 '[% GP']]]+$CQ$15*Table2912[[#This Row],[CH4 '[g/g DDM']]]</f>
        <v>-22.856338563848176</v>
      </c>
      <c r="AD59" s="18">
        <f>_xlfn.RANK.AVG(Table2912[[#This Row],[Index]],Table2912[Index])</f>
        <v>511</v>
      </c>
      <c r="AE5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4.5502248825132394</v>
      </c>
      <c r="AF59" s="18">
        <f>Table2912[[#This Row],[CH4 '[ml/g']]]/Table2912[[#This Row],[APB]]</f>
        <v>9.4495267936637521</v>
      </c>
      <c r="AG59" s="18">
        <f>Table2912[[#This Row],[Propionate '[%']]]/Table2912[[#This Row],[Acetate '[%']]]</f>
        <v>0.24525695105278003</v>
      </c>
      <c r="AH59" s="51"/>
      <c r="AI59" s="18"/>
      <c r="AJ59" s="18"/>
      <c r="AK59" s="18">
        <f>(Table2912[[#This Row],[DMD '[mg/g']]]-$AK$15)/$AK$15*100</f>
        <v>10.954057290207045</v>
      </c>
      <c r="AL59" s="18">
        <f>(Table2912[[#This Row],[CH4 '[ml/g']]]-AL$15)/AL$15*100</f>
        <v>9.3187344803391383</v>
      </c>
      <c r="AM59" s="18">
        <f>(Table2912[[#This Row],[CH4 '[% GP']]]-AM$15)/AM$15*100</f>
        <v>62.537607982452606</v>
      </c>
      <c r="AN59" s="18">
        <f>(Table2912[[#This Row],[CH4 '[g/g DDM']]]-AN$15)/AN$15*100</f>
        <v>54.32839780206772</v>
      </c>
      <c r="AO59" s="18"/>
      <c r="AP59" s="18"/>
      <c r="AR59">
        <f>_xlfn.NORM.DIST(Table2912[[#This Row],[GP '[ml/g']]],O$6,O$2,FALSE)</f>
        <v>2.0966504274392175E-3</v>
      </c>
      <c r="AS59">
        <f>_xlfn.NORM.DIST(Table2912[[#This Row],[SCFA '[mmol/g']]],P$6,P$2,FALSE)</f>
        <v>0.14633110712746317</v>
      </c>
      <c r="AT59">
        <f>_xlfn.NORM.DIST(Table2912[[#This Row],[Acetate '[%']]],Q$6,Q$2,FALSE)</f>
        <v>11.62443866384263</v>
      </c>
      <c r="AU59">
        <f>_xlfn.NORM.DIST(Table2912[[#This Row],[Propionate '[%']]],R$6,R$2,FALSE)</f>
        <v>15.068488405257598</v>
      </c>
      <c r="AV59">
        <f>_xlfn.NORM.DIST(Table2912[[#This Row],[Butyrate '[%']]],S$6,S$2,FALSE)</f>
        <v>23.020554358667823</v>
      </c>
      <c r="AW59">
        <f>_xlfn.NORM.DIST(Table2912[[#This Row],[Valerate '[%']]],T$6,T$2,FALSE)</f>
        <v>75.834760951479879</v>
      </c>
      <c r="AX59">
        <f>_xlfn.NORM.DIST(Table2912[[#This Row],[Caproate '[%']]],U$6,U$2,FALSE)</f>
        <v>406.88355339016158</v>
      </c>
      <c r="AY59">
        <f>_xlfn.NORM.DIST(Table2912[[#This Row],[Isobutyrate '[%']]],V$6,V$2,FALSE)</f>
        <v>5.7905945412037383</v>
      </c>
      <c r="AZ59">
        <f>_xlfn.NORM.DIST(Table2912[[#This Row],[Isovalerate '[%']]],W$6,W$2,FALSE)</f>
        <v>7.8574879086753473</v>
      </c>
      <c r="BA59">
        <f>_xlfn.NORM.DIST(Table2912[[#This Row],[CH4 '[g/mmol SCFA']]],X$6,X$2,FALSE)</f>
        <v>6.7028232501150906E-2</v>
      </c>
      <c r="BB59">
        <f>_xlfn.NORM.DIST(Table2912[[#This Row],[DMD '[mg/g']]],Y$6,Y$2,FALSE)</f>
        <v>6.9236315259325312E-4</v>
      </c>
      <c r="BC59">
        <f>_xlfn.NORM.DIST(Table2912[[#This Row],[CH4 '[ml/g']]],Z$6,Z$2,FALSE)</f>
        <v>3.320509580279813E-2</v>
      </c>
      <c r="BD59">
        <f>_xlfn.NORM.DIST(Table2912[[#This Row],[CH4 '[% GP']]],AA$6,AA$2,FALSE)</f>
        <v>1.1250126692226615E-3</v>
      </c>
      <c r="BE59">
        <f>_xlfn.NORM.DIST(Table2912[[#This Row],[CH4 '[g/g DDM']]],AB$6,AB$2,FALSE)</f>
        <v>3.5078726573227054E-3</v>
      </c>
      <c r="BG59">
        <f>IF(Table2912[[#This Row],[GP '[ml/g']]]&lt;O$10,_xlfn.NORM.DIST(Table2912[[#This Row],[GP '[ml/g']]],O$6,O$2,FALSE),-100)</f>
        <v>2.0966504274392175E-3</v>
      </c>
      <c r="BH59">
        <f>IF(Table2912[[#This Row],[SCFA '[mmol/g']]]&lt;P$10,_xlfn.NORM.DIST(Table2912[[#This Row],[SCFA '[mmol/g']]],P$6,P$2,FALSE),-100)</f>
        <v>0.14633110712746317</v>
      </c>
      <c r="BI59">
        <f>IF(Table2912[[#This Row],[Acetate '[%']]]&lt;Q$10,_xlfn.NORM.DIST(Table2912[[#This Row],[Acetate '[%']]],Q$6,Q$2,FALSE),-100)</f>
        <v>-100</v>
      </c>
      <c r="BJ59">
        <f>IF(Table2912[[#This Row],[Propionate '[%']]]&lt;R$10,_xlfn.NORM.DIST(Table2912[[#This Row],[Propionate '[%']]],R$6,R$2,FALSE),-100)</f>
        <v>-100</v>
      </c>
      <c r="BK59">
        <f>IF(Table2912[[#This Row],[Butyrate '[%']]]&lt;S$10,_xlfn.NORM.DIST(Table2912[[#This Row],[Butyrate '[%']]],S$6,S$2,FALSE),-100)</f>
        <v>-100</v>
      </c>
      <c r="BL59">
        <f>IF(Table2912[[#This Row],[Valerate '[%']]]&lt;T$10,_xlfn.NORM.DIST(Table2912[[#This Row],[Valerate '[%']]],T$6,T$2,FALSE),-100)</f>
        <v>-100</v>
      </c>
      <c r="BM59">
        <f>IF(Table2912[[#This Row],[Caproate '[%']]]&lt;U$10,_xlfn.NORM.DIST(Table2912[[#This Row],[Caproate '[%']]],U$6,U$2,FALSE),-100)</f>
        <v>-100</v>
      </c>
      <c r="BN59">
        <f>IF(Table2912[[#This Row],[Isobutyrate '[%']]]&lt;V$10,_xlfn.NORM.DIST(Table2912[[#This Row],[Isobutyrate '[%']]],V$6,V$2,FALSE),-100)</f>
        <v>-100</v>
      </c>
      <c r="BO59">
        <f>IF(Table2912[[#This Row],[Isovalerate '[%']]]&lt;W$10,_xlfn.NORM.DIST(Table2912[[#This Row],[Isovalerate '[%']]],W$6,W$2,FALSE),-100)</f>
        <v>-100</v>
      </c>
      <c r="BP59">
        <f>IF(Table2912[[#This Row],[CH4 '[g/mmol SCFA']]]&lt;X$10,_xlfn.NORM.DIST(Table2912[[#This Row],[CH4 '[g/mmol SCFA']]],X$6,X$2,FALSE),-100)</f>
        <v>-100</v>
      </c>
      <c r="BQ59">
        <f>IF(Table2912[[#This Row],[DMD '[mg/g']]]&gt;Y$10,_xlfn.NORM.DIST(Table2912[[#This Row],[DMD '[mg/g']]],Y$6,Y$2,FALSE),-100)</f>
        <v>-100</v>
      </c>
      <c r="BR59">
        <f>IF(Table2912[[#This Row],[CH4 '[ml/g']]]&lt;Z$10,_xlfn.NORM.DIST(Table2912[[#This Row],[CH4 '[ml/g']]],Z$6,Z$2,FALSE),-100)</f>
        <v>-100</v>
      </c>
      <c r="BS59">
        <f>IF(Table2912[[#This Row],[CH4 '[% GP']]]&lt;AA$10,_xlfn.NORM.DIST(Table2912[[#This Row],[CH4 '[% GP']]],AA$6,AA$2,FALSE),-100)</f>
        <v>-100</v>
      </c>
      <c r="BT59">
        <f>IF(Table2912[[#This Row],[CH4 '[g/g DDM']]]&lt;AB$10,_xlfn.NORM.DIST(Table2912[[#This Row],[CH4 '[g/g DDM']]],AB$6,AB$2,FALSE),-100)</f>
        <v>-100</v>
      </c>
      <c r="CJ59" t="str">
        <v>Brachiaria humidicola</v>
      </c>
      <c r="CL59" t="str">
        <v>Brachiaria humidicola</v>
      </c>
    </row>
    <row r="60" spans="1:90" x14ac:dyDescent="0.25">
      <c r="A60" s="12" t="s">
        <v>86</v>
      </c>
      <c r="B60" s="13">
        <v>1063</v>
      </c>
      <c r="C60" s="32">
        <v>21083</v>
      </c>
      <c r="D60" t="s">
        <v>96</v>
      </c>
      <c r="E60" t="s">
        <v>97</v>
      </c>
      <c r="F60" t="s">
        <v>83</v>
      </c>
      <c r="G60" s="32" t="s">
        <v>73</v>
      </c>
      <c r="H60" s="32" t="s">
        <v>74</v>
      </c>
      <c r="I60" s="105" t="s">
        <v>48</v>
      </c>
      <c r="J60" s="70">
        <v>3</v>
      </c>
      <c r="K60" s="70"/>
      <c r="L60" s="70"/>
      <c r="M60" t="s">
        <v>83</v>
      </c>
      <c r="N60" t="s">
        <v>98</v>
      </c>
      <c r="O60" s="18">
        <v>127.61204258150391</v>
      </c>
      <c r="P60" s="18">
        <v>4.1805369279008957</v>
      </c>
      <c r="Q60" s="97">
        <v>0.66645470003302343</v>
      </c>
      <c r="R60" s="97">
        <v>0.16713968926858741</v>
      </c>
      <c r="S60" s="97">
        <v>8.5739891268262855E-2</v>
      </c>
      <c r="T60" s="97">
        <v>2.4271080021417472E-2</v>
      </c>
      <c r="U60" s="97">
        <v>1.279673421526596E-3</v>
      </c>
      <c r="V60" s="97">
        <v>1.951812560056336E-2</v>
      </c>
      <c r="W60" s="97">
        <v>3.5596840386618873E-2</v>
      </c>
      <c r="X60" s="51">
        <f t="shared" si="5"/>
        <v>7.0649156191582705</v>
      </c>
      <c r="Y60" s="18">
        <v>554.038387870723</v>
      </c>
      <c r="Z60" s="18">
        <v>29.535140638394971</v>
      </c>
      <c r="AA60" s="18">
        <f t="shared" si="6"/>
        <v>23.14447762211103</v>
      </c>
      <c r="AB60" s="18">
        <f t="shared" si="7"/>
        <v>53.308834342515951</v>
      </c>
      <c r="AC60" s="18">
        <f>$CP$15*Table2912[[#This Row],[DMD '[mg/g']]]+$CS$15*Table2912[[#This Row],[CH4 '[ml/g']]]+$CR$15*Table2912[[#This Row],[CH4 '[% GP']]]+$CQ$15*Table2912[[#This Row],[CH4 '[g/g DDM']]]</f>
        <v>-6.9207801829617068</v>
      </c>
      <c r="AD60" s="18">
        <f>_xlfn.RANK.AVG(Table2912[[#This Row],[Index]],Table2912[Index])</f>
        <v>476</v>
      </c>
      <c r="AE6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3.8433109090075597</v>
      </c>
      <c r="AF60" s="18">
        <f>Table2912[[#This Row],[CH4 '[ml/g']]]/Table2912[[#This Row],[APB]]</f>
        <v>7.6848169033563023</v>
      </c>
      <c r="AG60" s="18">
        <f>Table2912[[#This Row],[Propionate '[%']]]/Table2912[[#This Row],[Acetate '[%']]]</f>
        <v>0.25078927233959863</v>
      </c>
      <c r="AH60" s="51"/>
      <c r="AI60" s="18"/>
      <c r="AJ60" s="18"/>
      <c r="AK60" s="18">
        <f>(Table2912[[#This Row],[DMD '[mg/g']]]-$AK$15)/$AK$15*100</f>
        <v>13.002382673038273</v>
      </c>
      <c r="AL60" s="18">
        <f>(Table2912[[#This Row],[CH4 '[ml/g']]]-AL$15)/AL$15*100</f>
        <v>-24.908510866512696</v>
      </c>
      <c r="AM60" s="18">
        <f>(Table2912[[#This Row],[CH4 '[% GP']]]-AM$15)/AM$15*100</f>
        <v>49.104175438469447</v>
      </c>
      <c r="AN60" s="18">
        <f>(Table2912[[#This Row],[CH4 '[g/g DDM']]]-AN$15)/AN$15*100</f>
        <v>4.0872551281353955</v>
      </c>
      <c r="AO60" s="18"/>
      <c r="AP60" s="18"/>
      <c r="AR60">
        <f>_xlfn.NORM.DIST(Table2912[[#This Row],[GP '[ml/g']]],O$6,O$2,FALSE)</f>
        <v>4.2229459298680059E-4</v>
      </c>
      <c r="AS60">
        <f>_xlfn.NORM.DIST(Table2912[[#This Row],[SCFA '[mmol/g']]],P$6,P$2,FALSE)</f>
        <v>4.8188139172122474E-2</v>
      </c>
      <c r="AT60">
        <f>_xlfn.NORM.DIST(Table2912[[#This Row],[Acetate '[%']]],Q$6,Q$2,FALSE)</f>
        <v>13.646393903524132</v>
      </c>
      <c r="AU60">
        <f>_xlfn.NORM.DIST(Table2912[[#This Row],[Propionate '[%']]],R$6,R$2,FALSE)</f>
        <v>16.461918273107823</v>
      </c>
      <c r="AV60">
        <f>_xlfn.NORM.DIST(Table2912[[#This Row],[Butyrate '[%']]],S$6,S$2,FALSE)</f>
        <v>21.133399995634189</v>
      </c>
      <c r="AW60">
        <f>_xlfn.NORM.DIST(Table2912[[#This Row],[Valerate '[%']]],T$6,T$2,FALSE)</f>
        <v>33.9949498919352</v>
      </c>
      <c r="AX60">
        <f>_xlfn.NORM.DIST(Table2912[[#This Row],[Caproate '[%']]],U$6,U$2,FALSE)</f>
        <v>406.31138832459345</v>
      </c>
      <c r="AY60">
        <f>_xlfn.NORM.DIST(Table2912[[#This Row],[Isobutyrate '[%']]],V$6,V$2,FALSE)</f>
        <v>57.454896827775904</v>
      </c>
      <c r="AZ60">
        <f>_xlfn.NORM.DIST(Table2912[[#This Row],[Isovalerate '[%']]],W$6,W$2,FALSE)</f>
        <v>30.925118611521096</v>
      </c>
      <c r="BA60">
        <f>_xlfn.NORM.DIST(Table2912[[#This Row],[CH4 '[g/mmol SCFA']]],X$6,X$2,FALSE)</f>
        <v>0.25091052250197049</v>
      </c>
      <c r="BB60">
        <f>_xlfn.NORM.DIST(Table2912[[#This Row],[DMD '[mg/g']]],Y$6,Y$2,FALSE)</f>
        <v>7.8203545668110671E-4</v>
      </c>
      <c r="BC60">
        <f>_xlfn.NORM.DIST(Table2912[[#This Row],[CH4 '[ml/g']]],Z$6,Z$2,FALSE)</f>
        <v>2.0396906395003838E-2</v>
      </c>
      <c r="BD60">
        <f>_xlfn.NORM.DIST(Table2912[[#This Row],[CH4 '[% GP']]],AA$6,AA$2,FALSE)</f>
        <v>7.7543256194576755E-3</v>
      </c>
      <c r="BE60">
        <f>_xlfn.NORM.DIST(Table2912[[#This Row],[CH4 '[g/g DDM']]],AB$6,AB$2,FALSE)</f>
        <v>3.2851903118048843E-2</v>
      </c>
      <c r="BG60">
        <f>IF(Table2912[[#This Row],[GP '[ml/g']]]&lt;O$10,_xlfn.NORM.DIST(Table2912[[#This Row],[GP '[ml/g']]],O$6,O$2,FALSE),-100)</f>
        <v>4.2229459298680059E-4</v>
      </c>
      <c r="BH60">
        <f>IF(Table2912[[#This Row],[SCFA '[mmol/g']]]&lt;P$10,_xlfn.NORM.DIST(Table2912[[#This Row],[SCFA '[mmol/g']]],P$6,P$2,FALSE),-100)</f>
        <v>4.8188139172122474E-2</v>
      </c>
      <c r="BI60">
        <f>IF(Table2912[[#This Row],[Acetate '[%']]]&lt;Q$10,_xlfn.NORM.DIST(Table2912[[#This Row],[Acetate '[%']]],Q$6,Q$2,FALSE),-100)</f>
        <v>-100</v>
      </c>
      <c r="BJ60">
        <f>IF(Table2912[[#This Row],[Propionate '[%']]]&lt;R$10,_xlfn.NORM.DIST(Table2912[[#This Row],[Propionate '[%']]],R$6,R$2,FALSE),-100)</f>
        <v>-100</v>
      </c>
      <c r="BK60">
        <f>IF(Table2912[[#This Row],[Butyrate '[%']]]&lt;S$10,_xlfn.NORM.DIST(Table2912[[#This Row],[Butyrate '[%']]],S$6,S$2,FALSE),-100)</f>
        <v>-100</v>
      </c>
      <c r="BL60">
        <f>IF(Table2912[[#This Row],[Valerate '[%']]]&lt;T$10,_xlfn.NORM.DIST(Table2912[[#This Row],[Valerate '[%']]],T$6,T$2,FALSE),-100)</f>
        <v>-100</v>
      </c>
      <c r="BM60">
        <f>IF(Table2912[[#This Row],[Caproate '[%']]]&lt;U$10,_xlfn.NORM.DIST(Table2912[[#This Row],[Caproate '[%']]],U$6,U$2,FALSE),-100)</f>
        <v>-100</v>
      </c>
      <c r="BN60">
        <f>IF(Table2912[[#This Row],[Isobutyrate '[%']]]&lt;V$10,_xlfn.NORM.DIST(Table2912[[#This Row],[Isobutyrate '[%']]],V$6,V$2,FALSE),-100)</f>
        <v>-100</v>
      </c>
      <c r="BO60">
        <f>IF(Table2912[[#This Row],[Isovalerate '[%']]]&lt;W$10,_xlfn.NORM.DIST(Table2912[[#This Row],[Isovalerate '[%']]],W$6,W$2,FALSE),-100)</f>
        <v>-100</v>
      </c>
      <c r="BP60">
        <f>IF(Table2912[[#This Row],[CH4 '[g/mmol SCFA']]]&lt;X$10,_xlfn.NORM.DIST(Table2912[[#This Row],[CH4 '[g/mmol SCFA']]],X$6,X$2,FALSE),-100)</f>
        <v>-100</v>
      </c>
      <c r="BQ60">
        <f>IF(Table2912[[#This Row],[DMD '[mg/g']]]&gt;Y$10,_xlfn.NORM.DIST(Table2912[[#This Row],[DMD '[mg/g']]],Y$6,Y$2,FALSE),-100)</f>
        <v>-100</v>
      </c>
      <c r="BR60">
        <f>IF(Table2912[[#This Row],[CH4 '[ml/g']]]&lt;Z$10,_xlfn.NORM.DIST(Table2912[[#This Row],[CH4 '[ml/g']]],Z$6,Z$2,FALSE),-100)</f>
        <v>-100</v>
      </c>
      <c r="BS60">
        <f>IF(Table2912[[#This Row],[CH4 '[% GP']]]&lt;AA$10,_xlfn.NORM.DIST(Table2912[[#This Row],[CH4 '[% GP']]],AA$6,AA$2,FALSE),-100)</f>
        <v>-100</v>
      </c>
      <c r="BT60">
        <f>IF(Table2912[[#This Row],[CH4 '[g/g DDM']]]&lt;AB$10,_xlfn.NORM.DIST(Table2912[[#This Row],[CH4 '[g/g DDM']]],AB$6,AB$2,FALSE),-100)</f>
        <v>-100</v>
      </c>
      <c r="CJ60" t="str">
        <v>Medicago Sativa-076</v>
      </c>
      <c r="CL60" t="str">
        <v>Medicago Sativa-076</v>
      </c>
    </row>
    <row r="61" spans="1:90" x14ac:dyDescent="0.25">
      <c r="A61" s="12" t="s">
        <v>86</v>
      </c>
      <c r="B61" s="13">
        <v>1056</v>
      </c>
      <c r="C61" s="103">
        <v>23890</v>
      </c>
      <c r="D61" s="104" t="s">
        <v>115</v>
      </c>
      <c r="E61" s="104" t="s">
        <v>116</v>
      </c>
      <c r="F61" t="s">
        <v>117</v>
      </c>
      <c r="G61" s="32" t="s">
        <v>73</v>
      </c>
      <c r="H61" s="32" t="s">
        <v>74</v>
      </c>
      <c r="I61" s="105" t="s">
        <v>75</v>
      </c>
      <c r="J61" s="70">
        <v>2</v>
      </c>
      <c r="K61" s="70"/>
      <c r="L61" s="70"/>
      <c r="M61" t="s">
        <v>117</v>
      </c>
      <c r="N61" t="s">
        <v>99</v>
      </c>
      <c r="O61" s="18">
        <v>155.51075907590732</v>
      </c>
      <c r="P61" s="18">
        <v>4.1266975308641971</v>
      </c>
      <c r="Q61" s="97">
        <v>0.71964077313980634</v>
      </c>
      <c r="R61" s="97">
        <v>0.17812668029956857</v>
      </c>
      <c r="S61" s="97">
        <v>5.0591819120465759E-2</v>
      </c>
      <c r="T61" s="97">
        <v>1.9117657037827147E-2</v>
      </c>
      <c r="U61" s="97">
        <v>3.7864445285876554E-4</v>
      </c>
      <c r="V61" s="97">
        <v>1.1012659941785909E-2</v>
      </c>
      <c r="W61" s="97">
        <v>2.1131766007687361E-2</v>
      </c>
      <c r="X61" s="51">
        <f t="shared" si="5"/>
        <v>5.1617071539270265</v>
      </c>
      <c r="Y61" s="18">
        <v>556.41076012363135</v>
      </c>
      <c r="Z61" s="18">
        <v>21.300804167154723</v>
      </c>
      <c r="AA61" s="18">
        <f t="shared" si="6"/>
        <v>13.69731862523895</v>
      </c>
      <c r="AB61" s="18">
        <f t="shared" si="7"/>
        <v>38.282516611328305</v>
      </c>
      <c r="AC61" s="18">
        <f>$CP$15*Table2912[[#This Row],[DMD '[mg/g']]]+$CS$15*Table2912[[#This Row],[CH4 '[ml/g']]]+$CR$15*Table2912[[#This Row],[CH4 '[% GP']]]+$CQ$15*Table2912[[#This Row],[CH4 '[g/g DDM']]]</f>
        <v>4.4516091307064514</v>
      </c>
      <c r="AD61" s="18">
        <f>_xlfn.RANK.AVG(Table2912[[#This Row],[Index]],Table2912[Index])</f>
        <v>413</v>
      </c>
      <c r="AE6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3.9135918684448603</v>
      </c>
      <c r="AF61" s="18">
        <f>Table2912[[#This Row],[CH4 '[ml/g']]]/Table2912[[#This Row],[APB]]</f>
        <v>5.4427760694471701</v>
      </c>
      <c r="AG61" s="18">
        <f>Table2912[[#This Row],[Propionate '[%']]]/Table2912[[#This Row],[Acetate '[%']]]</f>
        <v>0.24752166212372667</v>
      </c>
      <c r="AH61" s="51"/>
      <c r="AI61" s="18"/>
      <c r="AJ61" s="18"/>
      <c r="AK61" s="18">
        <f>(Table2912[[#This Row],[DMD '[mg/g']]]-$AK$15)/$AK$15*100</f>
        <v>13.486254771136647</v>
      </c>
      <c r="AL61" s="18">
        <f>(Table2912[[#This Row],[CH4 '[ml/g']]]-AL$15)/AL$15*100</f>
        <v>-45.84386361197425</v>
      </c>
      <c r="AM61" s="18">
        <f>(Table2912[[#This Row],[CH4 '[% GP']]]-AM$15)/AM$15*100</f>
        <v>-11.757464018841793</v>
      </c>
      <c r="AN61" s="18">
        <f>(Table2912[[#This Row],[CH4 '[g/g DDM']]]-AN$15)/AN$15*100</f>
        <v>-25.252125231850481</v>
      </c>
      <c r="AO61" s="18"/>
      <c r="AP61" s="18"/>
      <c r="AR61">
        <f>_xlfn.NORM.DIST(Table2912[[#This Row],[GP '[ml/g']]],O$6,O$2,FALSE)</f>
        <v>1.2908267417142726E-3</v>
      </c>
      <c r="AS61">
        <f>_xlfn.NORM.DIST(Table2912[[#This Row],[SCFA '[mmol/g']]],P$6,P$2,FALSE)</f>
        <v>4.4072132013447604E-2</v>
      </c>
      <c r="AT61">
        <f>_xlfn.NORM.DIST(Table2912[[#This Row],[Acetate '[%']]],Q$6,Q$2,FALSE)</f>
        <v>3.6822937400927649</v>
      </c>
      <c r="AU61">
        <f>_xlfn.NORM.DIST(Table2912[[#This Row],[Propionate '[%']]],R$6,R$2,FALSE)</f>
        <v>16.218405017636851</v>
      </c>
      <c r="AV61">
        <f>_xlfn.NORM.DIST(Table2912[[#This Row],[Butyrate '[%']]],S$6,S$2,FALSE)</f>
        <v>1.1631924330989156</v>
      </c>
      <c r="AW61">
        <f>_xlfn.NORM.DIST(Table2912[[#This Row],[Valerate '[%']]],T$6,T$2,FALSE)</f>
        <v>74.357818480985387</v>
      </c>
      <c r="AX61">
        <f>_xlfn.NORM.DIST(Table2912[[#This Row],[Caproate '[%']]],U$6,U$2,FALSE)</f>
        <v>253.34741240788443</v>
      </c>
      <c r="AY61">
        <f>_xlfn.NORM.DIST(Table2912[[#This Row],[Isobutyrate '[%']]],V$6,V$2,FALSE)</f>
        <v>56.165450600543011</v>
      </c>
      <c r="AZ61">
        <f>_xlfn.NORM.DIST(Table2912[[#This Row],[Isovalerate '[%']]],W$6,W$2,FALSE)</f>
        <v>33.770289670775199</v>
      </c>
      <c r="BA61">
        <f>_xlfn.NORM.DIST(Table2912[[#This Row],[CH4 '[g/mmol SCFA']]],X$6,X$2,FALSE)</f>
        <v>0.20974470582503799</v>
      </c>
      <c r="BB61">
        <f>_xlfn.NORM.DIST(Table2912[[#This Row],[DMD '[mg/g']]],Y$6,Y$2,FALSE)</f>
        <v>8.0422844496628933E-4</v>
      </c>
      <c r="BC61">
        <f>_xlfn.NORM.DIST(Table2912[[#This Row],[CH4 '[ml/g']]],Z$6,Z$2,FALSE)</f>
        <v>8.0622993555823849E-3</v>
      </c>
      <c r="BD61">
        <f>_xlfn.NORM.DIST(Table2912[[#This Row],[CH4 '[% GP']]],AA$6,AA$2,FALSE)</f>
        <v>9.7774766363104157E-2</v>
      </c>
      <c r="BE61">
        <f>_xlfn.NORM.DIST(Table2912[[#This Row],[CH4 '[g/g DDM']]],AB$6,AB$2,FALSE)</f>
        <v>1.5208040754768204E-2</v>
      </c>
      <c r="BG61">
        <f>IF(Table2912[[#This Row],[GP '[ml/g']]]&lt;O$10,_xlfn.NORM.DIST(Table2912[[#This Row],[GP '[ml/g']]],O$6,O$2,FALSE),-100)</f>
        <v>1.2908267417142726E-3</v>
      </c>
      <c r="BH61">
        <f>IF(Table2912[[#This Row],[SCFA '[mmol/g']]]&lt;P$10,_xlfn.NORM.DIST(Table2912[[#This Row],[SCFA '[mmol/g']]],P$6,P$2,FALSE),-100)</f>
        <v>4.4072132013447604E-2</v>
      </c>
      <c r="BI61">
        <f>IF(Table2912[[#This Row],[Acetate '[%']]]&lt;Q$10,_xlfn.NORM.DIST(Table2912[[#This Row],[Acetate '[%']]],Q$6,Q$2,FALSE),-100)</f>
        <v>-100</v>
      </c>
      <c r="BJ61">
        <f>IF(Table2912[[#This Row],[Propionate '[%']]]&lt;R$10,_xlfn.NORM.DIST(Table2912[[#This Row],[Propionate '[%']]],R$6,R$2,FALSE),-100)</f>
        <v>-100</v>
      </c>
      <c r="BK61">
        <f>IF(Table2912[[#This Row],[Butyrate '[%']]]&lt;S$10,_xlfn.NORM.DIST(Table2912[[#This Row],[Butyrate '[%']]],S$6,S$2,FALSE),-100)</f>
        <v>1.1631924330989156</v>
      </c>
      <c r="BL61">
        <f>IF(Table2912[[#This Row],[Valerate '[%']]]&lt;T$10,_xlfn.NORM.DIST(Table2912[[#This Row],[Valerate '[%']]],T$6,T$2,FALSE),-100)</f>
        <v>-100</v>
      </c>
      <c r="BM61">
        <f>IF(Table2912[[#This Row],[Caproate '[%']]]&lt;U$10,_xlfn.NORM.DIST(Table2912[[#This Row],[Caproate '[%']]],U$6,U$2,FALSE),-100)</f>
        <v>-100</v>
      </c>
      <c r="BN61">
        <f>IF(Table2912[[#This Row],[Isobutyrate '[%']]]&lt;V$10,_xlfn.NORM.DIST(Table2912[[#This Row],[Isobutyrate '[%']]],V$6,V$2,FALSE),-100)</f>
        <v>-100</v>
      </c>
      <c r="BO61">
        <f>IF(Table2912[[#This Row],[Isovalerate '[%']]]&lt;W$10,_xlfn.NORM.DIST(Table2912[[#This Row],[Isovalerate '[%']]],W$6,W$2,FALSE),-100)</f>
        <v>-100</v>
      </c>
      <c r="BP61">
        <f>IF(Table2912[[#This Row],[CH4 '[g/mmol SCFA']]]&lt;X$10,_xlfn.NORM.DIST(Table2912[[#This Row],[CH4 '[g/mmol SCFA']]],X$6,X$2,FALSE),-100)</f>
        <v>-100</v>
      </c>
      <c r="BQ61">
        <f>IF(Table2912[[#This Row],[DMD '[mg/g']]]&gt;Y$10,_xlfn.NORM.DIST(Table2912[[#This Row],[DMD '[mg/g']]],Y$6,Y$2,FALSE),-100)</f>
        <v>-100</v>
      </c>
      <c r="BR61">
        <f>IF(Table2912[[#This Row],[CH4 '[ml/g']]]&lt;Z$10,_xlfn.NORM.DIST(Table2912[[#This Row],[CH4 '[ml/g']]],Z$6,Z$2,FALSE),-100)</f>
        <v>8.0622993555823849E-3</v>
      </c>
      <c r="BS61">
        <f>IF(Table2912[[#This Row],[CH4 '[% GP']]]&lt;AA$10,_xlfn.NORM.DIST(Table2912[[#This Row],[CH4 '[% GP']]],AA$6,AA$2,FALSE),-100)</f>
        <v>-100</v>
      </c>
      <c r="BT61">
        <f>IF(Table2912[[#This Row],[CH4 '[g/g DDM']]]&lt;AB$10,_xlfn.NORM.DIST(Table2912[[#This Row],[CH4 '[g/g DDM']]],AB$6,AB$2,FALSE),-100)</f>
        <v>-100</v>
      </c>
      <c r="CJ61" t="str">
        <v>Medicago Sativa-077</v>
      </c>
      <c r="CL61" t="str">
        <v>Medicago Sativa-077</v>
      </c>
    </row>
    <row r="62" spans="1:90" x14ac:dyDescent="0.25">
      <c r="A62" s="12" t="s">
        <v>86</v>
      </c>
      <c r="B62" s="13">
        <v>1048</v>
      </c>
      <c r="C62" s="104" t="s">
        <v>87</v>
      </c>
      <c r="D62" s="104" t="s">
        <v>88</v>
      </c>
      <c r="E62" s="104" t="s">
        <v>89</v>
      </c>
      <c r="F62" s="104" t="s">
        <v>90</v>
      </c>
      <c r="G62" s="32" t="s">
        <v>73</v>
      </c>
      <c r="H62" s="32" t="s">
        <v>74</v>
      </c>
      <c r="I62" s="104" t="s">
        <v>48</v>
      </c>
      <c r="J62" s="100">
        <v>1</v>
      </c>
      <c r="K62" s="100"/>
      <c r="L62" s="100"/>
      <c r="M62" t="s">
        <v>91</v>
      </c>
      <c r="N62" t="s">
        <v>98</v>
      </c>
      <c r="O62" s="18">
        <v>115.08934911242582</v>
      </c>
      <c r="P62" s="18">
        <v>4.0159604652955112</v>
      </c>
      <c r="Q62" s="97">
        <v>0.71311339097460147</v>
      </c>
      <c r="R62" s="97">
        <v>0.16527941845432156</v>
      </c>
      <c r="S62" s="97">
        <v>5.7376899976684187E-2</v>
      </c>
      <c r="T62" s="97">
        <v>3.2286081650614147E-2</v>
      </c>
      <c r="U62" s="97">
        <v>9.2647695258909709E-4</v>
      </c>
      <c r="V62" s="97">
        <v>1.0088941597596109E-2</v>
      </c>
      <c r="W62" s="97">
        <v>2.0928790393593376E-2</v>
      </c>
      <c r="X62" s="51">
        <f t="shared" si="5"/>
        <v>4.6464677642072827</v>
      </c>
      <c r="Y62" s="18">
        <v>557.648067849065</v>
      </c>
      <c r="Z62" s="18">
        <v>18.660030844326474</v>
      </c>
      <c r="AA62" s="18">
        <f t="shared" si="6"/>
        <v>16.213516705267221</v>
      </c>
      <c r="AB62" s="18">
        <f t="shared" si="7"/>
        <v>33.462020080695531</v>
      </c>
      <c r="AC62" s="18">
        <f>$CP$15*Table2912[[#This Row],[DMD '[mg/g']]]+$CS$15*Table2912[[#This Row],[CH4 '[ml/g']]]+$CR$15*Table2912[[#This Row],[CH4 '[% GP']]]+$CQ$15*Table2912[[#This Row],[CH4 '[g/g DDM']]]</f>
        <v>6.4588442897439258</v>
      </c>
      <c r="AD62" s="18">
        <f>_xlfn.RANK.AVG(Table2912[[#This Row],[Index]],Table2912[Index])</f>
        <v>391</v>
      </c>
      <c r="AE6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3.7580141575939878</v>
      </c>
      <c r="AF62" s="18">
        <f>Table2912[[#This Row],[CH4 '[ml/g']]]/Table2912[[#This Row],[APB]]</f>
        <v>4.965396632851772</v>
      </c>
      <c r="AG62" s="18">
        <f>Table2912[[#This Row],[Propionate '[%']]]/Table2912[[#This Row],[Acetate '[%']]]</f>
        <v>0.23177158155512498</v>
      </c>
      <c r="AH62" s="51"/>
      <c r="AI62" s="18"/>
      <c r="AJ62" s="18"/>
      <c r="AK62" s="18">
        <f>(Table2912[[#This Row],[DMD '[mg/g']]]-$AK$15)/$AK$15*100</f>
        <v>13.738617647310464</v>
      </c>
      <c r="AL62" s="18">
        <f>(Table2912[[#This Row],[CH4 '[ml/g']]]-AL$15)/AL$15*100</f>
        <v>-52.557886196223457</v>
      </c>
      <c r="AM62" s="18">
        <f>(Table2912[[#This Row],[CH4 '[% GP']]]-AM$15)/AM$15*100</f>
        <v>4.4526940192057829</v>
      </c>
      <c r="AN62" s="18">
        <f>(Table2912[[#This Row],[CH4 '[g/g DDM']]]-AN$15)/AN$15*100</f>
        <v>-34.664303502424623</v>
      </c>
      <c r="AO62" s="18"/>
      <c r="AP62" s="18"/>
      <c r="AR62">
        <f>_xlfn.NORM.DIST(Table2912[[#This Row],[GP '[ml/g']]],O$6,O$2,FALSE)</f>
        <v>2.3397225094556087E-4</v>
      </c>
      <c r="AS62">
        <f>_xlfn.NORM.DIST(Table2912[[#This Row],[SCFA '[mmol/g']]],P$6,P$2,FALSE)</f>
        <v>3.6446530719770304E-2</v>
      </c>
      <c r="AT62">
        <f>_xlfn.NORM.DIST(Table2912[[#This Row],[Acetate '[%']]],Q$6,Q$2,FALSE)</f>
        <v>5.2203029453093821</v>
      </c>
      <c r="AU62">
        <f>_xlfn.NORM.DIST(Table2912[[#This Row],[Propionate '[%']]],R$6,R$2,FALSE)</f>
        <v>16.157823463542936</v>
      </c>
      <c r="AV62">
        <f>_xlfn.NORM.DIST(Table2912[[#This Row],[Butyrate '[%']]],S$6,S$2,FALSE)</f>
        <v>2.8055321540495881</v>
      </c>
      <c r="AW62">
        <f>_xlfn.NORM.DIST(Table2912[[#This Row],[Valerate '[%']]],T$6,T$2,FALSE)</f>
        <v>1.3809403327980501</v>
      </c>
      <c r="AX62">
        <f>_xlfn.NORM.DIST(Table2912[[#This Row],[Caproate '[%']]],U$6,U$2,FALSE)</f>
        <v>373.38515377104835</v>
      </c>
      <c r="AY62">
        <f>_xlfn.NORM.DIST(Table2912[[#This Row],[Isobutyrate '[%']]],V$6,V$2,FALSE)</f>
        <v>44.854132543635103</v>
      </c>
      <c r="AZ62">
        <f>_xlfn.NORM.DIST(Table2912[[#This Row],[Isovalerate '[%']]],W$6,W$2,FALSE)</f>
        <v>33.16557081484212</v>
      </c>
      <c r="BA62">
        <f>_xlfn.NORM.DIST(Table2912[[#This Row],[CH4 '[g/mmol SCFA']]],X$6,X$2,FALSE)</f>
        <v>0.14133309621421952</v>
      </c>
      <c r="BB62">
        <f>_xlfn.NORM.DIST(Table2912[[#This Row],[DMD '[mg/g']]],Y$6,Y$2,FALSE)</f>
        <v>8.1595458464091763E-4</v>
      </c>
      <c r="BC62">
        <f>_xlfn.NORM.DIST(Table2912[[#This Row],[CH4 '[ml/g']]],Z$6,Z$2,FALSE)</f>
        <v>5.4099455467352554E-3</v>
      </c>
      <c r="BD62">
        <f>_xlfn.NORM.DIST(Table2912[[#This Row],[CH4 '[% GP']]],AA$6,AA$2,FALSE)</f>
        <v>0.13455491019407004</v>
      </c>
      <c r="BE62">
        <f>_xlfn.NORM.DIST(Table2912[[#This Row],[CH4 '[g/g DDM']]],AB$6,AB$2,FALSE)</f>
        <v>8.5879661794984671E-3</v>
      </c>
      <c r="BG62">
        <f>IF(Table2912[[#This Row],[GP '[ml/g']]]&lt;O$10,_xlfn.NORM.DIST(Table2912[[#This Row],[GP '[ml/g']]],O$6,O$2,FALSE),-100)</f>
        <v>2.3397225094556087E-4</v>
      </c>
      <c r="BH62">
        <f>IF(Table2912[[#This Row],[SCFA '[mmol/g']]]&lt;P$10,_xlfn.NORM.DIST(Table2912[[#This Row],[SCFA '[mmol/g']]],P$6,P$2,FALSE),-100)</f>
        <v>3.6446530719770304E-2</v>
      </c>
      <c r="BI62">
        <f>IF(Table2912[[#This Row],[Acetate '[%']]]&lt;Q$10,_xlfn.NORM.DIST(Table2912[[#This Row],[Acetate '[%']]],Q$6,Q$2,FALSE),-100)</f>
        <v>-100</v>
      </c>
      <c r="BJ62">
        <f>IF(Table2912[[#This Row],[Propionate '[%']]]&lt;R$10,_xlfn.NORM.DIST(Table2912[[#This Row],[Propionate '[%']]],R$6,R$2,FALSE),-100)</f>
        <v>-100</v>
      </c>
      <c r="BK62">
        <f>IF(Table2912[[#This Row],[Butyrate '[%']]]&lt;S$10,_xlfn.NORM.DIST(Table2912[[#This Row],[Butyrate '[%']]],S$6,S$2,FALSE),-100)</f>
        <v>2.8055321540495881</v>
      </c>
      <c r="BL62">
        <f>IF(Table2912[[#This Row],[Valerate '[%']]]&lt;T$10,_xlfn.NORM.DIST(Table2912[[#This Row],[Valerate '[%']]],T$6,T$2,FALSE),-100)</f>
        <v>-100</v>
      </c>
      <c r="BM62">
        <f>IF(Table2912[[#This Row],[Caproate '[%']]]&lt;U$10,_xlfn.NORM.DIST(Table2912[[#This Row],[Caproate '[%']]],U$6,U$2,FALSE),-100)</f>
        <v>-100</v>
      </c>
      <c r="BN62">
        <f>IF(Table2912[[#This Row],[Isobutyrate '[%']]]&lt;V$10,_xlfn.NORM.DIST(Table2912[[#This Row],[Isobutyrate '[%']]],V$6,V$2,FALSE),-100)</f>
        <v>44.854132543635103</v>
      </c>
      <c r="BO62">
        <f>IF(Table2912[[#This Row],[Isovalerate '[%']]]&lt;W$10,_xlfn.NORM.DIST(Table2912[[#This Row],[Isovalerate '[%']]],W$6,W$2,FALSE),-100)</f>
        <v>-100</v>
      </c>
      <c r="BP62">
        <f>IF(Table2912[[#This Row],[CH4 '[g/mmol SCFA']]]&lt;X$10,_xlfn.NORM.DIST(Table2912[[#This Row],[CH4 '[g/mmol SCFA']]],X$6,X$2,FALSE),-100)</f>
        <v>0.14133309621421952</v>
      </c>
      <c r="BQ62">
        <f>IF(Table2912[[#This Row],[DMD '[mg/g']]]&gt;Y$10,_xlfn.NORM.DIST(Table2912[[#This Row],[DMD '[mg/g']]],Y$6,Y$2,FALSE),-100)</f>
        <v>-100</v>
      </c>
      <c r="BR62">
        <f>IF(Table2912[[#This Row],[CH4 '[ml/g']]]&lt;Z$10,_xlfn.NORM.DIST(Table2912[[#This Row],[CH4 '[ml/g']]],Z$6,Z$2,FALSE),-100)</f>
        <v>5.4099455467352554E-3</v>
      </c>
      <c r="BS62">
        <f>IF(Table2912[[#This Row],[CH4 '[% GP']]]&lt;AA$10,_xlfn.NORM.DIST(Table2912[[#This Row],[CH4 '[% GP']]],AA$6,AA$2,FALSE),-100)</f>
        <v>-100</v>
      </c>
      <c r="BT62">
        <f>IF(Table2912[[#This Row],[CH4 '[g/g DDM']]]&lt;AB$10,_xlfn.NORM.DIST(Table2912[[#This Row],[CH4 '[g/g DDM']]],AB$6,AB$2,FALSE),-100)</f>
        <v>8.5879661794984671E-3</v>
      </c>
      <c r="CJ62" t="str">
        <v>Sesbania  grandiflora</v>
      </c>
      <c r="CL62" t="str">
        <v>Sesbania  grandiflora</v>
      </c>
    </row>
    <row r="63" spans="1:90" x14ac:dyDescent="0.25">
      <c r="A63" s="12" t="s">
        <v>86</v>
      </c>
      <c r="B63" s="13">
        <v>1064</v>
      </c>
      <c r="C63" s="32">
        <v>32055</v>
      </c>
      <c r="D63" t="s">
        <v>96</v>
      </c>
      <c r="E63" t="s">
        <v>97</v>
      </c>
      <c r="F63" t="s">
        <v>83</v>
      </c>
      <c r="G63" s="32" t="s">
        <v>73</v>
      </c>
      <c r="H63" s="32" t="s">
        <v>74</v>
      </c>
      <c r="I63" s="105" t="s">
        <v>48</v>
      </c>
      <c r="J63" s="70">
        <v>2</v>
      </c>
      <c r="K63" s="70"/>
      <c r="L63" s="70"/>
      <c r="M63" t="s">
        <v>83</v>
      </c>
      <c r="N63" t="s">
        <v>124</v>
      </c>
      <c r="O63" s="18">
        <v>181.81069389547574</v>
      </c>
      <c r="P63" s="18">
        <v>4.6450924453262932</v>
      </c>
      <c r="Q63" s="97">
        <v>0.68583641008007445</v>
      </c>
      <c r="R63" s="97">
        <v>0.1758879365591528</v>
      </c>
      <c r="S63" s="97">
        <v>6.1413579548584188E-2</v>
      </c>
      <c r="T63" s="97">
        <v>3.2114532027046644E-2</v>
      </c>
      <c r="U63" s="97">
        <v>1.2099634300496184E-3</v>
      </c>
      <c r="V63" s="97">
        <v>1.5286606434888413E-2</v>
      </c>
      <c r="W63" s="97">
        <v>2.8250971920203719E-2</v>
      </c>
      <c r="X63" s="51">
        <f t="shared" si="5"/>
        <v>6.7541859004648712</v>
      </c>
      <c r="Y63" s="18">
        <v>558.48323876212316</v>
      </c>
      <c r="Z63" s="18">
        <v>31.373817900578739</v>
      </c>
      <c r="AA63" s="18">
        <f t="shared" si="6"/>
        <v>17.256310521874894</v>
      </c>
      <c r="AB63" s="18">
        <f t="shared" si="7"/>
        <v>56.176829890398743</v>
      </c>
      <c r="AC63" s="18">
        <f>$CP$15*Table2912[[#This Row],[DMD '[mg/g']]]+$CS$15*Table2912[[#This Row],[CH4 '[ml/g']]]+$CR$15*Table2912[[#This Row],[CH4 '[% GP']]]+$CQ$15*Table2912[[#This Row],[CH4 '[g/g DDM']]]</f>
        <v>-6.3600960559676452</v>
      </c>
      <c r="AD63" s="18">
        <f>_xlfn.RANK.AVG(Table2912[[#This Row],[Index]],Table2912[Index])</f>
        <v>474</v>
      </c>
      <c r="AE6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4.2880610069291842</v>
      </c>
      <c r="AF63" s="18">
        <f>Table2912[[#This Row],[CH4 '[ml/g']]]/Table2912[[#This Row],[APB]]</f>
        <v>7.3165511987541709</v>
      </c>
      <c r="AG63" s="18">
        <f>Table2912[[#This Row],[Propionate '[%']]]/Table2912[[#This Row],[Acetate '[%']]]</f>
        <v>0.25645756622722482</v>
      </c>
      <c r="AH63" s="51"/>
      <c r="AI63" s="18"/>
      <c r="AJ63" s="18"/>
      <c r="AK63" s="18">
        <f>(Table2912[[#This Row],[DMD '[mg/g']]]-$AK$15)/$AK$15*100</f>
        <v>13.908960181656315</v>
      </c>
      <c r="AL63" s="18">
        <f>(Table2912[[#This Row],[CH4 '[ml/g']]]-AL$15)/AL$15*100</f>
        <v>-20.233773903392354</v>
      </c>
      <c r="AM63" s="18">
        <f>(Table2912[[#This Row],[CH4 '[% GP']]]-AM$15)/AM$15*100</f>
        <v>11.170707478670492</v>
      </c>
      <c r="AN63" s="18">
        <f>(Table2912[[#This Row],[CH4 '[g/g DDM']]]-AN$15)/AN$15*100</f>
        <v>9.6871109115275562</v>
      </c>
      <c r="AO63" s="18"/>
      <c r="AP63" s="18"/>
      <c r="AR63">
        <f>_xlfn.NORM.DIST(Table2912[[#This Row],[GP '[ml/g']]],O$6,O$2,FALSE)</f>
        <v>2.8807342623381541E-3</v>
      </c>
      <c r="AS63">
        <f>_xlfn.NORM.DIST(Table2912[[#This Row],[SCFA '[mmol/g']]],P$6,P$2,FALSE)</f>
        <v>9.575076021509181E-2</v>
      </c>
      <c r="AT63">
        <f>_xlfn.NORM.DIST(Table2912[[#This Row],[Acetate '[%']]],Q$6,Q$2,FALSE)</f>
        <v>12.693629107198024</v>
      </c>
      <c r="AU63">
        <f>_xlfn.NORM.DIST(Table2912[[#This Row],[Propionate '[%']]],R$6,R$2,FALSE)</f>
        <v>16.552393703925556</v>
      </c>
      <c r="AV63">
        <f>_xlfn.NORM.DIST(Table2912[[#This Row],[Butyrate '[%']]],S$6,S$2,FALSE)</f>
        <v>4.4043828930480142</v>
      </c>
      <c r="AW63">
        <f>_xlfn.NORM.DIST(Table2912[[#This Row],[Valerate '[%']]],T$6,T$2,FALSE)</f>
        <v>1.5168723573247971</v>
      </c>
      <c r="AX63">
        <f>_xlfn.NORM.DIST(Table2912[[#This Row],[Caproate '[%']]],U$6,U$2,FALSE)</f>
        <v>403.71939778012279</v>
      </c>
      <c r="AY63">
        <f>_xlfn.NORM.DIST(Table2912[[#This Row],[Isobutyrate '[%']]],V$6,V$2,FALSE)</f>
        <v>90.156159606217415</v>
      </c>
      <c r="AZ63">
        <f>_xlfn.NORM.DIST(Table2912[[#This Row],[Isovalerate '[%']]],W$6,W$2,FALSE)</f>
        <v>45.392606477050116</v>
      </c>
      <c r="BA63">
        <f>_xlfn.NORM.DIST(Table2912[[#This Row],[CH4 '[g/mmol SCFA']]],X$6,X$2,FALSE)</f>
        <v>0.27959447158718109</v>
      </c>
      <c r="BB63">
        <f>_xlfn.NORM.DIST(Table2912[[#This Row],[DMD '[mg/g']]],Y$6,Y$2,FALSE)</f>
        <v>8.2392801874791254E-4</v>
      </c>
      <c r="BC63">
        <f>_xlfn.NORM.DIST(Table2912[[#This Row],[CH4 '[ml/g']]],Z$6,Z$2,FALSE)</f>
        <v>2.350748802062776E-2</v>
      </c>
      <c r="BD63">
        <f>_xlfn.NORM.DIST(Table2912[[#This Row],[CH4 '[% GP']]],AA$6,AA$2,FALSE)</f>
        <v>0.12430041363543071</v>
      </c>
      <c r="BE63">
        <f>_xlfn.NORM.DIST(Table2912[[#This Row],[CH4 '[g/g DDM']]],AB$6,AB$2,FALSE)</f>
        <v>3.1976538529653584E-2</v>
      </c>
      <c r="BG63">
        <f>IF(Table2912[[#This Row],[GP '[ml/g']]]&lt;O$10,_xlfn.NORM.DIST(Table2912[[#This Row],[GP '[ml/g']]],O$6,O$2,FALSE),-100)</f>
        <v>2.8807342623381541E-3</v>
      </c>
      <c r="BH63">
        <f>IF(Table2912[[#This Row],[SCFA '[mmol/g']]]&lt;P$10,_xlfn.NORM.DIST(Table2912[[#This Row],[SCFA '[mmol/g']]],P$6,P$2,FALSE),-100)</f>
        <v>9.575076021509181E-2</v>
      </c>
      <c r="BI63">
        <f>IF(Table2912[[#This Row],[Acetate '[%']]]&lt;Q$10,_xlfn.NORM.DIST(Table2912[[#This Row],[Acetate '[%']]],Q$6,Q$2,FALSE),-100)</f>
        <v>-100</v>
      </c>
      <c r="BJ63">
        <f>IF(Table2912[[#This Row],[Propionate '[%']]]&lt;R$10,_xlfn.NORM.DIST(Table2912[[#This Row],[Propionate '[%']]],R$6,R$2,FALSE),-100)</f>
        <v>-100</v>
      </c>
      <c r="BK63">
        <f>IF(Table2912[[#This Row],[Butyrate '[%']]]&lt;S$10,_xlfn.NORM.DIST(Table2912[[#This Row],[Butyrate '[%']]],S$6,S$2,FALSE),-100)</f>
        <v>4.4043828930480142</v>
      </c>
      <c r="BL63">
        <f>IF(Table2912[[#This Row],[Valerate '[%']]]&lt;T$10,_xlfn.NORM.DIST(Table2912[[#This Row],[Valerate '[%']]],T$6,T$2,FALSE),-100)</f>
        <v>-100</v>
      </c>
      <c r="BM63">
        <f>IF(Table2912[[#This Row],[Caproate '[%']]]&lt;U$10,_xlfn.NORM.DIST(Table2912[[#This Row],[Caproate '[%']]],U$6,U$2,FALSE),-100)</f>
        <v>-100</v>
      </c>
      <c r="BN63">
        <f>IF(Table2912[[#This Row],[Isobutyrate '[%']]]&lt;V$10,_xlfn.NORM.DIST(Table2912[[#This Row],[Isobutyrate '[%']]],V$6,V$2,FALSE),-100)</f>
        <v>-100</v>
      </c>
      <c r="BO63">
        <f>IF(Table2912[[#This Row],[Isovalerate '[%']]]&lt;W$10,_xlfn.NORM.DIST(Table2912[[#This Row],[Isovalerate '[%']]],W$6,W$2,FALSE),-100)</f>
        <v>-100</v>
      </c>
      <c r="BP63">
        <f>IF(Table2912[[#This Row],[CH4 '[g/mmol SCFA']]]&lt;X$10,_xlfn.NORM.DIST(Table2912[[#This Row],[CH4 '[g/mmol SCFA']]],X$6,X$2,FALSE),-100)</f>
        <v>-100</v>
      </c>
      <c r="BQ63">
        <f>IF(Table2912[[#This Row],[DMD '[mg/g']]]&gt;Y$10,_xlfn.NORM.DIST(Table2912[[#This Row],[DMD '[mg/g']]],Y$6,Y$2,FALSE),-100)</f>
        <v>-100</v>
      </c>
      <c r="BR63">
        <f>IF(Table2912[[#This Row],[CH4 '[ml/g']]]&lt;Z$10,_xlfn.NORM.DIST(Table2912[[#This Row],[CH4 '[ml/g']]],Z$6,Z$2,FALSE),-100)</f>
        <v>-100</v>
      </c>
      <c r="BS63">
        <f>IF(Table2912[[#This Row],[CH4 '[% GP']]]&lt;AA$10,_xlfn.NORM.DIST(Table2912[[#This Row],[CH4 '[% GP']]],AA$6,AA$2,FALSE),-100)</f>
        <v>-100</v>
      </c>
      <c r="BT63">
        <f>IF(Table2912[[#This Row],[CH4 '[g/g DDM']]]&lt;AB$10,_xlfn.NORM.DIST(Table2912[[#This Row],[CH4 '[g/g DDM']]],AB$6,AB$2,FALSE),-100)</f>
        <v>-100</v>
      </c>
      <c r="CJ63" t="str">
        <v>Calopogonium  mucunoides</v>
      </c>
      <c r="CL63" t="str">
        <v>Calopogonium  mucunoides</v>
      </c>
    </row>
    <row r="64" spans="1:90" x14ac:dyDescent="0.25">
      <c r="A64" s="12" t="s">
        <v>70</v>
      </c>
      <c r="B64" s="13">
        <v>1027</v>
      </c>
      <c r="C64" s="96" t="s">
        <v>113</v>
      </c>
      <c r="D64" s="96"/>
      <c r="E64" s="96"/>
      <c r="F64" s="96" t="s">
        <v>114</v>
      </c>
      <c r="G64" t="s">
        <v>73</v>
      </c>
      <c r="H64" t="s">
        <v>74</v>
      </c>
      <c r="I64" t="s">
        <v>75</v>
      </c>
      <c r="J64" s="70">
        <v>1</v>
      </c>
      <c r="K64" s="70"/>
      <c r="L64" s="70"/>
      <c r="M64" s="103" t="s">
        <v>114</v>
      </c>
      <c r="N64" t="s">
        <v>80</v>
      </c>
      <c r="O64" s="18">
        <v>196.61686351706166</v>
      </c>
      <c r="P64" s="18">
        <v>4.3238192224734284</v>
      </c>
      <c r="Q64" s="97">
        <v>0.69634273793873258</v>
      </c>
      <c r="R64" s="97">
        <v>0.16879875151391824</v>
      </c>
      <c r="S64" s="97">
        <v>7.8378683098835195E-2</v>
      </c>
      <c r="T64" s="97">
        <v>1.4414142209510006E-2</v>
      </c>
      <c r="U64" s="97">
        <v>4.0663409199451987E-4</v>
      </c>
      <c r="V64" s="97">
        <v>1.4218858216572941E-2</v>
      </c>
      <c r="W64" s="97">
        <v>2.7440192930436792E-2</v>
      </c>
      <c r="X64" s="51">
        <f t="shared" si="5"/>
        <v>3.9299787559386314</v>
      </c>
      <c r="Y64" s="18">
        <v>559.70608871910815</v>
      </c>
      <c r="Z64" s="18">
        <v>16.992517688839666</v>
      </c>
      <c r="AA64" s="18">
        <f t="shared" si="6"/>
        <v>8.6424518145998803</v>
      </c>
      <c r="AB64" s="18">
        <f t="shared" si="7"/>
        <v>30.359715628120426</v>
      </c>
      <c r="AC64" s="18">
        <f>$CP$15*Table2912[[#This Row],[DMD '[mg/g']]]+$CS$15*Table2912[[#This Row],[CH4 '[ml/g']]]+$CR$15*Table2912[[#This Row],[CH4 '[% GP']]]+$CQ$15*Table2912[[#This Row],[CH4 '[g/g DDM']]]</f>
        <v>10.599147323472472</v>
      </c>
      <c r="AD64" s="18">
        <f>_xlfn.RANK.AVG(Table2912[[#This Row],[Index]],Table2912[Index])</f>
        <v>351</v>
      </c>
      <c r="AE6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4.0796106588695613</v>
      </c>
      <c r="AF64" s="18">
        <f>Table2912[[#This Row],[CH4 '[ml/g']]]/Table2912[[#This Row],[APB]]</f>
        <v>4.1652302412476301</v>
      </c>
      <c r="AG64" s="18">
        <f>Table2912[[#This Row],[Propionate '[%']]]/Table2912[[#This Row],[Acetate '[%']]]</f>
        <v>0.24240757075112906</v>
      </c>
      <c r="AH64" s="51"/>
      <c r="AI64" s="18"/>
      <c r="AJ64" s="18"/>
      <c r="AK64" s="18">
        <f>(Table2912[[#This Row],[DMD '[mg/g']]]-$AK$15)/$AK$15*100</f>
        <v>14.158374232769265</v>
      </c>
      <c r="AL64" s="18">
        <f>(Table2912[[#This Row],[CH4 '[ml/g']]]-AL$15)/AL$15*100</f>
        <v>-56.797447724920126</v>
      </c>
      <c r="AM64" s="18">
        <f>(Table2912[[#This Row],[CH4 '[% GP']]]-AM$15)/AM$15*100</f>
        <v>-44.322543259670148</v>
      </c>
      <c r="AN64" s="18">
        <f>(Table2912[[#This Row],[CH4 '[g/g DDM']]]-AN$15)/AN$15*100</f>
        <v>-40.721655140721488</v>
      </c>
      <c r="AO64" s="18"/>
      <c r="AP64" s="18"/>
      <c r="AR64">
        <f>_xlfn.NORM.DIST(Table2912[[#This Row],[GP '[ml/g']]],O$6,O$2,FALSE)</f>
        <v>4.0673968915587912E-3</v>
      </c>
      <c r="AS64">
        <f>_xlfn.NORM.DIST(Table2912[[#This Row],[SCFA '[mmol/g']]],P$6,P$2,FALSE)</f>
        <v>6.0515696639001609E-2</v>
      </c>
      <c r="AT64">
        <f>_xlfn.NORM.DIST(Table2912[[#This Row],[Acetate '[%']]],Q$6,Q$2,FALSE)</f>
        <v>10.051976730721178</v>
      </c>
      <c r="AU64">
        <f>_xlfn.NORM.DIST(Table2912[[#This Row],[Propionate '[%']]],R$6,R$2,FALSE)</f>
        <v>16.651607173523246</v>
      </c>
      <c r="AV64">
        <f>_xlfn.NORM.DIST(Table2912[[#This Row],[Butyrate '[%']]],S$6,S$2,FALSE)</f>
        <v>16.189838528605495</v>
      </c>
      <c r="AW64">
        <f>_xlfn.NORM.DIST(Table2912[[#This Row],[Valerate '[%']]],T$6,T$2,FALSE)</f>
        <v>63.483549217515765</v>
      </c>
      <c r="AX64">
        <f>_xlfn.NORM.DIST(Table2912[[#This Row],[Caproate '[%']]],U$6,U$2,FALSE)</f>
        <v>260.38109246488511</v>
      </c>
      <c r="AY64">
        <f>_xlfn.NORM.DIST(Table2912[[#This Row],[Isobutyrate '[%']]],V$6,V$2,FALSE)</f>
        <v>87.421109262636378</v>
      </c>
      <c r="AZ64">
        <f>_xlfn.NORM.DIST(Table2912[[#This Row],[Isovalerate '[%']]],W$6,W$2,FALSE)</f>
        <v>45.368980172040125</v>
      </c>
      <c r="BA64">
        <f>_xlfn.NORM.DIST(Table2912[[#This Row],[CH4 '[g/mmol SCFA']]],X$6,X$2,FALSE)</f>
        <v>6.3874504737333873E-2</v>
      </c>
      <c r="BB64">
        <f>_xlfn.NORM.DIST(Table2912[[#This Row],[DMD '[mg/g']]],Y$6,Y$2,FALSE)</f>
        <v>8.3568724000004772E-4</v>
      </c>
      <c r="BC64">
        <f>_xlfn.NORM.DIST(Table2912[[#This Row],[CH4 '[ml/g']]],Z$6,Z$2,FALSE)</f>
        <v>4.0999653461638438E-3</v>
      </c>
      <c r="BD64">
        <f>_xlfn.NORM.DIST(Table2912[[#This Row],[CH4 '[% GP']]],AA$6,AA$2,FALSE)</f>
        <v>5.8076436255654357E-3</v>
      </c>
      <c r="BE64">
        <f>_xlfn.NORM.DIST(Table2912[[#This Row],[CH4 '[g/g DDM']]],AB$6,AB$2,FALSE)</f>
        <v>5.4698497533702001E-3</v>
      </c>
      <c r="BG64">
        <f>IF(Table2912[[#This Row],[GP '[ml/g']]]&lt;O$10,_xlfn.NORM.DIST(Table2912[[#This Row],[GP '[ml/g']]],O$6,O$2,FALSE),-100)</f>
        <v>4.0673968915587912E-3</v>
      </c>
      <c r="BH64">
        <f>IF(Table2912[[#This Row],[SCFA '[mmol/g']]]&lt;P$10,_xlfn.NORM.DIST(Table2912[[#This Row],[SCFA '[mmol/g']]],P$6,P$2,FALSE),-100)</f>
        <v>6.0515696639001609E-2</v>
      </c>
      <c r="BI64">
        <f>IF(Table2912[[#This Row],[Acetate '[%']]]&lt;Q$10,_xlfn.NORM.DIST(Table2912[[#This Row],[Acetate '[%']]],Q$6,Q$2,FALSE),-100)</f>
        <v>-100</v>
      </c>
      <c r="BJ64">
        <f>IF(Table2912[[#This Row],[Propionate '[%']]]&lt;R$10,_xlfn.NORM.DIST(Table2912[[#This Row],[Propionate '[%']]],R$6,R$2,FALSE),-100)</f>
        <v>-100</v>
      </c>
      <c r="BK64">
        <f>IF(Table2912[[#This Row],[Butyrate '[%']]]&lt;S$10,_xlfn.NORM.DIST(Table2912[[#This Row],[Butyrate '[%']]],S$6,S$2,FALSE),-100)</f>
        <v>-100</v>
      </c>
      <c r="BL64">
        <f>IF(Table2912[[#This Row],[Valerate '[%']]]&lt;T$10,_xlfn.NORM.DIST(Table2912[[#This Row],[Valerate '[%']]],T$6,T$2,FALSE),-100)</f>
        <v>-100</v>
      </c>
      <c r="BM64">
        <f>IF(Table2912[[#This Row],[Caproate '[%']]]&lt;U$10,_xlfn.NORM.DIST(Table2912[[#This Row],[Caproate '[%']]],U$6,U$2,FALSE),-100)</f>
        <v>-100</v>
      </c>
      <c r="BN64">
        <f>IF(Table2912[[#This Row],[Isobutyrate '[%']]]&lt;V$10,_xlfn.NORM.DIST(Table2912[[#This Row],[Isobutyrate '[%']]],V$6,V$2,FALSE),-100)</f>
        <v>-100</v>
      </c>
      <c r="BO64">
        <f>IF(Table2912[[#This Row],[Isovalerate '[%']]]&lt;W$10,_xlfn.NORM.DIST(Table2912[[#This Row],[Isovalerate '[%']]],W$6,W$2,FALSE),-100)</f>
        <v>-100</v>
      </c>
      <c r="BP64">
        <f>IF(Table2912[[#This Row],[CH4 '[g/mmol SCFA']]]&lt;X$10,_xlfn.NORM.DIST(Table2912[[#This Row],[CH4 '[g/mmol SCFA']]],X$6,X$2,FALSE),-100)</f>
        <v>6.3874504737333873E-2</v>
      </c>
      <c r="BQ64">
        <f>IF(Table2912[[#This Row],[DMD '[mg/g']]]&gt;Y$10,_xlfn.NORM.DIST(Table2912[[#This Row],[DMD '[mg/g']]],Y$6,Y$2,FALSE),-100)</f>
        <v>-100</v>
      </c>
      <c r="BR64">
        <f>IF(Table2912[[#This Row],[CH4 '[ml/g']]]&lt;Z$10,_xlfn.NORM.DIST(Table2912[[#This Row],[CH4 '[ml/g']]],Z$6,Z$2,FALSE),-100)</f>
        <v>4.0999653461638438E-3</v>
      </c>
      <c r="BS64">
        <f>IF(Table2912[[#This Row],[CH4 '[% GP']]]&lt;AA$10,_xlfn.NORM.DIST(Table2912[[#This Row],[CH4 '[% GP']]],AA$6,AA$2,FALSE),-100)</f>
        <v>5.8076436255654357E-3</v>
      </c>
      <c r="BT64">
        <f>IF(Table2912[[#This Row],[CH4 '[g/g DDM']]]&lt;AB$10,_xlfn.NORM.DIST(Table2912[[#This Row],[CH4 '[g/g DDM']]],AB$6,AB$2,FALSE),-100)</f>
        <v>5.4698497533702001E-3</v>
      </c>
      <c r="CJ64" t="str">
        <v xml:space="preserve">Medicago sativa </v>
      </c>
      <c r="CL64" t="str">
        <v xml:space="preserve">Medicago sativa </v>
      </c>
    </row>
    <row r="65" spans="1:90" x14ac:dyDescent="0.25">
      <c r="A65" s="12" t="s">
        <v>70</v>
      </c>
      <c r="B65" s="13">
        <v>1028</v>
      </c>
      <c r="C65" s="96" t="s">
        <v>129</v>
      </c>
      <c r="D65" s="96"/>
      <c r="E65" s="96"/>
      <c r="F65" s="96" t="s">
        <v>130</v>
      </c>
      <c r="G65" t="s">
        <v>73</v>
      </c>
      <c r="H65" t="s">
        <v>74</v>
      </c>
      <c r="I65" s="99" t="s">
        <v>79</v>
      </c>
      <c r="J65" s="70">
        <v>2</v>
      </c>
      <c r="K65" s="70"/>
      <c r="L65" s="70"/>
      <c r="M65" t="s">
        <v>130</v>
      </c>
      <c r="N65" t="s">
        <v>84</v>
      </c>
      <c r="O65" s="18">
        <v>173.93199999999999</v>
      </c>
      <c r="P65" s="18">
        <v>7.1919774894655131</v>
      </c>
      <c r="Q65" s="97">
        <v>0.65038950398100315</v>
      </c>
      <c r="R65" s="97">
        <v>0.16383215730921522</v>
      </c>
      <c r="S65" s="97">
        <v>0.11046036682306126</v>
      </c>
      <c r="T65" s="97">
        <v>2.0291713174205743E-2</v>
      </c>
      <c r="U65" s="97">
        <v>1.5533942990149517E-3</v>
      </c>
      <c r="V65" s="97">
        <v>1.9039943525419243E-2</v>
      </c>
      <c r="W65" s="97">
        <v>3.44329208880804E-2</v>
      </c>
      <c r="X65" s="51">
        <f t="shared" si="5"/>
        <v>3.5966277351337026</v>
      </c>
      <c r="Y65" s="18">
        <v>560.65846085606563</v>
      </c>
      <c r="Z65" s="18">
        <v>25.866865709068922</v>
      </c>
      <c r="AA65" s="18">
        <f t="shared" si="6"/>
        <v>14.871826753598489</v>
      </c>
      <c r="AB65" s="18">
        <f t="shared" si="7"/>
        <v>46.136583169676911</v>
      </c>
      <c r="AC65" s="18">
        <f>$CP$15*Table2912[[#This Row],[DMD '[mg/g']]]+$CS$15*Table2912[[#This Row],[CH4 '[ml/g']]]+$CR$15*Table2912[[#This Row],[CH4 '[% GP']]]+$CQ$15*Table2912[[#This Row],[CH4 '[g/g DDM']]]</f>
        <v>8.6862743452194024E-2</v>
      </c>
      <c r="AD65" s="18">
        <f>_xlfn.RANK.AVG(Table2912[[#This Row],[Index]],Table2912[Index])</f>
        <v>443</v>
      </c>
      <c r="AE6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6.6502923311040236</v>
      </c>
      <c r="AF65" s="18">
        <f>Table2912[[#This Row],[CH4 '[ml/g']]]/Table2912[[#This Row],[APB]]</f>
        <v>3.8895832575791038</v>
      </c>
      <c r="AG65" s="18">
        <f>Table2912[[#This Row],[Propionate '[%']]]/Table2912[[#This Row],[Acetate '[%']]]</f>
        <v>0.25189852589318612</v>
      </c>
      <c r="AH65" s="51"/>
      <c r="AI65" s="18"/>
      <c r="AJ65" s="18"/>
      <c r="AK65" s="18">
        <f>(Table2912[[#This Row],[DMD '[mg/g']]]-$AK$15)/$AK$15*100</f>
        <v>14.352621279587114</v>
      </c>
      <c r="AL65" s="18">
        <f>(Table2912[[#This Row],[CH4 '[ml/g']]]-AL$15)/AL$15*100</f>
        <v>-34.23490041605303</v>
      </c>
      <c r="AM65" s="18">
        <f>(Table2912[[#This Row],[CH4 '[% GP']]]-AM$15)/AM$15*100</f>
        <v>-4.1909045620180745</v>
      </c>
      <c r="AN65" s="18">
        <f>(Table2912[[#This Row],[CH4 '[g/g DDM']]]-AN$15)/AN$15*100</f>
        <v>-9.9168015517340731</v>
      </c>
      <c r="AO65" s="18"/>
      <c r="AP65" s="18"/>
      <c r="AR65">
        <f>_xlfn.NORM.DIST(Table2912[[#This Row],[GP '[ml/g']]],O$6,O$2,FALSE)</f>
        <v>2.3234915289723082E-3</v>
      </c>
      <c r="AS65">
        <f>_xlfn.NORM.DIST(Table2912[[#This Row],[SCFA '[mmol/g']]],P$6,P$2,FALSE)</f>
        <v>0.28668097045678848</v>
      </c>
      <c r="AT65">
        <f>_xlfn.NORM.DIST(Table2912[[#This Row],[Acetate '[%']]],Q$6,Q$2,FALSE)</f>
        <v>10.190643230812309</v>
      </c>
      <c r="AU65">
        <f>_xlfn.NORM.DIST(Table2912[[#This Row],[Propionate '[%']]],R$6,R$2,FALSE)</f>
        <v>15.857754581622736</v>
      </c>
      <c r="AV65">
        <f>_xlfn.NORM.DIST(Table2912[[#This Row],[Butyrate '[%']]],S$6,S$2,FALSE)</f>
        <v>13.794375005679264</v>
      </c>
      <c r="AW65">
        <f>_xlfn.NORM.DIST(Table2912[[#This Row],[Valerate '[%']]],T$6,T$2,FALSE)</f>
        <v>67.931347560734011</v>
      </c>
      <c r="AX65">
        <f>_xlfn.NORM.DIST(Table2912[[#This Row],[Caproate '[%']]],U$6,U$2,FALSE)</f>
        <v>396.76713883564742</v>
      </c>
      <c r="AY65">
        <f>_xlfn.NORM.DIST(Table2912[[#This Row],[Isobutyrate '[%']]],V$6,V$2,FALSE)</f>
        <v>63.291194126999201</v>
      </c>
      <c r="AZ65">
        <f>_xlfn.NORM.DIST(Table2912[[#This Row],[Isovalerate '[%']]],W$6,W$2,FALSE)</f>
        <v>34.433511385108631</v>
      </c>
      <c r="BA65">
        <f>_xlfn.NORM.DIST(Table2912[[#This Row],[CH4 '[g/mmol SCFA']]],X$6,X$2,FALSE)</f>
        <v>4.005152771918432E-2</v>
      </c>
      <c r="BB65">
        <f>_xlfn.NORM.DIST(Table2912[[#This Row],[DMD '[mg/g']]],Y$6,Y$2,FALSE)</f>
        <v>8.4491485138120056E-4</v>
      </c>
      <c r="BC65">
        <f>_xlfn.NORM.DIST(Table2912[[#This Row],[CH4 '[ml/g']]],Z$6,Z$2,FALSE)</f>
        <v>1.4310094869127224E-2</v>
      </c>
      <c r="BD65">
        <f>_xlfn.NORM.DIST(Table2912[[#This Row],[CH4 '[% GP']]],AA$6,AA$2,FALSE)</f>
        <v>0.1241584295790968</v>
      </c>
      <c r="BE65">
        <f>_xlfn.NORM.DIST(Table2912[[#This Row],[CH4 '[g/g DDM']]],AB$6,AB$2,FALSE)</f>
        <v>2.7533066267174413E-2</v>
      </c>
      <c r="BG65">
        <f>IF(Table2912[[#This Row],[GP '[ml/g']]]&lt;O$10,_xlfn.NORM.DIST(Table2912[[#This Row],[GP '[ml/g']]],O$6,O$2,FALSE),-100)</f>
        <v>2.3234915289723082E-3</v>
      </c>
      <c r="BH65">
        <f>IF(Table2912[[#This Row],[SCFA '[mmol/g']]]&lt;P$10,_xlfn.NORM.DIST(Table2912[[#This Row],[SCFA '[mmol/g']]],P$6,P$2,FALSE),-100)</f>
        <v>-100</v>
      </c>
      <c r="BI65">
        <f>IF(Table2912[[#This Row],[Acetate '[%']]]&lt;Q$10,_xlfn.NORM.DIST(Table2912[[#This Row],[Acetate '[%']]],Q$6,Q$2,FALSE),-100)</f>
        <v>-100</v>
      </c>
      <c r="BJ65">
        <f>IF(Table2912[[#This Row],[Propionate '[%']]]&lt;R$10,_xlfn.NORM.DIST(Table2912[[#This Row],[Propionate '[%']]],R$6,R$2,FALSE),-100)</f>
        <v>-100</v>
      </c>
      <c r="BK65">
        <f>IF(Table2912[[#This Row],[Butyrate '[%']]]&lt;S$10,_xlfn.NORM.DIST(Table2912[[#This Row],[Butyrate '[%']]],S$6,S$2,FALSE),-100)</f>
        <v>-100</v>
      </c>
      <c r="BL65">
        <f>IF(Table2912[[#This Row],[Valerate '[%']]]&lt;T$10,_xlfn.NORM.DIST(Table2912[[#This Row],[Valerate '[%']]],T$6,T$2,FALSE),-100)</f>
        <v>-100</v>
      </c>
      <c r="BM65">
        <f>IF(Table2912[[#This Row],[Caproate '[%']]]&lt;U$10,_xlfn.NORM.DIST(Table2912[[#This Row],[Caproate '[%']]],U$6,U$2,FALSE),-100)</f>
        <v>-100</v>
      </c>
      <c r="BN65">
        <f>IF(Table2912[[#This Row],[Isobutyrate '[%']]]&lt;V$10,_xlfn.NORM.DIST(Table2912[[#This Row],[Isobutyrate '[%']]],V$6,V$2,FALSE),-100)</f>
        <v>-100</v>
      </c>
      <c r="BO65">
        <f>IF(Table2912[[#This Row],[Isovalerate '[%']]]&lt;W$10,_xlfn.NORM.DIST(Table2912[[#This Row],[Isovalerate '[%']]],W$6,W$2,FALSE),-100)</f>
        <v>-100</v>
      </c>
      <c r="BP65">
        <f>IF(Table2912[[#This Row],[CH4 '[g/mmol SCFA']]]&lt;X$10,_xlfn.NORM.DIST(Table2912[[#This Row],[CH4 '[g/mmol SCFA']]],X$6,X$2,FALSE),-100)</f>
        <v>4.005152771918432E-2</v>
      </c>
      <c r="BQ65">
        <f>IF(Table2912[[#This Row],[DMD '[mg/g']]]&gt;Y$10,_xlfn.NORM.DIST(Table2912[[#This Row],[DMD '[mg/g']]],Y$6,Y$2,FALSE),-100)</f>
        <v>-100</v>
      </c>
      <c r="BR65">
        <f>IF(Table2912[[#This Row],[CH4 '[ml/g']]]&lt;Z$10,_xlfn.NORM.DIST(Table2912[[#This Row],[CH4 '[ml/g']]],Z$6,Z$2,FALSE),-100)</f>
        <v>1.4310094869127224E-2</v>
      </c>
      <c r="BS65">
        <f>IF(Table2912[[#This Row],[CH4 '[% GP']]]&lt;AA$10,_xlfn.NORM.DIST(Table2912[[#This Row],[CH4 '[% GP']]],AA$6,AA$2,FALSE),-100)</f>
        <v>-100</v>
      </c>
      <c r="BT65">
        <f>IF(Table2912[[#This Row],[CH4 '[g/g DDM']]]&lt;AB$10,_xlfn.NORM.DIST(Table2912[[#This Row],[CH4 '[g/g DDM']]],AB$6,AB$2,FALSE),-100)</f>
        <v>-100</v>
      </c>
      <c r="CJ65" t="str">
        <v>Lathyrus  sativus</v>
      </c>
      <c r="CL65" t="str">
        <v>Lathyrus  sativus</v>
      </c>
    </row>
    <row r="66" spans="1:90" x14ac:dyDescent="0.25">
      <c r="A66" s="12" t="s">
        <v>70</v>
      </c>
      <c r="B66" s="13">
        <v>1014</v>
      </c>
      <c r="C66" s="96" t="s">
        <v>137</v>
      </c>
      <c r="D66" s="96"/>
      <c r="E66" s="96"/>
      <c r="F66" s="96" t="s">
        <v>138</v>
      </c>
      <c r="G66" s="108" t="s">
        <v>73</v>
      </c>
      <c r="H66" s="108" t="s">
        <v>74</v>
      </c>
      <c r="I66" s="109" t="s">
        <v>44</v>
      </c>
      <c r="J66" s="100">
        <v>3</v>
      </c>
      <c r="K66" s="100"/>
      <c r="L66" s="100"/>
      <c r="M66" t="s">
        <v>138</v>
      </c>
      <c r="N66" t="s">
        <v>81</v>
      </c>
      <c r="O66" s="18">
        <v>235.8361823361823</v>
      </c>
      <c r="P66" s="18">
        <v>6.5766864509293335</v>
      </c>
      <c r="Q66" s="97">
        <v>0.70488113307605982</v>
      </c>
      <c r="R66" s="97">
        <v>0.1564694561107392</v>
      </c>
      <c r="S66" s="97">
        <v>8.7382052937825638E-2</v>
      </c>
      <c r="T66" s="97">
        <v>1.6506336758864697E-2</v>
      </c>
      <c r="U66" s="97">
        <v>6.1574049459375054E-4</v>
      </c>
      <c r="V66" s="97">
        <v>1.3298502027411715E-2</v>
      </c>
      <c r="W66" s="97">
        <v>2.0846778594505233E-2</v>
      </c>
      <c r="X66" s="51">
        <f t="shared" si="5"/>
        <v>5.3138221591421857</v>
      </c>
      <c r="Y66" s="18">
        <v>563.120469162262</v>
      </c>
      <c r="Z66" s="18">
        <v>34.94734219667847</v>
      </c>
      <c r="AA66" s="18">
        <f t="shared" si="6"/>
        <v>14.818481986305798</v>
      </c>
      <c r="AB66" s="18">
        <f t="shared" si="7"/>
        <v>62.060152508163341</v>
      </c>
      <c r="AC66" s="18">
        <f>$CP$15*Table2912[[#This Row],[DMD '[mg/g']]]+$CS$15*Table2912[[#This Row],[CH4 '[ml/g']]]+$CR$15*Table2912[[#This Row],[CH4 '[% GP']]]+$CQ$15*Table2912[[#This Row],[CH4 '[g/g DDM']]]</f>
        <v>-8.4642953354607045</v>
      </c>
      <c r="AD66" s="18">
        <f>_xlfn.RANK.AVG(Table2912[[#This Row],[Index]],Table2912[Index])</f>
        <v>485</v>
      </c>
      <c r="AE6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6.239517113015407</v>
      </c>
      <c r="AF66" s="18">
        <f>Table2912[[#This Row],[CH4 '[ml/g']]]/Table2912[[#This Row],[APB]]</f>
        <v>5.6009690435465878</v>
      </c>
      <c r="AG66" s="18">
        <f>Table2912[[#This Row],[Propionate '[%']]]/Table2912[[#This Row],[Acetate '[%']]]</f>
        <v>0.22197991798690325</v>
      </c>
      <c r="AH66" s="51"/>
      <c r="AI66" s="18"/>
      <c r="AJ66" s="18"/>
      <c r="AK66" s="18">
        <f>(Table2912[[#This Row],[DMD '[mg/g']]]-$AK$15)/$AK$15*100</f>
        <v>14.854775662481456</v>
      </c>
      <c r="AL66" s="18">
        <f>(Table2912[[#This Row],[CH4 '[ml/g']]]-AL$15)/AL$15*100</f>
        <v>-11.148282686872173</v>
      </c>
      <c r="AM66" s="18">
        <f>(Table2912[[#This Row],[CH4 '[% GP']]]-AM$15)/AM$15*100</f>
        <v>-4.5345687254958849</v>
      </c>
      <c r="AN66" s="18">
        <f>(Table2912[[#This Row],[CH4 '[g/g DDM']]]-AN$15)/AN$15*100</f>
        <v>21.174492128340177</v>
      </c>
      <c r="AO66" s="18"/>
      <c r="AP66" s="18"/>
      <c r="AR66">
        <f>_xlfn.NORM.DIST(Table2912[[#This Row],[GP '[ml/g']]],O$6,O$2,FALSE)</f>
        <v>6.9888948531999099E-3</v>
      </c>
      <c r="AS66">
        <f>_xlfn.NORM.DIST(Table2912[[#This Row],[SCFA '[mmol/g']]],P$6,P$2,FALSE)</f>
        <v>0.33256572531296841</v>
      </c>
      <c r="AT66">
        <f>_xlfn.NORM.DIST(Table2912[[#This Row],[Acetate '[%']]],Q$6,Q$2,FALSE)</f>
        <v>7.5204801725725918</v>
      </c>
      <c r="AU66">
        <f>_xlfn.NORM.DIST(Table2912[[#This Row],[Propionate '[%']]],R$6,R$2,FALSE)</f>
        <v>13.610466377717485</v>
      </c>
      <c r="AV66">
        <f>_xlfn.NORM.DIST(Table2912[[#This Row],[Butyrate '[%']]],S$6,S$2,FALSE)</f>
        <v>21.882001449282562</v>
      </c>
      <c r="AW66">
        <f>_xlfn.NORM.DIST(Table2912[[#This Row],[Valerate '[%']]],T$6,T$2,FALSE)</f>
        <v>75.484014903001125</v>
      </c>
      <c r="AX66">
        <f>_xlfn.NORM.DIST(Table2912[[#This Row],[Caproate '[%']]],U$6,U$2,FALSE)</f>
        <v>311.35776784636818</v>
      </c>
      <c r="AY66">
        <f>_xlfn.NORM.DIST(Table2912[[#This Row],[Isobutyrate '[%']]],V$6,V$2,FALSE)</f>
        <v>81.243999595330763</v>
      </c>
      <c r="AZ66">
        <f>_xlfn.NORM.DIST(Table2912[[#This Row],[Isovalerate '[%']]],W$6,W$2,FALSE)</f>
        <v>32.919329125478207</v>
      </c>
      <c r="BA66">
        <f>_xlfn.NORM.DIST(Table2912[[#This Row],[CH4 '[g/mmol SCFA']]],X$6,X$2,FALSE)</f>
        <v>0.22911673255037648</v>
      </c>
      <c r="BB66">
        <f>_xlfn.NORM.DIST(Table2912[[#This Row],[DMD '[mg/g']]],Y$6,Y$2,FALSE)</f>
        <v>8.6904919376216462E-4</v>
      </c>
      <c r="BC66">
        <f>_xlfn.NORM.DIST(Table2912[[#This Row],[CH4 '[ml/g']]],Z$6,Z$2,FALSE)</f>
        <v>2.8932413439506397E-2</v>
      </c>
      <c r="BD66">
        <f>_xlfn.NORM.DIST(Table2912[[#This Row],[CH4 '[% GP']]],AA$6,AA$2,FALSE)</f>
        <v>0.12323809580595248</v>
      </c>
      <c r="BE66">
        <f>_xlfn.NORM.DIST(Table2912[[#This Row],[CH4 '[g/g DDM']]],AB$6,AB$2,FALSE)</f>
        <v>2.5407114552651343E-2</v>
      </c>
      <c r="BG66">
        <f>IF(Table2912[[#This Row],[GP '[ml/g']]]&lt;O$10,_xlfn.NORM.DIST(Table2912[[#This Row],[GP '[ml/g']]],O$6,O$2,FALSE),-100)</f>
        <v>-100</v>
      </c>
      <c r="BH66">
        <f>IF(Table2912[[#This Row],[SCFA '[mmol/g']]]&lt;P$10,_xlfn.NORM.DIST(Table2912[[#This Row],[SCFA '[mmol/g']]],P$6,P$2,FALSE),-100)</f>
        <v>-100</v>
      </c>
      <c r="BI66">
        <f>IF(Table2912[[#This Row],[Acetate '[%']]]&lt;Q$10,_xlfn.NORM.DIST(Table2912[[#This Row],[Acetate '[%']]],Q$6,Q$2,FALSE),-100)</f>
        <v>-100</v>
      </c>
      <c r="BJ66">
        <f>IF(Table2912[[#This Row],[Propionate '[%']]]&lt;R$10,_xlfn.NORM.DIST(Table2912[[#This Row],[Propionate '[%']]],R$6,R$2,FALSE),-100)</f>
        <v>-100</v>
      </c>
      <c r="BK66">
        <f>IF(Table2912[[#This Row],[Butyrate '[%']]]&lt;S$10,_xlfn.NORM.DIST(Table2912[[#This Row],[Butyrate '[%']]],S$6,S$2,FALSE),-100)</f>
        <v>-100</v>
      </c>
      <c r="BL66">
        <f>IF(Table2912[[#This Row],[Valerate '[%']]]&lt;T$10,_xlfn.NORM.DIST(Table2912[[#This Row],[Valerate '[%']]],T$6,T$2,FALSE),-100)</f>
        <v>-100</v>
      </c>
      <c r="BM66">
        <f>IF(Table2912[[#This Row],[Caproate '[%']]]&lt;U$10,_xlfn.NORM.DIST(Table2912[[#This Row],[Caproate '[%']]],U$6,U$2,FALSE),-100)</f>
        <v>-100</v>
      </c>
      <c r="BN66">
        <f>IF(Table2912[[#This Row],[Isobutyrate '[%']]]&lt;V$10,_xlfn.NORM.DIST(Table2912[[#This Row],[Isobutyrate '[%']]],V$6,V$2,FALSE),-100)</f>
        <v>-100</v>
      </c>
      <c r="BO66">
        <f>IF(Table2912[[#This Row],[Isovalerate '[%']]]&lt;W$10,_xlfn.NORM.DIST(Table2912[[#This Row],[Isovalerate '[%']]],W$6,W$2,FALSE),-100)</f>
        <v>-100</v>
      </c>
      <c r="BP66">
        <f>IF(Table2912[[#This Row],[CH4 '[g/mmol SCFA']]]&lt;X$10,_xlfn.NORM.DIST(Table2912[[#This Row],[CH4 '[g/mmol SCFA']]],X$6,X$2,FALSE),-100)</f>
        <v>-100</v>
      </c>
      <c r="BQ66">
        <f>IF(Table2912[[#This Row],[DMD '[mg/g']]]&gt;Y$10,_xlfn.NORM.DIST(Table2912[[#This Row],[DMD '[mg/g']]],Y$6,Y$2,FALSE),-100)</f>
        <v>-100</v>
      </c>
      <c r="BR66">
        <f>IF(Table2912[[#This Row],[CH4 '[ml/g']]]&lt;Z$10,_xlfn.NORM.DIST(Table2912[[#This Row],[CH4 '[ml/g']]],Z$6,Z$2,FALSE),-100)</f>
        <v>-100</v>
      </c>
      <c r="BS66">
        <f>IF(Table2912[[#This Row],[CH4 '[% GP']]]&lt;AA$10,_xlfn.NORM.DIST(Table2912[[#This Row],[CH4 '[% GP']]],AA$6,AA$2,FALSE),-100)</f>
        <v>-100</v>
      </c>
      <c r="BT66">
        <f>IF(Table2912[[#This Row],[CH4 '[g/g DDM']]]&lt;AB$10,_xlfn.NORM.DIST(Table2912[[#This Row],[CH4 '[g/g DDM']]],AB$6,AB$2,FALSE),-100)</f>
        <v>-100</v>
      </c>
      <c r="CJ66" t="str">
        <v>Lathyrus pratensis</v>
      </c>
      <c r="CL66" t="str">
        <v>Lathyrus pratensis</v>
      </c>
    </row>
    <row r="67" spans="1:90" x14ac:dyDescent="0.25">
      <c r="A67" s="12" t="s">
        <v>70</v>
      </c>
      <c r="B67" s="13">
        <v>1027</v>
      </c>
      <c r="C67" s="96" t="s">
        <v>113</v>
      </c>
      <c r="D67" s="96"/>
      <c r="E67" s="96"/>
      <c r="F67" s="96" t="s">
        <v>114</v>
      </c>
      <c r="G67" t="s">
        <v>73</v>
      </c>
      <c r="H67" t="s">
        <v>74</v>
      </c>
      <c r="I67" t="s">
        <v>75</v>
      </c>
      <c r="J67" s="70">
        <v>3</v>
      </c>
      <c r="K67" s="70"/>
      <c r="L67" s="70"/>
      <c r="M67" t="s">
        <v>114</v>
      </c>
      <c r="N67" t="s">
        <v>84</v>
      </c>
      <c r="O67" s="18">
        <v>202.10112657389027</v>
      </c>
      <c r="P67" s="18">
        <v>5.9552962740759039</v>
      </c>
      <c r="Q67" s="97">
        <v>0.69190954781208869</v>
      </c>
      <c r="R67" s="97">
        <v>0.16512749983684383</v>
      </c>
      <c r="S67" s="97">
        <v>7.6471075146155837E-2</v>
      </c>
      <c r="T67" s="97">
        <v>1.5127748806478453E-2</v>
      </c>
      <c r="U67" s="97">
        <v>5.422371777677184E-4</v>
      </c>
      <c r="V67" s="97">
        <v>1.7708273383794861E-2</v>
      </c>
      <c r="W67" s="97">
        <v>3.3113617836870529E-2</v>
      </c>
      <c r="X67" s="51">
        <f t="shared" si="5"/>
        <v>4.5842398689593358</v>
      </c>
      <c r="Y67" s="18">
        <v>565.10182821545413</v>
      </c>
      <c r="Z67" s="18">
        <v>27.300506611083744</v>
      </c>
      <c r="AA67" s="18">
        <f t="shared" si="6"/>
        <v>13.50833964851868</v>
      </c>
      <c r="AB67" s="18">
        <f t="shared" si="7"/>
        <v>48.310773825129061</v>
      </c>
      <c r="AC67" s="18">
        <f>$CP$15*Table2912[[#This Row],[DMD '[mg/g']]]+$CS$15*Table2912[[#This Row],[CH4 '[ml/g']]]+$CR$15*Table2912[[#This Row],[CH4 '[% GP']]]+$CQ$15*Table2912[[#This Row],[CH4 '[g/g DDM']]]</f>
        <v>-0.33889382253588707</v>
      </c>
      <c r="AD67" s="18">
        <f>_xlfn.RANK.AVG(Table2912[[#This Row],[Index]],Table2912[Index])</f>
        <v>450</v>
      </c>
      <c r="AE6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5.5593174455011818</v>
      </c>
      <c r="AF67" s="18">
        <f>Table2912[[#This Row],[CH4 '[ml/g']]]/Table2912[[#This Row],[APB]]</f>
        <v>4.9107659130306338</v>
      </c>
      <c r="AG67" s="18">
        <f>Table2912[[#This Row],[Propionate '[%']]]/Table2912[[#This Row],[Acetate '[%']]]</f>
        <v>0.23865474953915472</v>
      </c>
      <c r="AH67" s="51"/>
      <c r="AI67" s="18"/>
      <c r="AJ67" s="18"/>
      <c r="AK67" s="18">
        <f>(Table2912[[#This Row],[DMD '[mg/g']]]-$AK$15)/$AK$15*100</f>
        <v>15.258896205106657</v>
      </c>
      <c r="AL67" s="18">
        <f>(Table2912[[#This Row],[CH4 '[ml/g']]]-AL$15)/AL$15*100</f>
        <v>-30.589946375271488</v>
      </c>
      <c r="AM67" s="18">
        <f>(Table2912[[#This Row],[CH4 '[% GP']]]-AM$15)/AM$15*100</f>
        <v>-12.974927422386584</v>
      </c>
      <c r="AN67" s="18">
        <f>(Table2912[[#This Row],[CH4 '[g/g DDM']]]-AN$15)/AN$15*100</f>
        <v>-5.67162267580491</v>
      </c>
      <c r="AO67" s="18"/>
      <c r="AP67" s="18"/>
      <c r="AR67">
        <f>_xlfn.NORM.DIST(Table2912[[#This Row],[GP '[ml/g']]],O$6,O$2,FALSE)</f>
        <v>4.5322476473520735E-3</v>
      </c>
      <c r="AS67">
        <f>_xlfn.NORM.DIST(Table2912[[#This Row],[SCFA '[mmol/g']]],P$6,P$2,FALSE)</f>
        <v>0.29574017753114168</v>
      </c>
      <c r="AT67">
        <f>_xlfn.NORM.DIST(Table2912[[#This Row],[Acetate '[%']]],Q$6,Q$2,FALSE)</f>
        <v>11.278138211286324</v>
      </c>
      <c r="AU67">
        <f>_xlfn.NORM.DIST(Table2912[[#This Row],[Propionate '[%']]],R$6,R$2,FALSE)</f>
        <v>16.128871475990124</v>
      </c>
      <c r="AV67">
        <f>_xlfn.NORM.DIST(Table2912[[#This Row],[Butyrate '[%']]],S$6,S$2,FALSE)</f>
        <v>14.67093390682626</v>
      </c>
      <c r="AW67">
        <f>_xlfn.NORM.DIST(Table2912[[#This Row],[Valerate '[%']]],T$6,T$2,FALSE)</f>
        <v>68.603825150893712</v>
      </c>
      <c r="AX67">
        <f>_xlfn.NORM.DIST(Table2912[[#This Row],[Caproate '[%']]],U$6,U$2,FALSE)</f>
        <v>293.91142774656964</v>
      </c>
      <c r="AY67">
        <f>_xlfn.NORM.DIST(Table2912[[#This Row],[Isobutyrate '[%']]],V$6,V$2,FALSE)</f>
        <v>77.915421995129492</v>
      </c>
      <c r="AZ67">
        <f>_xlfn.NORM.DIST(Table2912[[#This Row],[Isovalerate '[%']]],W$6,W$2,FALSE)</f>
        <v>38.076450408326636</v>
      </c>
      <c r="BA67">
        <f>_xlfn.NORM.DIST(Table2912[[#This Row],[CH4 '[g/mmol SCFA']]],X$6,X$2,FALSE)</f>
        <v>0.13341381157308743</v>
      </c>
      <c r="BB67">
        <f>_xlfn.NORM.DIST(Table2912[[#This Row],[DMD '[mg/g']]],Y$6,Y$2,FALSE)</f>
        <v>8.887625372857418E-4</v>
      </c>
      <c r="BC67">
        <f>_xlfn.NORM.DIST(Table2912[[#This Row],[CH4 '[ml/g']]],Z$6,Z$2,FALSE)</f>
        <v>1.6622853878056648E-2</v>
      </c>
      <c r="BD67">
        <f>_xlfn.NORM.DIST(Table2912[[#This Row],[CH4 '[% GP']]],AA$6,AA$2,FALSE)</f>
        <v>9.2715667325289006E-2</v>
      </c>
      <c r="BE67">
        <f>_xlfn.NORM.DIST(Table2912[[#This Row],[CH4 '[g/g DDM']]],AB$6,AB$2,FALSE)</f>
        <v>3.013759926456E-2</v>
      </c>
      <c r="BG67">
        <f>IF(Table2912[[#This Row],[GP '[ml/g']]]&lt;O$10,_xlfn.NORM.DIST(Table2912[[#This Row],[GP '[ml/g']]],O$6,O$2,FALSE),-100)</f>
        <v>4.5322476473520735E-3</v>
      </c>
      <c r="BH67">
        <f>IF(Table2912[[#This Row],[SCFA '[mmol/g']]]&lt;P$10,_xlfn.NORM.DIST(Table2912[[#This Row],[SCFA '[mmol/g']]],P$6,P$2,FALSE),-100)</f>
        <v>-100</v>
      </c>
      <c r="BI67">
        <f>IF(Table2912[[#This Row],[Acetate '[%']]]&lt;Q$10,_xlfn.NORM.DIST(Table2912[[#This Row],[Acetate '[%']]],Q$6,Q$2,FALSE),-100)</f>
        <v>-100</v>
      </c>
      <c r="BJ67">
        <f>IF(Table2912[[#This Row],[Propionate '[%']]]&lt;R$10,_xlfn.NORM.DIST(Table2912[[#This Row],[Propionate '[%']]],R$6,R$2,FALSE),-100)</f>
        <v>-100</v>
      </c>
      <c r="BK67">
        <f>IF(Table2912[[#This Row],[Butyrate '[%']]]&lt;S$10,_xlfn.NORM.DIST(Table2912[[#This Row],[Butyrate '[%']]],S$6,S$2,FALSE),-100)</f>
        <v>-100</v>
      </c>
      <c r="BL67">
        <f>IF(Table2912[[#This Row],[Valerate '[%']]]&lt;T$10,_xlfn.NORM.DIST(Table2912[[#This Row],[Valerate '[%']]],T$6,T$2,FALSE),-100)</f>
        <v>-100</v>
      </c>
      <c r="BM67">
        <f>IF(Table2912[[#This Row],[Caproate '[%']]]&lt;U$10,_xlfn.NORM.DIST(Table2912[[#This Row],[Caproate '[%']]],U$6,U$2,FALSE),-100)</f>
        <v>-100</v>
      </c>
      <c r="BN67">
        <f>IF(Table2912[[#This Row],[Isobutyrate '[%']]]&lt;V$10,_xlfn.NORM.DIST(Table2912[[#This Row],[Isobutyrate '[%']]],V$6,V$2,FALSE),-100)</f>
        <v>-100</v>
      </c>
      <c r="BO67">
        <f>IF(Table2912[[#This Row],[Isovalerate '[%']]]&lt;W$10,_xlfn.NORM.DIST(Table2912[[#This Row],[Isovalerate '[%']]],W$6,W$2,FALSE),-100)</f>
        <v>-100</v>
      </c>
      <c r="BP67">
        <f>IF(Table2912[[#This Row],[CH4 '[g/mmol SCFA']]]&lt;X$10,_xlfn.NORM.DIST(Table2912[[#This Row],[CH4 '[g/mmol SCFA']]],X$6,X$2,FALSE),-100)</f>
        <v>0.13341381157308743</v>
      </c>
      <c r="BQ67">
        <f>IF(Table2912[[#This Row],[DMD '[mg/g']]]&gt;Y$10,_xlfn.NORM.DIST(Table2912[[#This Row],[DMD '[mg/g']]],Y$6,Y$2,FALSE),-100)</f>
        <v>-100</v>
      </c>
      <c r="BR67">
        <f>IF(Table2912[[#This Row],[CH4 '[ml/g']]]&lt;Z$10,_xlfn.NORM.DIST(Table2912[[#This Row],[CH4 '[ml/g']]],Z$6,Z$2,FALSE),-100)</f>
        <v>1.6622853878056648E-2</v>
      </c>
      <c r="BS67">
        <f>IF(Table2912[[#This Row],[CH4 '[% GP']]]&lt;AA$10,_xlfn.NORM.DIST(Table2912[[#This Row],[CH4 '[% GP']]],AA$6,AA$2,FALSE),-100)</f>
        <v>-100</v>
      </c>
      <c r="BT67">
        <f>IF(Table2912[[#This Row],[CH4 '[g/g DDM']]]&lt;AB$10,_xlfn.NORM.DIST(Table2912[[#This Row],[CH4 '[g/g DDM']]],AB$6,AB$2,FALSE),-100)</f>
        <v>-100</v>
      </c>
      <c r="CJ67" t="str">
        <v>Desmodium oblongum</v>
      </c>
      <c r="CL67" t="str">
        <v>Desmodium oblongum</v>
      </c>
    </row>
    <row r="68" spans="1:90" x14ac:dyDescent="0.25">
      <c r="A68" s="12" t="s">
        <v>86</v>
      </c>
      <c r="B68" s="13">
        <v>1059</v>
      </c>
      <c r="C68" s="104" t="s">
        <v>120</v>
      </c>
      <c r="D68" s="104" t="s">
        <v>121</v>
      </c>
      <c r="E68" s="104" t="s">
        <v>122</v>
      </c>
      <c r="F68" s="104" t="s">
        <v>123</v>
      </c>
      <c r="G68" s="23" t="s">
        <v>73</v>
      </c>
      <c r="H68" s="23" t="s">
        <v>74</v>
      </c>
      <c r="I68" s="105" t="s">
        <v>44</v>
      </c>
      <c r="J68" s="70">
        <v>3</v>
      </c>
      <c r="K68" s="70"/>
      <c r="L68" s="70"/>
      <c r="M68" t="s">
        <v>123</v>
      </c>
      <c r="N68" t="s">
        <v>98</v>
      </c>
      <c r="O68" s="18">
        <v>156.66059405940507</v>
      </c>
      <c r="P68" s="18">
        <v>4.9430449691794571</v>
      </c>
      <c r="Q68" s="97">
        <v>0.62309656300809591</v>
      </c>
      <c r="R68" s="97">
        <v>0.20687665638349401</v>
      </c>
      <c r="S68" s="97">
        <v>8.6320736235911161E-2</v>
      </c>
      <c r="T68" s="97">
        <v>1.9429522291570488E-2</v>
      </c>
      <c r="U68" s="97">
        <v>1.526672197403101E-3</v>
      </c>
      <c r="V68" s="97">
        <v>2.2757117573105369E-2</v>
      </c>
      <c r="W68" s="97">
        <v>3.9992732310419887E-2</v>
      </c>
      <c r="X68" s="51">
        <f t="shared" si="5"/>
        <v>7.7771563337277687</v>
      </c>
      <c r="Y68" s="18">
        <v>566.7234183735834</v>
      </c>
      <c r="Z68" s="18">
        <v>38.442833489955198</v>
      </c>
      <c r="AA68" s="18">
        <f t="shared" si="6"/>
        <v>24.538929984765556</v>
      </c>
      <c r="AB68" s="18">
        <f t="shared" si="7"/>
        <v>67.833500864108856</v>
      </c>
      <c r="AC68" s="18">
        <f>$CP$15*Table2912[[#This Row],[DMD '[mg/g']]]+$CS$15*Table2912[[#This Row],[CH4 '[ml/g']]]+$CR$15*Table2912[[#This Row],[CH4 '[% GP']]]+$CQ$15*Table2912[[#This Row],[CH4 '[g/g DDM']]]</f>
        <v>-14.226882605338879</v>
      </c>
      <c r="AD68" s="18">
        <f>_xlfn.RANK.AVG(Table2912[[#This Row],[Index]],Table2912[Index])</f>
        <v>501</v>
      </c>
      <c r="AE6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4.5292822276540639</v>
      </c>
      <c r="AF68" s="18">
        <f>Table2912[[#This Row],[CH4 '[ml/g']]]/Table2912[[#This Row],[APB]]</f>
        <v>8.4876215607051311</v>
      </c>
      <c r="AG68" s="18">
        <f>Table2912[[#This Row],[Propionate '[%']]]/Table2912[[#This Row],[Acetate '[%']]]</f>
        <v>0.33201379796538222</v>
      </c>
      <c r="AH68" s="51"/>
      <c r="AI68" s="18"/>
      <c r="AJ68" s="18"/>
      <c r="AK68" s="18">
        <f>(Table2912[[#This Row],[DMD '[mg/g']]]-$AK$15)/$AK$15*100</f>
        <v>15.589637820849198</v>
      </c>
      <c r="AL68" s="18">
        <f>(Table2912[[#This Row],[CH4 '[ml/g']]]-AL$15)/AL$15*100</f>
        <v>-2.2611861370738238</v>
      </c>
      <c r="AM68" s="18">
        <f>(Table2912[[#This Row],[CH4 '[% GP']]]-AM$15)/AM$15*100</f>
        <v>58.087686456371792</v>
      </c>
      <c r="AN68" s="18">
        <f>(Table2912[[#This Row],[CH4 '[g/g DDM']]]-AN$15)/AN$15*100</f>
        <v>32.447144976230987</v>
      </c>
      <c r="AO68" s="18"/>
      <c r="AP68" s="18"/>
      <c r="AR68">
        <f>_xlfn.NORM.DIST(Table2912[[#This Row],[GP '[ml/g']]],O$6,O$2,FALSE)</f>
        <v>1.3437478792316443E-3</v>
      </c>
      <c r="AS68">
        <f>_xlfn.NORM.DIST(Table2912[[#This Row],[SCFA '[mmol/g']]],P$6,P$2,FALSE)</f>
        <v>0.13742970482423905</v>
      </c>
      <c r="AT68">
        <f>_xlfn.NORM.DIST(Table2912[[#This Row],[Acetate '[%']]],Q$6,Q$2,FALSE)</f>
        <v>2.9859561808073889</v>
      </c>
      <c r="AU68">
        <f>_xlfn.NORM.DIST(Table2912[[#This Row],[Propionate '[%']]],R$6,R$2,FALSE)</f>
        <v>5.670318573993959</v>
      </c>
      <c r="AV68">
        <f>_xlfn.NORM.DIST(Table2912[[#This Row],[Butyrate '[%']]],S$6,S$2,FALSE)</f>
        <v>21.417200563291107</v>
      </c>
      <c r="AW68">
        <f>_xlfn.NORM.DIST(Table2912[[#This Row],[Valerate '[%']]],T$6,T$2,FALSE)</f>
        <v>72.961954198342099</v>
      </c>
      <c r="AX68">
        <f>_xlfn.NORM.DIST(Table2912[[#This Row],[Caproate '[%']]],U$6,U$2,FALSE)</f>
        <v>399.05670019048523</v>
      </c>
      <c r="AY68">
        <f>_xlfn.NORM.DIST(Table2912[[#This Row],[Isobutyrate '[%']]],V$6,V$2,FALSE)</f>
        <v>21.938189091662778</v>
      </c>
      <c r="AZ68">
        <f>_xlfn.NORM.DIST(Table2912[[#This Row],[Isovalerate '[%']]],W$6,W$2,FALSE)</f>
        <v>17.588415832594499</v>
      </c>
      <c r="BA68">
        <f>_xlfn.NORM.DIST(Table2912[[#This Row],[CH4 '[g/mmol SCFA']]],X$6,X$2,FALSE)</f>
        <v>0.15989593071513533</v>
      </c>
      <c r="BB68">
        <f>_xlfn.NORM.DIST(Table2912[[#This Row],[DMD '[mg/g']]],Y$6,Y$2,FALSE)</f>
        <v>9.0508741643828506E-4</v>
      </c>
      <c r="BC68">
        <f>_xlfn.NORM.DIST(Table2912[[#This Row],[CH4 '[ml/g']]],Z$6,Z$2,FALSE)</f>
        <v>3.2489689169331197E-2</v>
      </c>
      <c r="BD68">
        <f>_xlfn.NORM.DIST(Table2912[[#This Row],[CH4 '[% GP']]],AA$6,AA$2,FALSE)</f>
        <v>2.2528341128590034E-3</v>
      </c>
      <c r="BE68">
        <f>_xlfn.NORM.DIST(Table2912[[#This Row],[CH4 '[g/g DDM']]],AB$6,AB$2,FALSE)</f>
        <v>1.6137953993106018E-2</v>
      </c>
      <c r="BG68">
        <f>IF(Table2912[[#This Row],[GP '[ml/g']]]&lt;O$10,_xlfn.NORM.DIST(Table2912[[#This Row],[GP '[ml/g']]],O$6,O$2,FALSE),-100)</f>
        <v>1.3437478792316443E-3</v>
      </c>
      <c r="BH68">
        <f>IF(Table2912[[#This Row],[SCFA '[mmol/g']]]&lt;P$10,_xlfn.NORM.DIST(Table2912[[#This Row],[SCFA '[mmol/g']]],P$6,P$2,FALSE),-100)</f>
        <v>0.13742970482423905</v>
      </c>
      <c r="BI68">
        <f>IF(Table2912[[#This Row],[Acetate '[%']]]&lt;Q$10,_xlfn.NORM.DIST(Table2912[[#This Row],[Acetate '[%']]],Q$6,Q$2,FALSE),-100)</f>
        <v>2.9859561808073889</v>
      </c>
      <c r="BJ68">
        <f>IF(Table2912[[#This Row],[Propionate '[%']]]&lt;R$10,_xlfn.NORM.DIST(Table2912[[#This Row],[Propionate '[%']]],R$6,R$2,FALSE),-100)</f>
        <v>-100</v>
      </c>
      <c r="BK68">
        <f>IF(Table2912[[#This Row],[Butyrate '[%']]]&lt;S$10,_xlfn.NORM.DIST(Table2912[[#This Row],[Butyrate '[%']]],S$6,S$2,FALSE),-100)</f>
        <v>-100</v>
      </c>
      <c r="BL68">
        <f>IF(Table2912[[#This Row],[Valerate '[%']]]&lt;T$10,_xlfn.NORM.DIST(Table2912[[#This Row],[Valerate '[%']]],T$6,T$2,FALSE),-100)</f>
        <v>-100</v>
      </c>
      <c r="BM68">
        <f>IF(Table2912[[#This Row],[Caproate '[%']]]&lt;U$10,_xlfn.NORM.DIST(Table2912[[#This Row],[Caproate '[%']]],U$6,U$2,FALSE),-100)</f>
        <v>-100</v>
      </c>
      <c r="BN68">
        <f>IF(Table2912[[#This Row],[Isobutyrate '[%']]]&lt;V$10,_xlfn.NORM.DIST(Table2912[[#This Row],[Isobutyrate '[%']]],V$6,V$2,FALSE),-100)</f>
        <v>-100</v>
      </c>
      <c r="BO68">
        <f>IF(Table2912[[#This Row],[Isovalerate '[%']]]&lt;W$10,_xlfn.NORM.DIST(Table2912[[#This Row],[Isovalerate '[%']]],W$6,W$2,FALSE),-100)</f>
        <v>-100</v>
      </c>
      <c r="BP68">
        <f>IF(Table2912[[#This Row],[CH4 '[g/mmol SCFA']]]&lt;X$10,_xlfn.NORM.DIST(Table2912[[#This Row],[CH4 '[g/mmol SCFA']]],X$6,X$2,FALSE),-100)</f>
        <v>-100</v>
      </c>
      <c r="BQ68">
        <f>IF(Table2912[[#This Row],[DMD '[mg/g']]]&gt;Y$10,_xlfn.NORM.DIST(Table2912[[#This Row],[DMD '[mg/g']]],Y$6,Y$2,FALSE),-100)</f>
        <v>-100</v>
      </c>
      <c r="BR68">
        <f>IF(Table2912[[#This Row],[CH4 '[ml/g']]]&lt;Z$10,_xlfn.NORM.DIST(Table2912[[#This Row],[CH4 '[ml/g']]],Z$6,Z$2,FALSE),-100)</f>
        <v>-100</v>
      </c>
      <c r="BS68">
        <f>IF(Table2912[[#This Row],[CH4 '[% GP']]]&lt;AA$10,_xlfn.NORM.DIST(Table2912[[#This Row],[CH4 '[% GP']]],AA$6,AA$2,FALSE),-100)</f>
        <v>-100</v>
      </c>
      <c r="BT68">
        <f>IF(Table2912[[#This Row],[CH4 '[g/g DDM']]]&lt;AB$10,_xlfn.NORM.DIST(Table2912[[#This Row],[CH4 '[g/g DDM']]],AB$6,AB$2,FALSE),-100)</f>
        <v>-100</v>
      </c>
      <c r="CJ68" t="str">
        <v>Medicago Sativa-065</v>
      </c>
      <c r="CL68" t="str">
        <v>Medicago Sativa-065</v>
      </c>
    </row>
    <row r="69" spans="1:90" ht="15" customHeight="1" x14ac:dyDescent="0.25">
      <c r="A69" s="12" t="s">
        <v>86</v>
      </c>
      <c r="B69" s="13">
        <v>1092</v>
      </c>
      <c r="C69" s="104" t="s">
        <v>139</v>
      </c>
      <c r="D69" s="104" t="s">
        <v>140</v>
      </c>
      <c r="E69" s="104" t="s">
        <v>141</v>
      </c>
      <c r="F69" s="104" t="s">
        <v>142</v>
      </c>
      <c r="G69" s="23" t="s">
        <v>143</v>
      </c>
      <c r="H69" s="23" t="s">
        <v>144</v>
      </c>
      <c r="I69" s="32" t="s">
        <v>52</v>
      </c>
      <c r="J69" s="100">
        <v>3</v>
      </c>
      <c r="K69" s="100"/>
      <c r="L69" s="100"/>
      <c r="M69" t="s">
        <v>142</v>
      </c>
      <c r="N69" t="s">
        <v>99</v>
      </c>
      <c r="O69" s="18">
        <v>217.58268426842574</v>
      </c>
      <c r="P69" s="18">
        <v>5.0948086934677725</v>
      </c>
      <c r="Q69" s="97">
        <v>0.67201731512489504</v>
      </c>
      <c r="R69" s="97">
        <v>0.18372836411471016</v>
      </c>
      <c r="S69" s="97">
        <v>8.4969605971992268E-2</v>
      </c>
      <c r="T69" s="97">
        <v>1.4710243327662315E-2</v>
      </c>
      <c r="U69" s="97">
        <v>1.1067112252626037E-3</v>
      </c>
      <c r="V69" s="97">
        <v>1.6159804199784036E-2</v>
      </c>
      <c r="W69" s="97">
        <v>2.7307956035693408E-2</v>
      </c>
      <c r="X69" s="51">
        <f t="shared" si="5"/>
        <v>8.083477072315441</v>
      </c>
      <c r="Y69" s="18">
        <v>567.13226440754283</v>
      </c>
      <c r="Z69" s="18">
        <v>41.18376926148013</v>
      </c>
      <c r="AA69" s="18">
        <f t="shared" si="6"/>
        <v>18.927870754031538</v>
      </c>
      <c r="AB69" s="18">
        <f t="shared" si="7"/>
        <v>72.617574146487556</v>
      </c>
      <c r="AC69" s="18">
        <f>$CP$15*Table2912[[#This Row],[DMD '[mg/g']]]+$CS$15*Table2912[[#This Row],[CH4 '[ml/g']]]+$CR$15*Table2912[[#This Row],[CH4 '[% GP']]]+$CQ$15*Table2912[[#This Row],[CH4 '[g/g DDM']]]</f>
        <v>-15.124626492880701</v>
      </c>
      <c r="AD69" s="18">
        <f>_xlfn.RANK.AVG(Table2912[[#This Row],[Index]],Table2912[Index])</f>
        <v>503</v>
      </c>
      <c r="AE6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4.7927644131740621</v>
      </c>
      <c r="AF69" s="18">
        <f>Table2912[[#This Row],[CH4 '[ml/g']]]/Table2912[[#This Row],[APB]]</f>
        <v>8.5929049940941535</v>
      </c>
      <c r="AG69" s="18">
        <f>Table2912[[#This Row],[Propionate '[%']]]/Table2912[[#This Row],[Acetate '[%']]]</f>
        <v>0.2733982592108718</v>
      </c>
      <c r="AH69" s="51"/>
      <c r="AI69" s="18"/>
      <c r="AJ69" s="18"/>
      <c r="AK69" s="18">
        <f>(Table2912[[#This Row],[DMD '[mg/g']]]-$AK$15)/$AK$15*100</f>
        <v>15.673026584146621</v>
      </c>
      <c r="AL69" s="18">
        <f>(Table2912[[#This Row],[CH4 '[ml/g']]]-AL$15)/AL$15*100</f>
        <v>4.7074940267676428</v>
      </c>
      <c r="AM69" s="18">
        <f>(Table2912[[#This Row],[CH4 '[% GP']]]-AM$15)/AM$15*100</f>
        <v>21.939436597591939</v>
      </c>
      <c r="AN69" s="18">
        <f>(Table2912[[#This Row],[CH4 '[g/g DDM']]]-AN$15)/AN$15*100</f>
        <v>41.78820565475165</v>
      </c>
      <c r="AO69" s="18"/>
      <c r="AP69" s="18"/>
      <c r="AR69">
        <f>_xlfn.NORM.DIST(Table2912[[#This Row],[GP '[ml/g']]],O$6,O$2,FALSE)</f>
        <v>5.8103860481195325E-3</v>
      </c>
      <c r="AS69">
        <f>_xlfn.NORM.DIST(Table2912[[#This Row],[SCFA '[mmol/g']]],P$6,P$2,FALSE)</f>
        <v>0.16132734525478432</v>
      </c>
      <c r="AT69">
        <f>_xlfn.NORM.DIST(Table2912[[#This Row],[Acetate '[%']]],Q$6,Q$2,FALSE)</f>
        <v>14.016266367242148</v>
      </c>
      <c r="AU69">
        <f>_xlfn.NORM.DIST(Table2912[[#This Row],[Propionate '[%']]],R$6,R$2,FALSE)</f>
        <v>14.823908438525972</v>
      </c>
      <c r="AV69">
        <f>_xlfn.NORM.DIST(Table2912[[#This Row],[Butyrate '[%']]],S$6,S$2,FALSE)</f>
        <v>20.726856242077751</v>
      </c>
      <c r="AW69">
        <f>_xlfn.NORM.DIST(Table2912[[#This Row],[Valerate '[%']]],T$6,T$2,FALSE)</f>
        <v>65.712734470134009</v>
      </c>
      <c r="AX69">
        <f>_xlfn.NORM.DIST(Table2912[[#This Row],[Caproate '[%']]],U$6,U$2,FALSE)</f>
        <v>396.21269159208555</v>
      </c>
      <c r="AY69">
        <f>_xlfn.NORM.DIST(Table2912[[#This Row],[Isobutyrate '[%']]],V$6,V$2,FALSE)</f>
        <v>88.540187533809473</v>
      </c>
      <c r="AZ69">
        <f>_xlfn.NORM.DIST(Table2912[[#This Row],[Isovalerate '[%']]],W$6,W$2,FALSE)</f>
        <v>45.328462930990803</v>
      </c>
      <c r="BA69">
        <f>_xlfn.NORM.DIST(Table2912[[#This Row],[CH4 '[g/mmol SCFA']]],X$6,X$2,FALSE)</f>
        <v>0.12078849509118933</v>
      </c>
      <c r="BB69">
        <f>_xlfn.NORM.DIST(Table2912[[#This Row],[DMD '[mg/g']]],Y$6,Y$2,FALSE)</f>
        <v>9.0923030585437906E-4</v>
      </c>
      <c r="BC69">
        <f>_xlfn.NORM.DIST(Table2912[[#This Row],[CH4 '[ml/g']]],Z$6,Z$2,FALSE)</f>
        <v>3.3500598014929196E-2</v>
      </c>
      <c r="BD69">
        <f>_xlfn.NORM.DIST(Table2912[[#This Row],[CH4 '[% GP']]],AA$6,AA$2,FALSE)</f>
        <v>8.4516028523741307E-2</v>
      </c>
      <c r="BE69">
        <f>_xlfn.NORM.DIST(Table2912[[#This Row],[CH4 '[g/g DDM']]],AB$6,AB$2,FALSE)</f>
        <v>9.335615933500652E-3</v>
      </c>
      <c r="BG69">
        <f>IF(Table2912[[#This Row],[GP '[ml/g']]]&lt;O$10,_xlfn.NORM.DIST(Table2912[[#This Row],[GP '[ml/g']]],O$6,O$2,FALSE),-100)</f>
        <v>-100</v>
      </c>
      <c r="BH69">
        <f>IF(Table2912[[#This Row],[SCFA '[mmol/g']]]&lt;P$10,_xlfn.NORM.DIST(Table2912[[#This Row],[SCFA '[mmol/g']]],P$6,P$2,FALSE),-100)</f>
        <v>0.16132734525478432</v>
      </c>
      <c r="BI69">
        <f>IF(Table2912[[#This Row],[Acetate '[%']]]&lt;Q$10,_xlfn.NORM.DIST(Table2912[[#This Row],[Acetate '[%']]],Q$6,Q$2,FALSE),-100)</f>
        <v>-100</v>
      </c>
      <c r="BJ69">
        <f>IF(Table2912[[#This Row],[Propionate '[%']]]&lt;R$10,_xlfn.NORM.DIST(Table2912[[#This Row],[Propionate '[%']]],R$6,R$2,FALSE),-100)</f>
        <v>-100</v>
      </c>
      <c r="BK69">
        <f>IF(Table2912[[#This Row],[Butyrate '[%']]]&lt;S$10,_xlfn.NORM.DIST(Table2912[[#This Row],[Butyrate '[%']]],S$6,S$2,FALSE),-100)</f>
        <v>-100</v>
      </c>
      <c r="BL69">
        <f>IF(Table2912[[#This Row],[Valerate '[%']]]&lt;T$10,_xlfn.NORM.DIST(Table2912[[#This Row],[Valerate '[%']]],T$6,T$2,FALSE),-100)</f>
        <v>-100</v>
      </c>
      <c r="BM69">
        <f>IF(Table2912[[#This Row],[Caproate '[%']]]&lt;U$10,_xlfn.NORM.DIST(Table2912[[#This Row],[Caproate '[%']]],U$6,U$2,FALSE),-100)</f>
        <v>-100</v>
      </c>
      <c r="BN69">
        <f>IF(Table2912[[#This Row],[Isobutyrate '[%']]]&lt;V$10,_xlfn.NORM.DIST(Table2912[[#This Row],[Isobutyrate '[%']]],V$6,V$2,FALSE),-100)</f>
        <v>-100</v>
      </c>
      <c r="BO69">
        <f>IF(Table2912[[#This Row],[Isovalerate '[%']]]&lt;W$10,_xlfn.NORM.DIST(Table2912[[#This Row],[Isovalerate '[%']]],W$6,W$2,FALSE),-100)</f>
        <v>-100</v>
      </c>
      <c r="BP69">
        <f>IF(Table2912[[#This Row],[CH4 '[g/mmol SCFA']]]&lt;X$10,_xlfn.NORM.DIST(Table2912[[#This Row],[CH4 '[g/mmol SCFA']]],X$6,X$2,FALSE),-100)</f>
        <v>-100</v>
      </c>
      <c r="BQ69">
        <f>IF(Table2912[[#This Row],[DMD '[mg/g']]]&gt;Y$10,_xlfn.NORM.DIST(Table2912[[#This Row],[DMD '[mg/g']]],Y$6,Y$2,FALSE),-100)</f>
        <v>-100</v>
      </c>
      <c r="BR69">
        <f>IF(Table2912[[#This Row],[CH4 '[ml/g']]]&lt;Z$10,_xlfn.NORM.DIST(Table2912[[#This Row],[CH4 '[ml/g']]],Z$6,Z$2,FALSE),-100)</f>
        <v>-100</v>
      </c>
      <c r="BS69">
        <f>IF(Table2912[[#This Row],[CH4 '[% GP']]]&lt;AA$10,_xlfn.NORM.DIST(Table2912[[#This Row],[CH4 '[% GP']]],AA$6,AA$2,FALSE),-100)</f>
        <v>-100</v>
      </c>
      <c r="BT69">
        <f>IF(Table2912[[#This Row],[CH4 '[g/g DDM']]]&lt;AB$10,_xlfn.NORM.DIST(Table2912[[#This Row],[CH4 '[g/g DDM']]],AB$6,AB$2,FALSE),-100)</f>
        <v>-100</v>
      </c>
      <c r="CJ69" t="str">
        <v>Medicago Sativa-095</v>
      </c>
      <c r="CL69" t="str">
        <v>Medicago Sativa-095</v>
      </c>
    </row>
    <row r="70" spans="1:90" ht="15" customHeight="1" x14ac:dyDescent="0.25">
      <c r="A70" s="12" t="s">
        <v>86</v>
      </c>
      <c r="B70" s="13">
        <v>1063</v>
      </c>
      <c r="C70" s="32">
        <v>21083</v>
      </c>
      <c r="D70" t="s">
        <v>96</v>
      </c>
      <c r="E70" t="s">
        <v>97</v>
      </c>
      <c r="F70" t="s">
        <v>83</v>
      </c>
      <c r="G70" s="23" t="s">
        <v>73</v>
      </c>
      <c r="H70" s="23" t="s">
        <v>74</v>
      </c>
      <c r="I70" s="105" t="s">
        <v>48</v>
      </c>
      <c r="J70" s="70">
        <v>2</v>
      </c>
      <c r="K70" s="70"/>
      <c r="L70" s="70"/>
      <c r="M70" t="s">
        <v>83</v>
      </c>
      <c r="N70" t="s">
        <v>145</v>
      </c>
      <c r="O70" s="18">
        <v>147.85811965811965</v>
      </c>
      <c r="P70" s="18">
        <v>3.6332231887702315</v>
      </c>
      <c r="Q70" s="97">
        <v>0.62916970471594169</v>
      </c>
      <c r="R70" s="97">
        <v>0.16598971726427031</v>
      </c>
      <c r="S70" s="97">
        <v>0.10776354246062919</v>
      </c>
      <c r="T70" s="97">
        <v>2.7928783311149234E-2</v>
      </c>
      <c r="U70" s="97">
        <v>1.0609360476939375E-3</v>
      </c>
      <c r="V70" s="97">
        <v>2.1625205883647729E-2</v>
      </c>
      <c r="W70" s="97">
        <v>4.6462110316667804E-2</v>
      </c>
      <c r="X70" s="51">
        <f t="shared" si="5"/>
        <v>7.9381686774088038</v>
      </c>
      <c r="Y70" s="18">
        <v>571.00329778846481</v>
      </c>
      <c r="Z70" s="18">
        <v>28.841138515131185</v>
      </c>
      <c r="AA70" s="18">
        <f t="shared" si="6"/>
        <v>19.505955156076794</v>
      </c>
      <c r="AB70" s="18">
        <f t="shared" si="7"/>
        <v>50.509583091437307</v>
      </c>
      <c r="AC70" s="18">
        <f>$CP$15*Table2912[[#This Row],[DMD '[mg/g']]]+$CS$15*Table2912[[#This Row],[CH4 '[ml/g']]]+$CR$15*Table2912[[#This Row],[CH4 '[% GP']]]+$CQ$15*Table2912[[#This Row],[CH4 '[g/g DDM']]]</f>
        <v>-2.8575127153745115</v>
      </c>
      <c r="AD70" s="18">
        <f>_xlfn.RANK.AVG(Table2912[[#This Row],[Index]],Table2912[Index])</f>
        <v>460</v>
      </c>
      <c r="AE7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3.2805206520796233</v>
      </c>
      <c r="AF70" s="18">
        <f>Table2912[[#This Row],[CH4 '[ml/g']]]/Table2912[[#This Row],[APB]]</f>
        <v>8.791634491570079</v>
      </c>
      <c r="AG70" s="18">
        <f>Table2912[[#This Row],[Propionate '[%']]]/Table2912[[#This Row],[Acetate '[%']]]</f>
        <v>0.26382344226064025</v>
      </c>
      <c r="AH70" s="51"/>
      <c r="AI70" s="18"/>
      <c r="AJ70" s="18"/>
      <c r="AK70" s="18">
        <f>(Table2912[[#This Row],[DMD '[mg/g']]]-$AK$15)/$AK$15*100</f>
        <v>16.462567534787606</v>
      </c>
      <c r="AL70" s="18">
        <f>(Table2912[[#This Row],[CH4 '[ml/g']]]-AL$15)/AL$15*100</f>
        <v>-26.672973529335881</v>
      </c>
      <c r="AM70" s="18">
        <f>(Table2912[[#This Row],[CH4 '[% GP']]]-AM$15)/AM$15*100</f>
        <v>25.663642410664718</v>
      </c>
      <c r="AN70" s="18">
        <f>(Table2912[[#This Row],[CH4 '[g/g DDM']]]-AN$15)/AN$15*100</f>
        <v>-1.3783751512046005</v>
      </c>
      <c r="AO70" s="18"/>
      <c r="AP70" s="18"/>
      <c r="AR70">
        <f>_xlfn.NORM.DIST(Table2912[[#This Row],[GP '[ml/g']]],O$6,O$2,FALSE)</f>
        <v>9.7631467363245553E-4</v>
      </c>
      <c r="AS70">
        <f>_xlfn.NORM.DIST(Table2912[[#This Row],[SCFA '[mmol/g']]],P$6,P$2,FALSE)</f>
        <v>1.769927763027368E-2</v>
      </c>
      <c r="AT70">
        <f>_xlfn.NORM.DIST(Table2912[[#This Row],[Acetate '[%']]],Q$6,Q$2,FALSE)</f>
        <v>4.2491901552886464</v>
      </c>
      <c r="AU70">
        <f>_xlfn.NORM.DIST(Table2912[[#This Row],[Propionate '[%']]],R$6,R$2,FALSE)</f>
        <v>16.285043841953303</v>
      </c>
      <c r="AV70">
        <f>_xlfn.NORM.DIST(Table2912[[#This Row],[Butyrate '[%']]],S$6,S$2,FALSE)</f>
        <v>15.954871398016294</v>
      </c>
      <c r="AW70">
        <f>_xlfn.NORM.DIST(Table2912[[#This Row],[Valerate '[%']]],T$6,T$2,FALSE)</f>
        <v>10.635687598616665</v>
      </c>
      <c r="AX70">
        <f>_xlfn.NORM.DIST(Table2912[[#This Row],[Caproate '[%']]],U$6,U$2,FALSE)</f>
        <v>391.53766605014954</v>
      </c>
      <c r="AY70">
        <f>_xlfn.NORM.DIST(Table2912[[#This Row],[Isobutyrate '[%']]],V$6,V$2,FALSE)</f>
        <v>32.641627511115587</v>
      </c>
      <c r="AZ70">
        <f>_xlfn.NORM.DIST(Table2912[[#This Row],[Isovalerate '[%']]],W$6,W$2,FALSE)</f>
        <v>4.8596459989168972</v>
      </c>
      <c r="BA70">
        <f>_xlfn.NORM.DIST(Table2912[[#This Row],[CH4 '[g/mmol SCFA']]],X$6,X$2,FALSE)</f>
        <v>0.13887771422602535</v>
      </c>
      <c r="BB70">
        <f>_xlfn.NORM.DIST(Table2912[[#This Row],[DMD '[mg/g']]],Y$6,Y$2,FALSE)</f>
        <v>9.48987905181032E-4</v>
      </c>
      <c r="BC70">
        <f>_xlfn.NORM.DIST(Table2912[[#This Row],[CH4 '[ml/g']]],Z$6,Z$2,FALSE)</f>
        <v>1.9213456280163035E-2</v>
      </c>
      <c r="BD70">
        <f>_xlfn.NORM.DIST(Table2912[[#This Row],[CH4 '[% GP']]],AA$6,AA$2,FALSE)</f>
        <v>6.8674905804427838E-2</v>
      </c>
      <c r="BE70">
        <f>_xlfn.NORM.DIST(Table2912[[#This Row],[CH4 '[g/g DDM']]],AB$6,AB$2,FALSE)</f>
        <v>3.1963059592715531E-2</v>
      </c>
      <c r="BG70">
        <f>IF(Table2912[[#This Row],[GP '[ml/g']]]&lt;O$10,_xlfn.NORM.DIST(Table2912[[#This Row],[GP '[ml/g']]],O$6,O$2,FALSE),-100)</f>
        <v>9.7631467363245553E-4</v>
      </c>
      <c r="BH70">
        <f>IF(Table2912[[#This Row],[SCFA '[mmol/g']]]&lt;P$10,_xlfn.NORM.DIST(Table2912[[#This Row],[SCFA '[mmol/g']]],P$6,P$2,FALSE),-100)</f>
        <v>1.769927763027368E-2</v>
      </c>
      <c r="BI70">
        <f>IF(Table2912[[#This Row],[Acetate '[%']]]&lt;Q$10,_xlfn.NORM.DIST(Table2912[[#This Row],[Acetate '[%']]],Q$6,Q$2,FALSE),-100)</f>
        <v>4.2491901552886464</v>
      </c>
      <c r="BJ70">
        <f>IF(Table2912[[#This Row],[Propionate '[%']]]&lt;R$10,_xlfn.NORM.DIST(Table2912[[#This Row],[Propionate '[%']]],R$6,R$2,FALSE),-100)</f>
        <v>-100</v>
      </c>
      <c r="BK70">
        <f>IF(Table2912[[#This Row],[Butyrate '[%']]]&lt;S$10,_xlfn.NORM.DIST(Table2912[[#This Row],[Butyrate '[%']]],S$6,S$2,FALSE),-100)</f>
        <v>-100</v>
      </c>
      <c r="BL70">
        <f>IF(Table2912[[#This Row],[Valerate '[%']]]&lt;T$10,_xlfn.NORM.DIST(Table2912[[#This Row],[Valerate '[%']]],T$6,T$2,FALSE),-100)</f>
        <v>-100</v>
      </c>
      <c r="BM70">
        <f>IF(Table2912[[#This Row],[Caproate '[%']]]&lt;U$10,_xlfn.NORM.DIST(Table2912[[#This Row],[Caproate '[%']]],U$6,U$2,FALSE),-100)</f>
        <v>-100</v>
      </c>
      <c r="BN70">
        <f>IF(Table2912[[#This Row],[Isobutyrate '[%']]]&lt;V$10,_xlfn.NORM.DIST(Table2912[[#This Row],[Isobutyrate '[%']]],V$6,V$2,FALSE),-100)</f>
        <v>-100</v>
      </c>
      <c r="BO70">
        <f>IF(Table2912[[#This Row],[Isovalerate '[%']]]&lt;W$10,_xlfn.NORM.DIST(Table2912[[#This Row],[Isovalerate '[%']]],W$6,W$2,FALSE),-100)</f>
        <v>-100</v>
      </c>
      <c r="BP70">
        <f>IF(Table2912[[#This Row],[CH4 '[g/mmol SCFA']]]&lt;X$10,_xlfn.NORM.DIST(Table2912[[#This Row],[CH4 '[g/mmol SCFA']]],X$6,X$2,FALSE),-100)</f>
        <v>-100</v>
      </c>
      <c r="BQ70">
        <f>IF(Table2912[[#This Row],[DMD '[mg/g']]]&gt;Y$10,_xlfn.NORM.DIST(Table2912[[#This Row],[DMD '[mg/g']]],Y$6,Y$2,FALSE),-100)</f>
        <v>-100</v>
      </c>
      <c r="BR70">
        <f>IF(Table2912[[#This Row],[CH4 '[ml/g']]]&lt;Z$10,_xlfn.NORM.DIST(Table2912[[#This Row],[CH4 '[ml/g']]],Z$6,Z$2,FALSE),-100)</f>
        <v>1.9213456280163035E-2</v>
      </c>
      <c r="BS70">
        <f>IF(Table2912[[#This Row],[CH4 '[% GP']]]&lt;AA$10,_xlfn.NORM.DIST(Table2912[[#This Row],[CH4 '[% GP']]],AA$6,AA$2,FALSE),-100)</f>
        <v>-100</v>
      </c>
      <c r="BT70">
        <f>IF(Table2912[[#This Row],[CH4 '[g/g DDM']]]&lt;AB$10,_xlfn.NORM.DIST(Table2912[[#This Row],[CH4 '[g/g DDM']]],AB$6,AB$2,FALSE),-100)</f>
        <v>-100</v>
      </c>
      <c r="CJ70" t="str">
        <v xml:space="preserve">Sesbania sesban var. bicolor  </v>
      </c>
      <c r="CL70" t="str">
        <v xml:space="preserve">Sesbania sesban var. bicolor  </v>
      </c>
    </row>
    <row r="71" spans="1:90" x14ac:dyDescent="0.25">
      <c r="A71" s="12" t="s">
        <v>70</v>
      </c>
      <c r="B71" s="13">
        <v>1028</v>
      </c>
      <c r="C71" s="96" t="s">
        <v>129</v>
      </c>
      <c r="D71" s="96"/>
      <c r="E71" s="96"/>
      <c r="F71" s="96" t="s">
        <v>130</v>
      </c>
      <c r="G71" s="15" t="s">
        <v>73</v>
      </c>
      <c r="H71" s="15" t="s">
        <v>74</v>
      </c>
      <c r="I71" s="99" t="s">
        <v>79</v>
      </c>
      <c r="J71" s="70">
        <v>1</v>
      </c>
      <c r="K71" s="70"/>
      <c r="L71" s="70"/>
      <c r="M71" t="s">
        <v>130</v>
      </c>
      <c r="N71" t="s">
        <v>80</v>
      </c>
      <c r="O71" s="18">
        <v>170.76432980599708</v>
      </c>
      <c r="P71" s="18">
        <v>4.456560881693683</v>
      </c>
      <c r="Q71" s="97">
        <v>0.66762475896488283</v>
      </c>
      <c r="R71" s="97">
        <v>0.15752426678464132</v>
      </c>
      <c r="S71" s="97">
        <v>0.10457731960094252</v>
      </c>
      <c r="T71" s="97">
        <v>1.7905751364174514E-2</v>
      </c>
      <c r="U71" s="97">
        <v>1.4613603395978478E-3</v>
      </c>
      <c r="V71" s="97">
        <v>1.7526144884520839E-2</v>
      </c>
      <c r="W71" s="97">
        <v>3.3380398061240074E-2</v>
      </c>
      <c r="X71" s="51">
        <f t="shared" si="5"/>
        <v>4.7928079346458228</v>
      </c>
      <c r="Y71" s="18">
        <v>573.83956238537905</v>
      </c>
      <c r="Z71" s="18">
        <v>21.359440355013668</v>
      </c>
      <c r="AA71" s="18">
        <f t="shared" si="6"/>
        <v>12.508139363343517</v>
      </c>
      <c r="AB71" s="18">
        <f t="shared" si="7"/>
        <v>37.221972403270968</v>
      </c>
      <c r="AC71" s="18">
        <f>$CP$15*Table2912[[#This Row],[DMD '[mg/g']]]+$CS$15*Table2912[[#This Row],[CH4 '[ml/g']]]+$CR$15*Table2912[[#This Row],[CH4 '[% GP']]]+$CQ$15*Table2912[[#This Row],[CH4 '[g/g DDM']]]</f>
        <v>6.7128746496557596</v>
      </c>
      <c r="AD71" s="18">
        <f>_xlfn.RANK.AVG(Table2912[[#This Row],[Index]],Table2912[Index])</f>
        <v>387</v>
      </c>
      <c r="AE7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4.1433820613689214</v>
      </c>
      <c r="AF71" s="18">
        <f>Table2912[[#This Row],[CH4 '[ml/g']]]/Table2912[[#This Row],[APB]]</f>
        <v>5.1550738113580516</v>
      </c>
      <c r="AG71" s="18">
        <f>Table2912[[#This Row],[Propionate '[%']]]/Table2912[[#This Row],[Acetate '[%']]]</f>
        <v>0.23594731122445853</v>
      </c>
      <c r="AH71" s="51"/>
      <c r="AI71" s="18"/>
      <c r="AJ71" s="18"/>
      <c r="AK71" s="18">
        <f>(Table2912[[#This Row],[DMD '[mg/g']]]-$AK$15)/$AK$15*100</f>
        <v>17.041055712428612</v>
      </c>
      <c r="AL71" s="18">
        <f>(Table2912[[#This Row],[CH4 '[ml/g']]]-AL$15)/AL$15*100</f>
        <v>-45.694784292618813</v>
      </c>
      <c r="AM71" s="18">
        <f>(Table2912[[#This Row],[CH4 '[% GP']]]-AM$15)/AM$15*100</f>
        <v>-19.418539640788513</v>
      </c>
      <c r="AN71" s="18">
        <f>(Table2912[[#This Row],[CH4 '[g/g DDM']]]-AN$15)/AN$15*100</f>
        <v>-27.322872734027442</v>
      </c>
      <c r="AO71" s="18"/>
      <c r="AP71" s="18"/>
      <c r="AR71">
        <f>_xlfn.NORM.DIST(Table2912[[#This Row],[GP '[ml/g']]],O$6,O$2,FALSE)</f>
        <v>2.1180359444136214E-3</v>
      </c>
      <c r="AS71">
        <f>_xlfn.NORM.DIST(Table2912[[#This Row],[SCFA '[mmol/g']]],P$6,P$2,FALSE)</f>
        <v>7.3787596518158652E-2</v>
      </c>
      <c r="AT71">
        <f>_xlfn.NORM.DIST(Table2912[[#This Row],[Acetate '[%']]],Q$6,Q$2,FALSE)</f>
        <v>13.767041331978717</v>
      </c>
      <c r="AU71">
        <f>_xlfn.NORM.DIST(Table2912[[#This Row],[Propionate '[%']]],R$6,R$2,FALSE)</f>
        <v>13.993963185818908</v>
      </c>
      <c r="AV71">
        <f>_xlfn.NORM.DIST(Table2912[[#This Row],[Butyrate '[%']]],S$6,S$2,FALSE)</f>
        <v>18.364858453272664</v>
      </c>
      <c r="AW71">
        <f>_xlfn.NORM.DIST(Table2912[[#This Row],[Valerate '[%']]],T$6,T$2,FALSE)</f>
        <v>77.306658233268891</v>
      </c>
      <c r="AX71">
        <f>_xlfn.NORM.DIST(Table2912[[#This Row],[Caproate '[%']]],U$6,U$2,FALSE)</f>
        <v>403.44495777543989</v>
      </c>
      <c r="AY71">
        <f>_xlfn.NORM.DIST(Table2912[[#This Row],[Isobutyrate '[%']]],V$6,V$2,FALSE)</f>
        <v>79.600003383062159</v>
      </c>
      <c r="AZ71">
        <f>_xlfn.NORM.DIST(Table2912[[#This Row],[Isovalerate '[%']]],W$6,W$2,FALSE)</f>
        <v>37.377948186220657</v>
      </c>
      <c r="BA71">
        <f>_xlfn.NORM.DIST(Table2912[[#This Row],[CH4 '[g/mmol SCFA']]],X$6,X$2,FALSE)</f>
        <v>0.16049215961622715</v>
      </c>
      <c r="BB71">
        <f>_xlfn.NORM.DIST(Table2912[[#This Row],[DMD '[mg/g']]],Y$6,Y$2,FALSE)</f>
        <v>9.7871962890148457E-4</v>
      </c>
      <c r="BC71">
        <f>_xlfn.NORM.DIST(Table2912[[#This Row],[CH4 '[ml/g']]],Z$6,Z$2,FALSE)</f>
        <v>8.1294975161664753E-3</v>
      </c>
      <c r="BD71">
        <f>_xlfn.NORM.DIST(Table2912[[#This Row],[CH4 '[% GP']]],AA$6,AA$2,FALSE)</f>
        <v>6.5400401095829827E-2</v>
      </c>
      <c r="BE71">
        <f>_xlfn.NORM.DIST(Table2912[[#This Row],[CH4 '[g/g DDM']]],AB$6,AB$2,FALSE)</f>
        <v>1.3593867598334131E-2</v>
      </c>
      <c r="BG71">
        <f>IF(Table2912[[#This Row],[GP '[ml/g']]]&lt;O$10,_xlfn.NORM.DIST(Table2912[[#This Row],[GP '[ml/g']]],O$6,O$2,FALSE),-100)</f>
        <v>2.1180359444136214E-3</v>
      </c>
      <c r="BH71">
        <f>IF(Table2912[[#This Row],[SCFA '[mmol/g']]]&lt;P$10,_xlfn.NORM.DIST(Table2912[[#This Row],[SCFA '[mmol/g']]],P$6,P$2,FALSE),-100)</f>
        <v>7.3787596518158652E-2</v>
      </c>
      <c r="BI71">
        <f>IF(Table2912[[#This Row],[Acetate '[%']]]&lt;Q$10,_xlfn.NORM.DIST(Table2912[[#This Row],[Acetate '[%']]],Q$6,Q$2,FALSE),-100)</f>
        <v>-100</v>
      </c>
      <c r="BJ71">
        <f>IF(Table2912[[#This Row],[Propionate '[%']]]&lt;R$10,_xlfn.NORM.DIST(Table2912[[#This Row],[Propionate '[%']]],R$6,R$2,FALSE),-100)</f>
        <v>-100</v>
      </c>
      <c r="BK71">
        <f>IF(Table2912[[#This Row],[Butyrate '[%']]]&lt;S$10,_xlfn.NORM.DIST(Table2912[[#This Row],[Butyrate '[%']]],S$6,S$2,FALSE),-100)</f>
        <v>-100</v>
      </c>
      <c r="BL71">
        <f>IF(Table2912[[#This Row],[Valerate '[%']]]&lt;T$10,_xlfn.NORM.DIST(Table2912[[#This Row],[Valerate '[%']]],T$6,T$2,FALSE),-100)</f>
        <v>-100</v>
      </c>
      <c r="BM71">
        <f>IF(Table2912[[#This Row],[Caproate '[%']]]&lt;U$10,_xlfn.NORM.DIST(Table2912[[#This Row],[Caproate '[%']]],U$6,U$2,FALSE),-100)</f>
        <v>-100</v>
      </c>
      <c r="BN71">
        <f>IF(Table2912[[#This Row],[Isobutyrate '[%']]]&lt;V$10,_xlfn.NORM.DIST(Table2912[[#This Row],[Isobutyrate '[%']]],V$6,V$2,FALSE),-100)</f>
        <v>-100</v>
      </c>
      <c r="BO71">
        <f>IF(Table2912[[#This Row],[Isovalerate '[%']]]&lt;W$10,_xlfn.NORM.DIST(Table2912[[#This Row],[Isovalerate '[%']]],W$6,W$2,FALSE),-100)</f>
        <v>-100</v>
      </c>
      <c r="BP71">
        <f>IF(Table2912[[#This Row],[CH4 '[g/mmol SCFA']]]&lt;X$10,_xlfn.NORM.DIST(Table2912[[#This Row],[CH4 '[g/mmol SCFA']]],X$6,X$2,FALSE),-100)</f>
        <v>0.16049215961622715</v>
      </c>
      <c r="BQ71">
        <f>IF(Table2912[[#This Row],[DMD '[mg/g']]]&gt;Y$10,_xlfn.NORM.DIST(Table2912[[#This Row],[DMD '[mg/g']]],Y$6,Y$2,FALSE),-100)</f>
        <v>-100</v>
      </c>
      <c r="BR71">
        <f>IF(Table2912[[#This Row],[CH4 '[ml/g']]]&lt;Z$10,_xlfn.NORM.DIST(Table2912[[#This Row],[CH4 '[ml/g']]],Z$6,Z$2,FALSE),-100)</f>
        <v>8.1294975161664753E-3</v>
      </c>
      <c r="BS71">
        <f>IF(Table2912[[#This Row],[CH4 '[% GP']]]&lt;AA$10,_xlfn.NORM.DIST(Table2912[[#This Row],[CH4 '[% GP']]],AA$6,AA$2,FALSE),-100)</f>
        <v>-100</v>
      </c>
      <c r="BT71">
        <f>IF(Table2912[[#This Row],[CH4 '[g/g DDM']]]&lt;AB$10,_xlfn.NORM.DIST(Table2912[[#This Row],[CH4 '[g/g DDM']]],AB$6,AB$2,FALSE),-100)</f>
        <v>-100</v>
      </c>
      <c r="CJ71" t="str">
        <v>Galactia striata</v>
      </c>
      <c r="CL71" t="str">
        <v>Galactia striata</v>
      </c>
    </row>
    <row r="72" spans="1:90" x14ac:dyDescent="0.25">
      <c r="A72" s="12" t="s">
        <v>70</v>
      </c>
      <c r="B72" s="13">
        <v>1033</v>
      </c>
      <c r="C72" s="96" t="s">
        <v>146</v>
      </c>
      <c r="D72" s="96"/>
      <c r="E72" s="96"/>
      <c r="F72" s="96" t="s">
        <v>147</v>
      </c>
      <c r="G72" s="15" t="s">
        <v>73</v>
      </c>
      <c r="H72" s="15" t="s">
        <v>74</v>
      </c>
      <c r="I72" t="s">
        <v>75</v>
      </c>
      <c r="J72" s="70">
        <v>3</v>
      </c>
      <c r="K72" s="70"/>
      <c r="L72" s="70"/>
      <c r="M72" t="s">
        <v>147</v>
      </c>
      <c r="N72" t="s">
        <v>81</v>
      </c>
      <c r="O72" s="18">
        <v>230.3088363954509</v>
      </c>
      <c r="P72" s="18">
        <v>6.9923564241969753</v>
      </c>
      <c r="Q72" s="97">
        <v>0.68259915721353792</v>
      </c>
      <c r="R72" s="97">
        <v>0.19178364217824428</v>
      </c>
      <c r="S72" s="97">
        <v>7.5676135788469406E-2</v>
      </c>
      <c r="T72" s="97">
        <v>1.2774601803002803E-2</v>
      </c>
      <c r="U72" s="97">
        <v>4.307636164566929E-4</v>
      </c>
      <c r="V72" s="97">
        <v>1.3764930194755481E-2</v>
      </c>
      <c r="W72" s="97">
        <v>2.2970769205533322E-2</v>
      </c>
      <c r="X72" s="51">
        <f t="shared" si="5"/>
        <v>4.6439712276237</v>
      </c>
      <c r="Y72" s="18">
        <v>581.68336596814288</v>
      </c>
      <c r="Z72" s="18">
        <v>32.472302047260492</v>
      </c>
      <c r="AA72" s="18">
        <f t="shared" si="6"/>
        <v>14.099459905873543</v>
      </c>
      <c r="AB72" s="18">
        <f t="shared" si="7"/>
        <v>55.824704550755378</v>
      </c>
      <c r="AC72" s="18">
        <f>$CP$15*Table2912[[#This Row],[DMD '[mg/g']]]+$CS$15*Table2912[[#This Row],[CH4 '[ml/g']]]+$CR$15*Table2912[[#This Row],[CH4 '[% GP']]]+$CQ$15*Table2912[[#This Row],[CH4 '[g/g DDM']]]</f>
        <v>-3.2104523988306255</v>
      </c>
      <c r="AD72" s="18">
        <f>_xlfn.RANK.AVG(Table2912[[#This Row],[Index]],Table2912[Index])</f>
        <v>461</v>
      </c>
      <c r="AE7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6.6431506987733702</v>
      </c>
      <c r="AF72" s="18">
        <f>Table2912[[#This Row],[CH4 '[ml/g']]]/Table2912[[#This Row],[APB]]</f>
        <v>4.888087523478335</v>
      </c>
      <c r="AG72" s="18">
        <f>Table2912[[#This Row],[Propionate '[%']]]/Table2912[[#This Row],[Acetate '[%']]]</f>
        <v>0.28096085404079763</v>
      </c>
      <c r="AH72" s="51"/>
      <c r="AI72" s="18"/>
      <c r="AJ72" s="18"/>
      <c r="AK72" s="18">
        <f>(Table2912[[#This Row],[DMD '[mg/g']]]-$AK$15)/$AK$15*100</f>
        <v>18.640887986647215</v>
      </c>
      <c r="AL72" s="18">
        <f>(Table2912[[#This Row],[CH4 '[ml/g']]]-AL$15)/AL$15*100</f>
        <v>-17.440937689278311</v>
      </c>
      <c r="AM72" s="18">
        <f>(Table2912[[#This Row],[CH4 '[% GP']]]-AM$15)/AM$15*100</f>
        <v>-9.1667404329481279</v>
      </c>
      <c r="AN72" s="18">
        <f>(Table2912[[#This Row],[CH4 '[g/g DDM']]]-AN$15)/AN$15*100</f>
        <v>8.9995745863277197</v>
      </c>
      <c r="AO72" s="18"/>
      <c r="AP72" s="18"/>
      <c r="AR72">
        <f>_xlfn.NORM.DIST(Table2912[[#This Row],[GP '[ml/g']]],O$6,O$2,FALSE)</f>
        <v>6.6910084832303342E-3</v>
      </c>
      <c r="AS72">
        <f>_xlfn.NORM.DIST(Table2912[[#This Row],[SCFA '[mmol/g']]],P$6,P$2,FALSE)</f>
        <v>0.30963671029300122</v>
      </c>
      <c r="AT72">
        <f>_xlfn.NORM.DIST(Table2912[[#This Row],[Acetate '[%']]],Q$6,Q$2,FALSE)</f>
        <v>13.26984305621642</v>
      </c>
      <c r="AU72">
        <f>_xlfn.NORM.DIST(Table2912[[#This Row],[Propionate '[%']]],R$6,R$2,FALSE)</f>
        <v>11.81671925923853</v>
      </c>
      <c r="AV72">
        <f>_xlfn.NORM.DIST(Table2912[[#This Row],[Butyrate '[%']]],S$6,S$2,FALSE)</f>
        <v>14.030522020577287</v>
      </c>
      <c r="AW72">
        <f>_xlfn.NORM.DIST(Table2912[[#This Row],[Valerate '[%']]],T$6,T$2,FALSE)</f>
        <v>49.400677403305188</v>
      </c>
      <c r="AX72">
        <f>_xlfn.NORM.DIST(Table2912[[#This Row],[Caproate '[%']]],U$6,U$2,FALSE)</f>
        <v>266.42692977574046</v>
      </c>
      <c r="AY72">
        <f>_xlfn.NORM.DIST(Table2912[[#This Row],[Isobutyrate '[%']]],V$6,V$2,FALSE)</f>
        <v>84.775045937605057</v>
      </c>
      <c r="AZ72">
        <f>_xlfn.NORM.DIST(Table2912[[#This Row],[Isovalerate '[%']]],W$6,W$2,FALSE)</f>
        <v>38.820294205018776</v>
      </c>
      <c r="BA72">
        <f>_xlfn.NORM.DIST(Table2912[[#This Row],[CH4 '[g/mmol SCFA']]],X$6,X$2,FALSE)</f>
        <v>0.14101235303953336</v>
      </c>
      <c r="BB72">
        <f>_xlfn.NORM.DIST(Table2912[[#This Row],[DMD '[mg/g']]],Y$6,Y$2,FALSE)</f>
        <v>1.0635013521373175E-3</v>
      </c>
      <c r="BC72">
        <f>_xlfn.NORM.DIST(Table2912[[#This Row],[CH4 '[ml/g']]],Z$6,Z$2,FALSE)</f>
        <v>2.5298284702799725E-2</v>
      </c>
      <c r="BD72">
        <f>_xlfn.NORM.DIST(Table2912[[#This Row],[CH4 '[% GP']]],AA$6,AA$2,FALSE)</f>
        <v>0.10800419771365422</v>
      </c>
      <c r="BE72">
        <f>_xlfn.NORM.DIST(Table2912[[#This Row],[CH4 '[g/g DDM']]],AB$6,AB$2,FALSE)</f>
        <v>3.2179257966777973E-2</v>
      </c>
      <c r="BG72">
        <f>IF(Table2912[[#This Row],[GP '[ml/g']]]&lt;O$10,_xlfn.NORM.DIST(Table2912[[#This Row],[GP '[ml/g']]],O$6,O$2,FALSE),-100)</f>
        <v>-100</v>
      </c>
      <c r="BH72">
        <f>IF(Table2912[[#This Row],[SCFA '[mmol/g']]]&lt;P$10,_xlfn.NORM.DIST(Table2912[[#This Row],[SCFA '[mmol/g']]],P$6,P$2,FALSE),-100)</f>
        <v>-100</v>
      </c>
      <c r="BI72">
        <f>IF(Table2912[[#This Row],[Acetate '[%']]]&lt;Q$10,_xlfn.NORM.DIST(Table2912[[#This Row],[Acetate '[%']]],Q$6,Q$2,FALSE),-100)</f>
        <v>-100</v>
      </c>
      <c r="BJ72">
        <f>IF(Table2912[[#This Row],[Propionate '[%']]]&lt;R$10,_xlfn.NORM.DIST(Table2912[[#This Row],[Propionate '[%']]],R$6,R$2,FALSE),-100)</f>
        <v>-100</v>
      </c>
      <c r="BK72">
        <f>IF(Table2912[[#This Row],[Butyrate '[%']]]&lt;S$10,_xlfn.NORM.DIST(Table2912[[#This Row],[Butyrate '[%']]],S$6,S$2,FALSE),-100)</f>
        <v>-100</v>
      </c>
      <c r="BL72">
        <f>IF(Table2912[[#This Row],[Valerate '[%']]]&lt;T$10,_xlfn.NORM.DIST(Table2912[[#This Row],[Valerate '[%']]],T$6,T$2,FALSE),-100)</f>
        <v>-100</v>
      </c>
      <c r="BM72">
        <f>IF(Table2912[[#This Row],[Caproate '[%']]]&lt;U$10,_xlfn.NORM.DIST(Table2912[[#This Row],[Caproate '[%']]],U$6,U$2,FALSE),-100)</f>
        <v>-100</v>
      </c>
      <c r="BN72">
        <f>IF(Table2912[[#This Row],[Isobutyrate '[%']]]&lt;V$10,_xlfn.NORM.DIST(Table2912[[#This Row],[Isobutyrate '[%']]],V$6,V$2,FALSE),-100)</f>
        <v>-100</v>
      </c>
      <c r="BO72">
        <f>IF(Table2912[[#This Row],[Isovalerate '[%']]]&lt;W$10,_xlfn.NORM.DIST(Table2912[[#This Row],[Isovalerate '[%']]],W$6,W$2,FALSE),-100)</f>
        <v>-100</v>
      </c>
      <c r="BP72">
        <f>IF(Table2912[[#This Row],[CH4 '[g/mmol SCFA']]]&lt;X$10,_xlfn.NORM.DIST(Table2912[[#This Row],[CH4 '[g/mmol SCFA']]],X$6,X$2,FALSE),-100)</f>
        <v>0.14101235303953336</v>
      </c>
      <c r="BQ72">
        <f>IF(Table2912[[#This Row],[DMD '[mg/g']]]&gt;Y$10,_xlfn.NORM.DIST(Table2912[[#This Row],[DMD '[mg/g']]],Y$6,Y$2,FALSE),-100)</f>
        <v>-100</v>
      </c>
      <c r="BR72">
        <f>IF(Table2912[[#This Row],[CH4 '[ml/g']]]&lt;Z$10,_xlfn.NORM.DIST(Table2912[[#This Row],[CH4 '[ml/g']]],Z$6,Z$2,FALSE),-100)</f>
        <v>-100</v>
      </c>
      <c r="BS72">
        <f>IF(Table2912[[#This Row],[CH4 '[% GP']]]&lt;AA$10,_xlfn.NORM.DIST(Table2912[[#This Row],[CH4 '[% GP']]],AA$6,AA$2,FALSE),-100)</f>
        <v>-100</v>
      </c>
      <c r="BT72">
        <f>IF(Table2912[[#This Row],[CH4 '[g/g DDM']]]&lt;AB$10,_xlfn.NORM.DIST(Table2912[[#This Row],[CH4 '[g/g DDM']]],AB$6,AB$2,FALSE),-100)</f>
        <v>-100</v>
      </c>
      <c r="CJ72" t="str">
        <v>Teramnus  labialis</v>
      </c>
      <c r="CL72" t="str">
        <v>Teramnus  labialis</v>
      </c>
    </row>
    <row r="73" spans="1:90" x14ac:dyDescent="0.25">
      <c r="A73" s="12" t="s">
        <v>70</v>
      </c>
      <c r="B73" s="13">
        <v>1014</v>
      </c>
      <c r="C73" s="96" t="s">
        <v>137</v>
      </c>
      <c r="D73" s="96"/>
      <c r="E73" s="96"/>
      <c r="F73" s="96" t="s">
        <v>138</v>
      </c>
      <c r="G73" s="108" t="s">
        <v>73</v>
      </c>
      <c r="H73" s="108" t="s">
        <v>74</v>
      </c>
      <c r="I73" s="109" t="s">
        <v>44</v>
      </c>
      <c r="J73" s="100">
        <v>2</v>
      </c>
      <c r="K73" s="100"/>
      <c r="L73" s="100"/>
      <c r="M73" t="s">
        <v>138</v>
      </c>
      <c r="N73" t="s">
        <v>76</v>
      </c>
      <c r="O73" s="18">
        <v>230.42044444444545</v>
      </c>
      <c r="P73" s="18">
        <v>5.6662777777777791</v>
      </c>
      <c r="Q73" s="97">
        <v>0.7109050765499596</v>
      </c>
      <c r="R73" s="97">
        <v>0.15002789034267344</v>
      </c>
      <c r="S73" s="97">
        <v>8.656165207450589E-2</v>
      </c>
      <c r="T73" s="97">
        <v>1.6506180553888881E-2</v>
      </c>
      <c r="U73" s="97">
        <v>7.9523664843094615E-4</v>
      </c>
      <c r="V73" s="97">
        <v>1.2049991003514874E-2</v>
      </c>
      <c r="W73" s="97">
        <v>2.3153972827026293E-2</v>
      </c>
      <c r="X73" s="51">
        <f t="shared" si="5"/>
        <v>5.882749021438558</v>
      </c>
      <c r="Y73" s="18">
        <v>582.2222222222224</v>
      </c>
      <c r="Z73" s="18">
        <v>33.333290052421276</v>
      </c>
      <c r="AA73" s="18">
        <f t="shared" si="6"/>
        <v>14.466290147469079</v>
      </c>
      <c r="AB73" s="18">
        <f t="shared" si="7"/>
        <v>57.251834059502173</v>
      </c>
      <c r="AC73" s="18">
        <f>$CP$15*Table2912[[#This Row],[DMD '[mg/g']]]+$CS$15*Table2912[[#This Row],[CH4 '[ml/g']]]+$CR$15*Table2912[[#This Row],[CH4 '[% GP']]]+$CQ$15*Table2912[[#This Row],[CH4 '[g/g DDM']]]</f>
        <v>-4.0436719886142072</v>
      </c>
      <c r="AD73" s="18">
        <f>_xlfn.RANK.AVG(Table2912[[#This Row],[Index]],Table2912[Index])</f>
        <v>466</v>
      </c>
      <c r="AE7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5.3687677040175235</v>
      </c>
      <c r="AF73" s="18">
        <f>Table2912[[#This Row],[CH4 '[ml/g']]]/Table2912[[#This Row],[APB]]</f>
        <v>6.20874135185203</v>
      </c>
      <c r="AG73" s="18">
        <f>Table2912[[#This Row],[Propionate '[%']]]/Table2912[[#This Row],[Acetate '[%']]]</f>
        <v>0.21103786608299746</v>
      </c>
      <c r="AH73" s="51"/>
      <c r="AI73" s="18"/>
      <c r="AJ73" s="18"/>
      <c r="AK73" s="18">
        <f>(Table2912[[#This Row],[DMD '[mg/g']]]-$AK$15)/$AK$15*100</f>
        <v>18.750793801771817</v>
      </c>
      <c r="AL73" s="18">
        <f>(Table2912[[#This Row],[CH4 '[ml/g']]]-AL$15)/AL$15*100</f>
        <v>-15.251922501399138</v>
      </c>
      <c r="AM73" s="18">
        <f>(Table2912[[#This Row],[CH4 '[% GP']]]-AM$15)/AM$15*100</f>
        <v>-6.8035019277617597</v>
      </c>
      <c r="AN73" s="18">
        <f>(Table2912[[#This Row],[CH4 '[g/g DDM']]]-AN$15)/AN$15*100</f>
        <v>11.786091963980203</v>
      </c>
      <c r="AO73" s="18"/>
      <c r="AP73" s="18"/>
      <c r="AR73">
        <f>_xlfn.NORM.DIST(Table2912[[#This Row],[GP '[ml/g']]],O$6,O$2,FALSE)</f>
        <v>6.6976074597074773E-3</v>
      </c>
      <c r="AS73">
        <f>_xlfn.NORM.DIST(Table2912[[#This Row],[SCFA '[mmol/g']]],P$6,P$2,FALSE)</f>
        <v>0.25553868086677489</v>
      </c>
      <c r="AT73">
        <f>_xlfn.NORM.DIST(Table2912[[#This Row],[Acetate '[%']]],Q$6,Q$2,FALSE)</f>
        <v>5.8049435719739177</v>
      </c>
      <c r="AU73">
        <f>_xlfn.NORM.DIST(Table2912[[#This Row],[Propionate '[%']]],R$6,R$2,FALSE)</f>
        <v>11.005304647289842</v>
      </c>
      <c r="AV73">
        <f>_xlfn.NORM.DIST(Table2912[[#This Row],[Butyrate '[%']]],S$6,S$2,FALSE)</f>
        <v>21.528924162621902</v>
      </c>
      <c r="AW73">
        <f>_xlfn.NORM.DIST(Table2912[[#This Row],[Valerate '[%']]],T$6,T$2,FALSE)</f>
        <v>75.48350333158416</v>
      </c>
      <c r="AX73">
        <f>_xlfn.NORM.DIST(Table2912[[#This Row],[Caproate '[%']]],U$6,U$2,FALSE)</f>
        <v>350.07121988659281</v>
      </c>
      <c r="AY73">
        <f>_xlfn.NORM.DIST(Table2912[[#This Row],[Isobutyrate '[%']]],V$6,V$2,FALSE)</f>
        <v>68.641674926216083</v>
      </c>
      <c r="AZ73">
        <f>_xlfn.NORM.DIST(Table2912[[#This Row],[Isovalerate '[%']]],W$6,W$2,FALSE)</f>
        <v>39.268568837843162</v>
      </c>
      <c r="BA73">
        <f>_xlfn.NORM.DIST(Table2912[[#This Row],[CH4 '[g/mmol SCFA']]],X$6,X$2,FALSE)</f>
        <v>0.28447464965042363</v>
      </c>
      <c r="BB73">
        <f>_xlfn.NORM.DIST(Table2912[[#This Row],[DMD '[mg/g']]],Y$6,Y$2,FALSE)</f>
        <v>1.0694592942459317E-3</v>
      </c>
      <c r="BC73">
        <f>_xlfn.NORM.DIST(Table2912[[#This Row],[CH4 '[ml/g']]],Z$6,Z$2,FALSE)</f>
        <v>2.6637788699320524E-2</v>
      </c>
      <c r="BD73">
        <f>_xlfn.NORM.DIST(Table2912[[#This Row],[CH4 '[% GP']]],AA$6,AA$2,FALSE)</f>
        <v>0.11637915258728253</v>
      </c>
      <c r="BE73">
        <f>_xlfn.NORM.DIST(Table2912[[#This Row],[CH4 '[g/g DDM']]],AB$6,AB$2,FALSE)</f>
        <v>3.1202790221640835E-2</v>
      </c>
      <c r="BG73">
        <f>IF(Table2912[[#This Row],[GP '[ml/g']]]&lt;O$10,_xlfn.NORM.DIST(Table2912[[#This Row],[GP '[ml/g']]],O$6,O$2,FALSE),-100)</f>
        <v>-100</v>
      </c>
      <c r="BH73">
        <f>IF(Table2912[[#This Row],[SCFA '[mmol/g']]]&lt;P$10,_xlfn.NORM.DIST(Table2912[[#This Row],[SCFA '[mmol/g']]],P$6,P$2,FALSE),-100)</f>
        <v>-100</v>
      </c>
      <c r="BI73">
        <f>IF(Table2912[[#This Row],[Acetate '[%']]]&lt;Q$10,_xlfn.NORM.DIST(Table2912[[#This Row],[Acetate '[%']]],Q$6,Q$2,FALSE),-100)</f>
        <v>-100</v>
      </c>
      <c r="BJ73">
        <f>IF(Table2912[[#This Row],[Propionate '[%']]]&lt;R$10,_xlfn.NORM.DIST(Table2912[[#This Row],[Propionate '[%']]],R$6,R$2,FALSE),-100)</f>
        <v>-100</v>
      </c>
      <c r="BK73">
        <f>IF(Table2912[[#This Row],[Butyrate '[%']]]&lt;S$10,_xlfn.NORM.DIST(Table2912[[#This Row],[Butyrate '[%']]],S$6,S$2,FALSE),-100)</f>
        <v>-100</v>
      </c>
      <c r="BL73">
        <f>IF(Table2912[[#This Row],[Valerate '[%']]]&lt;T$10,_xlfn.NORM.DIST(Table2912[[#This Row],[Valerate '[%']]],T$6,T$2,FALSE),-100)</f>
        <v>-100</v>
      </c>
      <c r="BM73">
        <f>IF(Table2912[[#This Row],[Caproate '[%']]]&lt;U$10,_xlfn.NORM.DIST(Table2912[[#This Row],[Caproate '[%']]],U$6,U$2,FALSE),-100)</f>
        <v>-100</v>
      </c>
      <c r="BN73">
        <f>IF(Table2912[[#This Row],[Isobutyrate '[%']]]&lt;V$10,_xlfn.NORM.DIST(Table2912[[#This Row],[Isobutyrate '[%']]],V$6,V$2,FALSE),-100)</f>
        <v>-100</v>
      </c>
      <c r="BO73">
        <f>IF(Table2912[[#This Row],[Isovalerate '[%']]]&lt;W$10,_xlfn.NORM.DIST(Table2912[[#This Row],[Isovalerate '[%']]],W$6,W$2,FALSE),-100)</f>
        <v>-100</v>
      </c>
      <c r="BP73">
        <f>IF(Table2912[[#This Row],[CH4 '[g/mmol SCFA']]]&lt;X$10,_xlfn.NORM.DIST(Table2912[[#This Row],[CH4 '[g/mmol SCFA']]],X$6,X$2,FALSE),-100)</f>
        <v>-100</v>
      </c>
      <c r="BQ73">
        <f>IF(Table2912[[#This Row],[DMD '[mg/g']]]&gt;Y$10,_xlfn.NORM.DIST(Table2912[[#This Row],[DMD '[mg/g']]],Y$6,Y$2,FALSE),-100)</f>
        <v>-100</v>
      </c>
      <c r="BR73">
        <f>IF(Table2912[[#This Row],[CH4 '[ml/g']]]&lt;Z$10,_xlfn.NORM.DIST(Table2912[[#This Row],[CH4 '[ml/g']]],Z$6,Z$2,FALSE),-100)</f>
        <v>-100</v>
      </c>
      <c r="BS73">
        <f>IF(Table2912[[#This Row],[CH4 '[% GP']]]&lt;AA$10,_xlfn.NORM.DIST(Table2912[[#This Row],[CH4 '[% GP']]],AA$6,AA$2,FALSE),-100)</f>
        <v>-100</v>
      </c>
      <c r="BT73">
        <f>IF(Table2912[[#This Row],[CH4 '[g/g DDM']]]&lt;AB$10,_xlfn.NORM.DIST(Table2912[[#This Row],[CH4 '[g/g DDM']]],AB$6,AB$2,FALSE),-100)</f>
        <v>-100</v>
      </c>
      <c r="CJ73" t="str">
        <v>Lathyrus sylvestris</v>
      </c>
      <c r="CL73" t="str">
        <v>Lathyrus sylvestris</v>
      </c>
    </row>
    <row r="74" spans="1:90" x14ac:dyDescent="0.25">
      <c r="A74" s="12" t="s">
        <v>70</v>
      </c>
      <c r="B74" s="13">
        <v>1018</v>
      </c>
      <c r="C74" s="96" t="s">
        <v>148</v>
      </c>
      <c r="D74" s="96"/>
      <c r="E74" s="96"/>
      <c r="F74" s="96" t="s">
        <v>149</v>
      </c>
      <c r="G74" s="108" t="s">
        <v>73</v>
      </c>
      <c r="H74" s="108" t="s">
        <v>74</v>
      </c>
      <c r="I74" s="110" t="s">
        <v>44</v>
      </c>
      <c r="J74" s="100">
        <v>1</v>
      </c>
      <c r="K74" s="100"/>
      <c r="L74" s="100"/>
      <c r="M74" t="s">
        <v>149</v>
      </c>
      <c r="N74" t="s">
        <v>80</v>
      </c>
      <c r="O74" s="18">
        <v>289.90187731936226</v>
      </c>
      <c r="P74" s="18">
        <v>6.1704503034788658</v>
      </c>
      <c r="Q74" s="97">
        <v>0.68408106415260705</v>
      </c>
      <c r="R74" s="97">
        <v>0.1401879944946986</v>
      </c>
      <c r="S74" s="97">
        <v>0.12726212835861977</v>
      </c>
      <c r="T74" s="97">
        <v>1.3923641227030912E-2</v>
      </c>
      <c r="U74" s="97">
        <v>4.3312711543147826E-3</v>
      </c>
      <c r="V74" s="97">
        <v>1.1069659824811383E-2</v>
      </c>
      <c r="W74" s="97">
        <v>1.9144240787917436E-2</v>
      </c>
      <c r="X74" s="51">
        <f t="shared" si="5"/>
        <v>5.6788773162069157</v>
      </c>
      <c r="Y74" s="18">
        <v>586.91030226469263</v>
      </c>
      <c r="Z74" s="18">
        <v>35.041230259208213</v>
      </c>
      <c r="AA74" s="18">
        <f t="shared" si="6"/>
        <v>12.087272625905083</v>
      </c>
      <c r="AB74" s="18">
        <f t="shared" si="7"/>
        <v>59.704575169315824</v>
      </c>
      <c r="AC74" s="18">
        <f>$CP$15*Table2912[[#This Row],[DMD '[mg/g']]]+$CS$15*Table2912[[#This Row],[CH4 '[ml/g']]]+$CR$15*Table2912[[#This Row],[CH4 '[% GP']]]+$CQ$15*Table2912[[#This Row],[CH4 '[g/g DDM']]]</f>
        <v>-4.2352034060731754</v>
      </c>
      <c r="AD74" s="18">
        <f>_xlfn.RANK.AVG(Table2912[[#This Row],[Index]],Table2912[Index])</f>
        <v>470</v>
      </c>
      <c r="AE7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5.8713759016303175</v>
      </c>
      <c r="AF74" s="18">
        <f>Table2912[[#This Row],[CH4 '[ml/g']]]/Table2912[[#This Row],[APB]]</f>
        <v>5.9681462822842324</v>
      </c>
      <c r="AG74" s="18">
        <f>Table2912[[#This Row],[Propionate '[%']]]/Table2912[[#This Row],[Acetate '[%']]]</f>
        <v>0.20492892120666126</v>
      </c>
      <c r="AH74" s="51"/>
      <c r="AI74" s="18"/>
      <c r="AJ74" s="18"/>
      <c r="AK74" s="18">
        <f>(Table2912[[#This Row],[DMD '[mg/g']]]-$AK$15)/$AK$15*100</f>
        <v>19.706980641093622</v>
      </c>
      <c r="AL74" s="18">
        <f>(Table2912[[#This Row],[CH4 '[ml/g']]]-AL$15)/AL$15*100</f>
        <v>-10.909577392946764</v>
      </c>
      <c r="AM74" s="18">
        <f>(Table2912[[#This Row],[CH4 '[% GP']]]-AM$15)/AM$15*100</f>
        <v>-22.129898647452183</v>
      </c>
      <c r="AN74" s="18">
        <f>(Table2912[[#This Row],[CH4 '[g/g DDM']]]-AN$15)/AN$15*100</f>
        <v>16.57514977792734</v>
      </c>
      <c r="AO74" s="18"/>
      <c r="AP74" s="18"/>
      <c r="AR74">
        <f>_xlfn.NORM.DIST(Table2912[[#This Row],[GP '[ml/g']]],O$6,O$2,FALSE)</f>
        <v>6.0743345546121156E-3</v>
      </c>
      <c r="AS74">
        <f>_xlfn.NORM.DIST(Table2912[[#This Row],[SCFA '[mmol/g']]],P$6,P$2,FALSE)</f>
        <v>0.31751247652442161</v>
      </c>
      <c r="AT74">
        <f>_xlfn.NORM.DIST(Table2912[[#This Row],[Acetate '[%']]],Q$6,Q$2,FALSE)</f>
        <v>13.023818917839064</v>
      </c>
      <c r="AU74">
        <f>_xlfn.NORM.DIST(Table2912[[#This Row],[Propionate '[%']]],R$6,R$2,FALSE)</f>
        <v>6.9027922007601683</v>
      </c>
      <c r="AV74">
        <f>_xlfn.NORM.DIST(Table2912[[#This Row],[Butyrate '[%']]],S$6,S$2,FALSE)</f>
        <v>3.2280083970316951</v>
      </c>
      <c r="AW74">
        <f>_xlfn.NORM.DIST(Table2912[[#This Row],[Valerate '[%']]],T$6,T$2,FALSE)</f>
        <v>59.522242882440104</v>
      </c>
      <c r="AX74">
        <f>_xlfn.NORM.DIST(Table2912[[#This Row],[Caproate '[%']]],U$6,U$2,FALSE)</f>
        <v>3.7906887420769668</v>
      </c>
      <c r="AY74">
        <f>_xlfn.NORM.DIST(Table2912[[#This Row],[Isobutyrate '[%']]],V$6,V$2,FALSE)</f>
        <v>56.869054790901544</v>
      </c>
      <c r="AZ74">
        <f>_xlfn.NORM.DIST(Table2912[[#This Row],[Isovalerate '[%']]],W$6,W$2,FALSE)</f>
        <v>27.650745528427393</v>
      </c>
      <c r="BA74">
        <f>_xlfn.NORM.DIST(Table2912[[#This Row],[CH4 '[g/mmol SCFA']]],X$6,X$2,FALSE)</f>
        <v>0.26874817383958294</v>
      </c>
      <c r="BB74">
        <f>_xlfn.NORM.DIST(Table2912[[#This Row],[DMD '[mg/g']]],Y$6,Y$2,FALSE)</f>
        <v>1.1219878485043474E-3</v>
      </c>
      <c r="BC74">
        <f>_xlfn.NORM.DIST(Table2912[[#This Row],[CH4 '[ml/g']]],Z$6,Z$2,FALSE)</f>
        <v>2.9055378018584582E-2</v>
      </c>
      <c r="BD74">
        <f>_xlfn.NORM.DIST(Table2912[[#This Row],[CH4 '[% GP']]],AA$6,AA$2,FALSE)</f>
        <v>5.4574765763702959E-2</v>
      </c>
      <c r="BE74">
        <f>_xlfn.NORM.DIST(Table2912[[#This Row],[CH4 '[g/g DDM']]],AB$6,AB$2,FALSE)</f>
        <v>2.8653680713504666E-2</v>
      </c>
      <c r="BG74">
        <f>IF(Table2912[[#This Row],[GP '[ml/g']]]&lt;O$10,_xlfn.NORM.DIST(Table2912[[#This Row],[GP '[ml/g']]],O$6,O$2,FALSE),-100)</f>
        <v>-100</v>
      </c>
      <c r="BH74">
        <f>IF(Table2912[[#This Row],[SCFA '[mmol/g']]]&lt;P$10,_xlfn.NORM.DIST(Table2912[[#This Row],[SCFA '[mmol/g']]],P$6,P$2,FALSE),-100)</f>
        <v>-100</v>
      </c>
      <c r="BI74">
        <f>IF(Table2912[[#This Row],[Acetate '[%']]]&lt;Q$10,_xlfn.NORM.DIST(Table2912[[#This Row],[Acetate '[%']]],Q$6,Q$2,FALSE),-100)</f>
        <v>-100</v>
      </c>
      <c r="BJ74">
        <f>IF(Table2912[[#This Row],[Propionate '[%']]]&lt;R$10,_xlfn.NORM.DIST(Table2912[[#This Row],[Propionate '[%']]],R$6,R$2,FALSE),-100)</f>
        <v>6.9027922007601683</v>
      </c>
      <c r="BK74">
        <f>IF(Table2912[[#This Row],[Butyrate '[%']]]&lt;S$10,_xlfn.NORM.DIST(Table2912[[#This Row],[Butyrate '[%']]],S$6,S$2,FALSE),-100)</f>
        <v>-100</v>
      </c>
      <c r="BL74">
        <f>IF(Table2912[[#This Row],[Valerate '[%']]]&lt;T$10,_xlfn.NORM.DIST(Table2912[[#This Row],[Valerate '[%']]],T$6,T$2,FALSE),-100)</f>
        <v>-100</v>
      </c>
      <c r="BM74">
        <f>IF(Table2912[[#This Row],[Caproate '[%']]]&lt;U$10,_xlfn.NORM.DIST(Table2912[[#This Row],[Caproate '[%']]],U$6,U$2,FALSE),-100)</f>
        <v>-100</v>
      </c>
      <c r="BN74">
        <f>IF(Table2912[[#This Row],[Isobutyrate '[%']]]&lt;V$10,_xlfn.NORM.DIST(Table2912[[#This Row],[Isobutyrate '[%']]],V$6,V$2,FALSE),-100)</f>
        <v>-100</v>
      </c>
      <c r="BO74">
        <f>IF(Table2912[[#This Row],[Isovalerate '[%']]]&lt;W$10,_xlfn.NORM.DIST(Table2912[[#This Row],[Isovalerate '[%']]],W$6,W$2,FALSE),-100)</f>
        <v>-100</v>
      </c>
      <c r="BP74">
        <f>IF(Table2912[[#This Row],[CH4 '[g/mmol SCFA']]]&lt;X$10,_xlfn.NORM.DIST(Table2912[[#This Row],[CH4 '[g/mmol SCFA']]],X$6,X$2,FALSE),-100)</f>
        <v>-100</v>
      </c>
      <c r="BQ74">
        <f>IF(Table2912[[#This Row],[DMD '[mg/g']]]&gt;Y$10,_xlfn.NORM.DIST(Table2912[[#This Row],[DMD '[mg/g']]],Y$6,Y$2,FALSE),-100)</f>
        <v>-100</v>
      </c>
      <c r="BR74">
        <f>IF(Table2912[[#This Row],[CH4 '[ml/g']]]&lt;Z$10,_xlfn.NORM.DIST(Table2912[[#This Row],[CH4 '[ml/g']]],Z$6,Z$2,FALSE),-100)</f>
        <v>-100</v>
      </c>
      <c r="BS74">
        <f>IF(Table2912[[#This Row],[CH4 '[% GP']]]&lt;AA$10,_xlfn.NORM.DIST(Table2912[[#This Row],[CH4 '[% GP']]],AA$6,AA$2,FALSE),-100)</f>
        <v>-100</v>
      </c>
      <c r="BT74">
        <f>IF(Table2912[[#This Row],[CH4 '[g/g DDM']]]&lt;AB$10,_xlfn.NORM.DIST(Table2912[[#This Row],[CH4 '[g/g DDM']]],AB$6,AB$2,FALSE),-100)</f>
        <v>-100</v>
      </c>
      <c r="CJ74" t="str">
        <v>Aeschynomene brasiliana</v>
      </c>
      <c r="CL74" t="str">
        <v>Aeschynomene brasiliana</v>
      </c>
    </row>
    <row r="75" spans="1:90" x14ac:dyDescent="0.25">
      <c r="A75" s="12" t="s">
        <v>86</v>
      </c>
      <c r="B75" s="13">
        <v>1092</v>
      </c>
      <c r="C75" s="104" t="s">
        <v>139</v>
      </c>
      <c r="D75" s="104" t="s">
        <v>140</v>
      </c>
      <c r="E75" s="104" t="s">
        <v>141</v>
      </c>
      <c r="F75" s="104" t="s">
        <v>142</v>
      </c>
      <c r="G75" s="23" t="s">
        <v>143</v>
      </c>
      <c r="H75" s="23" t="s">
        <v>144</v>
      </c>
      <c r="I75" s="32" t="s">
        <v>52</v>
      </c>
      <c r="J75" s="100">
        <v>2</v>
      </c>
      <c r="K75" s="100"/>
      <c r="L75" s="100"/>
      <c r="M75" t="s">
        <v>142</v>
      </c>
      <c r="N75" t="s">
        <v>145</v>
      </c>
      <c r="O75" s="18">
        <v>240.28151058720809</v>
      </c>
      <c r="P75" s="18">
        <v>5.1741929901002859</v>
      </c>
      <c r="Q75" s="97">
        <v>0.64122734031257944</v>
      </c>
      <c r="R75" s="97">
        <v>0.17693914891415713</v>
      </c>
      <c r="S75" s="97">
        <v>0.10089155414886034</v>
      </c>
      <c r="T75" s="97">
        <v>1.843820457697784E-2</v>
      </c>
      <c r="U75" s="97">
        <v>2.5491362265122393E-4</v>
      </c>
      <c r="V75" s="97">
        <v>2.0360105635095261E-2</v>
      </c>
      <c r="W75" s="97">
        <v>4.1888732789678529E-2</v>
      </c>
      <c r="X75" s="51">
        <f t="shared" si="5"/>
        <v>7.547527409607552</v>
      </c>
      <c r="Y75" s="18">
        <v>588.70347033607538</v>
      </c>
      <c r="Z75" s="18">
        <v>39.052363415381166</v>
      </c>
      <c r="AA75" s="18">
        <f t="shared" si="6"/>
        <v>16.252754246443548</v>
      </c>
      <c r="AB75" s="18">
        <f t="shared" si="7"/>
        <v>66.336220836420736</v>
      </c>
      <c r="AC75" s="18">
        <f>$CP$15*Table2912[[#This Row],[DMD '[mg/g']]]+$CS$15*Table2912[[#This Row],[CH4 '[ml/g']]]+$CR$15*Table2912[[#This Row],[CH4 '[% GP']]]+$CQ$15*Table2912[[#This Row],[CH4 '[g/g DDM']]]</f>
        <v>-8.8786492982469269</v>
      </c>
      <c r="AD75" s="18">
        <f>_xlfn.RANK.AVG(Table2912[[#This Row],[Index]],Table2912[Index])</f>
        <v>487</v>
      </c>
      <c r="AE7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4.7553836855292975</v>
      </c>
      <c r="AF75" s="18">
        <f>Table2912[[#This Row],[CH4 '[ml/g']]]/Table2912[[#This Row],[APB]]</f>
        <v>8.2122423757767606</v>
      </c>
      <c r="AG75" s="18">
        <f>Table2912[[#This Row],[Propionate '[%']]]/Table2912[[#This Row],[Acetate '[%']]]</f>
        <v>0.27593824809139378</v>
      </c>
      <c r="AH75" s="51"/>
      <c r="AI75" s="18"/>
      <c r="AJ75" s="18"/>
      <c r="AK75" s="18">
        <f>(Table2912[[#This Row],[DMD '[mg/g']]]-$AK$15)/$AK$15*100</f>
        <v>20.072717508855121</v>
      </c>
      <c r="AL75" s="18">
        <f>(Table2912[[#This Row],[CH4 '[ml/g']]]-AL$15)/AL$15*100</f>
        <v>-0.71148944417374749</v>
      </c>
      <c r="AM75" s="18">
        <f>(Table2912[[#This Row],[CH4 '[% GP']]]-AM$15)/AM$15*100</f>
        <v>4.705474890688488</v>
      </c>
      <c r="AN75" s="18">
        <f>(Table2912[[#This Row],[CH4 '[g/g DDM']]]-AN$15)/AN$15*100</f>
        <v>29.523656399480398</v>
      </c>
      <c r="AO75" s="18"/>
      <c r="AP75" s="18"/>
      <c r="AR75">
        <f>_xlfn.NORM.DIST(Table2912[[#This Row],[GP '[ml/g']]],O$6,O$2,FALSE)</f>
        <v>7.1818818398564545E-3</v>
      </c>
      <c r="AS75">
        <f>_xlfn.NORM.DIST(Table2912[[#This Row],[SCFA '[mmol/g']]],P$6,P$2,FALSE)</f>
        <v>0.1743237834159248</v>
      </c>
      <c r="AT75">
        <f>_xlfn.NORM.DIST(Table2912[[#This Row],[Acetate '[%']]],Q$6,Q$2,FALSE)</f>
        <v>7.4787475467026949</v>
      </c>
      <c r="AU75">
        <f>_xlfn.NORM.DIST(Table2912[[#This Row],[Propionate '[%']]],R$6,R$2,FALSE)</f>
        <v>16.412857668398864</v>
      </c>
      <c r="AV75">
        <f>_xlfn.NORM.DIST(Table2912[[#This Row],[Butyrate '[%']]],S$6,S$2,FALSE)</f>
        <v>20.717223266307048</v>
      </c>
      <c r="AW75">
        <f>_xlfn.NORM.DIST(Table2912[[#This Row],[Valerate '[%']]],T$6,T$2,FALSE)</f>
        <v>76.516096015283523</v>
      </c>
      <c r="AX75">
        <f>_xlfn.NORM.DIST(Table2912[[#This Row],[Caproate '[%']]],U$6,U$2,FALSE)</f>
        <v>222.28058601310664</v>
      </c>
      <c r="AY75">
        <f>_xlfn.NORM.DIST(Table2912[[#This Row],[Isobutyrate '[%']]],V$6,V$2,FALSE)</f>
        <v>47.099641511785968</v>
      </c>
      <c r="AZ75">
        <f>_xlfn.NORM.DIST(Table2912[[#This Row],[Isovalerate '[%']]],W$6,W$2,FALSE)</f>
        <v>12.762233360153726</v>
      </c>
      <c r="BA75">
        <f>_xlfn.NORM.DIST(Table2912[[#This Row],[CH4 '[g/mmol SCFA']]],X$6,X$2,FALSE)</f>
        <v>0.19067765918415541</v>
      </c>
      <c r="BB75">
        <f>_xlfn.NORM.DIST(Table2912[[#This Row],[DMD '[mg/g']]],Y$6,Y$2,FALSE)</f>
        <v>1.1424004275385146E-3</v>
      </c>
      <c r="BC75">
        <f>_xlfn.NORM.DIST(Table2912[[#This Row],[CH4 '[ml/g']]],Z$6,Z$2,FALSE)</f>
        <v>3.2862054870414478E-2</v>
      </c>
      <c r="BD75">
        <f>_xlfn.NORM.DIST(Table2912[[#This Row],[CH4 '[% GP']]],AA$6,AA$2,FALSE)</f>
        <v>0.13445569245585801</v>
      </c>
      <c r="BE75">
        <f>_xlfn.NORM.DIST(Table2912[[#This Row],[CH4 '[g/g DDM']]],AB$6,AB$2,FALSE)</f>
        <v>1.8552165823608181E-2</v>
      </c>
      <c r="BG75">
        <f>IF(Table2912[[#This Row],[GP '[ml/g']]]&lt;O$10,_xlfn.NORM.DIST(Table2912[[#This Row],[GP '[ml/g']]],O$6,O$2,FALSE),-100)</f>
        <v>-100</v>
      </c>
      <c r="BH75">
        <f>IF(Table2912[[#This Row],[SCFA '[mmol/g']]]&lt;P$10,_xlfn.NORM.DIST(Table2912[[#This Row],[SCFA '[mmol/g']]],P$6,P$2,FALSE),-100)</f>
        <v>0.1743237834159248</v>
      </c>
      <c r="BI75">
        <f>IF(Table2912[[#This Row],[Acetate '[%']]]&lt;Q$10,_xlfn.NORM.DIST(Table2912[[#This Row],[Acetate '[%']]],Q$6,Q$2,FALSE),-100)</f>
        <v>7.4787475467026949</v>
      </c>
      <c r="BJ75">
        <f>IF(Table2912[[#This Row],[Propionate '[%']]]&lt;R$10,_xlfn.NORM.DIST(Table2912[[#This Row],[Propionate '[%']]],R$6,R$2,FALSE),-100)</f>
        <v>-100</v>
      </c>
      <c r="BK75">
        <f>IF(Table2912[[#This Row],[Butyrate '[%']]]&lt;S$10,_xlfn.NORM.DIST(Table2912[[#This Row],[Butyrate '[%']]],S$6,S$2,FALSE),-100)</f>
        <v>-100</v>
      </c>
      <c r="BL75">
        <f>IF(Table2912[[#This Row],[Valerate '[%']]]&lt;T$10,_xlfn.NORM.DIST(Table2912[[#This Row],[Valerate '[%']]],T$6,T$2,FALSE),-100)</f>
        <v>-100</v>
      </c>
      <c r="BM75">
        <f>IF(Table2912[[#This Row],[Caproate '[%']]]&lt;U$10,_xlfn.NORM.DIST(Table2912[[#This Row],[Caproate '[%']]],U$6,U$2,FALSE),-100)</f>
        <v>222.28058601310664</v>
      </c>
      <c r="BN75">
        <f>IF(Table2912[[#This Row],[Isobutyrate '[%']]]&lt;V$10,_xlfn.NORM.DIST(Table2912[[#This Row],[Isobutyrate '[%']]],V$6,V$2,FALSE),-100)</f>
        <v>-100</v>
      </c>
      <c r="BO75">
        <f>IF(Table2912[[#This Row],[Isovalerate '[%']]]&lt;W$10,_xlfn.NORM.DIST(Table2912[[#This Row],[Isovalerate '[%']]],W$6,W$2,FALSE),-100)</f>
        <v>-100</v>
      </c>
      <c r="BP75">
        <f>IF(Table2912[[#This Row],[CH4 '[g/mmol SCFA']]]&lt;X$10,_xlfn.NORM.DIST(Table2912[[#This Row],[CH4 '[g/mmol SCFA']]],X$6,X$2,FALSE),-100)</f>
        <v>-100</v>
      </c>
      <c r="BQ75">
        <f>IF(Table2912[[#This Row],[DMD '[mg/g']]]&gt;Y$10,_xlfn.NORM.DIST(Table2912[[#This Row],[DMD '[mg/g']]],Y$6,Y$2,FALSE),-100)</f>
        <v>-100</v>
      </c>
      <c r="BR75">
        <f>IF(Table2912[[#This Row],[CH4 '[ml/g']]]&lt;Z$10,_xlfn.NORM.DIST(Table2912[[#This Row],[CH4 '[ml/g']]],Z$6,Z$2,FALSE),-100)</f>
        <v>-100</v>
      </c>
      <c r="BS75">
        <f>IF(Table2912[[#This Row],[CH4 '[% GP']]]&lt;AA$10,_xlfn.NORM.DIST(Table2912[[#This Row],[CH4 '[% GP']]],AA$6,AA$2,FALSE),-100)</f>
        <v>-100</v>
      </c>
      <c r="BT75">
        <f>IF(Table2912[[#This Row],[CH4 '[g/g DDM']]]&lt;AB$10,_xlfn.NORM.DIST(Table2912[[#This Row],[CH4 '[g/g DDM']]],AB$6,AB$2,FALSE),-100)</f>
        <v>-100</v>
      </c>
      <c r="CJ75" t="str">
        <v>Cenchrus ciliaris</v>
      </c>
      <c r="CL75" t="str">
        <v>Cenchrus ciliaris</v>
      </c>
    </row>
    <row r="76" spans="1:90" x14ac:dyDescent="0.25">
      <c r="A76" s="12" t="s">
        <v>86</v>
      </c>
      <c r="B76" s="13">
        <v>1061</v>
      </c>
      <c r="C76" s="104" t="s">
        <v>150</v>
      </c>
      <c r="D76" s="104" t="s">
        <v>134</v>
      </c>
      <c r="E76" s="104" t="s">
        <v>151</v>
      </c>
      <c r="F76" s="104" t="s">
        <v>152</v>
      </c>
      <c r="G76" s="32" t="s">
        <v>73</v>
      </c>
      <c r="H76" s="32" t="s">
        <v>74</v>
      </c>
      <c r="I76" s="105" t="s">
        <v>44</v>
      </c>
      <c r="J76" s="70">
        <v>2</v>
      </c>
      <c r="K76" s="70"/>
      <c r="L76" s="70"/>
      <c r="M76" t="s">
        <v>152</v>
      </c>
      <c r="N76" t="s">
        <v>98</v>
      </c>
      <c r="O76" s="18">
        <v>172.56603237095428</v>
      </c>
      <c r="P76" s="18">
        <v>4.8804177255620829</v>
      </c>
      <c r="Q76" s="97">
        <v>0.65596010224222878</v>
      </c>
      <c r="R76" s="97">
        <v>0.15661006004801425</v>
      </c>
      <c r="S76" s="97">
        <v>8.9562693789888001E-2</v>
      </c>
      <c r="T76" s="97">
        <v>2.0882624785333342E-2</v>
      </c>
      <c r="U76" s="97">
        <v>1.5216050668136283E-3</v>
      </c>
      <c r="V76" s="97">
        <v>2.6556824158716366E-2</v>
      </c>
      <c r="W76" s="97">
        <v>4.890608990900544E-2</v>
      </c>
      <c r="X76" s="51">
        <f t="shared" si="5"/>
        <v>7.2193627506620368</v>
      </c>
      <c r="Y76" s="18">
        <v>591.33667319362849</v>
      </c>
      <c r="Z76" s="18">
        <v>35.233505935593641</v>
      </c>
      <c r="AA76" s="18">
        <f t="shared" si="6"/>
        <v>20.417405124001693</v>
      </c>
      <c r="AB76" s="18">
        <f t="shared" si="7"/>
        <v>59.582818946960032</v>
      </c>
      <c r="AC76" s="18">
        <f>$CP$15*Table2912[[#This Row],[DMD '[mg/g']]]+$CS$15*Table2912[[#This Row],[CH4 '[ml/g']]]+$CR$15*Table2912[[#This Row],[CH4 '[% GP']]]+$CQ$15*Table2912[[#This Row],[CH4 '[g/g DDM']]]</f>
        <v>-6.2808724903186288</v>
      </c>
      <c r="AD76" s="18">
        <f>_xlfn.RANK.AVG(Table2912[[#This Row],[Index]],Table2912[Index])</f>
        <v>473</v>
      </c>
      <c r="AE7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4.4027851816254193</v>
      </c>
      <c r="AF76" s="18">
        <f>Table2912[[#This Row],[CH4 '[ml/g']]]/Table2912[[#This Row],[APB]]</f>
        <v>8.0025494050077963</v>
      </c>
      <c r="AG76" s="18">
        <f>Table2912[[#This Row],[Propionate '[%']]]/Table2912[[#This Row],[Acetate '[%']]]</f>
        <v>0.23874936831170607</v>
      </c>
      <c r="AH76" s="51"/>
      <c r="AI76" s="18"/>
      <c r="AJ76" s="18"/>
      <c r="AK76" s="18">
        <f>(Table2912[[#This Row],[DMD '[mg/g']]]-$AK$15)/$AK$15*100</f>
        <v>20.609788952782548</v>
      </c>
      <c r="AL76" s="18">
        <f>(Table2912[[#This Row],[CH4 '[ml/g']]]-AL$15)/AL$15*100</f>
        <v>-10.420726940507716</v>
      </c>
      <c r="AM76" s="18">
        <f>(Table2912[[#This Row],[CH4 '[% GP']]]-AM$15)/AM$15*100</f>
        <v>31.535496515119799</v>
      </c>
      <c r="AN76" s="18">
        <f>(Table2912[[#This Row],[CH4 '[g/g DDM']]]-AN$15)/AN$15*100</f>
        <v>16.337416742941844</v>
      </c>
      <c r="AO76" s="18"/>
      <c r="AP76" s="18"/>
      <c r="AR76">
        <f>_xlfn.NORM.DIST(Table2912[[#This Row],[GP '[ml/g']]],O$6,O$2,FALSE)</f>
        <v>2.233523378685973E-3</v>
      </c>
      <c r="AS76">
        <f>_xlfn.NORM.DIST(Table2912[[#This Row],[SCFA '[mmol/g']]],P$6,P$2,FALSE)</f>
        <v>0.12803235306450592</v>
      </c>
      <c r="AT76">
        <f>_xlfn.NORM.DIST(Table2912[[#This Row],[Acetate '[%']]],Q$6,Q$2,FALSE)</f>
        <v>11.691460835423525</v>
      </c>
      <c r="AU76">
        <f>_xlfn.NORM.DIST(Table2912[[#This Row],[Propionate '[%']]],R$6,R$2,FALSE)</f>
        <v>13.662527646692665</v>
      </c>
      <c r="AV76">
        <f>_xlfn.NORM.DIST(Table2912[[#This Row],[Butyrate '[%']]],S$6,S$2,FALSE)</f>
        <v>22.60109754161638</v>
      </c>
      <c r="AW76">
        <f>_xlfn.NORM.DIST(Table2912[[#This Row],[Valerate '[%']]],T$6,T$2,FALSE)</f>
        <v>63.648561253549715</v>
      </c>
      <c r="AX76">
        <f>_xlfn.NORM.DIST(Table2912[[#This Row],[Caproate '[%']]],U$6,U$2,FALSE)</f>
        <v>399.45886952562478</v>
      </c>
      <c r="AY76">
        <f>_xlfn.NORM.DIST(Table2912[[#This Row],[Isobutyrate '[%']]],V$6,V$2,FALSE)</f>
        <v>3.5816155999831509</v>
      </c>
      <c r="AZ76">
        <f>_xlfn.NORM.DIST(Table2912[[#This Row],[Isovalerate '[%']]],W$6,W$2,FALSE)</f>
        <v>2.5955444769668912</v>
      </c>
      <c r="BA76">
        <f>_xlfn.NORM.DIST(Table2912[[#This Row],[CH4 '[g/mmol SCFA']]],X$6,X$2,FALSE)</f>
        <v>0.23306794563048575</v>
      </c>
      <c r="BB76">
        <f>_xlfn.NORM.DIST(Table2912[[#This Row],[DMD '[mg/g']]],Y$6,Y$2,FALSE)</f>
        <v>1.1726853621609481E-3</v>
      </c>
      <c r="BC76">
        <f>_xlfn.NORM.DIST(Table2912[[#This Row],[CH4 '[ml/g']]],Z$6,Z$2,FALSE)</f>
        <v>2.9303146564802443E-2</v>
      </c>
      <c r="BD76">
        <f>_xlfn.NORM.DIST(Table2912[[#This Row],[CH4 '[% GP']]],AA$6,AA$2,FALSE)</f>
        <v>4.582030810425914E-2</v>
      </c>
      <c r="BE76">
        <f>_xlfn.NORM.DIST(Table2912[[#This Row],[CH4 '[g/g DDM']]],AB$6,AB$2,FALSE)</f>
        <v>2.8802865380226028E-2</v>
      </c>
      <c r="BG76">
        <f>IF(Table2912[[#This Row],[GP '[ml/g']]]&lt;O$10,_xlfn.NORM.DIST(Table2912[[#This Row],[GP '[ml/g']]],O$6,O$2,FALSE),-100)</f>
        <v>2.233523378685973E-3</v>
      </c>
      <c r="BH76">
        <f>IF(Table2912[[#This Row],[SCFA '[mmol/g']]]&lt;P$10,_xlfn.NORM.DIST(Table2912[[#This Row],[SCFA '[mmol/g']]],P$6,P$2,FALSE),-100)</f>
        <v>0.12803235306450592</v>
      </c>
      <c r="BI76">
        <f>IF(Table2912[[#This Row],[Acetate '[%']]]&lt;Q$10,_xlfn.NORM.DIST(Table2912[[#This Row],[Acetate '[%']]],Q$6,Q$2,FALSE),-100)</f>
        <v>-100</v>
      </c>
      <c r="BJ76">
        <f>IF(Table2912[[#This Row],[Propionate '[%']]]&lt;R$10,_xlfn.NORM.DIST(Table2912[[#This Row],[Propionate '[%']]],R$6,R$2,FALSE),-100)</f>
        <v>-100</v>
      </c>
      <c r="BK76">
        <f>IF(Table2912[[#This Row],[Butyrate '[%']]]&lt;S$10,_xlfn.NORM.DIST(Table2912[[#This Row],[Butyrate '[%']]],S$6,S$2,FALSE),-100)</f>
        <v>-100</v>
      </c>
      <c r="BL76">
        <f>IF(Table2912[[#This Row],[Valerate '[%']]]&lt;T$10,_xlfn.NORM.DIST(Table2912[[#This Row],[Valerate '[%']]],T$6,T$2,FALSE),-100)</f>
        <v>-100</v>
      </c>
      <c r="BM76">
        <f>IF(Table2912[[#This Row],[Caproate '[%']]]&lt;U$10,_xlfn.NORM.DIST(Table2912[[#This Row],[Caproate '[%']]],U$6,U$2,FALSE),-100)</f>
        <v>-100</v>
      </c>
      <c r="BN76">
        <f>IF(Table2912[[#This Row],[Isobutyrate '[%']]]&lt;V$10,_xlfn.NORM.DIST(Table2912[[#This Row],[Isobutyrate '[%']]],V$6,V$2,FALSE),-100)</f>
        <v>-100</v>
      </c>
      <c r="BO76">
        <f>IF(Table2912[[#This Row],[Isovalerate '[%']]]&lt;W$10,_xlfn.NORM.DIST(Table2912[[#This Row],[Isovalerate '[%']]],W$6,W$2,FALSE),-100)</f>
        <v>-100</v>
      </c>
      <c r="BP76">
        <f>IF(Table2912[[#This Row],[CH4 '[g/mmol SCFA']]]&lt;X$10,_xlfn.NORM.DIST(Table2912[[#This Row],[CH4 '[g/mmol SCFA']]],X$6,X$2,FALSE),-100)</f>
        <v>-100</v>
      </c>
      <c r="BQ76">
        <f>IF(Table2912[[#This Row],[DMD '[mg/g']]]&gt;Y$10,_xlfn.NORM.DIST(Table2912[[#This Row],[DMD '[mg/g']]],Y$6,Y$2,FALSE),-100)</f>
        <v>-100</v>
      </c>
      <c r="BR76">
        <f>IF(Table2912[[#This Row],[CH4 '[ml/g']]]&lt;Z$10,_xlfn.NORM.DIST(Table2912[[#This Row],[CH4 '[ml/g']]],Z$6,Z$2,FALSE),-100)</f>
        <v>-100</v>
      </c>
      <c r="BS76">
        <f>IF(Table2912[[#This Row],[CH4 '[% GP']]]&lt;AA$10,_xlfn.NORM.DIST(Table2912[[#This Row],[CH4 '[% GP']]],AA$6,AA$2,FALSE),-100)</f>
        <v>-100</v>
      </c>
      <c r="BT76">
        <f>IF(Table2912[[#This Row],[CH4 '[g/g DDM']]]&lt;AB$10,_xlfn.NORM.DIST(Table2912[[#This Row],[CH4 '[g/g DDM']]],AB$6,AB$2,FALSE),-100)</f>
        <v>-100</v>
      </c>
      <c r="CJ76" t="str">
        <v>Axonopus scoparius</v>
      </c>
      <c r="CL76" t="str">
        <v>Axonopus scoparius</v>
      </c>
    </row>
    <row r="77" spans="1:90" x14ac:dyDescent="0.25">
      <c r="A77" s="12" t="s">
        <v>86</v>
      </c>
      <c r="B77" s="13">
        <v>1054</v>
      </c>
      <c r="C77" s="103">
        <v>22396</v>
      </c>
      <c r="D77" s="104" t="s">
        <v>103</v>
      </c>
      <c r="E77" s="104" t="s">
        <v>153</v>
      </c>
      <c r="F77" t="s">
        <v>154</v>
      </c>
      <c r="G77" s="32" t="s">
        <v>73</v>
      </c>
      <c r="H77" s="32" t="s">
        <v>74</v>
      </c>
      <c r="I77" s="105" t="s">
        <v>48</v>
      </c>
      <c r="J77" s="70">
        <v>1</v>
      </c>
      <c r="K77" s="70"/>
      <c r="L77" s="70"/>
      <c r="M77" t="s">
        <v>154</v>
      </c>
      <c r="N77" t="s">
        <v>84</v>
      </c>
      <c r="O77" s="18">
        <v>177.43518882340092</v>
      </c>
      <c r="P77" s="18">
        <v>6.0895988867059598</v>
      </c>
      <c r="Q77" s="97">
        <v>0.6418926650622947</v>
      </c>
      <c r="R77" s="97">
        <v>0.18453634958288012</v>
      </c>
      <c r="S77" s="97">
        <v>9.1509031126444346E-2</v>
      </c>
      <c r="T77" s="97">
        <v>2.390701772443975E-2</v>
      </c>
      <c r="U77" s="97">
        <v>1.2572549028497025E-3</v>
      </c>
      <c r="V77" s="97">
        <v>2.0270773232492191E-2</v>
      </c>
      <c r="W77" s="97">
        <v>3.6626908368599193E-2</v>
      </c>
      <c r="X77" s="51">
        <f t="shared" si="5"/>
        <v>4.7475558896177033</v>
      </c>
      <c r="Y77" s="18">
        <v>594.15476970093857</v>
      </c>
      <c r="Z77" s="18">
        <v>28.910711059990291</v>
      </c>
      <c r="AA77" s="18">
        <f t="shared" si="6"/>
        <v>16.293673905216608</v>
      </c>
      <c r="AB77" s="18">
        <f t="shared" si="7"/>
        <v>48.658552509041016</v>
      </c>
      <c r="AC77" s="18">
        <f>$CP$15*Table2912[[#This Row],[DMD '[mg/g']]]+$CS$15*Table2912[[#This Row],[CH4 '[ml/g']]]+$CR$15*Table2912[[#This Row],[CH4 '[% GP']]]+$CQ$15*Table2912[[#This Row],[CH4 '[g/g DDM']]]</f>
        <v>1.0223325860105206</v>
      </c>
      <c r="AD77" s="18">
        <f>_xlfn.RANK.AVG(Table2912[[#This Row],[Index]],Table2912[Index])</f>
        <v>439</v>
      </c>
      <c r="AE7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5.5898745015958964</v>
      </c>
      <c r="AF77" s="18">
        <f>Table2912[[#This Row],[CH4 '[ml/g']]]/Table2912[[#This Row],[APB]]</f>
        <v>5.1719785572531816</v>
      </c>
      <c r="AG77" s="18">
        <f>Table2912[[#This Row],[Propionate '[%']]]/Table2912[[#This Row],[Acetate '[%']]]</f>
        <v>0.28748786148689071</v>
      </c>
      <c r="AH77" s="51"/>
      <c r="AI77" s="18"/>
      <c r="AJ77" s="18"/>
      <c r="AK77" s="18">
        <f>(Table2912[[#This Row],[DMD '[mg/g']]]-$AK$15)/$AK$15*100</f>
        <v>21.184571543484392</v>
      </c>
      <c r="AL77" s="18">
        <f>(Table2912[[#This Row],[CH4 '[ml/g']]]-AL$15)/AL$15*100</f>
        <v>-26.496089116959489</v>
      </c>
      <c r="AM77" s="18">
        <f>(Table2912[[#This Row],[CH4 '[% GP']]]-AM$15)/AM$15*100</f>
        <v>4.9690925052313091</v>
      </c>
      <c r="AN77" s="18">
        <f>(Table2912[[#This Row],[CH4 '[g/g DDM']]]-AN$15)/AN$15*100</f>
        <v>-4.9925733391061256</v>
      </c>
      <c r="AO77" s="18"/>
      <c r="AP77" s="18"/>
      <c r="AR77">
        <f>_xlfn.NORM.DIST(Table2912[[#This Row],[GP '[ml/g']]],O$6,O$2,FALSE)</f>
        <v>2.563443615640502E-3</v>
      </c>
      <c r="AS77">
        <f>_xlfn.NORM.DIST(Table2912[[#This Row],[SCFA '[mmol/g']]],P$6,P$2,FALSE)</f>
        <v>0.31031873549653688</v>
      </c>
      <c r="AT77">
        <f>_xlfn.NORM.DIST(Table2912[[#This Row],[Acetate '[%']]],Q$6,Q$2,FALSE)</f>
        <v>7.6754549522782769</v>
      </c>
      <c r="AU77">
        <f>_xlfn.NORM.DIST(Table2912[[#This Row],[Propionate '[%']]],R$6,R$2,FALSE)</f>
        <v>14.565943896258309</v>
      </c>
      <c r="AV77">
        <f>_xlfn.NORM.DIST(Table2912[[#This Row],[Butyrate '[%']]],S$6,S$2,FALSE)</f>
        <v>22.953585818808715</v>
      </c>
      <c r="AW77">
        <f>_xlfn.NORM.DIST(Table2912[[#This Row],[Valerate '[%']]],T$6,T$2,FALSE)</f>
        <v>37.125940195644645</v>
      </c>
      <c r="AX77">
        <f>_xlfn.NORM.DIST(Table2912[[#This Row],[Caproate '[%']]],U$6,U$2,FALSE)</f>
        <v>405.69968358696968</v>
      </c>
      <c r="AY77">
        <f>_xlfn.NORM.DIST(Table2912[[#This Row],[Isobutyrate '[%']]],V$6,V$2,FALSE)</f>
        <v>48.185961862898957</v>
      </c>
      <c r="AZ77">
        <f>_xlfn.NORM.DIST(Table2912[[#This Row],[Isovalerate '[%']]],W$6,W$2,FALSE)</f>
        <v>27.710521064617748</v>
      </c>
      <c r="BA77">
        <f>_xlfn.NORM.DIST(Table2912[[#This Row],[CH4 '[g/mmol SCFA']]],X$6,X$2,FALSE)</f>
        <v>0.15450180901008609</v>
      </c>
      <c r="BB77">
        <f>_xlfn.NORM.DIST(Table2912[[#This Row],[DMD '[mg/g']]],Y$6,Y$2,FALSE)</f>
        <v>1.2054919059339964E-3</v>
      </c>
      <c r="BC77">
        <f>_xlfn.NORM.DIST(Table2912[[#This Row],[CH4 '[ml/g']]],Z$6,Z$2,FALSE)</f>
        <v>1.9331892255595444E-2</v>
      </c>
      <c r="BD77">
        <f>_xlfn.NORM.DIST(Table2912[[#This Row],[CH4 '[% GP']]],AA$6,AA$2,FALSE)</f>
        <v>0.1343271761020417</v>
      </c>
      <c r="BE77">
        <f>_xlfn.NORM.DIST(Table2912[[#This Row],[CH4 '[g/g DDM']]],AB$6,AB$2,FALSE)</f>
        <v>3.0485696319370485E-2</v>
      </c>
      <c r="BG77">
        <f>IF(Table2912[[#This Row],[GP '[ml/g']]]&lt;O$10,_xlfn.NORM.DIST(Table2912[[#This Row],[GP '[ml/g']]],O$6,O$2,FALSE),-100)</f>
        <v>2.563443615640502E-3</v>
      </c>
      <c r="BH77">
        <f>IF(Table2912[[#This Row],[SCFA '[mmol/g']]]&lt;P$10,_xlfn.NORM.DIST(Table2912[[#This Row],[SCFA '[mmol/g']]],P$6,P$2,FALSE),-100)</f>
        <v>-100</v>
      </c>
      <c r="BI77">
        <f>IF(Table2912[[#This Row],[Acetate '[%']]]&lt;Q$10,_xlfn.NORM.DIST(Table2912[[#This Row],[Acetate '[%']]],Q$6,Q$2,FALSE),-100)</f>
        <v>7.6754549522782769</v>
      </c>
      <c r="BJ77">
        <f>IF(Table2912[[#This Row],[Propionate '[%']]]&lt;R$10,_xlfn.NORM.DIST(Table2912[[#This Row],[Propionate '[%']]],R$6,R$2,FALSE),-100)</f>
        <v>-100</v>
      </c>
      <c r="BK77">
        <f>IF(Table2912[[#This Row],[Butyrate '[%']]]&lt;S$10,_xlfn.NORM.DIST(Table2912[[#This Row],[Butyrate '[%']]],S$6,S$2,FALSE),-100)</f>
        <v>-100</v>
      </c>
      <c r="BL77">
        <f>IF(Table2912[[#This Row],[Valerate '[%']]]&lt;T$10,_xlfn.NORM.DIST(Table2912[[#This Row],[Valerate '[%']]],T$6,T$2,FALSE),-100)</f>
        <v>-100</v>
      </c>
      <c r="BM77">
        <f>IF(Table2912[[#This Row],[Caproate '[%']]]&lt;U$10,_xlfn.NORM.DIST(Table2912[[#This Row],[Caproate '[%']]],U$6,U$2,FALSE),-100)</f>
        <v>-100</v>
      </c>
      <c r="BN77">
        <f>IF(Table2912[[#This Row],[Isobutyrate '[%']]]&lt;V$10,_xlfn.NORM.DIST(Table2912[[#This Row],[Isobutyrate '[%']]],V$6,V$2,FALSE),-100)</f>
        <v>-100</v>
      </c>
      <c r="BO77">
        <f>IF(Table2912[[#This Row],[Isovalerate '[%']]]&lt;W$10,_xlfn.NORM.DIST(Table2912[[#This Row],[Isovalerate '[%']]],W$6,W$2,FALSE),-100)</f>
        <v>-100</v>
      </c>
      <c r="BP77">
        <f>IF(Table2912[[#This Row],[CH4 '[g/mmol SCFA']]]&lt;X$10,_xlfn.NORM.DIST(Table2912[[#This Row],[CH4 '[g/mmol SCFA']]],X$6,X$2,FALSE),-100)</f>
        <v>0.15450180901008609</v>
      </c>
      <c r="BQ77">
        <f>IF(Table2912[[#This Row],[DMD '[mg/g']]]&gt;Y$10,_xlfn.NORM.DIST(Table2912[[#This Row],[DMD '[mg/g']]],Y$6,Y$2,FALSE),-100)</f>
        <v>-100</v>
      </c>
      <c r="BR77">
        <f>IF(Table2912[[#This Row],[CH4 '[ml/g']]]&lt;Z$10,_xlfn.NORM.DIST(Table2912[[#This Row],[CH4 '[ml/g']]],Z$6,Z$2,FALSE),-100)</f>
        <v>1.9331892255595444E-2</v>
      </c>
      <c r="BS77">
        <f>IF(Table2912[[#This Row],[CH4 '[% GP']]]&lt;AA$10,_xlfn.NORM.DIST(Table2912[[#This Row],[CH4 '[% GP']]],AA$6,AA$2,FALSE),-100)</f>
        <v>-100</v>
      </c>
      <c r="BT77">
        <f>IF(Table2912[[#This Row],[CH4 '[g/g DDM']]]&lt;AB$10,_xlfn.NORM.DIST(Table2912[[#This Row],[CH4 '[g/g DDM']]],AB$6,AB$2,FALSE),-100)</f>
        <v>-100</v>
      </c>
      <c r="CJ77" t="str">
        <v xml:space="preserve">Gliricidia sepium  </v>
      </c>
      <c r="CL77" t="str">
        <v xml:space="preserve">Gliricidia sepium  </v>
      </c>
    </row>
    <row r="78" spans="1:90" x14ac:dyDescent="0.25">
      <c r="A78" s="12" t="s">
        <v>86</v>
      </c>
      <c r="B78" s="13">
        <v>1060</v>
      </c>
      <c r="C78" s="104" t="s">
        <v>133</v>
      </c>
      <c r="D78" s="104" t="s">
        <v>134</v>
      </c>
      <c r="E78" s="104" t="s">
        <v>135</v>
      </c>
      <c r="F78" s="104" t="s">
        <v>136</v>
      </c>
      <c r="G78" s="32" t="s">
        <v>73</v>
      </c>
      <c r="H78" s="32" t="s">
        <v>74</v>
      </c>
      <c r="I78" s="105" t="s">
        <v>44</v>
      </c>
      <c r="J78" s="70">
        <v>1</v>
      </c>
      <c r="K78" s="70"/>
      <c r="L78" s="70"/>
      <c r="M78" t="s">
        <v>136</v>
      </c>
      <c r="N78" t="s">
        <v>145</v>
      </c>
      <c r="O78" s="18">
        <v>182.90133683979792</v>
      </c>
      <c r="P78" s="18">
        <v>4.6277300756803292</v>
      </c>
      <c r="Q78" s="97">
        <v>0.6229017825131471</v>
      </c>
      <c r="R78" s="97">
        <v>0.16155284685545113</v>
      </c>
      <c r="S78" s="97">
        <v>0.11208653674943939</v>
      </c>
      <c r="T78" s="97">
        <v>2.2492940585484601E-2</v>
      </c>
      <c r="U78" s="97">
        <v>9.4098776733496261E-4</v>
      </c>
      <c r="V78" s="97">
        <v>2.6243613446057676E-2</v>
      </c>
      <c r="W78" s="97">
        <v>5.3781292083085172E-2</v>
      </c>
      <c r="X78" s="51">
        <f t="shared" si="5"/>
        <v>5.6128840423026141</v>
      </c>
      <c r="Y78" s="18">
        <v>595.04462475443586</v>
      </c>
      <c r="Z78" s="18">
        <v>25.974912293869988</v>
      </c>
      <c r="AA78" s="18">
        <f t="shared" si="6"/>
        <v>14.201597835570357</v>
      </c>
      <c r="AB78" s="18">
        <f t="shared" si="7"/>
        <v>43.652040894562084</v>
      </c>
      <c r="AC78" s="18">
        <f>$CP$15*Table2912[[#This Row],[DMD '[mg/g']]]+$CS$15*Table2912[[#This Row],[CH4 '[ml/g']]]+$CR$15*Table2912[[#This Row],[CH4 '[% GP']]]+$CQ$15*Table2912[[#This Row],[CH4 '[g/g DDM']]]</f>
        <v>4.3861267594768378</v>
      </c>
      <c r="AD78" s="18">
        <f>_xlfn.RANK.AVG(Table2912[[#This Row],[Index]],Table2912[Index])</f>
        <v>416</v>
      </c>
      <c r="AE7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4.1489505185299569</v>
      </c>
      <c r="AF78" s="18">
        <f>Table2912[[#This Row],[CH4 '[ml/g']]]/Table2912[[#This Row],[APB]]</f>
        <v>6.2605982351106313</v>
      </c>
      <c r="AG78" s="18">
        <f>Table2912[[#This Row],[Propionate '[%']]]/Table2912[[#This Row],[Acetate '[%']]]</f>
        <v>0.25935524891846229</v>
      </c>
      <c r="AH78" s="51"/>
      <c r="AI78" s="18"/>
      <c r="AJ78" s="18"/>
      <c r="AK78" s="18">
        <f>(Table2912[[#This Row],[DMD '[mg/g']]]-$AK$15)/$AK$15*100</f>
        <v>21.366067525496202</v>
      </c>
      <c r="AL78" s="18">
        <f>(Table2912[[#This Row],[CH4 '[ml/g']]]-AL$15)/AL$15*100</f>
        <v>-33.960197849106308</v>
      </c>
      <c r="AM78" s="18">
        <f>(Table2912[[#This Row],[CH4 '[% GP']]]-AM$15)/AM$15*100</f>
        <v>-8.5087350099228658</v>
      </c>
      <c r="AN78" s="18">
        <f>(Table2912[[#This Row],[CH4 '[g/g DDM']]]-AN$15)/AN$15*100</f>
        <v>-14.76795218851068</v>
      </c>
      <c r="AO78" s="18"/>
      <c r="AP78" s="18"/>
      <c r="AR78">
        <f>_xlfn.NORM.DIST(Table2912[[#This Row],[GP '[ml/g']]],O$6,O$2,FALSE)</f>
        <v>2.9626512224493343E-3</v>
      </c>
      <c r="AS78">
        <f>_xlfn.NORM.DIST(Table2912[[#This Row],[SCFA '[mmol/g']]],P$6,P$2,FALSE)</f>
        <v>9.3577205536584301E-2</v>
      </c>
      <c r="AT78">
        <f>_xlfn.NORM.DIST(Table2912[[#This Row],[Acetate '[%']]],Q$6,Q$2,FALSE)</f>
        <v>2.9501321107193474</v>
      </c>
      <c r="AU78">
        <f>_xlfn.NORM.DIST(Table2912[[#This Row],[Propionate '[%']]],R$6,R$2,FALSE)</f>
        <v>15.281030645227773</v>
      </c>
      <c r="AV78">
        <f>_xlfn.NORM.DIST(Table2912[[#This Row],[Butyrate '[%']]],S$6,S$2,FALSE)</f>
        <v>12.488517634473855</v>
      </c>
      <c r="AW78">
        <f>_xlfn.NORM.DIST(Table2912[[#This Row],[Valerate '[%']]],T$6,T$2,FALSE)</f>
        <v>49.859493829534365</v>
      </c>
      <c r="AX78">
        <f>_xlfn.NORM.DIST(Table2912[[#This Row],[Caproate '[%']]],U$6,U$2,FALSE)</f>
        <v>375.64290311766888</v>
      </c>
      <c r="AY78">
        <f>_xlfn.NORM.DIST(Table2912[[#This Row],[Isobutyrate '[%']]],V$6,V$2,FALSE)</f>
        <v>4.2763415963666995</v>
      </c>
      <c r="AZ78">
        <f>_xlfn.NORM.DIST(Table2912[[#This Row],[Isovalerate '[%']]],W$6,W$2,FALSE)</f>
        <v>0.58941267512904039</v>
      </c>
      <c r="BA78">
        <f>_xlfn.NORM.DIST(Table2912[[#This Row],[CH4 '[g/mmol SCFA']]],X$6,X$2,FALSE)</f>
        <v>0.2625436578039792</v>
      </c>
      <c r="BB78">
        <f>_xlfn.NORM.DIST(Table2912[[#This Row],[DMD '[mg/g']]],Y$6,Y$2,FALSE)</f>
        <v>1.2159333217975194E-3</v>
      </c>
      <c r="BC78">
        <f>_xlfn.NORM.DIST(Table2912[[#This Row],[CH4 '[ml/g']]],Z$6,Z$2,FALSE)</f>
        <v>1.4479894069248232E-2</v>
      </c>
      <c r="BD78">
        <f>_xlfn.NORM.DIST(Table2912[[#This Row],[CH4 '[% GP']]],AA$6,AA$2,FALSE)</f>
        <v>0.11044369878991928</v>
      </c>
      <c r="BE78">
        <f>_xlfn.NORM.DIST(Table2912[[#This Row],[CH4 '[g/g DDM']]],AB$6,AB$2,FALSE)</f>
        <v>2.3875533533351822E-2</v>
      </c>
      <c r="BG78">
        <f>IF(Table2912[[#This Row],[GP '[ml/g']]]&lt;O$10,_xlfn.NORM.DIST(Table2912[[#This Row],[GP '[ml/g']]],O$6,O$2,FALSE),-100)</f>
        <v>2.9626512224493343E-3</v>
      </c>
      <c r="BH78">
        <f>IF(Table2912[[#This Row],[SCFA '[mmol/g']]]&lt;P$10,_xlfn.NORM.DIST(Table2912[[#This Row],[SCFA '[mmol/g']]],P$6,P$2,FALSE),-100)</f>
        <v>9.3577205536584301E-2</v>
      </c>
      <c r="BI78">
        <f>IF(Table2912[[#This Row],[Acetate '[%']]]&lt;Q$10,_xlfn.NORM.DIST(Table2912[[#This Row],[Acetate '[%']]],Q$6,Q$2,FALSE),-100)</f>
        <v>2.9501321107193474</v>
      </c>
      <c r="BJ78">
        <f>IF(Table2912[[#This Row],[Propionate '[%']]]&lt;R$10,_xlfn.NORM.DIST(Table2912[[#This Row],[Propionate '[%']]],R$6,R$2,FALSE),-100)</f>
        <v>-100</v>
      </c>
      <c r="BK78">
        <f>IF(Table2912[[#This Row],[Butyrate '[%']]]&lt;S$10,_xlfn.NORM.DIST(Table2912[[#This Row],[Butyrate '[%']]],S$6,S$2,FALSE),-100)</f>
        <v>-100</v>
      </c>
      <c r="BL78">
        <f>IF(Table2912[[#This Row],[Valerate '[%']]]&lt;T$10,_xlfn.NORM.DIST(Table2912[[#This Row],[Valerate '[%']]],T$6,T$2,FALSE),-100)</f>
        <v>-100</v>
      </c>
      <c r="BM78">
        <f>IF(Table2912[[#This Row],[Caproate '[%']]]&lt;U$10,_xlfn.NORM.DIST(Table2912[[#This Row],[Caproate '[%']]],U$6,U$2,FALSE),-100)</f>
        <v>-100</v>
      </c>
      <c r="BN78">
        <f>IF(Table2912[[#This Row],[Isobutyrate '[%']]]&lt;V$10,_xlfn.NORM.DIST(Table2912[[#This Row],[Isobutyrate '[%']]],V$6,V$2,FALSE),-100)</f>
        <v>-100</v>
      </c>
      <c r="BO78">
        <f>IF(Table2912[[#This Row],[Isovalerate '[%']]]&lt;W$10,_xlfn.NORM.DIST(Table2912[[#This Row],[Isovalerate '[%']]],W$6,W$2,FALSE),-100)</f>
        <v>-100</v>
      </c>
      <c r="BP78">
        <f>IF(Table2912[[#This Row],[CH4 '[g/mmol SCFA']]]&lt;X$10,_xlfn.NORM.DIST(Table2912[[#This Row],[CH4 '[g/mmol SCFA']]],X$6,X$2,FALSE),-100)</f>
        <v>-100</v>
      </c>
      <c r="BQ78">
        <f>IF(Table2912[[#This Row],[DMD '[mg/g']]]&gt;Y$10,_xlfn.NORM.DIST(Table2912[[#This Row],[DMD '[mg/g']]],Y$6,Y$2,FALSE),-100)</f>
        <v>-100</v>
      </c>
      <c r="BR78">
        <f>IF(Table2912[[#This Row],[CH4 '[ml/g']]]&lt;Z$10,_xlfn.NORM.DIST(Table2912[[#This Row],[CH4 '[ml/g']]],Z$6,Z$2,FALSE),-100)</f>
        <v>1.4479894069248232E-2</v>
      </c>
      <c r="BS78">
        <f>IF(Table2912[[#This Row],[CH4 '[% GP']]]&lt;AA$10,_xlfn.NORM.DIST(Table2912[[#This Row],[CH4 '[% GP']]],AA$6,AA$2,FALSE),-100)</f>
        <v>-100</v>
      </c>
      <c r="BT78">
        <f>IF(Table2912[[#This Row],[CH4 '[g/g DDM']]]&lt;AB$10,_xlfn.NORM.DIST(Table2912[[#This Row],[CH4 '[g/g DDM']]],AB$6,AB$2,FALSE),-100)</f>
        <v>-100</v>
      </c>
      <c r="CJ78" t="str">
        <v>Chloris gayana</v>
      </c>
      <c r="CL78" t="str">
        <v>Chloris gayana</v>
      </c>
    </row>
    <row r="79" spans="1:90" x14ac:dyDescent="0.25">
      <c r="A79" s="12" t="s">
        <v>70</v>
      </c>
      <c r="B79" s="13">
        <v>1020</v>
      </c>
      <c r="C79" s="96" t="s">
        <v>155</v>
      </c>
      <c r="D79" s="96"/>
      <c r="E79" s="96"/>
      <c r="F79" s="96" t="s">
        <v>156</v>
      </c>
      <c r="G79" t="s">
        <v>73</v>
      </c>
      <c r="H79" t="s">
        <v>74</v>
      </c>
      <c r="I79" t="s">
        <v>75</v>
      </c>
      <c r="J79" s="100">
        <v>3</v>
      </c>
      <c r="K79" s="100"/>
      <c r="L79" s="100"/>
      <c r="M79" t="s">
        <v>156</v>
      </c>
      <c r="N79" t="s">
        <v>81</v>
      </c>
      <c r="O79" s="18">
        <v>234.8972332015808</v>
      </c>
      <c r="P79" s="18">
        <v>7.0269523652675829</v>
      </c>
      <c r="Q79" s="97">
        <v>0.6703703505579619</v>
      </c>
      <c r="R79" s="97">
        <v>0.16665580485072073</v>
      </c>
      <c r="S79" s="97">
        <v>0.10180282798740466</v>
      </c>
      <c r="T79" s="97">
        <v>1.7035604432416016E-2</v>
      </c>
      <c r="U79" s="97">
        <v>9.5389749275204077E-4</v>
      </c>
      <c r="V79" s="97">
        <v>1.6195909502199096E-2</v>
      </c>
      <c r="W79" s="97">
        <v>2.6985605176545573E-2</v>
      </c>
      <c r="X79" s="51">
        <f t="shared" si="5"/>
        <v>5.4484266044710044</v>
      </c>
      <c r="Y79" s="18">
        <v>595.7927271333067</v>
      </c>
      <c r="Z79" s="18">
        <v>38.285834215274349</v>
      </c>
      <c r="AA79" s="18">
        <f t="shared" si="6"/>
        <v>16.298971977425868</v>
      </c>
      <c r="AB79" s="18">
        <f t="shared" si="7"/>
        <v>64.260324894345374</v>
      </c>
      <c r="AC79" s="18">
        <f>$CP$15*Table2912[[#This Row],[DMD '[mg/g']]]+$CS$15*Table2912[[#This Row],[CH4 '[ml/g']]]+$CR$15*Table2912[[#This Row],[CH4 '[% GP']]]+$CQ$15*Table2912[[#This Row],[CH4 '[g/g DDM']]]</f>
        <v>-7.1328044473857588</v>
      </c>
      <c r="AD79" s="18">
        <f>_xlfn.RANK.AVG(Table2912[[#This Row],[Index]],Table2912[Index])</f>
        <v>478</v>
      </c>
      <c r="AE7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6.5971065454568958</v>
      </c>
      <c r="AF79" s="18">
        <f>Table2912[[#This Row],[CH4 '[ml/g']]]/Table2912[[#This Row],[APB]]</f>
        <v>5.8034282077253891</v>
      </c>
      <c r="AG79" s="18">
        <f>Table2912[[#This Row],[Propionate '[%']]]/Table2912[[#This Row],[Acetate '[%']]]</f>
        <v>0.24860258916882283</v>
      </c>
      <c r="AH79" s="51"/>
      <c r="AI79" s="18"/>
      <c r="AJ79" s="18"/>
      <c r="AK79" s="18">
        <f>(Table2912[[#This Row],[DMD '[mg/g']]]-$AK$15)/$AK$15*100</f>
        <v>21.518651449546422</v>
      </c>
      <c r="AL79" s="18">
        <f>(Table2912[[#This Row],[CH4 '[ml/g']]]-AL$15)/AL$15*100</f>
        <v>-2.6603482562931444</v>
      </c>
      <c r="AM79" s="18">
        <f>(Table2912[[#This Row],[CH4 '[% GP']]]-AM$15)/AM$15*100</f>
        <v>5.0032243919419681</v>
      </c>
      <c r="AN79" s="18">
        <f>(Table2912[[#This Row],[CH4 '[g/g DDM']]]-AN$15)/AN$15*100</f>
        <v>25.4704011893973</v>
      </c>
      <c r="AO79" s="18"/>
      <c r="AP79" s="18"/>
      <c r="AR79">
        <f>_xlfn.NORM.DIST(Table2912[[#This Row],[GP '[ml/g']]],O$6,O$2,FALSE)</f>
        <v>6.9426279778688847E-3</v>
      </c>
      <c r="AS79">
        <f>_xlfn.NORM.DIST(Table2912[[#This Row],[SCFA '[mmol/g']]],P$6,P$2,FALSE)</f>
        <v>0.30613790768394572</v>
      </c>
      <c r="AT79">
        <f>_xlfn.NORM.DIST(Table2912[[#This Row],[Acetate '[%']]],Q$6,Q$2,FALSE)</f>
        <v>13.96126477089258</v>
      </c>
      <c r="AU79">
        <f>_xlfn.NORM.DIST(Table2912[[#This Row],[Propionate '[%']]],R$6,R$2,FALSE)</f>
        <v>16.391939216636864</v>
      </c>
      <c r="AV79">
        <f>_xlfn.NORM.DIST(Table2912[[#This Row],[Butyrate '[%']]],S$6,S$2,FALSE)</f>
        <v>20.193869831890314</v>
      </c>
      <c r="AW79">
        <f>_xlfn.NORM.DIST(Table2912[[#This Row],[Valerate '[%']]],T$6,T$2,FALSE)</f>
        <v>76.831227077657573</v>
      </c>
      <c r="AX79">
        <f>_xlfn.NORM.DIST(Table2912[[#This Row],[Caproate '[%']]],U$6,U$2,FALSE)</f>
        <v>377.59347413934518</v>
      </c>
      <c r="AY79">
        <f>_xlfn.NORM.DIST(Table2912[[#This Row],[Isobutyrate '[%']]],V$6,V$2,FALSE)</f>
        <v>88.39985303753447</v>
      </c>
      <c r="AZ79">
        <f>_xlfn.NORM.DIST(Table2912[[#This Row],[Isovalerate '[%']]],W$6,W$2,FALSE)</f>
        <v>45.186893006827695</v>
      </c>
      <c r="BA79">
        <f>_xlfn.NORM.DIST(Table2912[[#This Row],[CH4 '[g/mmol SCFA']]],X$6,X$2,FALSE)</f>
        <v>0.24510301910437921</v>
      </c>
      <c r="BB79">
        <f>_xlfn.NORM.DIST(Table2912[[#This Row],[DMD '[mg/g']]],Y$6,Y$2,FALSE)</f>
        <v>1.2247412866935349E-3</v>
      </c>
      <c r="BC79">
        <f>_xlfn.NORM.DIST(Table2912[[#This Row],[CH4 '[ml/g']]],Z$6,Z$2,FALSE)</f>
        <v>3.2380715833468458E-2</v>
      </c>
      <c r="BD79">
        <f>_xlfn.NORM.DIST(Table2912[[#This Row],[CH4 '[% GP']]],AA$6,AA$2,FALSE)</f>
        <v>0.13430867032114857</v>
      </c>
      <c r="BE79">
        <f>_xlfn.NORM.DIST(Table2912[[#This Row],[CH4 '[g/g DDM']]],AB$6,AB$2,FALSE)</f>
        <v>2.1949064617987915E-2</v>
      </c>
      <c r="BG79">
        <f>IF(Table2912[[#This Row],[GP '[ml/g']]]&lt;O$10,_xlfn.NORM.DIST(Table2912[[#This Row],[GP '[ml/g']]],O$6,O$2,FALSE),-100)</f>
        <v>-100</v>
      </c>
      <c r="BH79">
        <f>IF(Table2912[[#This Row],[SCFA '[mmol/g']]]&lt;P$10,_xlfn.NORM.DIST(Table2912[[#This Row],[SCFA '[mmol/g']]],P$6,P$2,FALSE),-100)</f>
        <v>-100</v>
      </c>
      <c r="BI79">
        <f>IF(Table2912[[#This Row],[Acetate '[%']]]&lt;Q$10,_xlfn.NORM.DIST(Table2912[[#This Row],[Acetate '[%']]],Q$6,Q$2,FALSE),-100)</f>
        <v>-100</v>
      </c>
      <c r="BJ79">
        <f>IF(Table2912[[#This Row],[Propionate '[%']]]&lt;R$10,_xlfn.NORM.DIST(Table2912[[#This Row],[Propionate '[%']]],R$6,R$2,FALSE),-100)</f>
        <v>-100</v>
      </c>
      <c r="BK79">
        <f>IF(Table2912[[#This Row],[Butyrate '[%']]]&lt;S$10,_xlfn.NORM.DIST(Table2912[[#This Row],[Butyrate '[%']]],S$6,S$2,FALSE),-100)</f>
        <v>-100</v>
      </c>
      <c r="BL79">
        <f>IF(Table2912[[#This Row],[Valerate '[%']]]&lt;T$10,_xlfn.NORM.DIST(Table2912[[#This Row],[Valerate '[%']]],T$6,T$2,FALSE),-100)</f>
        <v>-100</v>
      </c>
      <c r="BM79">
        <f>IF(Table2912[[#This Row],[Caproate '[%']]]&lt;U$10,_xlfn.NORM.DIST(Table2912[[#This Row],[Caproate '[%']]],U$6,U$2,FALSE),-100)</f>
        <v>-100</v>
      </c>
      <c r="BN79">
        <f>IF(Table2912[[#This Row],[Isobutyrate '[%']]]&lt;V$10,_xlfn.NORM.DIST(Table2912[[#This Row],[Isobutyrate '[%']]],V$6,V$2,FALSE),-100)</f>
        <v>-100</v>
      </c>
      <c r="BO79">
        <f>IF(Table2912[[#This Row],[Isovalerate '[%']]]&lt;W$10,_xlfn.NORM.DIST(Table2912[[#This Row],[Isovalerate '[%']]],W$6,W$2,FALSE),-100)</f>
        <v>-100</v>
      </c>
      <c r="BP79">
        <f>IF(Table2912[[#This Row],[CH4 '[g/mmol SCFA']]]&lt;X$10,_xlfn.NORM.DIST(Table2912[[#This Row],[CH4 '[g/mmol SCFA']]],X$6,X$2,FALSE),-100)</f>
        <v>-100</v>
      </c>
      <c r="BQ79">
        <f>IF(Table2912[[#This Row],[DMD '[mg/g']]]&gt;Y$10,_xlfn.NORM.DIST(Table2912[[#This Row],[DMD '[mg/g']]],Y$6,Y$2,FALSE),-100)</f>
        <v>-100</v>
      </c>
      <c r="BR79">
        <f>IF(Table2912[[#This Row],[CH4 '[ml/g']]]&lt;Z$10,_xlfn.NORM.DIST(Table2912[[#This Row],[CH4 '[ml/g']]],Z$6,Z$2,FALSE),-100)</f>
        <v>-100</v>
      </c>
      <c r="BS79">
        <f>IF(Table2912[[#This Row],[CH4 '[% GP']]]&lt;AA$10,_xlfn.NORM.DIST(Table2912[[#This Row],[CH4 '[% GP']]],AA$6,AA$2,FALSE),-100)</f>
        <v>-100</v>
      </c>
      <c r="BT79">
        <f>IF(Table2912[[#This Row],[CH4 '[g/g DDM']]]&lt;AB$10,_xlfn.NORM.DIST(Table2912[[#This Row],[CH4 '[g/g DDM']]],AB$6,AB$2,FALSE),-100)</f>
        <v>-100</v>
      </c>
      <c r="CJ79" t="str">
        <v>Centrosema   schottii</v>
      </c>
      <c r="CL79" t="str">
        <v>Centrosema platycarpum</v>
      </c>
    </row>
    <row r="80" spans="1:90" x14ac:dyDescent="0.25">
      <c r="A80" s="12" t="s">
        <v>86</v>
      </c>
      <c r="B80" s="13">
        <v>1049</v>
      </c>
      <c r="C80" s="104" t="s">
        <v>157</v>
      </c>
      <c r="D80" s="104" t="s">
        <v>158</v>
      </c>
      <c r="E80" s="104" t="s">
        <v>159</v>
      </c>
      <c r="F80" s="104" t="s">
        <v>160</v>
      </c>
      <c r="G80" s="23" t="s">
        <v>73</v>
      </c>
      <c r="H80" s="23" t="s">
        <v>74</v>
      </c>
      <c r="I80" s="104" t="s">
        <v>44</v>
      </c>
      <c r="J80" s="100">
        <v>3</v>
      </c>
      <c r="K80" s="100"/>
      <c r="L80" s="100"/>
      <c r="M80" t="s">
        <v>160</v>
      </c>
      <c r="N80" t="s">
        <v>98</v>
      </c>
      <c r="O80" s="18">
        <v>159.81335107562666</v>
      </c>
      <c r="P80" s="18">
        <v>4.5095438897363538</v>
      </c>
      <c r="Q80" s="97">
        <v>0.70566106832574205</v>
      </c>
      <c r="R80" s="97">
        <v>0.15982735960843755</v>
      </c>
      <c r="S80" s="97">
        <v>6.143326008173447E-2</v>
      </c>
      <c r="T80" s="97">
        <v>1.9028853151505876E-2</v>
      </c>
      <c r="U80" s="97">
        <v>6.1854304501930465E-3</v>
      </c>
      <c r="V80" s="97">
        <v>1.6478873797368759E-2</v>
      </c>
      <c r="W80" s="97">
        <v>3.1385154585018213E-2</v>
      </c>
      <c r="X80" s="51">
        <f t="shared" si="5"/>
        <v>6.1675041089019951</v>
      </c>
      <c r="Y80" s="18">
        <v>596.44191207194831</v>
      </c>
      <c r="Z80" s="18">
        <v>27.812630469222846</v>
      </c>
      <c r="AA80" s="18">
        <f t="shared" si="6"/>
        <v>17.403195841917732</v>
      </c>
      <c r="AB80" s="18">
        <f t="shared" si="7"/>
        <v>46.630912258674122</v>
      </c>
      <c r="AC80" s="18">
        <f>$CP$15*Table2912[[#This Row],[DMD '[mg/g']]]+$CS$15*Table2912[[#This Row],[CH4 '[ml/g']]]+$CR$15*Table2912[[#This Row],[CH4 '[% GP']]]+$CQ$15*Table2912[[#This Row],[CH4 '[g/g DDM']]]</f>
        <v>1.9533597232613147</v>
      </c>
      <c r="AD80" s="18">
        <f>_xlfn.RANK.AVG(Table2912[[#This Row],[Index]],Table2912[Index])</f>
        <v>434</v>
      </c>
      <c r="AE8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4.1799940344562723</v>
      </c>
      <c r="AF80" s="18">
        <f>Table2912[[#This Row],[CH4 '[ml/g']]]/Table2912[[#This Row],[APB]]</f>
        <v>6.6537488426919902</v>
      </c>
      <c r="AG80" s="18">
        <f>Table2912[[#This Row],[Propionate '[%']]]/Table2912[[#This Row],[Acetate '[%']]]</f>
        <v>0.22649309531507161</v>
      </c>
      <c r="AH80" s="51"/>
      <c r="AI80" s="18"/>
      <c r="AJ80" s="18"/>
      <c r="AK80" s="18">
        <f>(Table2912[[#This Row],[DMD '[mg/g']]]-$AK$15)/$AK$15*100</f>
        <v>21.651060045174404</v>
      </c>
      <c r="AL80" s="18">
        <f>(Table2912[[#This Row],[CH4 '[ml/g']]]-AL$15)/AL$15*100</f>
        <v>-29.287899312104297</v>
      </c>
      <c r="AM80" s="18">
        <f>(Table2912[[#This Row],[CH4 '[% GP']]]-AM$15)/AM$15*100</f>
        <v>12.116989995242815</v>
      </c>
      <c r="AN80" s="18">
        <f>(Table2912[[#This Row],[CH4 '[g/g DDM']]]-AN$15)/AN$15*100</f>
        <v>-8.9516077215122909</v>
      </c>
      <c r="AO80" s="18"/>
      <c r="AP80" s="18"/>
      <c r="AR80">
        <f>_xlfn.NORM.DIST(Table2912[[#This Row],[GP '[ml/g']]],O$6,O$2,FALSE)</f>
        <v>1.4966780594117455E-3</v>
      </c>
      <c r="AS80">
        <f>_xlfn.NORM.DIST(Table2912[[#This Row],[SCFA '[mmol/g']]],P$6,P$2,FALSE)</f>
        <v>7.9591974539454408E-2</v>
      </c>
      <c r="AT80">
        <f>_xlfn.NORM.DIST(Table2912[[#This Row],[Acetate '[%']]],Q$6,Q$2,FALSE)</f>
        <v>7.2909587436291048</v>
      </c>
      <c r="AU80">
        <f>_xlfn.NORM.DIST(Table2912[[#This Row],[Propionate '[%']]],R$6,R$2,FALSE)</f>
        <v>14.767763028397775</v>
      </c>
      <c r="AV80">
        <f>_xlfn.NORM.DIST(Table2912[[#This Row],[Butyrate '[%']]],S$6,S$2,FALSE)</f>
        <v>4.4134910133992298</v>
      </c>
      <c r="AW80">
        <f>_xlfn.NORM.DIST(Table2912[[#This Row],[Valerate '[%']]],T$6,T$2,FALSE)</f>
        <v>74.710114199213464</v>
      </c>
      <c r="AX80">
        <f>_xlfn.NORM.DIST(Table2912[[#This Row],[Caproate '[%']]],U$6,U$2,FALSE)</f>
        <v>1.9511356694560044E-3</v>
      </c>
      <c r="AY80">
        <f>_xlfn.NORM.DIST(Table2912[[#This Row],[Isobutyrate '[%']]],V$6,V$2,FALSE)</f>
        <v>87.106636488401151</v>
      </c>
      <c r="AZ80">
        <f>_xlfn.NORM.DIST(Table2912[[#This Row],[Isovalerate '[%']]],W$6,W$2,FALSE)</f>
        <v>41.980024382209912</v>
      </c>
      <c r="BA80">
        <f>_xlfn.NORM.DIST(Table2912[[#This Row],[CH4 '[g/mmol SCFA']]],X$6,X$2,FALSE)</f>
        <v>0.29631176003772447</v>
      </c>
      <c r="BB80">
        <f>_xlfn.NORM.DIST(Table2912[[#This Row],[DMD '[mg/g']]],Y$6,Y$2,FALSE)</f>
        <v>1.2324064484608571E-3</v>
      </c>
      <c r="BC80">
        <f>_xlfn.NORM.DIST(Table2912[[#This Row],[CH4 '[ml/g']]],Z$6,Z$2,FALSE)</f>
        <v>1.7475155078621032E-2</v>
      </c>
      <c r="BD80">
        <f>_xlfn.NORM.DIST(Table2912[[#This Row],[CH4 '[% GP']]],AA$6,AA$2,FALSE)</f>
        <v>0.12170159850308325</v>
      </c>
      <c r="BE80">
        <f>_xlfn.NORM.DIST(Table2912[[#This Row],[CH4 '[g/g DDM']]],AB$6,AB$2,FALSE)</f>
        <v>2.818397635332353E-2</v>
      </c>
      <c r="BG80">
        <f>IF(Table2912[[#This Row],[GP '[ml/g']]]&lt;O$10,_xlfn.NORM.DIST(Table2912[[#This Row],[GP '[ml/g']]],O$6,O$2,FALSE),-100)</f>
        <v>1.4966780594117455E-3</v>
      </c>
      <c r="BH80">
        <f>IF(Table2912[[#This Row],[SCFA '[mmol/g']]]&lt;P$10,_xlfn.NORM.DIST(Table2912[[#This Row],[SCFA '[mmol/g']]],P$6,P$2,FALSE),-100)</f>
        <v>7.9591974539454408E-2</v>
      </c>
      <c r="BI80">
        <f>IF(Table2912[[#This Row],[Acetate '[%']]]&lt;Q$10,_xlfn.NORM.DIST(Table2912[[#This Row],[Acetate '[%']]],Q$6,Q$2,FALSE),-100)</f>
        <v>-100</v>
      </c>
      <c r="BJ80">
        <f>IF(Table2912[[#This Row],[Propionate '[%']]]&lt;R$10,_xlfn.NORM.DIST(Table2912[[#This Row],[Propionate '[%']]],R$6,R$2,FALSE),-100)</f>
        <v>-100</v>
      </c>
      <c r="BK80">
        <f>IF(Table2912[[#This Row],[Butyrate '[%']]]&lt;S$10,_xlfn.NORM.DIST(Table2912[[#This Row],[Butyrate '[%']]],S$6,S$2,FALSE),-100)</f>
        <v>4.4134910133992298</v>
      </c>
      <c r="BL80">
        <f>IF(Table2912[[#This Row],[Valerate '[%']]]&lt;T$10,_xlfn.NORM.DIST(Table2912[[#This Row],[Valerate '[%']]],T$6,T$2,FALSE),-100)</f>
        <v>-100</v>
      </c>
      <c r="BM80">
        <f>IF(Table2912[[#This Row],[Caproate '[%']]]&lt;U$10,_xlfn.NORM.DIST(Table2912[[#This Row],[Caproate '[%']]],U$6,U$2,FALSE),-100)</f>
        <v>-100</v>
      </c>
      <c r="BN80">
        <f>IF(Table2912[[#This Row],[Isobutyrate '[%']]]&lt;V$10,_xlfn.NORM.DIST(Table2912[[#This Row],[Isobutyrate '[%']]],V$6,V$2,FALSE),-100)</f>
        <v>-100</v>
      </c>
      <c r="BO80">
        <f>IF(Table2912[[#This Row],[Isovalerate '[%']]]&lt;W$10,_xlfn.NORM.DIST(Table2912[[#This Row],[Isovalerate '[%']]],W$6,W$2,FALSE),-100)</f>
        <v>-100</v>
      </c>
      <c r="BP80">
        <f>IF(Table2912[[#This Row],[CH4 '[g/mmol SCFA']]]&lt;X$10,_xlfn.NORM.DIST(Table2912[[#This Row],[CH4 '[g/mmol SCFA']]],X$6,X$2,FALSE),-100)</f>
        <v>-100</v>
      </c>
      <c r="BQ80">
        <f>IF(Table2912[[#This Row],[DMD '[mg/g']]]&gt;Y$10,_xlfn.NORM.DIST(Table2912[[#This Row],[DMD '[mg/g']]],Y$6,Y$2,FALSE),-100)</f>
        <v>-100</v>
      </c>
      <c r="BR80">
        <f>IF(Table2912[[#This Row],[CH4 '[ml/g']]]&lt;Z$10,_xlfn.NORM.DIST(Table2912[[#This Row],[CH4 '[ml/g']]],Z$6,Z$2,FALSE),-100)</f>
        <v>1.7475155078621032E-2</v>
      </c>
      <c r="BS80">
        <f>IF(Table2912[[#This Row],[CH4 '[% GP']]]&lt;AA$10,_xlfn.NORM.DIST(Table2912[[#This Row],[CH4 '[% GP']]],AA$6,AA$2,FALSE),-100)</f>
        <v>-100</v>
      </c>
      <c r="BT80">
        <f>IF(Table2912[[#This Row],[CH4 '[g/g DDM']]]&lt;AB$10,_xlfn.NORM.DIST(Table2912[[#This Row],[CH4 '[g/g DDM']]],AB$6,AB$2,FALSE),-100)</f>
        <v>-100</v>
      </c>
      <c r="CJ80" t="str">
        <v xml:space="preserve">Macrotyloma axillare  </v>
      </c>
      <c r="CL80" t="str">
        <v>Centrosema   schottii</v>
      </c>
    </row>
    <row r="81" spans="1:90" x14ac:dyDescent="0.25">
      <c r="A81" s="12" t="s">
        <v>86</v>
      </c>
      <c r="B81" s="13">
        <v>1071</v>
      </c>
      <c r="C81" s="32">
        <v>17238</v>
      </c>
      <c r="D81" s="104" t="s">
        <v>161</v>
      </c>
      <c r="E81" s="104" t="s">
        <v>97</v>
      </c>
      <c r="F81" s="104" t="s">
        <v>162</v>
      </c>
      <c r="G81" s="23" t="s">
        <v>73</v>
      </c>
      <c r="H81" s="23" t="s">
        <v>74</v>
      </c>
      <c r="I81" s="105" t="s">
        <v>44</v>
      </c>
      <c r="J81" s="70">
        <v>1</v>
      </c>
      <c r="K81" s="70"/>
      <c r="L81" s="70"/>
      <c r="M81" t="s">
        <v>163</v>
      </c>
      <c r="N81" t="s">
        <v>124</v>
      </c>
      <c r="O81" s="18">
        <v>179.63414902998173</v>
      </c>
      <c r="P81" s="18">
        <v>4.7432760141093464</v>
      </c>
      <c r="Q81" s="97">
        <v>0.67782013682148112</v>
      </c>
      <c r="R81" s="97">
        <v>0.17093296166834077</v>
      </c>
      <c r="S81" s="97">
        <v>7.0659249795237952E-2</v>
      </c>
      <c r="T81" s="97">
        <v>1.6712204243748544E-2</v>
      </c>
      <c r="U81" s="97">
        <v>9.770552186644211E-4</v>
      </c>
      <c r="V81" s="97">
        <v>2.2125723345721202E-2</v>
      </c>
      <c r="W81" s="97">
        <v>4.0772668906806073E-2</v>
      </c>
      <c r="X81" s="51">
        <f t="shared" si="5"/>
        <v>7.4057956577745578</v>
      </c>
      <c r="Y81" s="18">
        <v>597.66313932980597</v>
      </c>
      <c r="Z81" s="18">
        <v>35.12773290891721</v>
      </c>
      <c r="AA81" s="18">
        <f t="shared" si="6"/>
        <v>19.555153125731252</v>
      </c>
      <c r="AB81" s="18">
        <f t="shared" si="7"/>
        <v>58.775137025027107</v>
      </c>
      <c r="AC81" s="18">
        <f>$CP$15*Table2912[[#This Row],[DMD '[mg/g']]]+$CS$15*Table2912[[#This Row],[CH4 '[ml/g']]]+$CR$15*Table2912[[#This Row],[CH4 '[% GP']]]+$CQ$15*Table2912[[#This Row],[CH4 '[g/g DDM']]]</f>
        <v>-5.0324916716156238</v>
      </c>
      <c r="AD81" s="18">
        <f>_xlfn.RANK.AVG(Table2912[[#This Row],[Index]],Table2912[Index])</f>
        <v>471</v>
      </c>
      <c r="AE8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4.3610265386964731</v>
      </c>
      <c r="AF81" s="18">
        <f>Table2912[[#This Row],[CH4 '[ml/g']]]/Table2912[[#This Row],[APB]]</f>
        <v>8.0549229859575728</v>
      </c>
      <c r="AG81" s="18">
        <f>Table2912[[#This Row],[Propionate '[%']]]/Table2912[[#This Row],[Acetate '[%']]]</f>
        <v>0.25218041244673101</v>
      </c>
      <c r="AH81" s="51"/>
      <c r="AI81" s="18"/>
      <c r="AJ81" s="18"/>
      <c r="AK81" s="18">
        <f>(Table2912[[#This Row],[DMD '[mg/g']]]-$AK$15)/$AK$15*100</f>
        <v>21.900143128484824</v>
      </c>
      <c r="AL81" s="18">
        <f>(Table2912[[#This Row],[CH4 '[ml/g']]]-AL$15)/AL$15*100</f>
        <v>-10.689649109544691</v>
      </c>
      <c r="AM81" s="18">
        <f>(Table2912[[#This Row],[CH4 '[% GP']]]-AM$15)/AM$15*100</f>
        <v>25.980591568833084</v>
      </c>
      <c r="AN81" s="18">
        <f>(Table2912[[#This Row],[CH4 '[g/g DDM']]]-AN$15)/AN$15*100</f>
        <v>14.760391184092466</v>
      </c>
      <c r="AO81" s="18"/>
      <c r="AP81" s="18"/>
      <c r="AR81">
        <f>_xlfn.NORM.DIST(Table2912[[#This Row],[GP '[ml/g']]],O$6,O$2,FALSE)</f>
        <v>2.7205621073900627E-3</v>
      </c>
      <c r="AS81">
        <f>_xlfn.NORM.DIST(Table2912[[#This Row],[SCFA '[mmol/g']]],P$6,P$2,FALSE)</f>
        <v>0.10859771253153534</v>
      </c>
      <c r="AT81">
        <f>_xlfn.NORM.DIST(Table2912[[#This Row],[Acetate '[%']]],Q$6,Q$2,FALSE)</f>
        <v>13.837060839874194</v>
      </c>
      <c r="AU81">
        <f>_xlfn.NORM.DIST(Table2912[[#This Row],[Propionate '[%']]],R$6,R$2,FALSE)</f>
        <v>16.77809781694766</v>
      </c>
      <c r="AV81">
        <f>_xlfn.NORM.DIST(Table2912[[#This Row],[Butyrate '[%']]],S$6,S$2,FALSE)</f>
        <v>10.084208831109537</v>
      </c>
      <c r="AW81">
        <f>_xlfn.NORM.DIST(Table2912[[#This Row],[Valerate '[%']]],T$6,T$2,FALSE)</f>
        <v>76.100489685087425</v>
      </c>
      <c r="AX81">
        <f>_xlfn.NORM.DIST(Table2912[[#This Row],[Caproate '[%']]],U$6,U$2,FALSE)</f>
        <v>380.95231180579771</v>
      </c>
      <c r="AY81">
        <f>_xlfn.NORM.DIST(Table2912[[#This Row],[Isobutyrate '[%']]],V$6,V$2,FALSE)</f>
        <v>27.603734181962114</v>
      </c>
      <c r="AZ81">
        <f>_xlfn.NORM.DIST(Table2912[[#This Row],[Isovalerate '[%']]],W$6,W$2,FALSE)</f>
        <v>15.501565008542197</v>
      </c>
      <c r="BA81">
        <f>_xlfn.NORM.DIST(Table2912[[#This Row],[CH4 '[g/mmol SCFA']]],X$6,X$2,FALSE)</f>
        <v>0.20947979969305061</v>
      </c>
      <c r="BB81">
        <f>_xlfn.NORM.DIST(Table2912[[#This Row],[DMD '[mg/g']]],Y$6,Y$2,FALSE)</f>
        <v>1.2468800791610259E-3</v>
      </c>
      <c r="BC81">
        <f>_xlfn.NORM.DIST(Table2912[[#This Row],[CH4 '[ml/g']]],Z$6,Z$2,FALSE)</f>
        <v>2.9167527199439509E-2</v>
      </c>
      <c r="BD81">
        <f>_xlfn.NORM.DIST(Table2912[[#This Row],[CH4 '[% GP']]],AA$6,AA$2,FALSE)</f>
        <v>6.7353852232885508E-2</v>
      </c>
      <c r="BE81">
        <f>_xlfn.NORM.DIST(Table2912[[#This Row],[CH4 '[g/g DDM']]],AB$6,AB$2,FALSE)</f>
        <v>2.9736571351766525E-2</v>
      </c>
      <c r="BG81">
        <f>IF(Table2912[[#This Row],[GP '[ml/g']]]&lt;O$10,_xlfn.NORM.DIST(Table2912[[#This Row],[GP '[ml/g']]],O$6,O$2,FALSE),-100)</f>
        <v>2.7205621073900627E-3</v>
      </c>
      <c r="BH81">
        <f>IF(Table2912[[#This Row],[SCFA '[mmol/g']]]&lt;P$10,_xlfn.NORM.DIST(Table2912[[#This Row],[SCFA '[mmol/g']]],P$6,P$2,FALSE),-100)</f>
        <v>0.10859771253153534</v>
      </c>
      <c r="BI81">
        <f>IF(Table2912[[#This Row],[Acetate '[%']]]&lt;Q$10,_xlfn.NORM.DIST(Table2912[[#This Row],[Acetate '[%']]],Q$6,Q$2,FALSE),-100)</f>
        <v>-100</v>
      </c>
      <c r="BJ81">
        <f>IF(Table2912[[#This Row],[Propionate '[%']]]&lt;R$10,_xlfn.NORM.DIST(Table2912[[#This Row],[Propionate '[%']]],R$6,R$2,FALSE),-100)</f>
        <v>-100</v>
      </c>
      <c r="BK81">
        <f>IF(Table2912[[#This Row],[Butyrate '[%']]]&lt;S$10,_xlfn.NORM.DIST(Table2912[[#This Row],[Butyrate '[%']]],S$6,S$2,FALSE),-100)</f>
        <v>10.084208831109537</v>
      </c>
      <c r="BL81">
        <f>IF(Table2912[[#This Row],[Valerate '[%']]]&lt;T$10,_xlfn.NORM.DIST(Table2912[[#This Row],[Valerate '[%']]],T$6,T$2,FALSE),-100)</f>
        <v>-100</v>
      </c>
      <c r="BM81">
        <f>IF(Table2912[[#This Row],[Caproate '[%']]]&lt;U$10,_xlfn.NORM.DIST(Table2912[[#This Row],[Caproate '[%']]],U$6,U$2,FALSE),-100)</f>
        <v>-100</v>
      </c>
      <c r="BN81">
        <f>IF(Table2912[[#This Row],[Isobutyrate '[%']]]&lt;V$10,_xlfn.NORM.DIST(Table2912[[#This Row],[Isobutyrate '[%']]],V$6,V$2,FALSE),-100)</f>
        <v>-100</v>
      </c>
      <c r="BO81">
        <f>IF(Table2912[[#This Row],[Isovalerate '[%']]]&lt;W$10,_xlfn.NORM.DIST(Table2912[[#This Row],[Isovalerate '[%']]],W$6,W$2,FALSE),-100)</f>
        <v>-100</v>
      </c>
      <c r="BP81">
        <f>IF(Table2912[[#This Row],[CH4 '[g/mmol SCFA']]]&lt;X$10,_xlfn.NORM.DIST(Table2912[[#This Row],[CH4 '[g/mmol SCFA']]],X$6,X$2,FALSE),-100)</f>
        <v>-100</v>
      </c>
      <c r="BQ81">
        <f>IF(Table2912[[#This Row],[DMD '[mg/g']]]&gt;Y$10,_xlfn.NORM.DIST(Table2912[[#This Row],[DMD '[mg/g']]],Y$6,Y$2,FALSE),-100)</f>
        <v>-100</v>
      </c>
      <c r="BR81">
        <f>IF(Table2912[[#This Row],[CH4 '[ml/g']]]&lt;Z$10,_xlfn.NORM.DIST(Table2912[[#This Row],[CH4 '[ml/g']]],Z$6,Z$2,FALSE),-100)</f>
        <v>-100</v>
      </c>
      <c r="BS81">
        <f>IF(Table2912[[#This Row],[CH4 '[% GP']]]&lt;AA$10,_xlfn.NORM.DIST(Table2912[[#This Row],[CH4 '[% GP']]],AA$6,AA$2,FALSE),-100)</f>
        <v>-100</v>
      </c>
      <c r="BT81">
        <f>IF(Table2912[[#This Row],[CH4 '[g/g DDM']]]&lt;AB$10,_xlfn.NORM.DIST(Table2912[[#This Row],[CH4 '[g/g DDM']]],AB$6,AB$2,FALSE),-100)</f>
        <v>-100</v>
      </c>
      <c r="CJ81" t="str">
        <v>Medicago Sativa-097</v>
      </c>
      <c r="CL81" t="str">
        <v xml:space="preserve">Macrotyloma axillare  </v>
      </c>
    </row>
    <row r="82" spans="1:90" x14ac:dyDescent="0.25">
      <c r="A82" s="12" t="s">
        <v>86</v>
      </c>
      <c r="B82" s="13">
        <v>1086</v>
      </c>
      <c r="C82" s="32">
        <v>16320</v>
      </c>
      <c r="D82" s="104" t="s">
        <v>164</v>
      </c>
      <c r="E82" t="s">
        <v>165</v>
      </c>
      <c r="F82" t="s">
        <v>166</v>
      </c>
      <c r="G82" s="32" t="s">
        <v>143</v>
      </c>
      <c r="H82" s="32" t="s">
        <v>144</v>
      </c>
      <c r="I82" s="32" t="s">
        <v>52</v>
      </c>
      <c r="J82" s="100">
        <v>3</v>
      </c>
      <c r="K82" s="70"/>
      <c r="L82" s="70"/>
      <c r="M82" t="s">
        <v>166</v>
      </c>
      <c r="N82" t="s">
        <v>124</v>
      </c>
      <c r="O82" s="18">
        <v>248.27001100110056</v>
      </c>
      <c r="P82" s="18">
        <v>5.9476897689768986</v>
      </c>
      <c r="Q82" s="97">
        <v>0.67388822783873992</v>
      </c>
      <c r="R82" s="97">
        <v>0.17885268509441138</v>
      </c>
      <c r="S82" s="97">
        <v>9.2381348674871369E-2</v>
      </c>
      <c r="T82" s="97">
        <v>1.5487475521657745E-2</v>
      </c>
      <c r="U82" s="97">
        <v>5.5609742653318656E-4</v>
      </c>
      <c r="V82" s="97">
        <v>1.375086107156679E-2</v>
      </c>
      <c r="W82" s="97">
        <v>2.5083304372219728E-2</v>
      </c>
      <c r="X82" s="51">
        <f t="shared" si="5"/>
        <v>7.4100244301423404</v>
      </c>
      <c r="Y82" s="18">
        <v>600.22002200220004</v>
      </c>
      <c r="Z82" s="18">
        <v>44.072526491026473</v>
      </c>
      <c r="AA82" s="18">
        <f t="shared" si="6"/>
        <v>17.751852635488504</v>
      </c>
      <c r="AB82" s="18">
        <f t="shared" si="7"/>
        <v>73.427284788018838</v>
      </c>
      <c r="AC82" s="18">
        <f>$CP$15*Table2912[[#This Row],[DMD '[mg/g']]]+$CS$15*Table2912[[#This Row],[CH4 '[ml/g']]]+$CR$15*Table2912[[#This Row],[CH4 '[% GP']]]+$CQ$15*Table2912[[#This Row],[CH4 '[g/g DDM']]]</f>
        <v>-12.01051260422625</v>
      </c>
      <c r="AD82" s="18">
        <f>_xlfn.RANK.AVG(Table2912[[#This Row],[Index]],Table2912[Index])</f>
        <v>497</v>
      </c>
      <c r="AE8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5.6212940057983447</v>
      </c>
      <c r="AF82" s="18">
        <f>Table2912[[#This Row],[CH4 '[ml/g']]]/Table2912[[#This Row],[APB]]</f>
        <v>7.8402813383476859</v>
      </c>
      <c r="AG82" s="18">
        <f>Table2912[[#This Row],[Propionate '[%']]]/Table2912[[#This Row],[Acetate '[%']]]</f>
        <v>0.26540407994367049</v>
      </c>
      <c r="AH82" s="51"/>
      <c r="AI82" s="18"/>
      <c r="AJ82" s="18"/>
      <c r="AK82" s="18">
        <f>(Table2912[[#This Row],[DMD '[mg/g']]]-$AK$15)/$AK$15*100</f>
        <v>22.421648209218244</v>
      </c>
      <c r="AL82" s="18">
        <f>(Table2912[[#This Row],[CH4 '[ml/g']]]-AL$15)/AL$15*100</f>
        <v>12.052002210005137</v>
      </c>
      <c r="AM82" s="18">
        <f>(Table2912[[#This Row],[CH4 '[% GP']]]-AM$15)/AM$15*100</f>
        <v>14.363149297914902</v>
      </c>
      <c r="AN82" s="18">
        <f>(Table2912[[#This Row],[CH4 '[g/g DDM']]]-AN$15)/AN$15*100</f>
        <v>43.369192355445939</v>
      </c>
      <c r="AO82" s="18"/>
      <c r="AP82" s="18"/>
      <c r="AR82">
        <f>_xlfn.NORM.DIST(Table2912[[#This Row],[GP '[ml/g']]],O$6,O$2,FALSE)</f>
        <v>7.4116487219864149E-3</v>
      </c>
      <c r="AS82">
        <f>_xlfn.NORM.DIST(Table2912[[#This Row],[SCFA '[mmol/g']]],P$6,P$2,FALSE)</f>
        <v>0.29482457838068565</v>
      </c>
      <c r="AT82">
        <f>_xlfn.NORM.DIST(Table2912[[#This Row],[Acetate '[%']]],Q$6,Q$2,FALSE)</f>
        <v>14.021849248103536</v>
      </c>
      <c r="AU82">
        <f>_xlfn.NORM.DIST(Table2912[[#This Row],[Propionate '[%']]],R$6,R$2,FALSE)</f>
        <v>16.080861901260953</v>
      </c>
      <c r="AV82">
        <f>_xlfn.NORM.DIST(Table2912[[#This Row],[Butyrate '[%']]],S$6,S$2,FALSE)</f>
        <v>23.018844919824733</v>
      </c>
      <c r="AW82">
        <f>_xlfn.NORM.DIST(Table2912[[#This Row],[Valerate '[%']]],T$6,T$2,FALSE)</f>
        <v>70.823011364424062</v>
      </c>
      <c r="AX82">
        <f>_xlfn.NORM.DIST(Table2912[[#This Row],[Caproate '[%']]],U$6,U$2,FALSE)</f>
        <v>297.25251428903306</v>
      </c>
      <c r="AY82">
        <f>_xlfn.NORM.DIST(Table2912[[#This Row],[Isobutyrate '[%']]],V$6,V$2,FALSE)</f>
        <v>84.680086396362171</v>
      </c>
      <c r="AZ82">
        <f>_xlfn.NORM.DIST(Table2912[[#This Row],[Isovalerate '[%']]],W$6,W$2,FALSE)</f>
        <v>43.159724868358524</v>
      </c>
      <c r="BA82">
        <f>_xlfn.NORM.DIST(Table2912[[#This Row],[CH4 '[g/mmol SCFA']]],X$6,X$2,FALSE)</f>
        <v>0.20892659745969208</v>
      </c>
      <c r="BB82">
        <f>_xlfn.NORM.DIST(Table2912[[#This Row],[DMD '[mg/g']]],Y$6,Y$2,FALSE)</f>
        <v>1.2774066804847697E-3</v>
      </c>
      <c r="BC82">
        <f>_xlfn.NORM.DIST(Table2912[[#This Row],[CH4 '[ml/g']]],Z$6,Z$2,FALSE)</f>
        <v>3.2671351913659337E-2</v>
      </c>
      <c r="BD82">
        <f>_xlfn.NORM.DIST(Table2912[[#This Row],[CH4 '[% GP']]],AA$6,AA$2,FALSE)</f>
        <v>0.11461373577339393</v>
      </c>
      <c r="BE82">
        <f>_xlfn.NORM.DIST(Table2912[[#This Row],[CH4 '[g/g DDM']]],AB$6,AB$2,FALSE)</f>
        <v>8.3799505642810756E-3</v>
      </c>
      <c r="BG82">
        <f>IF(Table2912[[#This Row],[GP '[ml/g']]]&lt;O$10,_xlfn.NORM.DIST(Table2912[[#This Row],[GP '[ml/g']]],O$6,O$2,FALSE),-100)</f>
        <v>-100</v>
      </c>
      <c r="BH82">
        <f>IF(Table2912[[#This Row],[SCFA '[mmol/g']]]&lt;P$10,_xlfn.NORM.DIST(Table2912[[#This Row],[SCFA '[mmol/g']]],P$6,P$2,FALSE),-100)</f>
        <v>-100</v>
      </c>
      <c r="BI82">
        <f>IF(Table2912[[#This Row],[Acetate '[%']]]&lt;Q$10,_xlfn.NORM.DIST(Table2912[[#This Row],[Acetate '[%']]],Q$6,Q$2,FALSE),-100)</f>
        <v>-100</v>
      </c>
      <c r="BJ82">
        <f>IF(Table2912[[#This Row],[Propionate '[%']]]&lt;R$10,_xlfn.NORM.DIST(Table2912[[#This Row],[Propionate '[%']]],R$6,R$2,FALSE),-100)</f>
        <v>-100</v>
      </c>
      <c r="BK82">
        <f>IF(Table2912[[#This Row],[Butyrate '[%']]]&lt;S$10,_xlfn.NORM.DIST(Table2912[[#This Row],[Butyrate '[%']]],S$6,S$2,FALSE),-100)</f>
        <v>-100</v>
      </c>
      <c r="BL82">
        <f>IF(Table2912[[#This Row],[Valerate '[%']]]&lt;T$10,_xlfn.NORM.DIST(Table2912[[#This Row],[Valerate '[%']]],T$6,T$2,FALSE),-100)</f>
        <v>-100</v>
      </c>
      <c r="BM82">
        <f>IF(Table2912[[#This Row],[Caproate '[%']]]&lt;U$10,_xlfn.NORM.DIST(Table2912[[#This Row],[Caproate '[%']]],U$6,U$2,FALSE),-100)</f>
        <v>-100</v>
      </c>
      <c r="BN82">
        <f>IF(Table2912[[#This Row],[Isobutyrate '[%']]]&lt;V$10,_xlfn.NORM.DIST(Table2912[[#This Row],[Isobutyrate '[%']]],V$6,V$2,FALSE),-100)</f>
        <v>-100</v>
      </c>
      <c r="BO82">
        <f>IF(Table2912[[#This Row],[Isovalerate '[%']]]&lt;W$10,_xlfn.NORM.DIST(Table2912[[#This Row],[Isovalerate '[%']]],W$6,W$2,FALSE),-100)</f>
        <v>-100</v>
      </c>
      <c r="BP82">
        <f>IF(Table2912[[#This Row],[CH4 '[g/mmol SCFA']]]&lt;X$10,_xlfn.NORM.DIST(Table2912[[#This Row],[CH4 '[g/mmol SCFA']]],X$6,X$2,FALSE),-100)</f>
        <v>-100</v>
      </c>
      <c r="BQ82">
        <f>IF(Table2912[[#This Row],[DMD '[mg/g']]]&gt;Y$10,_xlfn.NORM.DIST(Table2912[[#This Row],[DMD '[mg/g']]],Y$6,Y$2,FALSE),-100)</f>
        <v>-100</v>
      </c>
      <c r="BR82">
        <f>IF(Table2912[[#This Row],[CH4 '[ml/g']]]&lt;Z$10,_xlfn.NORM.DIST(Table2912[[#This Row],[CH4 '[ml/g']]],Z$6,Z$2,FALSE),-100)</f>
        <v>-100</v>
      </c>
      <c r="BS82">
        <f>IF(Table2912[[#This Row],[CH4 '[% GP']]]&lt;AA$10,_xlfn.NORM.DIST(Table2912[[#This Row],[CH4 '[% GP']]],AA$6,AA$2,FALSE),-100)</f>
        <v>-100</v>
      </c>
      <c r="BT82">
        <f>IF(Table2912[[#This Row],[CH4 '[g/g DDM']]]&lt;AB$10,_xlfn.NORM.DIST(Table2912[[#This Row],[CH4 '[g/g DDM']]],AB$6,AB$2,FALSE),-100)</f>
        <v>-100</v>
      </c>
      <c r="CJ82" t="str">
        <v>Calligonum comosum</v>
      </c>
      <c r="CL82" t="str">
        <v>Medicago Sativa-097</v>
      </c>
    </row>
    <row r="83" spans="1:90" x14ac:dyDescent="0.25">
      <c r="A83" s="12" t="s">
        <v>86</v>
      </c>
      <c r="B83" s="13">
        <v>1060</v>
      </c>
      <c r="C83" s="104" t="s">
        <v>133</v>
      </c>
      <c r="D83" s="104" t="s">
        <v>134</v>
      </c>
      <c r="E83" s="104" t="s">
        <v>135</v>
      </c>
      <c r="F83" s="104" t="s">
        <v>136</v>
      </c>
      <c r="G83" s="23" t="s">
        <v>73</v>
      </c>
      <c r="H83" s="23" t="s">
        <v>74</v>
      </c>
      <c r="I83" s="105" t="s">
        <v>44</v>
      </c>
      <c r="J83" s="70">
        <v>2</v>
      </c>
      <c r="K83" s="70"/>
      <c r="L83" s="70"/>
      <c r="M83" t="s">
        <v>136</v>
      </c>
      <c r="N83" t="s">
        <v>124</v>
      </c>
      <c r="O83" s="18">
        <v>176.40837168529492</v>
      </c>
      <c r="P83" s="18">
        <v>4.1726914506046269</v>
      </c>
      <c r="Q83" s="97">
        <v>0.6452221038191791</v>
      </c>
      <c r="R83" s="97">
        <v>0.1585777844914984</v>
      </c>
      <c r="S83" s="97">
        <v>9.8920455457020495E-2</v>
      </c>
      <c r="T83" s="97">
        <v>1.9396313473927035E-2</v>
      </c>
      <c r="U83" s="97">
        <v>1.3047760709713431E-3</v>
      </c>
      <c r="V83" s="97">
        <v>2.5625134067554716E-2</v>
      </c>
      <c r="W83" s="97">
        <v>5.0953432619848832E-2</v>
      </c>
      <c r="X83" s="51">
        <f t="shared" si="5"/>
        <v>9.1023211646026478</v>
      </c>
      <c r="Y83" s="18">
        <v>601.18994147935484</v>
      </c>
      <c r="Z83" s="18">
        <v>37.981177704195019</v>
      </c>
      <c r="AA83" s="18">
        <f t="shared" si="6"/>
        <v>21.530258083188837</v>
      </c>
      <c r="AB83" s="18">
        <f t="shared" si="7"/>
        <v>63.176668609481901</v>
      </c>
      <c r="AC83" s="18">
        <f>$CP$15*Table2912[[#This Row],[DMD '[mg/g']]]+$CS$15*Table2912[[#This Row],[CH4 '[ml/g']]]+$CR$15*Table2912[[#This Row],[CH4 '[% GP']]]+$CQ$15*Table2912[[#This Row],[CH4 '[g/g DDM']]]</f>
        <v>-7.6392486495303231</v>
      </c>
      <c r="AD83" s="18">
        <f>_xlfn.RANK.AVG(Table2912[[#This Row],[Index]],Table2912[Index])</f>
        <v>479</v>
      </c>
      <c r="AE8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3.766773460726343</v>
      </c>
      <c r="AF83" s="18">
        <f>Table2912[[#This Row],[CH4 '[ml/g']]]/Table2912[[#This Row],[APB]]</f>
        <v>10.083212622208277</v>
      </c>
      <c r="AG83" s="18">
        <f>Table2912[[#This Row],[Propionate '[%']]]/Table2912[[#This Row],[Acetate '[%']]]</f>
        <v>0.24577239922942748</v>
      </c>
      <c r="AH83" s="51"/>
      <c r="AI83" s="18"/>
      <c r="AJ83" s="18"/>
      <c r="AK83" s="18">
        <f>(Table2912[[#This Row],[DMD '[mg/g']]]-$AK$15)/$AK$15*100</f>
        <v>22.619474234127289</v>
      </c>
      <c r="AL83" s="18">
        <f>(Table2912[[#This Row],[CH4 '[ml/g']]]-AL$15)/AL$15*100</f>
        <v>-3.4349208703615512</v>
      </c>
      <c r="AM83" s="18">
        <f>(Table2912[[#This Row],[CH4 '[% GP']]]-AM$15)/AM$15*100</f>
        <v>38.704853524298436</v>
      </c>
      <c r="AN83" s="18">
        <f>(Table2912[[#This Row],[CH4 '[g/g DDM']]]-AN$15)/AN$15*100</f>
        <v>23.354526595909274</v>
      </c>
      <c r="AO83" s="18"/>
      <c r="AP83" s="18"/>
      <c r="AR83">
        <f>_xlfn.NORM.DIST(Table2912[[#This Row],[GP '[ml/g']]],O$6,O$2,FALSE)</f>
        <v>2.4917655856987911E-3</v>
      </c>
      <c r="AS83">
        <f>_xlfn.NORM.DIST(Table2912[[#This Row],[SCFA '[mmol/g']]],P$6,P$2,FALSE)</f>
        <v>4.7571211600792536E-2</v>
      </c>
      <c r="AT83">
        <f>_xlfn.NORM.DIST(Table2912[[#This Row],[Acetate '[%']]],Q$6,Q$2,FALSE)</f>
        <v>8.6687739614543133</v>
      </c>
      <c r="AU83">
        <f>_xlfn.NORM.DIST(Table2912[[#This Row],[Propionate '[%']]],R$6,R$2,FALSE)</f>
        <v>14.359497233552375</v>
      </c>
      <c r="AV83">
        <f>_xlfn.NORM.DIST(Table2912[[#This Row],[Butyrate '[%']]],S$6,S$2,FALSE)</f>
        <v>21.689803671853475</v>
      </c>
      <c r="AW83">
        <f>_xlfn.NORM.DIST(Table2912[[#This Row],[Valerate '[%']]],T$6,T$2,FALSE)</f>
        <v>73.122069266199105</v>
      </c>
      <c r="AX83">
        <f>_xlfn.NORM.DIST(Table2912[[#This Row],[Caproate '[%']]],U$6,U$2,FALSE)</f>
        <v>406.74495051511258</v>
      </c>
      <c r="AY83">
        <f>_xlfn.NORM.DIST(Table2912[[#This Row],[Isobutyrate '[%']]],V$6,V$2,FALSE)</f>
        <v>5.9802079902450576</v>
      </c>
      <c r="AZ83">
        <f>_xlfn.NORM.DIST(Table2912[[#This Row],[Isovalerate '[%']]],W$6,W$2,FALSE)</f>
        <v>1.4459844483890365</v>
      </c>
      <c r="BA83">
        <f>_xlfn.NORM.DIST(Table2912[[#This Row],[CH4 '[g/mmol SCFA']]],X$6,X$2,FALSE)</f>
        <v>3.2653958264762209E-2</v>
      </c>
      <c r="BB83">
        <f>_xlfn.NORM.DIST(Table2912[[#This Row],[DMD '[mg/g']]],Y$6,Y$2,FALSE)</f>
        <v>1.2890632814501603E-3</v>
      </c>
      <c r="BC83">
        <f>_xlfn.NORM.DIST(Table2912[[#This Row],[CH4 '[ml/g']]],Z$6,Z$2,FALSE)</f>
        <v>3.2154341095103803E-2</v>
      </c>
      <c r="BD83">
        <f>_xlfn.NORM.DIST(Table2912[[#This Row],[CH4 '[% GP']]],AA$6,AA$2,FALSE)</f>
        <v>2.4586857912533344E-2</v>
      </c>
      <c r="BE83">
        <f>_xlfn.NORM.DIST(Table2912[[#This Row],[CH4 '[g/g DDM']]],AB$6,AB$2,FALSE)</f>
        <v>2.3686060231398263E-2</v>
      </c>
      <c r="BG83">
        <f>IF(Table2912[[#This Row],[GP '[ml/g']]]&lt;O$10,_xlfn.NORM.DIST(Table2912[[#This Row],[GP '[ml/g']]],O$6,O$2,FALSE),-100)</f>
        <v>2.4917655856987911E-3</v>
      </c>
      <c r="BH83">
        <f>IF(Table2912[[#This Row],[SCFA '[mmol/g']]]&lt;P$10,_xlfn.NORM.DIST(Table2912[[#This Row],[SCFA '[mmol/g']]],P$6,P$2,FALSE),-100)</f>
        <v>4.7571211600792536E-2</v>
      </c>
      <c r="BI83">
        <f>IF(Table2912[[#This Row],[Acetate '[%']]]&lt;Q$10,_xlfn.NORM.DIST(Table2912[[#This Row],[Acetate '[%']]],Q$6,Q$2,FALSE),-100)</f>
        <v>-100</v>
      </c>
      <c r="BJ83">
        <f>IF(Table2912[[#This Row],[Propionate '[%']]]&lt;R$10,_xlfn.NORM.DIST(Table2912[[#This Row],[Propionate '[%']]],R$6,R$2,FALSE),-100)</f>
        <v>-100</v>
      </c>
      <c r="BK83">
        <f>IF(Table2912[[#This Row],[Butyrate '[%']]]&lt;S$10,_xlfn.NORM.DIST(Table2912[[#This Row],[Butyrate '[%']]],S$6,S$2,FALSE),-100)</f>
        <v>-100</v>
      </c>
      <c r="BL83">
        <f>IF(Table2912[[#This Row],[Valerate '[%']]]&lt;T$10,_xlfn.NORM.DIST(Table2912[[#This Row],[Valerate '[%']]],T$6,T$2,FALSE),-100)</f>
        <v>-100</v>
      </c>
      <c r="BM83">
        <f>IF(Table2912[[#This Row],[Caproate '[%']]]&lt;U$10,_xlfn.NORM.DIST(Table2912[[#This Row],[Caproate '[%']]],U$6,U$2,FALSE),-100)</f>
        <v>-100</v>
      </c>
      <c r="BN83">
        <f>IF(Table2912[[#This Row],[Isobutyrate '[%']]]&lt;V$10,_xlfn.NORM.DIST(Table2912[[#This Row],[Isobutyrate '[%']]],V$6,V$2,FALSE),-100)</f>
        <v>-100</v>
      </c>
      <c r="BO83">
        <f>IF(Table2912[[#This Row],[Isovalerate '[%']]]&lt;W$10,_xlfn.NORM.DIST(Table2912[[#This Row],[Isovalerate '[%']]],W$6,W$2,FALSE),-100)</f>
        <v>-100</v>
      </c>
      <c r="BP83">
        <f>IF(Table2912[[#This Row],[CH4 '[g/mmol SCFA']]]&lt;X$10,_xlfn.NORM.DIST(Table2912[[#This Row],[CH4 '[g/mmol SCFA']]],X$6,X$2,FALSE),-100)</f>
        <v>-100</v>
      </c>
      <c r="BQ83">
        <f>IF(Table2912[[#This Row],[DMD '[mg/g']]]&gt;Y$10,_xlfn.NORM.DIST(Table2912[[#This Row],[DMD '[mg/g']]],Y$6,Y$2,FALSE),-100)</f>
        <v>-100</v>
      </c>
      <c r="BR83">
        <f>IF(Table2912[[#This Row],[CH4 '[ml/g']]]&lt;Z$10,_xlfn.NORM.DIST(Table2912[[#This Row],[CH4 '[ml/g']]],Z$6,Z$2,FALSE),-100)</f>
        <v>-100</v>
      </c>
      <c r="BS83">
        <f>IF(Table2912[[#This Row],[CH4 '[% GP']]]&lt;AA$10,_xlfn.NORM.DIST(Table2912[[#This Row],[CH4 '[% GP']]],AA$6,AA$2,FALSE),-100)</f>
        <v>-100</v>
      </c>
      <c r="BT83">
        <f>IF(Table2912[[#This Row],[CH4 '[g/g DDM']]]&lt;AB$10,_xlfn.NORM.DIST(Table2912[[#This Row],[CH4 '[g/g DDM']]],AB$6,AB$2,FALSE),-100)</f>
        <v>-100</v>
      </c>
      <c r="CJ83" t="str">
        <v>Chloris gayana_2</v>
      </c>
      <c r="CL83" t="str">
        <v>Calligonum comosum</v>
      </c>
    </row>
    <row r="84" spans="1:90" x14ac:dyDescent="0.25">
      <c r="A84" s="12" t="s">
        <v>86</v>
      </c>
      <c r="B84" s="13">
        <v>1055</v>
      </c>
      <c r="C84" s="103">
        <v>23057</v>
      </c>
      <c r="D84" s="104" t="s">
        <v>115</v>
      </c>
      <c r="E84" s="104" t="s">
        <v>116</v>
      </c>
      <c r="F84" t="s">
        <v>117</v>
      </c>
      <c r="G84" s="23" t="s">
        <v>73</v>
      </c>
      <c r="H84" s="23" t="s">
        <v>74</v>
      </c>
      <c r="I84" s="105" t="s">
        <v>75</v>
      </c>
      <c r="J84" s="70">
        <v>3</v>
      </c>
      <c r="K84" s="70"/>
      <c r="L84" s="70"/>
      <c r="M84" t="s">
        <v>117</v>
      </c>
      <c r="N84" t="s">
        <v>98</v>
      </c>
      <c r="O84" s="18">
        <v>174.27327209098871</v>
      </c>
      <c r="P84" s="18">
        <v>5.0234501937257843</v>
      </c>
      <c r="Q84" s="97">
        <v>0.72144694237231333</v>
      </c>
      <c r="R84" s="97">
        <v>0.17066640124507931</v>
      </c>
      <c r="S84" s="97">
        <v>5.1870886567964486E-2</v>
      </c>
      <c r="T84" s="97">
        <v>2.5784571110394762E-2</v>
      </c>
      <c r="U84" s="97">
        <v>6.1430339620431942E-4</v>
      </c>
      <c r="V84" s="97">
        <v>1.0586164150161292E-2</v>
      </c>
      <c r="W84" s="97">
        <v>1.903073115788247E-2</v>
      </c>
      <c r="X84" s="51">
        <f t="shared" ref="X84:X147" si="8">Z84/P84</f>
        <v>4.9765814777153219</v>
      </c>
      <c r="Y84" s="18">
        <v>602.51930314266247</v>
      </c>
      <c r="Z84" s="18">
        <v>24.999609188321184</v>
      </c>
      <c r="AA84" s="18">
        <f t="shared" ref="AA84:AA147" si="9">Z84/O84*100</f>
        <v>14.345062147722112</v>
      </c>
      <c r="AB84" s="18">
        <f t="shared" ref="AB84:AB147" si="10">Z84/Y84*1000</f>
        <v>41.491797952242308</v>
      </c>
      <c r="AC84" s="18">
        <f>$CP$15*Table2912[[#This Row],[DMD '[mg/g']]]+$CS$15*Table2912[[#This Row],[CH4 '[ml/g']]]+$CR$15*Table2912[[#This Row],[CH4 '[% GP']]]+$CQ$15*Table2912[[#This Row],[CH4 '[g/g DDM']]]</f>
        <v>6.0747097093463793</v>
      </c>
      <c r="AD84" s="18">
        <f>_xlfn.RANK.AVG(Table2912[[#This Row],[Index]],Table2912[Index])</f>
        <v>397</v>
      </c>
      <c r="AE8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4.7420577639987176</v>
      </c>
      <c r="AF84" s="18">
        <f>Table2912[[#This Row],[CH4 '[ml/g']]]/Table2912[[#This Row],[APB]]</f>
        <v>5.2718904814099909</v>
      </c>
      <c r="AG84" s="18">
        <f>Table2912[[#This Row],[Propionate '[%']]]/Table2912[[#This Row],[Acetate '[%']]]</f>
        <v>0.2365612648989569</v>
      </c>
      <c r="AH84" s="51"/>
      <c r="AI84" s="18"/>
      <c r="AJ84" s="18"/>
      <c r="AK84" s="18">
        <f>(Table2912[[#This Row],[DMD '[mg/g']]]-$AK$15)/$AK$15*100</f>
        <v>22.890612549949203</v>
      </c>
      <c r="AL84" s="18">
        <f>(Table2912[[#This Row],[CH4 '[ml/g']]]-AL$15)/AL$15*100</f>
        <v>-36.43985296396864</v>
      </c>
      <c r="AM84" s="18">
        <f>(Table2912[[#This Row],[CH4 '[% GP']]]-AM$15)/AM$15*100</f>
        <v>-7.5844917274649095</v>
      </c>
      <c r="AN84" s="18">
        <f>(Table2912[[#This Row],[CH4 '[g/g DDM']]]-AN$15)/AN$15*100</f>
        <v>-18.985897695089925</v>
      </c>
      <c r="AO84" s="18"/>
      <c r="AP84" s="18"/>
      <c r="AR84">
        <f>_xlfn.NORM.DIST(Table2912[[#This Row],[GP '[ml/g']]],O$6,O$2,FALSE)</f>
        <v>2.3462890085987113E-3</v>
      </c>
      <c r="AS84">
        <f>_xlfn.NORM.DIST(Table2912[[#This Row],[SCFA '[mmol/g']]],P$6,P$2,FALSE)</f>
        <v>0.14991196421756459</v>
      </c>
      <c r="AT84">
        <f>_xlfn.NORM.DIST(Table2912[[#This Row],[Acetate '[%']]],Q$6,Q$2,FALSE)</f>
        <v>3.3123437867570065</v>
      </c>
      <c r="AU84">
        <f>_xlfn.NORM.DIST(Table2912[[#This Row],[Propionate '[%']]],R$6,R$2,FALSE)</f>
        <v>16.769640012892015</v>
      </c>
      <c r="AV84">
        <f>_xlfn.NORM.DIST(Table2912[[#This Row],[Butyrate '[%']]],S$6,S$2,FALSE)</f>
        <v>1.3894019719626356</v>
      </c>
      <c r="AW84">
        <f>_xlfn.NORM.DIST(Table2912[[#This Row],[Valerate '[%']]],T$6,T$2,FALSE)</f>
        <v>22.342005403466008</v>
      </c>
      <c r="AX84">
        <f>_xlfn.NORM.DIST(Table2912[[#This Row],[Caproate '[%']]],U$6,U$2,FALSE)</f>
        <v>311.02369018731008</v>
      </c>
      <c r="AY84">
        <f>_xlfn.NORM.DIST(Table2912[[#This Row],[Isobutyrate '[%']]],V$6,V$2,FALSE)</f>
        <v>50.901052883780288</v>
      </c>
      <c r="AZ84">
        <f>_xlfn.NORM.DIST(Table2912[[#This Row],[Isovalerate '[%']]],W$6,W$2,FALSE)</f>
        <v>27.294582352594364</v>
      </c>
      <c r="BA84">
        <f>_xlfn.NORM.DIST(Table2912[[#This Row],[CH4 '[g/mmol SCFA']]],X$6,X$2,FALSE)</f>
        <v>0.18512500592482223</v>
      </c>
      <c r="BB84">
        <f>_xlfn.NORM.DIST(Table2912[[#This Row],[DMD '[mg/g']]],Y$6,Y$2,FALSE)</f>
        <v>1.3051061240228893E-3</v>
      </c>
      <c r="BC84">
        <f>_xlfn.NORM.DIST(Table2912[[#This Row],[CH4 '[ml/g']]],Z$6,Z$2,FALSE)</f>
        <v>1.2978581145831645E-2</v>
      </c>
      <c r="BD84">
        <f>_xlfn.NORM.DIST(Table2912[[#This Row],[CH4 '[% GP']]],AA$6,AA$2,FALSE)</f>
        <v>0.11373487330945325</v>
      </c>
      <c r="BE84">
        <f>_xlfn.NORM.DIST(Table2912[[#This Row],[CH4 '[g/g DDM']]],AB$6,AB$2,FALSE)</f>
        <v>2.0387140900433191E-2</v>
      </c>
      <c r="BG84">
        <f>IF(Table2912[[#This Row],[GP '[ml/g']]]&lt;O$10,_xlfn.NORM.DIST(Table2912[[#This Row],[GP '[ml/g']]],O$6,O$2,FALSE),-100)</f>
        <v>2.3462890085987113E-3</v>
      </c>
      <c r="BH84">
        <f>IF(Table2912[[#This Row],[SCFA '[mmol/g']]]&lt;P$10,_xlfn.NORM.DIST(Table2912[[#This Row],[SCFA '[mmol/g']]],P$6,P$2,FALSE),-100)</f>
        <v>0.14991196421756459</v>
      </c>
      <c r="BI84">
        <f>IF(Table2912[[#This Row],[Acetate '[%']]]&lt;Q$10,_xlfn.NORM.DIST(Table2912[[#This Row],[Acetate '[%']]],Q$6,Q$2,FALSE),-100)</f>
        <v>-100</v>
      </c>
      <c r="BJ84">
        <f>IF(Table2912[[#This Row],[Propionate '[%']]]&lt;R$10,_xlfn.NORM.DIST(Table2912[[#This Row],[Propionate '[%']]],R$6,R$2,FALSE),-100)</f>
        <v>-100</v>
      </c>
      <c r="BK84">
        <f>IF(Table2912[[#This Row],[Butyrate '[%']]]&lt;S$10,_xlfn.NORM.DIST(Table2912[[#This Row],[Butyrate '[%']]],S$6,S$2,FALSE),-100)</f>
        <v>1.3894019719626356</v>
      </c>
      <c r="BL84">
        <f>IF(Table2912[[#This Row],[Valerate '[%']]]&lt;T$10,_xlfn.NORM.DIST(Table2912[[#This Row],[Valerate '[%']]],T$6,T$2,FALSE),-100)</f>
        <v>-100</v>
      </c>
      <c r="BM84">
        <f>IF(Table2912[[#This Row],[Caproate '[%']]]&lt;U$10,_xlfn.NORM.DIST(Table2912[[#This Row],[Caproate '[%']]],U$6,U$2,FALSE),-100)</f>
        <v>-100</v>
      </c>
      <c r="BN84">
        <f>IF(Table2912[[#This Row],[Isobutyrate '[%']]]&lt;V$10,_xlfn.NORM.DIST(Table2912[[#This Row],[Isobutyrate '[%']]],V$6,V$2,FALSE),-100)</f>
        <v>50.901052883780288</v>
      </c>
      <c r="BO84">
        <f>IF(Table2912[[#This Row],[Isovalerate '[%']]]&lt;W$10,_xlfn.NORM.DIST(Table2912[[#This Row],[Isovalerate '[%']]],W$6,W$2,FALSE),-100)</f>
        <v>27.294582352594364</v>
      </c>
      <c r="BP84">
        <f>IF(Table2912[[#This Row],[CH4 '[g/mmol SCFA']]]&lt;X$10,_xlfn.NORM.DIST(Table2912[[#This Row],[CH4 '[g/mmol SCFA']]],X$6,X$2,FALSE),-100)</f>
        <v>-100</v>
      </c>
      <c r="BQ84">
        <f>IF(Table2912[[#This Row],[DMD '[mg/g']]]&gt;Y$10,_xlfn.NORM.DIST(Table2912[[#This Row],[DMD '[mg/g']]],Y$6,Y$2,FALSE),-100)</f>
        <v>-100</v>
      </c>
      <c r="BR84">
        <f>IF(Table2912[[#This Row],[CH4 '[ml/g']]]&lt;Z$10,_xlfn.NORM.DIST(Table2912[[#This Row],[CH4 '[ml/g']]],Z$6,Z$2,FALSE),-100)</f>
        <v>1.2978581145831645E-2</v>
      </c>
      <c r="BS84">
        <f>IF(Table2912[[#This Row],[CH4 '[% GP']]]&lt;AA$10,_xlfn.NORM.DIST(Table2912[[#This Row],[CH4 '[% GP']]],AA$6,AA$2,FALSE),-100)</f>
        <v>-100</v>
      </c>
      <c r="BT84">
        <f>IF(Table2912[[#This Row],[CH4 '[g/g DDM']]]&lt;AB$10,_xlfn.NORM.DIST(Table2912[[#This Row],[CH4 '[g/g DDM']]],AB$6,AB$2,FALSE),-100)</f>
        <v>-100</v>
      </c>
      <c r="CJ84" t="str">
        <v>Centrosema platycarpum</v>
      </c>
      <c r="CL84" t="str">
        <v>Chloris gayana_2</v>
      </c>
    </row>
    <row r="85" spans="1:90" ht="15" customHeight="1" x14ac:dyDescent="0.25">
      <c r="A85" s="12" t="s">
        <v>70</v>
      </c>
      <c r="B85" s="13">
        <v>1018</v>
      </c>
      <c r="C85" s="96" t="s">
        <v>148</v>
      </c>
      <c r="D85" s="96"/>
      <c r="E85" s="96"/>
      <c r="F85" s="96" t="s">
        <v>149</v>
      </c>
      <c r="G85" s="111" t="s">
        <v>73</v>
      </c>
      <c r="H85" s="111" t="s">
        <v>74</v>
      </c>
      <c r="I85" s="110" t="s">
        <v>44</v>
      </c>
      <c r="J85" s="100">
        <v>3</v>
      </c>
      <c r="K85" s="100"/>
      <c r="L85" s="100"/>
      <c r="M85" t="s">
        <v>149</v>
      </c>
      <c r="N85" t="s">
        <v>76</v>
      </c>
      <c r="O85" s="18">
        <v>303.2360444444443</v>
      </c>
      <c r="P85" s="18">
        <v>6.6322222222222234</v>
      </c>
      <c r="Q85" s="97">
        <v>0.68349714793655481</v>
      </c>
      <c r="R85" s="97">
        <v>0.14486483364883834</v>
      </c>
      <c r="S85" s="97">
        <v>0.12602042922209228</v>
      </c>
      <c r="T85" s="97">
        <v>1.2082347658480033E-2</v>
      </c>
      <c r="U85" s="97">
        <v>2.8514644290464977E-3</v>
      </c>
      <c r="V85" s="97">
        <v>1.0759000227169392E-2</v>
      </c>
      <c r="W85" s="97">
        <v>1.9924776877818524E-2</v>
      </c>
      <c r="X85" s="51">
        <f t="shared" si="8"/>
        <v>6.8839794284142011</v>
      </c>
      <c r="Y85" s="18">
        <v>605.1111111111112</v>
      </c>
      <c r="Z85" s="18">
        <v>45.656081342449305</v>
      </c>
      <c r="AA85" s="18">
        <f t="shared" si="9"/>
        <v>15.056284428882902</v>
      </c>
      <c r="AB85" s="18">
        <f t="shared" si="10"/>
        <v>75.450740374962123</v>
      </c>
      <c r="AC85" s="18">
        <f>$CP$15*Table2912[[#This Row],[DMD '[mg/g']]]+$CS$15*Table2912[[#This Row],[CH4 '[ml/g']]]+$CR$15*Table2912[[#This Row],[CH4 '[% GP']]]+$CQ$15*Table2912[[#This Row],[CH4 '[g/g DDM']]]</f>
        <v>-11.790507677065037</v>
      </c>
      <c r="AD85" s="18">
        <f>_xlfn.RANK.AVG(Table2912[[#This Row],[Index]],Table2912[Index])</f>
        <v>496</v>
      </c>
      <c r="AE8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6.3296762334554231</v>
      </c>
      <c r="AF85" s="18">
        <f>Table2912[[#This Row],[CH4 '[ml/g']]]/Table2912[[#This Row],[APB]]</f>
        <v>7.2130200121666048</v>
      </c>
      <c r="AG85" s="18">
        <f>Table2912[[#This Row],[Propionate '[%']]]/Table2912[[#This Row],[Acetate '[%']]]</f>
        <v>0.21194650787670197</v>
      </c>
      <c r="AH85" s="51"/>
      <c r="AI85" s="18"/>
      <c r="AJ85" s="18"/>
      <c r="AK85" s="18">
        <f>(Table2912[[#This Row],[DMD '[mg/g']]]-$AK$15)/$AK$15*100</f>
        <v>23.419241039017027</v>
      </c>
      <c r="AL85" s="18">
        <f>(Table2912[[#This Row],[CH4 '[ml/g']]]-AL$15)/AL$15*100</f>
        <v>16.078104315756299</v>
      </c>
      <c r="AM85" s="18">
        <f>(Table2912[[#This Row],[CH4 '[% GP']]]-AM$15)/AM$15*100</f>
        <v>-3.0025688378060891</v>
      </c>
      <c r="AN85" s="18">
        <f>(Table2912[[#This Row],[CH4 '[g/g DDM']]]-AN$15)/AN$15*100</f>
        <v>47.320056044668313</v>
      </c>
      <c r="AO85" s="18"/>
      <c r="AP85" s="18"/>
      <c r="AR85">
        <f>_xlfn.NORM.DIST(Table2912[[#This Row],[GP '[ml/g']]],O$6,O$2,FALSE)</f>
        <v>5.0104073697323226E-3</v>
      </c>
      <c r="AS85">
        <f>_xlfn.NORM.DIST(Table2912[[#This Row],[SCFA '[mmol/g']]],P$6,P$2,FALSE)</f>
        <v>0.33170624867746956</v>
      </c>
      <c r="AT85">
        <f>_xlfn.NORM.DIST(Table2912[[#This Row],[Acetate '[%']]],Q$6,Q$2,FALSE)</f>
        <v>13.124463694489149</v>
      </c>
      <c r="AU85">
        <f>_xlfn.NORM.DIST(Table2912[[#This Row],[Propionate '[%']]],R$6,R$2,FALSE)</f>
        <v>8.8023186134909004</v>
      </c>
      <c r="AV85">
        <f>_xlfn.NORM.DIST(Table2912[[#This Row],[Butyrate '[%']]],S$6,S$2,FALSE)</f>
        <v>3.7113476414155495</v>
      </c>
      <c r="AW85">
        <f>_xlfn.NORM.DIST(Table2912[[#This Row],[Valerate '[%']]],T$6,T$2,FALSE)</f>
        <v>43.107066025575385</v>
      </c>
      <c r="AX85">
        <f>_xlfn.NORM.DIST(Table2912[[#This Row],[Caproate '[%']]],U$6,U$2,FALSE)</f>
        <v>122.64546496732207</v>
      </c>
      <c r="AY85">
        <f>_xlfn.NORM.DIST(Table2912[[#This Row],[Isobutyrate '[%']]],V$6,V$2,FALSE)</f>
        <v>53.031540291316368</v>
      </c>
      <c r="AZ85">
        <f>_xlfn.NORM.DIST(Table2912[[#This Row],[Isovalerate '[%']]],W$6,W$2,FALSE)</f>
        <v>30.09252028228099</v>
      </c>
      <c r="BA85">
        <f>_xlfn.NORM.DIST(Table2912[[#This Row],[CH4 '[g/mmol SCFA']]],X$6,X$2,FALSE)</f>
        <v>0.26898401198336291</v>
      </c>
      <c r="BB85">
        <f>_xlfn.NORM.DIST(Table2912[[#This Row],[DMD '[mg/g']]],Y$6,Y$2,FALSE)</f>
        <v>1.3365977074544077E-3</v>
      </c>
      <c r="BC85">
        <f>_xlfn.NORM.DIST(Table2912[[#This Row],[CH4 '[ml/g']]],Z$6,Z$2,FALSE)</f>
        <v>3.1430554566406234E-2</v>
      </c>
      <c r="BD85">
        <f>_xlfn.NORM.DIST(Table2912[[#This Row],[CH4 '[% GP']]],AA$6,AA$2,FALSE)</f>
        <v>0.12707588397353367</v>
      </c>
      <c r="BE85">
        <f>_xlfn.NORM.DIST(Table2912[[#This Row],[CH4 '[g/g DDM']]],AB$6,AB$2,FALSE)</f>
        <v>6.2747087045102821E-3</v>
      </c>
      <c r="BG85">
        <f>IF(Table2912[[#This Row],[GP '[ml/g']]]&lt;O$10,_xlfn.NORM.DIST(Table2912[[#This Row],[GP '[ml/g']]],O$6,O$2,FALSE),-100)</f>
        <v>-100</v>
      </c>
      <c r="BH85">
        <f>IF(Table2912[[#This Row],[SCFA '[mmol/g']]]&lt;P$10,_xlfn.NORM.DIST(Table2912[[#This Row],[SCFA '[mmol/g']]],P$6,P$2,FALSE),-100)</f>
        <v>-100</v>
      </c>
      <c r="BI85">
        <f>IF(Table2912[[#This Row],[Acetate '[%']]]&lt;Q$10,_xlfn.NORM.DIST(Table2912[[#This Row],[Acetate '[%']]],Q$6,Q$2,FALSE),-100)</f>
        <v>-100</v>
      </c>
      <c r="BJ85">
        <f>IF(Table2912[[#This Row],[Propionate '[%']]]&lt;R$10,_xlfn.NORM.DIST(Table2912[[#This Row],[Propionate '[%']]],R$6,R$2,FALSE),-100)</f>
        <v>8.8023186134909004</v>
      </c>
      <c r="BK85">
        <f>IF(Table2912[[#This Row],[Butyrate '[%']]]&lt;S$10,_xlfn.NORM.DIST(Table2912[[#This Row],[Butyrate '[%']]],S$6,S$2,FALSE),-100)</f>
        <v>-100</v>
      </c>
      <c r="BL85">
        <f>IF(Table2912[[#This Row],[Valerate '[%']]]&lt;T$10,_xlfn.NORM.DIST(Table2912[[#This Row],[Valerate '[%']]],T$6,T$2,FALSE),-100)</f>
        <v>43.107066025575385</v>
      </c>
      <c r="BM85">
        <f>IF(Table2912[[#This Row],[Caproate '[%']]]&lt;U$10,_xlfn.NORM.DIST(Table2912[[#This Row],[Caproate '[%']]],U$6,U$2,FALSE),-100)</f>
        <v>-100</v>
      </c>
      <c r="BN85">
        <f>IF(Table2912[[#This Row],[Isobutyrate '[%']]]&lt;V$10,_xlfn.NORM.DIST(Table2912[[#This Row],[Isobutyrate '[%']]],V$6,V$2,FALSE),-100)</f>
        <v>53.031540291316368</v>
      </c>
      <c r="BO85">
        <f>IF(Table2912[[#This Row],[Isovalerate '[%']]]&lt;W$10,_xlfn.NORM.DIST(Table2912[[#This Row],[Isovalerate '[%']]],W$6,W$2,FALSE),-100)</f>
        <v>-100</v>
      </c>
      <c r="BP85">
        <f>IF(Table2912[[#This Row],[CH4 '[g/mmol SCFA']]]&lt;X$10,_xlfn.NORM.DIST(Table2912[[#This Row],[CH4 '[g/mmol SCFA']]],X$6,X$2,FALSE),-100)</f>
        <v>-100</v>
      </c>
      <c r="BQ85">
        <f>IF(Table2912[[#This Row],[DMD '[mg/g']]]&gt;Y$10,_xlfn.NORM.DIST(Table2912[[#This Row],[DMD '[mg/g']]],Y$6,Y$2,FALSE),-100)</f>
        <v>-100</v>
      </c>
      <c r="BR85">
        <f>IF(Table2912[[#This Row],[CH4 '[ml/g']]]&lt;Z$10,_xlfn.NORM.DIST(Table2912[[#This Row],[CH4 '[ml/g']]],Z$6,Z$2,FALSE),-100)</f>
        <v>-100</v>
      </c>
      <c r="BS85">
        <f>IF(Table2912[[#This Row],[CH4 '[% GP']]]&lt;AA$10,_xlfn.NORM.DIST(Table2912[[#This Row],[CH4 '[% GP']]],AA$6,AA$2,FALSE),-100)</f>
        <v>-100</v>
      </c>
      <c r="BT85">
        <f>IF(Table2912[[#This Row],[CH4 '[g/g DDM']]]&lt;AB$10,_xlfn.NORM.DIST(Table2912[[#This Row],[CH4 '[g/g DDM']]],AB$6,AB$2,FALSE),-100)</f>
        <v>-100</v>
      </c>
      <c r="CJ85" t="str">
        <v>Gliricidia sepium</v>
      </c>
      <c r="CL85" t="str">
        <v>Gliricidia sepium</v>
      </c>
    </row>
    <row r="86" spans="1:90" ht="15" customHeight="1" x14ac:dyDescent="0.25">
      <c r="A86" s="12" t="s">
        <v>86</v>
      </c>
      <c r="B86" s="13">
        <v>1054</v>
      </c>
      <c r="C86" s="103">
        <v>22396</v>
      </c>
      <c r="D86" s="104" t="s">
        <v>103</v>
      </c>
      <c r="E86" s="104" t="s">
        <v>153</v>
      </c>
      <c r="F86" t="s">
        <v>154</v>
      </c>
      <c r="G86" s="23" t="s">
        <v>73</v>
      </c>
      <c r="H86" s="23" t="s">
        <v>74</v>
      </c>
      <c r="I86" s="105" t="s">
        <v>48</v>
      </c>
      <c r="J86" s="70">
        <v>3</v>
      </c>
      <c r="K86" s="70"/>
      <c r="L86" s="70"/>
      <c r="M86" t="s">
        <v>154</v>
      </c>
      <c r="N86" t="s">
        <v>98</v>
      </c>
      <c r="O86" s="18">
        <v>188.88732981993837</v>
      </c>
      <c r="P86" s="18">
        <v>4.9512775127888791</v>
      </c>
      <c r="Q86" s="97">
        <v>0.64058926977874298</v>
      </c>
      <c r="R86" s="97">
        <v>0.1865613522911202</v>
      </c>
      <c r="S86" s="97">
        <v>8.1240089226803036E-2</v>
      </c>
      <c r="T86" s="97">
        <v>2.4705484939247953E-2</v>
      </c>
      <c r="U86" s="97">
        <v>1.4150209596329665E-3</v>
      </c>
      <c r="V86" s="97">
        <v>2.4227727025243461E-2</v>
      </c>
      <c r="W86" s="97">
        <v>4.1261055779209369E-2</v>
      </c>
      <c r="X86" s="51">
        <f t="shared" si="8"/>
        <v>9.5352320430444379</v>
      </c>
      <c r="Y86" s="18">
        <v>605.43218510631414</v>
      </c>
      <c r="Z86" s="18">
        <v>47.211579993949883</v>
      </c>
      <c r="AA86" s="18">
        <f t="shared" si="9"/>
        <v>24.994572181710399</v>
      </c>
      <c r="AB86" s="18">
        <f t="shared" si="10"/>
        <v>77.979963991606283</v>
      </c>
      <c r="AC86" s="18">
        <f>$CP$15*Table2912[[#This Row],[DMD '[mg/g']]]+$CS$15*Table2912[[#This Row],[CH4 '[ml/g']]]+$CR$15*Table2912[[#This Row],[CH4 '[% GP']]]+$CQ$15*Table2912[[#This Row],[CH4 '[g/g DDM']]]</f>
        <v>-16.075124815078439</v>
      </c>
      <c r="AD86" s="18">
        <f>_xlfn.RANK.AVG(Table2912[[#This Row],[Index]],Table2912[Index])</f>
        <v>505</v>
      </c>
      <c r="AE8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4.4976945016694785</v>
      </c>
      <c r="AF86" s="18">
        <f>Table2912[[#This Row],[CH4 '[ml/g']]]/Table2912[[#This Row],[APB]]</f>
        <v>10.49684009806038</v>
      </c>
      <c r="AG86" s="18">
        <f>Table2912[[#This Row],[Propionate '[%']]]/Table2912[[#This Row],[Acetate '[%']]]</f>
        <v>0.29123396393379763</v>
      </c>
      <c r="AH86" s="51"/>
      <c r="AI86" s="18"/>
      <c r="AJ86" s="18"/>
      <c r="AK86" s="18">
        <f>(Table2912[[#This Row],[DMD '[mg/g']]]-$AK$15)/$AK$15*100</f>
        <v>23.484727704321433</v>
      </c>
      <c r="AL86" s="18">
        <f>(Table2912[[#This Row],[CH4 '[ml/g']]]-AL$15)/AL$15*100</f>
        <v>20.032875058729044</v>
      </c>
      <c r="AM86" s="18">
        <f>(Table2912[[#This Row],[CH4 '[% GP']]]-AM$15)/AM$15*100</f>
        <v>61.023080167981384</v>
      </c>
      <c r="AN86" s="18">
        <f>(Table2912[[#This Row],[CH4 '[g/g DDM']]]-AN$15)/AN$15*100</f>
        <v>52.258448472652532</v>
      </c>
      <c r="AO86" s="18"/>
      <c r="AP86" s="18"/>
      <c r="AR86">
        <f>_xlfn.NORM.DIST(Table2912[[#This Row],[GP '[ml/g']]],O$6,O$2,FALSE)</f>
        <v>3.4299058697152066E-3</v>
      </c>
      <c r="AS86">
        <f>_xlfn.NORM.DIST(Table2912[[#This Row],[SCFA '[mmol/g']]],P$6,P$2,FALSE)</f>
        <v>0.13868711184508484</v>
      </c>
      <c r="AT86">
        <f>_xlfn.NORM.DIST(Table2912[[#This Row],[Acetate '[%']]],Q$6,Q$2,FALSE)</f>
        <v>7.2910863383634625</v>
      </c>
      <c r="AU86">
        <f>_xlfn.NORM.DIST(Table2912[[#This Row],[Propionate '[%']]],R$6,R$2,FALSE)</f>
        <v>13.868326666042464</v>
      </c>
      <c r="AV86">
        <f>_xlfn.NORM.DIST(Table2912[[#This Row],[Butyrate '[%']]],S$6,S$2,FALSE)</f>
        <v>18.346137148763756</v>
      </c>
      <c r="AW86">
        <f>_xlfn.NORM.DIST(Table2912[[#This Row],[Valerate '[%']]],T$6,T$2,FALSE)</f>
        <v>30.403499213844579</v>
      </c>
      <c r="AX86">
        <f>_xlfn.NORM.DIST(Table2912[[#This Row],[Caproate '[%']]],U$6,U$2,FALSE)</f>
        <v>405.49490515388032</v>
      </c>
      <c r="AY86">
        <f>_xlfn.NORM.DIST(Table2912[[#This Row],[Isobutyrate '[%']]],V$6,V$2,FALSE)</f>
        <v>11.872599972617483</v>
      </c>
      <c r="AZ86">
        <f>_xlfn.NORM.DIST(Table2912[[#This Row],[Isovalerate '[%']]],W$6,W$2,FALSE)</f>
        <v>14.265406074489821</v>
      </c>
      <c r="BA86">
        <f>_xlfn.NORM.DIST(Table2912[[#This Row],[CH4 '[g/mmol SCFA']]],X$6,X$2,FALSE)</f>
        <v>1.5729211128215626E-2</v>
      </c>
      <c r="BB86">
        <f>_xlfn.NORM.DIST(Table2912[[#This Row],[DMD '[mg/g']]],Y$6,Y$2,FALSE)</f>
        <v>1.3405179312803751E-3</v>
      </c>
      <c r="BC86">
        <f>_xlfn.NORM.DIST(Table2912[[#This Row],[CH4 '[ml/g']]],Z$6,Z$2,FALSE)</f>
        <v>2.9741016984213754E-2</v>
      </c>
      <c r="BD86">
        <f>_xlfn.NORM.DIST(Table2912[[#This Row],[CH4 '[% GP']]],AA$6,AA$2,FALSE)</f>
        <v>1.433671197010778E-3</v>
      </c>
      <c r="BE86">
        <f>_xlfn.NORM.DIST(Table2912[[#This Row],[CH4 '[g/g DDM']]],AB$6,AB$2,FALSE)</f>
        <v>4.2032378666846297E-3</v>
      </c>
      <c r="BG86">
        <f>IF(Table2912[[#This Row],[GP '[ml/g']]]&lt;O$10,_xlfn.NORM.DIST(Table2912[[#This Row],[GP '[ml/g']]],O$6,O$2,FALSE),-100)</f>
        <v>3.4299058697152066E-3</v>
      </c>
      <c r="BH86">
        <f>IF(Table2912[[#This Row],[SCFA '[mmol/g']]]&lt;P$10,_xlfn.NORM.DIST(Table2912[[#This Row],[SCFA '[mmol/g']]],P$6,P$2,FALSE),-100)</f>
        <v>0.13868711184508484</v>
      </c>
      <c r="BI86">
        <f>IF(Table2912[[#This Row],[Acetate '[%']]]&lt;Q$10,_xlfn.NORM.DIST(Table2912[[#This Row],[Acetate '[%']]],Q$6,Q$2,FALSE),-100)</f>
        <v>7.2910863383634625</v>
      </c>
      <c r="BJ86">
        <f>IF(Table2912[[#This Row],[Propionate '[%']]]&lt;R$10,_xlfn.NORM.DIST(Table2912[[#This Row],[Propionate '[%']]],R$6,R$2,FALSE),-100)</f>
        <v>-100</v>
      </c>
      <c r="BK86">
        <f>IF(Table2912[[#This Row],[Butyrate '[%']]]&lt;S$10,_xlfn.NORM.DIST(Table2912[[#This Row],[Butyrate '[%']]],S$6,S$2,FALSE),-100)</f>
        <v>-100</v>
      </c>
      <c r="BL86">
        <f>IF(Table2912[[#This Row],[Valerate '[%']]]&lt;T$10,_xlfn.NORM.DIST(Table2912[[#This Row],[Valerate '[%']]],T$6,T$2,FALSE),-100)</f>
        <v>-100</v>
      </c>
      <c r="BM86">
        <f>IF(Table2912[[#This Row],[Caproate '[%']]]&lt;U$10,_xlfn.NORM.DIST(Table2912[[#This Row],[Caproate '[%']]],U$6,U$2,FALSE),-100)</f>
        <v>-100</v>
      </c>
      <c r="BN86">
        <f>IF(Table2912[[#This Row],[Isobutyrate '[%']]]&lt;V$10,_xlfn.NORM.DIST(Table2912[[#This Row],[Isobutyrate '[%']]],V$6,V$2,FALSE),-100)</f>
        <v>-100</v>
      </c>
      <c r="BO86">
        <f>IF(Table2912[[#This Row],[Isovalerate '[%']]]&lt;W$10,_xlfn.NORM.DIST(Table2912[[#This Row],[Isovalerate '[%']]],W$6,W$2,FALSE),-100)</f>
        <v>-100</v>
      </c>
      <c r="BP86">
        <f>IF(Table2912[[#This Row],[CH4 '[g/mmol SCFA']]]&lt;X$10,_xlfn.NORM.DIST(Table2912[[#This Row],[CH4 '[g/mmol SCFA']]],X$6,X$2,FALSE),-100)</f>
        <v>-100</v>
      </c>
      <c r="BQ86">
        <f>IF(Table2912[[#This Row],[DMD '[mg/g']]]&gt;Y$10,_xlfn.NORM.DIST(Table2912[[#This Row],[DMD '[mg/g']]],Y$6,Y$2,FALSE),-100)</f>
        <v>-100</v>
      </c>
      <c r="BR86">
        <f>IF(Table2912[[#This Row],[CH4 '[ml/g']]]&lt;Z$10,_xlfn.NORM.DIST(Table2912[[#This Row],[CH4 '[ml/g']]],Z$6,Z$2,FALSE),-100)</f>
        <v>-100</v>
      </c>
      <c r="BS86">
        <f>IF(Table2912[[#This Row],[CH4 '[% GP']]]&lt;AA$10,_xlfn.NORM.DIST(Table2912[[#This Row],[CH4 '[% GP']]],AA$6,AA$2,FALSE),-100)</f>
        <v>-100</v>
      </c>
      <c r="BT86">
        <f>IF(Table2912[[#This Row],[CH4 '[g/g DDM']]]&lt;AB$10,_xlfn.NORM.DIST(Table2912[[#This Row],[CH4 '[g/g DDM']]],AB$6,AB$2,FALSE),-100)</f>
        <v>-100</v>
      </c>
      <c r="CJ86" t="str">
        <v xml:space="preserve">Retama raetam </v>
      </c>
      <c r="CL86" t="str">
        <v xml:space="preserve">Retama raetam </v>
      </c>
    </row>
    <row r="87" spans="1:90" x14ac:dyDescent="0.25">
      <c r="A87" s="12" t="s">
        <v>86</v>
      </c>
      <c r="B87" s="13">
        <v>1054</v>
      </c>
      <c r="C87" s="103">
        <v>22396</v>
      </c>
      <c r="D87" s="104" t="s">
        <v>103</v>
      </c>
      <c r="E87" s="104" t="s">
        <v>153</v>
      </c>
      <c r="F87" t="s">
        <v>154</v>
      </c>
      <c r="G87" s="23" t="s">
        <v>73</v>
      </c>
      <c r="H87" s="23" t="s">
        <v>74</v>
      </c>
      <c r="I87" s="105" t="s">
        <v>48</v>
      </c>
      <c r="J87" s="70">
        <v>2</v>
      </c>
      <c r="K87" s="70"/>
      <c r="L87" s="70"/>
      <c r="M87" t="s">
        <v>154</v>
      </c>
      <c r="N87" t="s">
        <v>99</v>
      </c>
      <c r="O87" s="18">
        <v>189.59505191075715</v>
      </c>
      <c r="P87" s="18">
        <v>4.9168395140965231</v>
      </c>
      <c r="Q87" s="97">
        <v>0.63723656253190986</v>
      </c>
      <c r="R87" s="97">
        <v>0.19692619378700715</v>
      </c>
      <c r="S87" s="97">
        <v>8.2601304224352468E-2</v>
      </c>
      <c r="T87" s="97">
        <v>2.4215563454848814E-2</v>
      </c>
      <c r="U87" s="97">
        <v>9.7263761065881642E-4</v>
      </c>
      <c r="V87" s="97">
        <v>2.1594104064866938E-2</v>
      </c>
      <c r="W87" s="97">
        <v>3.6453634326355899E-2</v>
      </c>
      <c r="X87" s="51">
        <f t="shared" si="8"/>
        <v>8.2183781750869187</v>
      </c>
      <c r="Y87" s="18">
        <v>608.69689996503928</v>
      </c>
      <c r="Z87" s="18">
        <v>40.408446553055832</v>
      </c>
      <c r="AA87" s="18">
        <f t="shared" si="9"/>
        <v>21.313028027796939</v>
      </c>
      <c r="AB87" s="18">
        <f t="shared" si="10"/>
        <v>66.385168965665343</v>
      </c>
      <c r="AC87" s="18">
        <f>$CP$15*Table2912[[#This Row],[DMD '[mg/g']]]+$CS$15*Table2912[[#This Row],[CH4 '[ml/g']]]+$CR$15*Table2912[[#This Row],[CH4 '[% GP']]]+$CQ$15*Table2912[[#This Row],[CH4 '[g/g DDM']]]</f>
        <v>-8.5723632321322185</v>
      </c>
      <c r="AD87" s="18">
        <f>_xlfn.RANK.AVG(Table2912[[#This Row],[Index]],Table2912[Index])</f>
        <v>486</v>
      </c>
      <c r="AE8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4.5075817579827246</v>
      </c>
      <c r="AF87" s="18">
        <f>Table2912[[#This Row],[CH4 '[ml/g']]]/Table2912[[#This Row],[APB]]</f>
        <v>8.9645509993233716</v>
      </c>
      <c r="AG87" s="18">
        <f>Table2912[[#This Row],[Propionate '[%']]]/Table2912[[#This Row],[Acetate '[%']]]</f>
        <v>0.30903153611363282</v>
      </c>
      <c r="AH87" s="51"/>
      <c r="AI87" s="18"/>
      <c r="AJ87" s="18"/>
      <c r="AK87" s="18">
        <f>(Table2912[[#This Row],[DMD '[mg/g']]]-$AK$15)/$AK$15*100</f>
        <v>24.150603148804343</v>
      </c>
      <c r="AL87" s="18">
        <f>(Table2912[[#This Row],[CH4 '[ml/g']]]-AL$15)/AL$15*100</f>
        <v>2.736278197888049</v>
      </c>
      <c r="AM87" s="18">
        <f>(Table2912[[#This Row],[CH4 '[% GP']]]-AM$15)/AM$15*100</f>
        <v>37.305387577453367</v>
      </c>
      <c r="AN87" s="18">
        <f>(Table2912[[#This Row],[CH4 '[g/g DDM']]]-AN$15)/AN$15*100</f>
        <v>29.619229234256583</v>
      </c>
      <c r="AO87" s="18"/>
      <c r="AP87" s="18"/>
      <c r="AR87">
        <f>_xlfn.NORM.DIST(Table2912[[#This Row],[GP '[ml/g']]],O$6,O$2,FALSE)</f>
        <v>3.486905586116616E-3</v>
      </c>
      <c r="AS87">
        <f>_xlfn.NORM.DIST(Table2912[[#This Row],[SCFA '[mmol/g']]],P$6,P$2,FALSE)</f>
        <v>0.13346068536797245</v>
      </c>
      <c r="AT87">
        <f>_xlfn.NORM.DIST(Table2912[[#This Row],[Acetate '[%']]],Q$6,Q$2,FALSE)</f>
        <v>6.3271635766178278</v>
      </c>
      <c r="AU87">
        <f>_xlfn.NORM.DIST(Table2912[[#This Row],[Propionate '[%']]],R$6,R$2,FALSE)</f>
        <v>9.6278129080569474</v>
      </c>
      <c r="AV87">
        <f>_xlfn.NORM.DIST(Table2912[[#This Row],[Butyrate '[%']]],S$6,S$2,FALSE)</f>
        <v>19.284907934078234</v>
      </c>
      <c r="AW87">
        <f>_xlfn.NORM.DIST(Table2912[[#This Row],[Valerate '[%']]],T$6,T$2,FALSE)</f>
        <v>34.465866821613652</v>
      </c>
      <c r="AX87">
        <f>_xlfn.NORM.DIST(Table2912[[#This Row],[Caproate '[%']]],U$6,U$2,FALSE)</f>
        <v>380.32565405692361</v>
      </c>
      <c r="AY87">
        <f>_xlfn.NORM.DIST(Table2912[[#This Row],[Isobutyrate '[%']]],V$6,V$2,FALSE)</f>
        <v>32.969504658561739</v>
      </c>
      <c r="AZ87">
        <f>_xlfn.NORM.DIST(Table2912[[#This Row],[Isovalerate '[%']]],W$6,W$2,FALSE)</f>
        <v>28.254071900927141</v>
      </c>
      <c r="BA87">
        <f>_xlfn.NORM.DIST(Table2912[[#This Row],[CH4 '[g/mmol SCFA']]],X$6,X$2,FALSE)</f>
        <v>0.10500200463881573</v>
      </c>
      <c r="BB87">
        <f>_xlfn.NORM.DIST(Table2912[[#This Row],[DMD '[mg/g']]],Y$6,Y$2,FALSE)</f>
        <v>1.3806060945980594E-3</v>
      </c>
      <c r="BC87">
        <f>_xlfn.NORM.DIST(Table2912[[#This Row],[CH4 '[ml/g']]],Z$6,Z$2,FALSE)</f>
        <v>3.3390487257966783E-2</v>
      </c>
      <c r="BD87">
        <f>_xlfn.NORM.DIST(Table2912[[#This Row],[CH4 '[% GP']]],AA$6,AA$2,FALSE)</f>
        <v>2.8073342177616135E-2</v>
      </c>
      <c r="BE87">
        <f>_xlfn.NORM.DIST(Table2912[[#This Row],[CH4 '[g/g DDM']]],AB$6,AB$2,FALSE)</f>
        <v>1.8472244695516286E-2</v>
      </c>
      <c r="BG87">
        <f>IF(Table2912[[#This Row],[GP '[ml/g']]]&lt;O$10,_xlfn.NORM.DIST(Table2912[[#This Row],[GP '[ml/g']]],O$6,O$2,FALSE),-100)</f>
        <v>3.486905586116616E-3</v>
      </c>
      <c r="BH87">
        <f>IF(Table2912[[#This Row],[SCFA '[mmol/g']]]&lt;P$10,_xlfn.NORM.DIST(Table2912[[#This Row],[SCFA '[mmol/g']]],P$6,P$2,FALSE),-100)</f>
        <v>0.13346068536797245</v>
      </c>
      <c r="BI87">
        <f>IF(Table2912[[#This Row],[Acetate '[%']]]&lt;Q$10,_xlfn.NORM.DIST(Table2912[[#This Row],[Acetate '[%']]],Q$6,Q$2,FALSE),-100)</f>
        <v>6.3271635766178278</v>
      </c>
      <c r="BJ87">
        <f>IF(Table2912[[#This Row],[Propionate '[%']]]&lt;R$10,_xlfn.NORM.DIST(Table2912[[#This Row],[Propionate '[%']]],R$6,R$2,FALSE),-100)</f>
        <v>-100</v>
      </c>
      <c r="BK87">
        <f>IF(Table2912[[#This Row],[Butyrate '[%']]]&lt;S$10,_xlfn.NORM.DIST(Table2912[[#This Row],[Butyrate '[%']]],S$6,S$2,FALSE),-100)</f>
        <v>-100</v>
      </c>
      <c r="BL87">
        <f>IF(Table2912[[#This Row],[Valerate '[%']]]&lt;T$10,_xlfn.NORM.DIST(Table2912[[#This Row],[Valerate '[%']]],T$6,T$2,FALSE),-100)</f>
        <v>-100</v>
      </c>
      <c r="BM87">
        <f>IF(Table2912[[#This Row],[Caproate '[%']]]&lt;U$10,_xlfn.NORM.DIST(Table2912[[#This Row],[Caproate '[%']]],U$6,U$2,FALSE),-100)</f>
        <v>-100</v>
      </c>
      <c r="BN87">
        <f>IF(Table2912[[#This Row],[Isobutyrate '[%']]]&lt;V$10,_xlfn.NORM.DIST(Table2912[[#This Row],[Isobutyrate '[%']]],V$6,V$2,FALSE),-100)</f>
        <v>-100</v>
      </c>
      <c r="BO87">
        <f>IF(Table2912[[#This Row],[Isovalerate '[%']]]&lt;W$10,_xlfn.NORM.DIST(Table2912[[#This Row],[Isovalerate '[%']]],W$6,W$2,FALSE),-100)</f>
        <v>-100</v>
      </c>
      <c r="BP87">
        <f>IF(Table2912[[#This Row],[CH4 '[g/mmol SCFA']]]&lt;X$10,_xlfn.NORM.DIST(Table2912[[#This Row],[CH4 '[g/mmol SCFA']]],X$6,X$2,FALSE),-100)</f>
        <v>-100</v>
      </c>
      <c r="BQ87">
        <f>IF(Table2912[[#This Row],[DMD '[mg/g']]]&gt;Y$10,_xlfn.NORM.DIST(Table2912[[#This Row],[DMD '[mg/g']]],Y$6,Y$2,FALSE),-100)</f>
        <v>-100</v>
      </c>
      <c r="BR87">
        <f>IF(Table2912[[#This Row],[CH4 '[ml/g']]]&lt;Z$10,_xlfn.NORM.DIST(Table2912[[#This Row],[CH4 '[ml/g']]],Z$6,Z$2,FALSE),-100)</f>
        <v>-100</v>
      </c>
      <c r="BS87">
        <f>IF(Table2912[[#This Row],[CH4 '[% GP']]]&lt;AA$10,_xlfn.NORM.DIST(Table2912[[#This Row],[CH4 '[% GP']]],AA$6,AA$2,FALSE),-100)</f>
        <v>-100</v>
      </c>
      <c r="BT87">
        <f>IF(Table2912[[#This Row],[CH4 '[g/g DDM']]]&lt;AB$10,_xlfn.NORM.DIST(Table2912[[#This Row],[CH4 '[g/g DDM']]],AB$6,AB$2,FALSE),-100)</f>
        <v>-100</v>
      </c>
      <c r="CJ87" t="str">
        <v>Brachiaria decumbens</v>
      </c>
      <c r="CL87" t="str">
        <v>Brachiaria decumbens</v>
      </c>
    </row>
    <row r="88" spans="1:90" ht="15" customHeight="1" x14ac:dyDescent="0.25">
      <c r="A88" s="12" t="s">
        <v>70</v>
      </c>
      <c r="B88" s="13">
        <v>1021</v>
      </c>
      <c r="C88" s="96" t="s">
        <v>167</v>
      </c>
      <c r="D88" s="96"/>
      <c r="E88" s="96"/>
      <c r="F88" s="96" t="s">
        <v>168</v>
      </c>
      <c r="G88" s="15" t="s">
        <v>73</v>
      </c>
      <c r="H88" s="15" t="s">
        <v>74</v>
      </c>
      <c r="I88" t="s">
        <v>75</v>
      </c>
      <c r="J88" s="100">
        <v>2</v>
      </c>
      <c r="K88" s="100"/>
      <c r="L88" s="100"/>
      <c r="M88" t="s">
        <v>168</v>
      </c>
      <c r="N88" t="s">
        <v>81</v>
      </c>
      <c r="O88" s="18">
        <v>256.96082677165333</v>
      </c>
      <c r="P88" s="18">
        <v>7.2703794729436169</v>
      </c>
      <c r="Q88" s="97">
        <v>0.66568275949963207</v>
      </c>
      <c r="R88" s="97">
        <v>0.1764291238082849</v>
      </c>
      <c r="S88" s="97">
        <v>9.6820176457417903E-2</v>
      </c>
      <c r="T88" s="97">
        <v>1.9661075050715647E-2</v>
      </c>
      <c r="U88" s="97">
        <v>8.4077766104767473E-4</v>
      </c>
      <c r="V88" s="97">
        <v>1.5515857892409279E-2</v>
      </c>
      <c r="W88" s="97">
        <v>2.5050229630492526E-2</v>
      </c>
      <c r="X88" s="51">
        <f t="shared" si="8"/>
        <v>4.8738763605385289</v>
      </c>
      <c r="Y88" s="18">
        <v>609.33350031047291</v>
      </c>
      <c r="Z88" s="18">
        <v>35.434930645324464</v>
      </c>
      <c r="AA88" s="18">
        <f t="shared" si="9"/>
        <v>13.790012699800929</v>
      </c>
      <c r="AB88" s="18">
        <f t="shared" si="10"/>
        <v>58.15359015591519</v>
      </c>
      <c r="AC88" s="18">
        <f>$CP$15*Table2912[[#This Row],[DMD '[mg/g']]]+$CS$15*Table2912[[#This Row],[CH4 '[ml/g']]]+$CR$15*Table2912[[#This Row],[CH4 '[% GP']]]+$CQ$15*Table2912[[#This Row],[CH4 '[g/g DDM']]]</f>
        <v>-1.9451890211858682</v>
      </c>
      <c r="AD88" s="18">
        <f>_xlfn.RANK.AVG(Table2912[[#This Row],[Index]],Table2912[Index])</f>
        <v>458</v>
      </c>
      <c r="AE8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6.8263923738065593</v>
      </c>
      <c r="AF88" s="18">
        <f>Table2912[[#This Row],[CH4 '[ml/g']]]/Table2912[[#This Row],[APB]]</f>
        <v>5.1908722360131643</v>
      </c>
      <c r="AG88" s="18">
        <f>Table2912[[#This Row],[Propionate '[%']]]/Table2912[[#This Row],[Acetate '[%']]]</f>
        <v>0.26503484023065255</v>
      </c>
      <c r="AH88" s="51"/>
      <c r="AI88" s="18"/>
      <c r="AJ88" s="18"/>
      <c r="AK88" s="18">
        <f>(Table2912[[#This Row],[DMD '[mg/g']]]-$AK$15)/$AK$15*100</f>
        <v>24.280444974604446</v>
      </c>
      <c r="AL88" s="18">
        <f>(Table2912[[#This Row],[CH4 '[ml/g']]]-AL$15)/AL$15*100</f>
        <v>-9.9086155682562698</v>
      </c>
      <c r="AM88" s="18">
        <f>(Table2912[[#This Row],[CH4 '[% GP']]]-AM$15)/AM$15*100</f>
        <v>-11.160298950731031</v>
      </c>
      <c r="AN88" s="18">
        <f>(Table2912[[#This Row],[CH4 '[g/g DDM']]]-AN$15)/AN$15*100</f>
        <v>13.546800447448861</v>
      </c>
      <c r="AO88" s="18"/>
      <c r="AP88" s="18"/>
      <c r="AR88">
        <f>_xlfn.NORM.DIST(Table2912[[#This Row],[GP '[ml/g']]],O$6,O$2,FALSE)</f>
        <v>7.4770202307877735E-3</v>
      </c>
      <c r="AS88">
        <f>_xlfn.NORM.DIST(Table2912[[#This Row],[SCFA '[mmol/g']]],P$6,P$2,FALSE)</f>
        <v>0.27603685198458483</v>
      </c>
      <c r="AT88">
        <f>_xlfn.NORM.DIST(Table2912[[#This Row],[Acetate '[%']]],Q$6,Q$2,FALSE)</f>
        <v>13.554810704276692</v>
      </c>
      <c r="AU88">
        <f>_xlfn.NORM.DIST(Table2912[[#This Row],[Propionate '[%']]],R$6,R$2,FALSE)</f>
        <v>16.484439611137027</v>
      </c>
      <c r="AV88">
        <f>_xlfn.NORM.DIST(Table2912[[#This Row],[Butyrate '[%']]],S$6,S$2,FALSE)</f>
        <v>22.454199484454861</v>
      </c>
      <c r="AW88">
        <f>_xlfn.NORM.DIST(Table2912[[#This Row],[Valerate '[%']]],T$6,T$2,FALSE)</f>
        <v>71.772384167339396</v>
      </c>
      <c r="AX88">
        <f>_xlfn.NORM.DIST(Table2912[[#This Row],[Caproate '[%']]],U$6,U$2,FALSE)</f>
        <v>358.71906693478468</v>
      </c>
      <c r="AY88">
        <f>_xlfn.NORM.DIST(Table2912[[#This Row],[Isobutyrate '[%']]],V$6,V$2,FALSE)</f>
        <v>90.067968226233077</v>
      </c>
      <c r="AZ88">
        <f>_xlfn.NORM.DIST(Table2912[[#This Row],[Isovalerate '[%']]],W$6,W$2,FALSE)</f>
        <v>43.107400306189056</v>
      </c>
      <c r="BA88">
        <f>_xlfn.NORM.DIST(Table2912[[#This Row],[CH4 '[g/mmol SCFA']]],X$6,X$2,FALSE)</f>
        <v>0.17132225761188202</v>
      </c>
      <c r="BB88">
        <f>_xlfn.NORM.DIST(Table2912[[#This Row],[DMD '[mg/g']]],Y$6,Y$2,FALSE)</f>
        <v>1.3884694976125593E-3</v>
      </c>
      <c r="BC88">
        <f>_xlfn.NORM.DIST(Table2912[[#This Row],[CH4 '[ml/g']]],Z$6,Z$2,FALSE)</f>
        <v>2.955670317182027E-2</v>
      </c>
      <c r="BD88">
        <f>_xlfn.NORM.DIST(Table2912[[#This Row],[CH4 '[% GP']]],AA$6,AA$2,FALSE)</f>
        <v>0.10020696122230525</v>
      </c>
      <c r="BE88">
        <f>_xlfn.NORM.DIST(Table2912[[#This Row],[CH4 '[g/g DDM']]],AB$6,AB$2,FALSE)</f>
        <v>3.038400303194088E-2</v>
      </c>
      <c r="BG88">
        <f>IF(Table2912[[#This Row],[GP '[ml/g']]]&lt;O$10,_xlfn.NORM.DIST(Table2912[[#This Row],[GP '[ml/g']]],O$6,O$2,FALSE),-100)</f>
        <v>-100</v>
      </c>
      <c r="BH88">
        <f>IF(Table2912[[#This Row],[SCFA '[mmol/g']]]&lt;P$10,_xlfn.NORM.DIST(Table2912[[#This Row],[SCFA '[mmol/g']]],P$6,P$2,FALSE),-100)</f>
        <v>-100</v>
      </c>
      <c r="BI88">
        <f>IF(Table2912[[#This Row],[Acetate '[%']]]&lt;Q$10,_xlfn.NORM.DIST(Table2912[[#This Row],[Acetate '[%']]],Q$6,Q$2,FALSE),-100)</f>
        <v>-100</v>
      </c>
      <c r="BJ88">
        <f>IF(Table2912[[#This Row],[Propionate '[%']]]&lt;R$10,_xlfn.NORM.DIST(Table2912[[#This Row],[Propionate '[%']]],R$6,R$2,FALSE),-100)</f>
        <v>-100</v>
      </c>
      <c r="BK88">
        <f>IF(Table2912[[#This Row],[Butyrate '[%']]]&lt;S$10,_xlfn.NORM.DIST(Table2912[[#This Row],[Butyrate '[%']]],S$6,S$2,FALSE),-100)</f>
        <v>-100</v>
      </c>
      <c r="BL88">
        <f>IF(Table2912[[#This Row],[Valerate '[%']]]&lt;T$10,_xlfn.NORM.DIST(Table2912[[#This Row],[Valerate '[%']]],T$6,T$2,FALSE),-100)</f>
        <v>-100</v>
      </c>
      <c r="BM88">
        <f>IF(Table2912[[#This Row],[Caproate '[%']]]&lt;U$10,_xlfn.NORM.DIST(Table2912[[#This Row],[Caproate '[%']]],U$6,U$2,FALSE),-100)</f>
        <v>-100</v>
      </c>
      <c r="BN88">
        <f>IF(Table2912[[#This Row],[Isobutyrate '[%']]]&lt;V$10,_xlfn.NORM.DIST(Table2912[[#This Row],[Isobutyrate '[%']]],V$6,V$2,FALSE),-100)</f>
        <v>-100</v>
      </c>
      <c r="BO88">
        <f>IF(Table2912[[#This Row],[Isovalerate '[%']]]&lt;W$10,_xlfn.NORM.DIST(Table2912[[#This Row],[Isovalerate '[%']]],W$6,W$2,FALSE),-100)</f>
        <v>-100</v>
      </c>
      <c r="BP88">
        <f>IF(Table2912[[#This Row],[CH4 '[g/mmol SCFA']]]&lt;X$10,_xlfn.NORM.DIST(Table2912[[#This Row],[CH4 '[g/mmol SCFA']]],X$6,X$2,FALSE),-100)</f>
        <v>0.17132225761188202</v>
      </c>
      <c r="BQ88">
        <f>IF(Table2912[[#This Row],[DMD '[mg/g']]]&gt;Y$10,_xlfn.NORM.DIST(Table2912[[#This Row],[DMD '[mg/g']]],Y$6,Y$2,FALSE),-100)</f>
        <v>-100</v>
      </c>
      <c r="BR88">
        <f>IF(Table2912[[#This Row],[CH4 '[ml/g']]]&lt;Z$10,_xlfn.NORM.DIST(Table2912[[#This Row],[CH4 '[ml/g']]],Z$6,Z$2,FALSE),-100)</f>
        <v>-100</v>
      </c>
      <c r="BS88">
        <f>IF(Table2912[[#This Row],[CH4 '[% GP']]]&lt;AA$10,_xlfn.NORM.DIST(Table2912[[#This Row],[CH4 '[% GP']]],AA$6,AA$2,FALSE),-100)</f>
        <v>-100</v>
      </c>
      <c r="BT88">
        <f>IF(Table2912[[#This Row],[CH4 '[g/g DDM']]]&lt;AB$10,_xlfn.NORM.DIST(Table2912[[#This Row],[CH4 '[g/g DDM']]],AB$6,AB$2,FALSE),-100)</f>
        <v>-100</v>
      </c>
      <c r="CJ88" t="str">
        <v xml:space="preserve">Vigna unguiculata </v>
      </c>
      <c r="CL88" t="str">
        <v xml:space="preserve">Vigna unguiculata </v>
      </c>
    </row>
    <row r="89" spans="1:90" ht="15" customHeight="1" x14ac:dyDescent="0.25">
      <c r="A89" s="12" t="s">
        <v>86</v>
      </c>
      <c r="B89" s="13">
        <v>1073</v>
      </c>
      <c r="C89" s="104" t="s">
        <v>125</v>
      </c>
      <c r="D89" s="104" t="s">
        <v>126</v>
      </c>
      <c r="E89" s="104" t="s">
        <v>127</v>
      </c>
      <c r="F89" s="104" t="s">
        <v>128</v>
      </c>
      <c r="G89" s="23" t="s">
        <v>73</v>
      </c>
      <c r="H89" s="23" t="s">
        <v>74</v>
      </c>
      <c r="I89" s="105" t="s">
        <v>44</v>
      </c>
      <c r="J89" s="70">
        <v>1</v>
      </c>
      <c r="K89" s="70"/>
      <c r="L89" s="70"/>
      <c r="M89" t="s">
        <v>128</v>
      </c>
      <c r="N89" t="s">
        <v>124</v>
      </c>
      <c r="O89" s="18">
        <v>174.18662674650705</v>
      </c>
      <c r="P89" s="18">
        <v>4.4364224593141772</v>
      </c>
      <c r="Q89" s="97">
        <v>0.73739920828902072</v>
      </c>
      <c r="R89" s="97">
        <v>0.15451280915888854</v>
      </c>
      <c r="S89" s="97">
        <v>6.8252705857722529E-2</v>
      </c>
      <c r="T89" s="97">
        <v>1.0223203430661652E-2</v>
      </c>
      <c r="U89" s="97">
        <v>7.3337589769630692E-4</v>
      </c>
      <c r="V89" s="97">
        <v>1.0584515033747004E-2</v>
      </c>
      <c r="W89" s="97">
        <v>1.829418233226323E-2</v>
      </c>
      <c r="X89" s="51">
        <f t="shared" si="8"/>
        <v>4.5433142649512712</v>
      </c>
      <c r="Y89" s="18">
        <v>612.79887315316478</v>
      </c>
      <c r="Z89" s="18">
        <v>20.1560614447523</v>
      </c>
      <c r="AA89" s="18">
        <f t="shared" si="9"/>
        <v>11.571532109686766</v>
      </c>
      <c r="AB89" s="18">
        <f t="shared" si="10"/>
        <v>32.891805660540818</v>
      </c>
      <c r="AC89" s="18">
        <f>$CP$15*Table2912[[#This Row],[DMD '[mg/g']]]+$CS$15*Table2912[[#This Row],[CH4 '[ml/g']]]+$CR$15*Table2912[[#This Row],[CH4 '[% GP']]]+$CQ$15*Table2912[[#This Row],[CH4 '[g/g DDM']]]</f>
        <v>12.192631274416534</v>
      </c>
      <c r="AD89" s="18">
        <f>_xlfn.RANK.AVG(Table2912[[#This Row],[Index]],Table2912[Index])</f>
        <v>318</v>
      </c>
      <c r="AE8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4.2596963431142871</v>
      </c>
      <c r="AF89" s="18">
        <f>Table2912[[#This Row],[CH4 '[ml/g']]]/Table2912[[#This Row],[APB]]</f>
        <v>4.7318071104608581</v>
      </c>
      <c r="AG89" s="18">
        <f>Table2912[[#This Row],[Propionate '[%']]]/Table2912[[#This Row],[Acetate '[%']]]</f>
        <v>0.20953753058320054</v>
      </c>
      <c r="AH89" s="51"/>
      <c r="AI89" s="18"/>
      <c r="AJ89" s="18"/>
      <c r="AK89" s="18">
        <f>(Table2912[[#This Row],[DMD '[mg/g']]]-$AK$15)/$AK$15*100</f>
        <v>24.987246879756899</v>
      </c>
      <c r="AL89" s="18">
        <f>(Table2912[[#This Row],[CH4 '[ml/g']]]-AL$15)/AL$15*100</f>
        <v>-48.754309739600728</v>
      </c>
      <c r="AM89" s="18">
        <f>(Table2912[[#This Row],[CH4 '[% GP']]]-AM$15)/AM$15*100</f>
        <v>-25.452465078481822</v>
      </c>
      <c r="AN89" s="18">
        <f>(Table2912[[#This Row],[CH4 '[g/g DDM']]]-AN$15)/AN$15*100</f>
        <v>-35.777665941510065</v>
      </c>
      <c r="AO89" s="18"/>
      <c r="AP89" s="18"/>
      <c r="AR89">
        <f>_xlfn.NORM.DIST(Table2912[[#This Row],[GP '[ml/g']]],O$6,O$2,FALSE)</f>
        <v>2.3404889479371124E-3</v>
      </c>
      <c r="AS89">
        <f>_xlfn.NORM.DIST(Table2912[[#This Row],[SCFA '[mmol/g']]],P$6,P$2,FALSE)</f>
        <v>7.1657432394466258E-2</v>
      </c>
      <c r="AT89">
        <f>_xlfn.NORM.DIST(Table2912[[#This Row],[Acetate '[%']]],Q$6,Q$2,FALSE)</f>
        <v>1.0913431538928062</v>
      </c>
      <c r="AU89">
        <f>_xlfn.NORM.DIST(Table2912[[#This Row],[Propionate '[%']]],R$6,R$2,FALSE)</f>
        <v>12.859410582014863</v>
      </c>
      <c r="AV89">
        <f>_xlfn.NORM.DIST(Table2912[[#This Row],[Butyrate '[%']]],S$6,S$2,FALSE)</f>
        <v>8.3543251821586129</v>
      </c>
      <c r="AW89">
        <f>_xlfn.NORM.DIST(Table2912[[#This Row],[Valerate '[%']]],T$6,T$2,FALSE)</f>
        <v>27.342245906395355</v>
      </c>
      <c r="AX89">
        <f>_xlfn.NORM.DIST(Table2912[[#This Row],[Caproate '[%']]],U$6,U$2,FALSE)</f>
        <v>337.48895463704872</v>
      </c>
      <c r="AY89">
        <f>_xlfn.NORM.DIST(Table2912[[#This Row],[Isobutyrate '[%']]],V$6,V$2,FALSE)</f>
        <v>50.880768755387464</v>
      </c>
      <c r="AZ89">
        <f>_xlfn.NORM.DIST(Table2912[[#This Row],[Isovalerate '[%']]],W$6,W$2,FALSE)</f>
        <v>24.990706145512096</v>
      </c>
      <c r="BA89">
        <f>_xlfn.NORM.DIST(Table2912[[#This Row],[CH4 '[g/mmol SCFA']]],X$6,X$2,FALSE)</f>
        <v>0.12829837850856601</v>
      </c>
      <c r="BB89">
        <f>_xlfn.NORM.DIST(Table2912[[#This Row],[DMD '[mg/g']]],Y$6,Y$2,FALSE)</f>
        <v>1.4315228352714058E-3</v>
      </c>
      <c r="BC89">
        <f>_xlfn.NORM.DIST(Table2912[[#This Row],[CH4 '[ml/g']]],Z$6,Z$2,FALSE)</f>
        <v>6.8229692253425371E-3</v>
      </c>
      <c r="BD89">
        <f>_xlfn.NORM.DIST(Table2912[[#This Row],[CH4 '[% GP']]],AA$6,AA$2,FALSE)</f>
        <v>4.2533054063265817E-2</v>
      </c>
      <c r="BE89">
        <f>_xlfn.NORM.DIST(Table2912[[#This Row],[CH4 '[g/g DDM']]],AB$6,AB$2,FALSE)</f>
        <v>7.9434021670794323E-3</v>
      </c>
      <c r="BG89">
        <f>IF(Table2912[[#This Row],[GP '[ml/g']]]&lt;O$10,_xlfn.NORM.DIST(Table2912[[#This Row],[GP '[ml/g']]],O$6,O$2,FALSE),-100)</f>
        <v>2.3404889479371124E-3</v>
      </c>
      <c r="BH89">
        <f>IF(Table2912[[#This Row],[SCFA '[mmol/g']]]&lt;P$10,_xlfn.NORM.DIST(Table2912[[#This Row],[SCFA '[mmol/g']]],P$6,P$2,FALSE),-100)</f>
        <v>7.1657432394466258E-2</v>
      </c>
      <c r="BI89">
        <f>IF(Table2912[[#This Row],[Acetate '[%']]]&lt;Q$10,_xlfn.NORM.DIST(Table2912[[#This Row],[Acetate '[%']]],Q$6,Q$2,FALSE),-100)</f>
        <v>-100</v>
      </c>
      <c r="BJ89">
        <f>IF(Table2912[[#This Row],[Propionate '[%']]]&lt;R$10,_xlfn.NORM.DIST(Table2912[[#This Row],[Propionate '[%']]],R$6,R$2,FALSE),-100)</f>
        <v>-100</v>
      </c>
      <c r="BK89">
        <f>IF(Table2912[[#This Row],[Butyrate '[%']]]&lt;S$10,_xlfn.NORM.DIST(Table2912[[#This Row],[Butyrate '[%']]],S$6,S$2,FALSE),-100)</f>
        <v>8.3543251821586129</v>
      </c>
      <c r="BL89">
        <f>IF(Table2912[[#This Row],[Valerate '[%']]]&lt;T$10,_xlfn.NORM.DIST(Table2912[[#This Row],[Valerate '[%']]],T$6,T$2,FALSE),-100)</f>
        <v>27.342245906395355</v>
      </c>
      <c r="BM89">
        <f>IF(Table2912[[#This Row],[Caproate '[%']]]&lt;U$10,_xlfn.NORM.DIST(Table2912[[#This Row],[Caproate '[%']]],U$6,U$2,FALSE),-100)</f>
        <v>-100</v>
      </c>
      <c r="BN89">
        <f>IF(Table2912[[#This Row],[Isobutyrate '[%']]]&lt;V$10,_xlfn.NORM.DIST(Table2912[[#This Row],[Isobutyrate '[%']]],V$6,V$2,FALSE),-100)</f>
        <v>50.880768755387464</v>
      </c>
      <c r="BO89">
        <f>IF(Table2912[[#This Row],[Isovalerate '[%']]]&lt;W$10,_xlfn.NORM.DIST(Table2912[[#This Row],[Isovalerate '[%']]],W$6,W$2,FALSE),-100)</f>
        <v>24.990706145512096</v>
      </c>
      <c r="BP89">
        <f>IF(Table2912[[#This Row],[CH4 '[g/mmol SCFA']]]&lt;X$10,_xlfn.NORM.DIST(Table2912[[#This Row],[CH4 '[g/mmol SCFA']]],X$6,X$2,FALSE),-100)</f>
        <v>0.12829837850856601</v>
      </c>
      <c r="BQ89">
        <f>IF(Table2912[[#This Row],[DMD '[mg/g']]]&gt;Y$10,_xlfn.NORM.DIST(Table2912[[#This Row],[DMD '[mg/g']]],Y$6,Y$2,FALSE),-100)</f>
        <v>-100</v>
      </c>
      <c r="BR89">
        <f>IF(Table2912[[#This Row],[CH4 '[ml/g']]]&lt;Z$10,_xlfn.NORM.DIST(Table2912[[#This Row],[CH4 '[ml/g']]],Z$6,Z$2,FALSE),-100)</f>
        <v>6.8229692253425371E-3</v>
      </c>
      <c r="BS89">
        <f>IF(Table2912[[#This Row],[CH4 '[% GP']]]&lt;AA$10,_xlfn.NORM.DIST(Table2912[[#This Row],[CH4 '[% GP']]],AA$6,AA$2,FALSE),-100)</f>
        <v>4.2533054063265817E-2</v>
      </c>
      <c r="BT89">
        <f>IF(Table2912[[#This Row],[CH4 '[g/g DDM']]]&lt;AB$10,_xlfn.NORM.DIST(Table2912[[#This Row],[CH4 '[g/g DDM']]],AB$6,AB$2,FALSE),-100)</f>
        <v>7.9434021670794323E-3</v>
      </c>
      <c r="CJ89" t="str">
        <v xml:space="preserve">Megathyrsus maximus    </v>
      </c>
      <c r="CL89" t="str">
        <v xml:space="preserve">Megathyrsus maximus    </v>
      </c>
    </row>
    <row r="90" spans="1:90" ht="15" customHeight="1" x14ac:dyDescent="0.25">
      <c r="A90" s="12" t="s">
        <v>86</v>
      </c>
      <c r="B90" s="13">
        <v>1049</v>
      </c>
      <c r="C90" s="104" t="s">
        <v>157</v>
      </c>
      <c r="D90" s="104" t="s">
        <v>158</v>
      </c>
      <c r="E90" s="104" t="s">
        <v>159</v>
      </c>
      <c r="F90" s="104" t="s">
        <v>160</v>
      </c>
      <c r="G90" s="23" t="s">
        <v>73</v>
      </c>
      <c r="H90" s="23" t="s">
        <v>74</v>
      </c>
      <c r="I90" s="104" t="s">
        <v>44</v>
      </c>
      <c r="J90" s="100">
        <v>1</v>
      </c>
      <c r="K90" s="100"/>
      <c r="L90" s="100"/>
      <c r="M90" t="s">
        <v>160</v>
      </c>
      <c r="N90" t="s">
        <v>84</v>
      </c>
      <c r="O90" s="18">
        <v>175.54921268573992</v>
      </c>
      <c r="P90" s="18">
        <v>5.3945856362083315</v>
      </c>
      <c r="Q90" s="97">
        <v>0.70515784851205587</v>
      </c>
      <c r="R90" s="97">
        <v>0.15433041030893097</v>
      </c>
      <c r="S90" s="97">
        <v>7.6932201051839955E-2</v>
      </c>
      <c r="T90" s="97">
        <v>1.7668705899361783E-2</v>
      </c>
      <c r="U90" s="97">
        <v>4.4375621693409362E-3</v>
      </c>
      <c r="V90" s="97">
        <v>1.4674494602522205E-2</v>
      </c>
      <c r="W90" s="97">
        <v>2.679877745594824E-2</v>
      </c>
      <c r="X90" s="51">
        <f t="shared" si="8"/>
        <v>3.4735057135983465</v>
      </c>
      <c r="Y90" s="18">
        <v>613.01511388663812</v>
      </c>
      <c r="Z90" s="18">
        <v>18.738124029865212</v>
      </c>
      <c r="AA90" s="18">
        <f t="shared" si="9"/>
        <v>10.674000608256407</v>
      </c>
      <c r="AB90" s="18">
        <f t="shared" si="10"/>
        <v>30.567148517859152</v>
      </c>
      <c r="AC90" s="18">
        <f>$CP$15*Table2912[[#This Row],[DMD '[mg/g']]]+$CS$15*Table2912[[#This Row],[CH4 '[ml/g']]]+$CR$15*Table2912[[#This Row],[CH4 '[% GP']]]+$CQ$15*Table2912[[#This Row],[CH4 '[g/g DDM']]]</f>
        <v>13.689485201047468</v>
      </c>
      <c r="AD90" s="18">
        <f>_xlfn.RANK.AVG(Table2912[[#This Row],[Index]],Table2912[Index])</f>
        <v>292</v>
      </c>
      <c r="AE9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5.051600362281552</v>
      </c>
      <c r="AF90" s="18">
        <f>Table2912[[#This Row],[CH4 '[ml/g']]]/Table2912[[#This Row],[APB]]</f>
        <v>3.7093441060333898</v>
      </c>
      <c r="AG90" s="18">
        <f>Table2912[[#This Row],[Propionate '[%']]]/Table2912[[#This Row],[Acetate '[%']]]</f>
        <v>0.21885938110818945</v>
      </c>
      <c r="AH90" s="51"/>
      <c r="AI90" s="18"/>
      <c r="AJ90" s="18"/>
      <c r="AK90" s="18">
        <f>(Table2912[[#This Row],[DMD '[mg/g']]]-$AK$15)/$AK$15*100</f>
        <v>25.031351618071806</v>
      </c>
      <c r="AL90" s="18">
        <f>(Table2912[[#This Row],[CH4 '[ml/g']]]-AL$15)/AL$15*100</f>
        <v>-52.359338518219246</v>
      </c>
      <c r="AM90" s="18">
        <f>(Table2912[[#This Row],[CH4 '[% GP']]]-AM$15)/AM$15*100</f>
        <v>-31.234651941190489</v>
      </c>
      <c r="AN90" s="18">
        <f>(Table2912[[#This Row],[CH4 '[g/g DDM']]]-AN$15)/AN$15*100</f>
        <v>-40.316635590350614</v>
      </c>
      <c r="AO90" s="18"/>
      <c r="AP90" s="18"/>
      <c r="AR90">
        <f>_xlfn.NORM.DIST(Table2912[[#This Row],[GP '[ml/g']]],O$6,O$2,FALSE)</f>
        <v>2.4326406171310006E-3</v>
      </c>
      <c r="AS90">
        <f>_xlfn.NORM.DIST(Table2912[[#This Row],[SCFA '[mmol/g']]],P$6,P$2,FALSE)</f>
        <v>0.21124874773904148</v>
      </c>
      <c r="AT90">
        <f>_xlfn.NORM.DIST(Table2912[[#This Row],[Acetate '[%']]],Q$6,Q$2,FALSE)</f>
        <v>7.4388724124462184</v>
      </c>
      <c r="AU90">
        <f>_xlfn.NORM.DIST(Table2912[[#This Row],[Propionate '[%']]],R$6,R$2,FALSE)</f>
        <v>12.787125339239774</v>
      </c>
      <c r="AV90">
        <f>_xlfn.NORM.DIST(Table2912[[#This Row],[Butyrate '[%']]],S$6,S$2,FALSE)</f>
        <v>15.041210634584713</v>
      </c>
      <c r="AW90">
        <f>_xlfn.NORM.DIST(Table2912[[#This Row],[Valerate '[%']]],T$6,T$2,FALSE)</f>
        <v>77.395115369010185</v>
      </c>
      <c r="AX90">
        <f>_xlfn.NORM.DIST(Table2912[[#This Row],[Caproate '[%']]],U$6,U$2,FALSE)</f>
        <v>2.7050611247302414</v>
      </c>
      <c r="AY90">
        <f>_xlfn.NORM.DIST(Table2912[[#This Row],[Isobutyrate '[%']]],V$6,V$2,FALSE)</f>
        <v>89.211046869325173</v>
      </c>
      <c r="AZ90">
        <f>_xlfn.NORM.DIST(Table2912[[#This Row],[Isovalerate '[%']]],W$6,W$2,FALSE)</f>
        <v>45.077232322133057</v>
      </c>
      <c r="BA90">
        <f>_xlfn.NORM.DIST(Table2912[[#This Row],[CH4 '[g/mmol SCFA']]],X$6,X$2,FALSE)</f>
        <v>3.3186921192360816E-2</v>
      </c>
      <c r="BB90">
        <f>_xlfn.NORM.DIST(Table2912[[#This Row],[DMD '[mg/g']]],Y$6,Y$2,FALSE)</f>
        <v>1.4342227075672159E-3</v>
      </c>
      <c r="BC90">
        <f>_xlfn.NORM.DIST(Table2912[[#This Row],[CH4 '[ml/g']]],Z$6,Z$2,FALSE)</f>
        <v>5.4780156989186514E-3</v>
      </c>
      <c r="BD90">
        <f>_xlfn.NORM.DIST(Table2912[[#This Row],[CH4 '[% GP']]],AA$6,AA$2,FALSE)</f>
        <v>2.5639287384468412E-2</v>
      </c>
      <c r="BE90">
        <f>_xlfn.NORM.DIST(Table2912[[#This Row],[CH4 '[g/g DDM']]],AB$6,AB$2,FALSE)</f>
        <v>5.6488405312300032E-3</v>
      </c>
      <c r="BG90">
        <f>IF(Table2912[[#This Row],[GP '[ml/g']]]&lt;O$10,_xlfn.NORM.DIST(Table2912[[#This Row],[GP '[ml/g']]],O$6,O$2,FALSE),-100)</f>
        <v>2.4326406171310006E-3</v>
      </c>
      <c r="BH90">
        <f>IF(Table2912[[#This Row],[SCFA '[mmol/g']]]&lt;P$10,_xlfn.NORM.DIST(Table2912[[#This Row],[SCFA '[mmol/g']]],P$6,P$2,FALSE),-100)</f>
        <v>-100</v>
      </c>
      <c r="BI90">
        <f>IF(Table2912[[#This Row],[Acetate '[%']]]&lt;Q$10,_xlfn.NORM.DIST(Table2912[[#This Row],[Acetate '[%']]],Q$6,Q$2,FALSE),-100)</f>
        <v>-100</v>
      </c>
      <c r="BJ90">
        <f>IF(Table2912[[#This Row],[Propionate '[%']]]&lt;R$10,_xlfn.NORM.DIST(Table2912[[#This Row],[Propionate '[%']]],R$6,R$2,FALSE),-100)</f>
        <v>-100</v>
      </c>
      <c r="BK90">
        <f>IF(Table2912[[#This Row],[Butyrate '[%']]]&lt;S$10,_xlfn.NORM.DIST(Table2912[[#This Row],[Butyrate '[%']]],S$6,S$2,FALSE),-100)</f>
        <v>-100</v>
      </c>
      <c r="BL90">
        <f>IF(Table2912[[#This Row],[Valerate '[%']]]&lt;T$10,_xlfn.NORM.DIST(Table2912[[#This Row],[Valerate '[%']]],T$6,T$2,FALSE),-100)</f>
        <v>-100</v>
      </c>
      <c r="BM90">
        <f>IF(Table2912[[#This Row],[Caproate '[%']]]&lt;U$10,_xlfn.NORM.DIST(Table2912[[#This Row],[Caproate '[%']]],U$6,U$2,FALSE),-100)</f>
        <v>-100</v>
      </c>
      <c r="BN90">
        <f>IF(Table2912[[#This Row],[Isobutyrate '[%']]]&lt;V$10,_xlfn.NORM.DIST(Table2912[[#This Row],[Isobutyrate '[%']]],V$6,V$2,FALSE),-100)</f>
        <v>-100</v>
      </c>
      <c r="BO90">
        <f>IF(Table2912[[#This Row],[Isovalerate '[%']]]&lt;W$10,_xlfn.NORM.DIST(Table2912[[#This Row],[Isovalerate '[%']]],W$6,W$2,FALSE),-100)</f>
        <v>-100</v>
      </c>
      <c r="BP90">
        <f>IF(Table2912[[#This Row],[CH4 '[g/mmol SCFA']]]&lt;X$10,_xlfn.NORM.DIST(Table2912[[#This Row],[CH4 '[g/mmol SCFA']]],X$6,X$2,FALSE),-100)</f>
        <v>3.3186921192360816E-2</v>
      </c>
      <c r="BQ90">
        <f>IF(Table2912[[#This Row],[DMD '[mg/g']]]&gt;Y$10,_xlfn.NORM.DIST(Table2912[[#This Row],[DMD '[mg/g']]],Y$6,Y$2,FALSE),-100)</f>
        <v>-100</v>
      </c>
      <c r="BR90">
        <f>IF(Table2912[[#This Row],[CH4 '[ml/g']]]&lt;Z$10,_xlfn.NORM.DIST(Table2912[[#This Row],[CH4 '[ml/g']]],Z$6,Z$2,FALSE),-100)</f>
        <v>5.4780156989186514E-3</v>
      </c>
      <c r="BS90">
        <f>IF(Table2912[[#This Row],[CH4 '[% GP']]]&lt;AA$10,_xlfn.NORM.DIST(Table2912[[#This Row],[CH4 '[% GP']]],AA$6,AA$2,FALSE),-100)</f>
        <v>2.5639287384468412E-2</v>
      </c>
      <c r="BT90">
        <f>IF(Table2912[[#This Row],[CH4 '[g/g DDM']]]&lt;AB$10,_xlfn.NORM.DIST(Table2912[[#This Row],[CH4 '[g/g DDM']]],AB$6,AB$2,FALSE),-100)</f>
        <v>5.6488405312300032E-3</v>
      </c>
      <c r="CJ90" t="str">
        <v>Brachiaria xruziziensisxdecumbe</v>
      </c>
      <c r="CL90" t="str">
        <v>Brachiaria xruziziensisxdecumbe</v>
      </c>
    </row>
    <row r="91" spans="1:90" x14ac:dyDescent="0.25">
      <c r="A91" s="12" t="s">
        <v>86</v>
      </c>
      <c r="B91" s="13">
        <v>1061</v>
      </c>
      <c r="C91" s="104" t="s">
        <v>150</v>
      </c>
      <c r="D91" s="104" t="s">
        <v>134</v>
      </c>
      <c r="E91" s="104" t="s">
        <v>151</v>
      </c>
      <c r="F91" s="104" t="s">
        <v>152</v>
      </c>
      <c r="G91" s="23" t="s">
        <v>73</v>
      </c>
      <c r="H91" s="23" t="s">
        <v>74</v>
      </c>
      <c r="I91" s="105" t="s">
        <v>44</v>
      </c>
      <c r="J91" s="70">
        <v>3</v>
      </c>
      <c r="K91" s="70"/>
      <c r="L91" s="70"/>
      <c r="M91" t="s">
        <v>152</v>
      </c>
      <c r="N91" t="s">
        <v>124</v>
      </c>
      <c r="O91" s="18">
        <v>189.78163580246928</v>
      </c>
      <c r="P91" s="18">
        <v>4.7472023545501596</v>
      </c>
      <c r="Q91" s="97">
        <v>0.65285869918397221</v>
      </c>
      <c r="R91" s="97">
        <v>0.15884531618401249</v>
      </c>
      <c r="S91" s="97">
        <v>9.5878951821137745E-2</v>
      </c>
      <c r="T91" s="97">
        <v>2.0039774032684816E-2</v>
      </c>
      <c r="U91" s="97">
        <v>1.7339814081004335E-3</v>
      </c>
      <c r="V91" s="97">
        <v>2.3830733335151962E-2</v>
      </c>
      <c r="W91" s="97">
        <v>4.6812544034940298E-2</v>
      </c>
      <c r="X91" s="51">
        <f t="shared" si="8"/>
        <v>8.3901896049090521</v>
      </c>
      <c r="Y91" s="18">
        <v>615.81730718457254</v>
      </c>
      <c r="Z91" s="18">
        <v>39.829927847546521</v>
      </c>
      <c r="AA91" s="18">
        <f t="shared" si="9"/>
        <v>20.987240245416984</v>
      </c>
      <c r="AB91" s="18">
        <f t="shared" si="10"/>
        <v>64.678155977205606</v>
      </c>
      <c r="AC91" s="18">
        <f>$CP$15*Table2912[[#This Row],[DMD '[mg/g']]]+$CS$15*Table2912[[#This Row],[CH4 '[ml/g']]]+$CR$15*Table2912[[#This Row],[CH4 '[% GP']]]+$CQ$15*Table2912[[#This Row],[CH4 '[g/g DDM']]]</f>
        <v>-6.9277460979906493</v>
      </c>
      <c r="AD91" s="18">
        <f>_xlfn.RANK.AVG(Table2912[[#This Row],[Index]],Table2912[Index])</f>
        <v>477</v>
      </c>
      <c r="AE9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4.3084799987898226</v>
      </c>
      <c r="AF91" s="18">
        <f>Table2912[[#This Row],[CH4 '[ml/g']]]/Table2912[[#This Row],[APB]]</f>
        <v>9.244542822232912</v>
      </c>
      <c r="AG91" s="18">
        <f>Table2912[[#This Row],[Propionate '[%']]]/Table2912[[#This Row],[Acetate '[%']]]</f>
        <v>0.24330734411988084</v>
      </c>
      <c r="AH91" s="51"/>
      <c r="AI91" s="18"/>
      <c r="AJ91" s="18"/>
      <c r="AK91" s="18">
        <f>(Table2912[[#This Row],[DMD '[mg/g']]]-$AK$15)/$AK$15*100</f>
        <v>25.602890569720945</v>
      </c>
      <c r="AL91" s="18">
        <f>(Table2912[[#This Row],[CH4 '[ml/g']]]-AL$15)/AL$15*100</f>
        <v>1.265425845426311</v>
      </c>
      <c r="AM91" s="18">
        <f>(Table2912[[#This Row],[CH4 '[% GP']]]-AM$15)/AM$15*100</f>
        <v>35.206557806792077</v>
      </c>
      <c r="AN91" s="18">
        <f>(Table2912[[#This Row],[CH4 '[g/g DDM']]]-AN$15)/AN$15*100</f>
        <v>26.286230142675542</v>
      </c>
      <c r="AO91" s="18"/>
      <c r="AP91" s="18"/>
      <c r="AR91">
        <f>_xlfn.NORM.DIST(Table2912[[#This Row],[GP '[ml/g']]],O$6,O$2,FALSE)</f>
        <v>3.5019874299606979E-3</v>
      </c>
      <c r="AS91">
        <f>_xlfn.NORM.DIST(Table2912[[#This Row],[SCFA '[mmol/g']]],P$6,P$2,FALSE)</f>
        <v>0.10913063792499494</v>
      </c>
      <c r="AT91">
        <f>_xlfn.NORM.DIST(Table2912[[#This Row],[Acetate '[%']]],Q$6,Q$2,FALSE)</f>
        <v>10.881909876871237</v>
      </c>
      <c r="AU91">
        <f>_xlfn.NORM.DIST(Table2912[[#This Row],[Propionate '[%']]],R$6,R$2,FALSE)</f>
        <v>14.449307918644841</v>
      </c>
      <c r="AV91">
        <f>_xlfn.NORM.DIST(Table2912[[#This Row],[Butyrate '[%']]],S$6,S$2,FALSE)</f>
        <v>22.696919644490677</v>
      </c>
      <c r="AW91">
        <f>_xlfn.NORM.DIST(Table2912[[#This Row],[Valerate '[%']]],T$6,T$2,FALSE)</f>
        <v>69.565331442947837</v>
      </c>
      <c r="AX91">
        <f>_xlfn.NORM.DIST(Table2912[[#This Row],[Caproate '[%']]],U$6,U$2,FALSE)</f>
        <v>374.27478303255475</v>
      </c>
      <c r="AY91">
        <f>_xlfn.NORM.DIST(Table2912[[#This Row],[Isobutyrate '[%']]],V$6,V$2,FALSE)</f>
        <v>14.166310177582925</v>
      </c>
      <c r="AZ91">
        <f>_xlfn.NORM.DIST(Table2912[[#This Row],[Isovalerate '[%']]],W$6,W$2,FALSE)</f>
        <v>4.4628824747219857</v>
      </c>
      <c r="BA91">
        <f>_xlfn.NORM.DIST(Table2912[[#This Row],[CH4 '[g/mmol SCFA']]],X$6,X$2,FALSE)</f>
        <v>8.6569914028454986E-2</v>
      </c>
      <c r="BB91">
        <f>_xlfn.NORM.DIST(Table2912[[#This Row],[DMD '[mg/g']]],Y$6,Y$2,FALSE)</f>
        <v>1.4693414477037164E-3</v>
      </c>
      <c r="BC91">
        <f>_xlfn.NORM.DIST(Table2912[[#This Row],[CH4 '[ml/g']]],Z$6,Z$2,FALSE)</f>
        <v>3.3216678892443161E-2</v>
      </c>
      <c r="BD91">
        <f>_xlfn.NORM.DIST(Table2912[[#This Row],[CH4 '[% GP']]],AA$6,AA$2,FALSE)</f>
        <v>3.3906661209731674E-2</v>
      </c>
      <c r="BE91">
        <f>_xlfn.NORM.DIST(Table2912[[#This Row],[CH4 '[g/g DDM']]],AB$6,AB$2,FALSE)</f>
        <v>2.1268585302657062E-2</v>
      </c>
      <c r="BG91">
        <f>IF(Table2912[[#This Row],[GP '[ml/g']]]&lt;O$10,_xlfn.NORM.DIST(Table2912[[#This Row],[GP '[ml/g']]],O$6,O$2,FALSE),-100)</f>
        <v>3.5019874299606979E-3</v>
      </c>
      <c r="BH91">
        <f>IF(Table2912[[#This Row],[SCFA '[mmol/g']]]&lt;P$10,_xlfn.NORM.DIST(Table2912[[#This Row],[SCFA '[mmol/g']]],P$6,P$2,FALSE),-100)</f>
        <v>0.10913063792499494</v>
      </c>
      <c r="BI91">
        <f>IF(Table2912[[#This Row],[Acetate '[%']]]&lt;Q$10,_xlfn.NORM.DIST(Table2912[[#This Row],[Acetate '[%']]],Q$6,Q$2,FALSE),-100)</f>
        <v>-100</v>
      </c>
      <c r="BJ91">
        <f>IF(Table2912[[#This Row],[Propionate '[%']]]&lt;R$10,_xlfn.NORM.DIST(Table2912[[#This Row],[Propionate '[%']]],R$6,R$2,FALSE),-100)</f>
        <v>-100</v>
      </c>
      <c r="BK91">
        <f>IF(Table2912[[#This Row],[Butyrate '[%']]]&lt;S$10,_xlfn.NORM.DIST(Table2912[[#This Row],[Butyrate '[%']]],S$6,S$2,FALSE),-100)</f>
        <v>-100</v>
      </c>
      <c r="BL91">
        <f>IF(Table2912[[#This Row],[Valerate '[%']]]&lt;T$10,_xlfn.NORM.DIST(Table2912[[#This Row],[Valerate '[%']]],T$6,T$2,FALSE),-100)</f>
        <v>-100</v>
      </c>
      <c r="BM91">
        <f>IF(Table2912[[#This Row],[Caproate '[%']]]&lt;U$10,_xlfn.NORM.DIST(Table2912[[#This Row],[Caproate '[%']]],U$6,U$2,FALSE),-100)</f>
        <v>-100</v>
      </c>
      <c r="BN91">
        <f>IF(Table2912[[#This Row],[Isobutyrate '[%']]]&lt;V$10,_xlfn.NORM.DIST(Table2912[[#This Row],[Isobutyrate '[%']]],V$6,V$2,FALSE),-100)</f>
        <v>-100</v>
      </c>
      <c r="BO91">
        <f>IF(Table2912[[#This Row],[Isovalerate '[%']]]&lt;W$10,_xlfn.NORM.DIST(Table2912[[#This Row],[Isovalerate '[%']]],W$6,W$2,FALSE),-100)</f>
        <v>-100</v>
      </c>
      <c r="BP91">
        <f>IF(Table2912[[#This Row],[CH4 '[g/mmol SCFA']]]&lt;X$10,_xlfn.NORM.DIST(Table2912[[#This Row],[CH4 '[g/mmol SCFA']]],X$6,X$2,FALSE),-100)</f>
        <v>-100</v>
      </c>
      <c r="BQ91">
        <f>IF(Table2912[[#This Row],[DMD '[mg/g']]]&gt;Y$10,_xlfn.NORM.DIST(Table2912[[#This Row],[DMD '[mg/g']]],Y$6,Y$2,FALSE),-100)</f>
        <v>-100</v>
      </c>
      <c r="BR91">
        <f>IF(Table2912[[#This Row],[CH4 '[ml/g']]]&lt;Z$10,_xlfn.NORM.DIST(Table2912[[#This Row],[CH4 '[ml/g']]],Z$6,Z$2,FALSE),-100)</f>
        <v>-100</v>
      </c>
      <c r="BS91">
        <f>IF(Table2912[[#This Row],[CH4 '[% GP']]]&lt;AA$10,_xlfn.NORM.DIST(Table2912[[#This Row],[CH4 '[% GP']]],AA$6,AA$2,FALSE),-100)</f>
        <v>-100</v>
      </c>
      <c r="BT91">
        <f>IF(Table2912[[#This Row],[CH4 '[g/g DDM']]]&lt;AB$10,_xlfn.NORM.DIST(Table2912[[#This Row],[CH4 '[g/g DDM']]],AB$6,AB$2,FALSE),-100)</f>
        <v>-100</v>
      </c>
      <c r="CJ91" t="str">
        <v>Vicia sativa</v>
      </c>
      <c r="CL91" t="str">
        <v>Vicia sativa</v>
      </c>
    </row>
    <row r="92" spans="1:90" ht="15" customHeight="1" x14ac:dyDescent="0.25">
      <c r="A92" s="12" t="s">
        <v>86</v>
      </c>
      <c r="B92" s="13">
        <v>1071</v>
      </c>
      <c r="C92" s="32">
        <v>17238</v>
      </c>
      <c r="D92" s="104" t="s">
        <v>161</v>
      </c>
      <c r="E92" s="104" t="s">
        <v>97</v>
      </c>
      <c r="F92" s="104" t="s">
        <v>162</v>
      </c>
      <c r="G92" s="23" t="s">
        <v>73</v>
      </c>
      <c r="H92" s="23" t="s">
        <v>74</v>
      </c>
      <c r="I92" s="105" t="s">
        <v>44</v>
      </c>
      <c r="J92" s="70">
        <v>3</v>
      </c>
      <c r="K92" s="70"/>
      <c r="L92" s="70"/>
      <c r="M92" t="s">
        <v>163</v>
      </c>
      <c r="N92" t="s">
        <v>145</v>
      </c>
      <c r="O92" s="18">
        <v>199.47707090788617</v>
      </c>
      <c r="P92" s="18">
        <v>4.7964759298991524</v>
      </c>
      <c r="Q92" s="97">
        <v>0.63456768934188279</v>
      </c>
      <c r="R92" s="97">
        <v>0.17222745532000283</v>
      </c>
      <c r="S92" s="97">
        <v>8.9340331820438851E-2</v>
      </c>
      <c r="T92" s="97">
        <v>2.1409600039412231E-2</v>
      </c>
      <c r="U92" s="97">
        <v>4.2312999579632946E-4</v>
      </c>
      <c r="V92" s="97">
        <v>2.6897117425070262E-2</v>
      </c>
      <c r="W92" s="97">
        <v>5.5134676057396664E-2</v>
      </c>
      <c r="X92" s="51">
        <f t="shared" si="8"/>
        <v>7.3602497331622923</v>
      </c>
      <c r="Y92" s="18">
        <v>616.09856810730764</v>
      </c>
      <c r="Z92" s="18">
        <v>35.303260683159593</v>
      </c>
      <c r="AA92" s="18">
        <f t="shared" si="9"/>
        <v>17.697904086160264</v>
      </c>
      <c r="AB92" s="18">
        <f t="shared" si="10"/>
        <v>57.301319156792331</v>
      </c>
      <c r="AC92" s="18">
        <f>$CP$15*Table2912[[#This Row],[DMD '[mg/g']]]+$CS$15*Table2912[[#This Row],[CH4 '[ml/g']]]+$CR$15*Table2912[[#This Row],[CH4 '[% GP']]]+$CQ$15*Table2912[[#This Row],[CH4 '[g/g DDM']]]</f>
        <v>-2.0828595320828498</v>
      </c>
      <c r="AD92" s="18">
        <f>_xlfn.RANK.AVG(Table2912[[#This Row],[Index]],Table2912[Index])</f>
        <v>459</v>
      </c>
      <c r="AE9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4.2982922428761778</v>
      </c>
      <c r="AF92" s="18">
        <f>Table2912[[#This Row],[CH4 '[ml/g']]]/Table2912[[#This Row],[APB]]</f>
        <v>8.2133225682059763</v>
      </c>
      <c r="AG92" s="18">
        <f>Table2912[[#This Row],[Propionate '[%']]]/Table2912[[#This Row],[Acetate '[%']]]</f>
        <v>0.27140911554860575</v>
      </c>
      <c r="AH92" s="51"/>
      <c r="AI92" s="18"/>
      <c r="AJ92" s="18"/>
      <c r="AK92" s="18">
        <f>(Table2912[[#This Row],[DMD '[mg/g']]]-$AK$15)/$AK$15*100</f>
        <v>25.660256909522833</v>
      </c>
      <c r="AL92" s="18">
        <f>(Table2912[[#This Row],[CH4 '[ml/g']]]-AL$15)/AL$15*100</f>
        <v>-10.243379287656232</v>
      </c>
      <c r="AM92" s="18">
        <f>(Table2912[[#This Row],[CH4 '[% GP']]]-AM$15)/AM$15*100</f>
        <v>14.015595376196485</v>
      </c>
      <c r="AN92" s="18">
        <f>(Table2912[[#This Row],[CH4 '[g/g DDM']]]-AN$15)/AN$15*100</f>
        <v>11.882713246553877</v>
      </c>
      <c r="AO92" s="18"/>
      <c r="AP92" s="18"/>
      <c r="AR92">
        <f>_xlfn.NORM.DIST(Table2912[[#This Row],[GP '[ml/g']]],O$6,O$2,FALSE)</f>
        <v>4.3092317833230394E-3</v>
      </c>
      <c r="AS92">
        <f>_xlfn.NORM.DIST(Table2912[[#This Row],[SCFA '[mmol/g']]],P$6,P$2,FALSE)</f>
        <v>0.1159394225676907</v>
      </c>
      <c r="AT92">
        <f>_xlfn.NORM.DIST(Table2912[[#This Row],[Acetate '[%']]],Q$6,Q$2,FALSE)</f>
        <v>5.5959332228047725</v>
      </c>
      <c r="AU92">
        <f>_xlfn.NORM.DIST(Table2912[[#This Row],[Propionate '[%']]],R$6,R$2,FALSE)</f>
        <v>16.789154467306822</v>
      </c>
      <c r="AV92">
        <f>_xlfn.NORM.DIST(Table2912[[#This Row],[Butyrate '[%']]],S$6,S$2,FALSE)</f>
        <v>22.543051952915196</v>
      </c>
      <c r="AW92">
        <f>_xlfn.NORM.DIST(Table2912[[#This Row],[Valerate '[%']]],T$6,T$2,FALSE)</f>
        <v>59.395359543503623</v>
      </c>
      <c r="AX92">
        <f>_xlfn.NORM.DIST(Table2912[[#This Row],[Caproate '[%']]],U$6,U$2,FALSE)</f>
        <v>264.51656594978493</v>
      </c>
      <c r="AY92">
        <f>_xlfn.NORM.DIST(Table2912[[#This Row],[Isobutyrate '[%']]],V$6,V$2,FALSE)</f>
        <v>2.937391372184996</v>
      </c>
      <c r="AZ92">
        <f>_xlfn.NORM.DIST(Table2912[[#This Row],[Isovalerate '[%']]],W$6,W$2,FALSE)</f>
        <v>0.36979180757682018</v>
      </c>
      <c r="BA92">
        <f>_xlfn.NORM.DIST(Table2912[[#This Row],[CH4 '[g/mmol SCFA']]],X$6,X$2,FALSE)</f>
        <v>0.21539597609438013</v>
      </c>
      <c r="BB92">
        <f>_xlfn.NORM.DIST(Table2912[[#This Row],[DMD '[mg/g']]],Y$6,Y$2,FALSE)</f>
        <v>1.4728793946224609E-3</v>
      </c>
      <c r="BC92">
        <f>_xlfn.NORM.DIST(Table2912[[#This Row],[CH4 '[ml/g']]],Z$6,Z$2,FALSE)</f>
        <v>2.939165986396361E-2</v>
      </c>
      <c r="BD92">
        <f>_xlfn.NORM.DIST(Table2912[[#This Row],[CH4 '[% GP']]],AA$6,AA$2,FALSE)</f>
        <v>0.11578775262730447</v>
      </c>
      <c r="BE92">
        <f>_xlfn.NORM.DIST(Table2912[[#This Row],[CH4 '[g/g DDM']]],AB$6,AB$2,FALSE)</f>
        <v>3.1161747053775644E-2</v>
      </c>
      <c r="BG92">
        <f>IF(Table2912[[#This Row],[GP '[ml/g']]]&lt;O$10,_xlfn.NORM.DIST(Table2912[[#This Row],[GP '[ml/g']]],O$6,O$2,FALSE),-100)</f>
        <v>4.3092317833230394E-3</v>
      </c>
      <c r="BH92">
        <f>IF(Table2912[[#This Row],[SCFA '[mmol/g']]]&lt;P$10,_xlfn.NORM.DIST(Table2912[[#This Row],[SCFA '[mmol/g']]],P$6,P$2,FALSE),-100)</f>
        <v>0.1159394225676907</v>
      </c>
      <c r="BI92">
        <f>IF(Table2912[[#This Row],[Acetate '[%']]]&lt;Q$10,_xlfn.NORM.DIST(Table2912[[#This Row],[Acetate '[%']]],Q$6,Q$2,FALSE),-100)</f>
        <v>5.5959332228047725</v>
      </c>
      <c r="BJ92">
        <f>IF(Table2912[[#This Row],[Propionate '[%']]]&lt;R$10,_xlfn.NORM.DIST(Table2912[[#This Row],[Propionate '[%']]],R$6,R$2,FALSE),-100)</f>
        <v>-100</v>
      </c>
      <c r="BK92">
        <f>IF(Table2912[[#This Row],[Butyrate '[%']]]&lt;S$10,_xlfn.NORM.DIST(Table2912[[#This Row],[Butyrate '[%']]],S$6,S$2,FALSE),-100)</f>
        <v>-100</v>
      </c>
      <c r="BL92">
        <f>IF(Table2912[[#This Row],[Valerate '[%']]]&lt;T$10,_xlfn.NORM.DIST(Table2912[[#This Row],[Valerate '[%']]],T$6,T$2,FALSE),-100)</f>
        <v>-100</v>
      </c>
      <c r="BM92">
        <f>IF(Table2912[[#This Row],[Caproate '[%']]]&lt;U$10,_xlfn.NORM.DIST(Table2912[[#This Row],[Caproate '[%']]],U$6,U$2,FALSE),-100)</f>
        <v>-100</v>
      </c>
      <c r="BN92">
        <f>IF(Table2912[[#This Row],[Isobutyrate '[%']]]&lt;V$10,_xlfn.NORM.DIST(Table2912[[#This Row],[Isobutyrate '[%']]],V$6,V$2,FALSE),-100)</f>
        <v>-100</v>
      </c>
      <c r="BO92">
        <f>IF(Table2912[[#This Row],[Isovalerate '[%']]]&lt;W$10,_xlfn.NORM.DIST(Table2912[[#This Row],[Isovalerate '[%']]],W$6,W$2,FALSE),-100)</f>
        <v>-100</v>
      </c>
      <c r="BP92">
        <f>IF(Table2912[[#This Row],[CH4 '[g/mmol SCFA']]]&lt;X$10,_xlfn.NORM.DIST(Table2912[[#This Row],[CH4 '[g/mmol SCFA']]],X$6,X$2,FALSE),-100)</f>
        <v>-100</v>
      </c>
      <c r="BQ92">
        <f>IF(Table2912[[#This Row],[DMD '[mg/g']]]&gt;Y$10,_xlfn.NORM.DIST(Table2912[[#This Row],[DMD '[mg/g']]],Y$6,Y$2,FALSE),-100)</f>
        <v>-100</v>
      </c>
      <c r="BR92">
        <f>IF(Table2912[[#This Row],[CH4 '[ml/g']]]&lt;Z$10,_xlfn.NORM.DIST(Table2912[[#This Row],[CH4 '[ml/g']]],Z$6,Z$2,FALSE),-100)</f>
        <v>-100</v>
      </c>
      <c r="BS92">
        <f>IF(Table2912[[#This Row],[CH4 '[% GP']]]&lt;AA$10,_xlfn.NORM.DIST(Table2912[[#This Row],[CH4 '[% GP']]],AA$6,AA$2,FALSE),-100)</f>
        <v>-100</v>
      </c>
      <c r="BT92">
        <f>IF(Table2912[[#This Row],[CH4 '[g/g DDM']]]&lt;AB$10,_xlfn.NORM.DIST(Table2912[[#This Row],[CH4 '[g/g DDM']]],AB$6,AB$2,FALSE),-100)</f>
        <v>-100</v>
      </c>
      <c r="CJ92" t="str">
        <v>Geranium</v>
      </c>
      <c r="CL92" t="str">
        <v>Geranium</v>
      </c>
    </row>
    <row r="93" spans="1:90" ht="15" customHeight="1" x14ac:dyDescent="0.25">
      <c r="A93" s="12" t="s">
        <v>86</v>
      </c>
      <c r="B93" s="13">
        <v>1086</v>
      </c>
      <c r="C93" s="32">
        <v>16320</v>
      </c>
      <c r="D93" s="104" t="s">
        <v>164</v>
      </c>
      <c r="E93" t="s">
        <v>165</v>
      </c>
      <c r="F93" t="s">
        <v>166</v>
      </c>
      <c r="G93" s="23" t="s">
        <v>143</v>
      </c>
      <c r="H93" s="23" t="s">
        <v>144</v>
      </c>
      <c r="I93" s="32" t="s">
        <v>52</v>
      </c>
      <c r="J93" s="100">
        <v>2</v>
      </c>
      <c r="K93" s="70"/>
      <c r="L93" s="70"/>
      <c r="M93" t="s">
        <v>166</v>
      </c>
      <c r="N93" t="s">
        <v>99</v>
      </c>
      <c r="O93" s="18">
        <v>253.29390539053901</v>
      </c>
      <c r="P93" s="18">
        <v>5.9521027003098723</v>
      </c>
      <c r="Q93" s="97">
        <v>0.67869159668580081</v>
      </c>
      <c r="R93" s="97">
        <v>0.18568981046165023</v>
      </c>
      <c r="S93" s="97">
        <v>9.0636350486800465E-2</v>
      </c>
      <c r="T93" s="97">
        <v>1.4204683518283207E-2</v>
      </c>
      <c r="U93" s="97">
        <v>2.6854864376572987E-4</v>
      </c>
      <c r="V93" s="97">
        <v>1.0998842112743011E-2</v>
      </c>
      <c r="W93" s="97">
        <v>1.9510168090956362E-2</v>
      </c>
      <c r="X93" s="51">
        <f t="shared" si="8"/>
        <v>7.3511280393862668</v>
      </c>
      <c r="Y93" s="18">
        <v>616.31888288430446</v>
      </c>
      <c r="Z93" s="18">
        <v>43.754669053554615</v>
      </c>
      <c r="AA93" s="18">
        <f t="shared" si="9"/>
        <v>17.274268398243478</v>
      </c>
      <c r="AB93" s="18">
        <f t="shared" si="10"/>
        <v>70.993555882609968</v>
      </c>
      <c r="AC93" s="18">
        <f>$CP$15*Table2912[[#This Row],[DMD '[mg/g']]]+$CS$15*Table2912[[#This Row],[CH4 '[ml/g']]]+$CR$15*Table2912[[#This Row],[CH4 '[% GP']]]+$CQ$15*Table2912[[#This Row],[CH4 '[g/g DDM']]]</f>
        <v>-9.0443950646550206</v>
      </c>
      <c r="AD93" s="18">
        <f>_xlfn.RANK.AVG(Table2912[[#This Row],[Index]],Table2912[Index])</f>
        <v>489</v>
      </c>
      <c r="AE9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5.6843637740587081</v>
      </c>
      <c r="AF93" s="18">
        <f>Table2912[[#This Row],[CH4 '[ml/g']]]/Table2912[[#This Row],[APB]]</f>
        <v>7.6973731437165265</v>
      </c>
      <c r="AG93" s="18">
        <f>Table2912[[#This Row],[Propionate '[%']]]/Table2912[[#This Row],[Acetate '[%']]]</f>
        <v>0.27359969000414047</v>
      </c>
      <c r="AH93" s="51"/>
      <c r="AI93" s="18"/>
      <c r="AJ93" s="18"/>
      <c r="AK93" s="18">
        <f>(Table2912[[#This Row],[DMD '[mg/g']]]-$AK$15)/$AK$15*100</f>
        <v>25.705192594998344</v>
      </c>
      <c r="AL93" s="18">
        <f>(Table2912[[#This Row],[CH4 '[ml/g']]]-AL$15)/AL$15*100</f>
        <v>11.243866958369063</v>
      </c>
      <c r="AM93" s="18">
        <f>(Table2912[[#This Row],[CH4 '[% GP']]]-AM$15)/AM$15*100</f>
        <v>11.286397899179516</v>
      </c>
      <c r="AN93" s="18">
        <f>(Table2912[[#This Row],[CH4 '[g/g DDM']]]-AN$15)/AN$15*100</f>
        <v>38.617256496890171</v>
      </c>
      <c r="AO93" s="18"/>
      <c r="AP93" s="18"/>
      <c r="AR93">
        <f>_xlfn.NORM.DIST(Table2912[[#This Row],[GP '[ml/g']]],O$6,O$2,FALSE)</f>
        <v>7.4735282592498752E-3</v>
      </c>
      <c r="AS93">
        <f>_xlfn.NORM.DIST(Table2912[[#This Row],[SCFA '[mmol/g']]],P$6,P$2,FALSE)</f>
        <v>0.29535686736808087</v>
      </c>
      <c r="AT93">
        <f>_xlfn.NORM.DIST(Table2912[[#This Row],[Acetate '[%']]],Q$6,Q$2,FALSE)</f>
        <v>13.760784551634199</v>
      </c>
      <c r="AU93">
        <f>_xlfn.NORM.DIST(Table2912[[#This Row],[Propionate '[%']]],R$6,R$2,FALSE)</f>
        <v>14.177000601066412</v>
      </c>
      <c r="AV93">
        <f>_xlfn.NORM.DIST(Table2912[[#This Row],[Butyrate '[%']]],S$6,S$2,FALSE)</f>
        <v>22.830480917135532</v>
      </c>
      <c r="AW93">
        <f>_xlfn.NORM.DIST(Table2912[[#This Row],[Valerate '[%']]],T$6,T$2,FALSE)</f>
        <v>61.829135971927137</v>
      </c>
      <c r="AX93">
        <f>_xlfn.NORM.DIST(Table2912[[#This Row],[Caproate '[%']]],U$6,U$2,FALSE)</f>
        <v>225.68443948898843</v>
      </c>
      <c r="AY93">
        <f>_xlfn.NORM.DIST(Table2912[[#This Row],[Isobutyrate '[%']]],V$6,V$2,FALSE)</f>
        <v>55.994799700984458</v>
      </c>
      <c r="AZ93">
        <f>_xlfn.NORM.DIST(Table2912[[#This Row],[Isovalerate '[%']]],W$6,W$2,FALSE)</f>
        <v>28.798099890117641</v>
      </c>
      <c r="BA93">
        <f>_xlfn.NORM.DIST(Table2912[[#This Row],[CH4 '[g/mmol SCFA']]],X$6,X$2,FALSE)</f>
        <v>0.21657075782136745</v>
      </c>
      <c r="BB93">
        <f>_xlfn.NORM.DIST(Table2912[[#This Row],[DMD '[mg/g']]],Y$6,Y$2,FALSE)</f>
        <v>1.4756523000940419E-3</v>
      </c>
      <c r="BC93">
        <f>_xlfn.NORM.DIST(Table2912[[#This Row],[CH4 '[ml/g']]],Z$6,Z$2,FALSE)</f>
        <v>3.2856140915972484E-2</v>
      </c>
      <c r="BD93">
        <f>_xlfn.NORM.DIST(Table2912[[#This Row],[CH4 '[% GP']]],AA$6,AA$2,FALSE)</f>
        <v>0.12399610128172606</v>
      </c>
      <c r="BE93">
        <f>_xlfn.NORM.DIST(Table2912[[#This Row],[CH4 '[g/g DDM']]],AB$6,AB$2,FALSE)</f>
        <v>1.1439110939485001E-2</v>
      </c>
      <c r="BG93">
        <f>IF(Table2912[[#This Row],[GP '[ml/g']]]&lt;O$10,_xlfn.NORM.DIST(Table2912[[#This Row],[GP '[ml/g']]],O$6,O$2,FALSE),-100)</f>
        <v>-100</v>
      </c>
      <c r="BH93">
        <f>IF(Table2912[[#This Row],[SCFA '[mmol/g']]]&lt;P$10,_xlfn.NORM.DIST(Table2912[[#This Row],[SCFA '[mmol/g']]],P$6,P$2,FALSE),-100)</f>
        <v>-100</v>
      </c>
      <c r="BI93">
        <f>IF(Table2912[[#This Row],[Acetate '[%']]]&lt;Q$10,_xlfn.NORM.DIST(Table2912[[#This Row],[Acetate '[%']]],Q$6,Q$2,FALSE),-100)</f>
        <v>-100</v>
      </c>
      <c r="BJ93">
        <f>IF(Table2912[[#This Row],[Propionate '[%']]]&lt;R$10,_xlfn.NORM.DIST(Table2912[[#This Row],[Propionate '[%']]],R$6,R$2,FALSE),-100)</f>
        <v>-100</v>
      </c>
      <c r="BK93">
        <f>IF(Table2912[[#This Row],[Butyrate '[%']]]&lt;S$10,_xlfn.NORM.DIST(Table2912[[#This Row],[Butyrate '[%']]],S$6,S$2,FALSE),-100)</f>
        <v>-100</v>
      </c>
      <c r="BL93">
        <f>IF(Table2912[[#This Row],[Valerate '[%']]]&lt;T$10,_xlfn.NORM.DIST(Table2912[[#This Row],[Valerate '[%']]],T$6,T$2,FALSE),-100)</f>
        <v>-100</v>
      </c>
      <c r="BM93">
        <f>IF(Table2912[[#This Row],[Caproate '[%']]]&lt;U$10,_xlfn.NORM.DIST(Table2912[[#This Row],[Caproate '[%']]],U$6,U$2,FALSE),-100)</f>
        <v>225.68443948898843</v>
      </c>
      <c r="BN93">
        <f>IF(Table2912[[#This Row],[Isobutyrate '[%']]]&lt;V$10,_xlfn.NORM.DIST(Table2912[[#This Row],[Isobutyrate '[%']]],V$6,V$2,FALSE),-100)</f>
        <v>-100</v>
      </c>
      <c r="BO93">
        <f>IF(Table2912[[#This Row],[Isovalerate '[%']]]&lt;W$10,_xlfn.NORM.DIST(Table2912[[#This Row],[Isovalerate '[%']]],W$6,W$2,FALSE),-100)</f>
        <v>-100</v>
      </c>
      <c r="BP93">
        <f>IF(Table2912[[#This Row],[CH4 '[g/mmol SCFA']]]&lt;X$10,_xlfn.NORM.DIST(Table2912[[#This Row],[CH4 '[g/mmol SCFA']]],X$6,X$2,FALSE),-100)</f>
        <v>-100</v>
      </c>
      <c r="BQ93">
        <f>IF(Table2912[[#This Row],[DMD '[mg/g']]]&gt;Y$10,_xlfn.NORM.DIST(Table2912[[#This Row],[DMD '[mg/g']]],Y$6,Y$2,FALSE),-100)</f>
        <v>-100</v>
      </c>
      <c r="BR93">
        <f>IF(Table2912[[#This Row],[CH4 '[ml/g']]]&lt;Z$10,_xlfn.NORM.DIST(Table2912[[#This Row],[CH4 '[ml/g']]],Z$6,Z$2,FALSE),-100)</f>
        <v>-100</v>
      </c>
      <c r="BS93">
        <f>IF(Table2912[[#This Row],[CH4 '[% GP']]]&lt;AA$10,_xlfn.NORM.DIST(Table2912[[#This Row],[CH4 '[% GP']]],AA$6,AA$2,FALSE),-100)</f>
        <v>-100</v>
      </c>
      <c r="BT93">
        <f>IF(Table2912[[#This Row],[CH4 '[g/g DDM']]]&lt;AB$10,_xlfn.NORM.DIST(Table2912[[#This Row],[CH4 '[g/g DDM']]],AB$6,AB$2,FALSE),-100)</f>
        <v>-100</v>
      </c>
      <c r="CJ93" t="str">
        <v>Lamium</v>
      </c>
      <c r="CL93" t="str">
        <v>Lamium</v>
      </c>
    </row>
    <row r="94" spans="1:90" x14ac:dyDescent="0.25">
      <c r="A94" s="12" t="s">
        <v>86</v>
      </c>
      <c r="B94" s="13">
        <v>1055</v>
      </c>
      <c r="C94" s="103">
        <v>23057</v>
      </c>
      <c r="D94" s="104" t="s">
        <v>115</v>
      </c>
      <c r="E94" s="104" t="s">
        <v>116</v>
      </c>
      <c r="F94" t="s">
        <v>117</v>
      </c>
      <c r="G94" s="23" t="s">
        <v>73</v>
      </c>
      <c r="H94" s="23" t="s">
        <v>74</v>
      </c>
      <c r="I94" s="105" t="s">
        <v>75</v>
      </c>
      <c r="J94" s="70">
        <v>1</v>
      </c>
      <c r="K94" s="70"/>
      <c r="L94" s="70"/>
      <c r="M94" t="s">
        <v>117</v>
      </c>
      <c r="N94" t="s">
        <v>99</v>
      </c>
      <c r="O94" s="18">
        <v>150.67233158355273</v>
      </c>
      <c r="P94" s="18">
        <v>3.8607482697088598</v>
      </c>
      <c r="Q94" s="97">
        <v>0.73534779917314563</v>
      </c>
      <c r="R94" s="97">
        <v>0.18001487720513831</v>
      </c>
      <c r="S94" s="97">
        <v>4.2226204790771396E-2</v>
      </c>
      <c r="T94" s="97">
        <v>2.6976658639829669E-2</v>
      </c>
      <c r="U94" s="97">
        <v>2.0435314176413144E-4</v>
      </c>
      <c r="V94" s="97">
        <v>5.917505987273159E-3</v>
      </c>
      <c r="W94" s="97">
        <v>9.3126010620777321E-3</v>
      </c>
      <c r="X94" s="51">
        <f t="shared" si="8"/>
        <v>5.119178963317788</v>
      </c>
      <c r="Y94" s="18">
        <v>617.01510702251335</v>
      </c>
      <c r="Z94" s="18">
        <v>19.763861324959144</v>
      </c>
      <c r="AA94" s="18">
        <f t="shared" si="9"/>
        <v>13.117113883645876</v>
      </c>
      <c r="AB94" s="18">
        <f t="shared" si="10"/>
        <v>32.031405876482069</v>
      </c>
      <c r="AC94" s="18">
        <f>$CP$15*Table2912[[#This Row],[DMD '[mg/g']]]+$CS$15*Table2912[[#This Row],[CH4 '[ml/g']]]+$CR$15*Table2912[[#This Row],[CH4 '[% GP']]]+$CQ$15*Table2912[[#This Row],[CH4 '[g/g DDM']]]</f>
        <v>12.481981345899019</v>
      </c>
      <c r="AD94" s="18">
        <f>_xlfn.RANK.AVG(Table2912[[#This Row],[Index]],Table2912[Index])</f>
        <v>313</v>
      </c>
      <c r="AE9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3.6970096160658734</v>
      </c>
      <c r="AF94" s="18">
        <f>Table2912[[#This Row],[CH4 '[ml/g']]]/Table2912[[#This Row],[APB]]</f>
        <v>5.345904765590145</v>
      </c>
      <c r="AG94" s="18">
        <f>Table2912[[#This Row],[Propionate '[%']]]/Table2912[[#This Row],[Acetate '[%']]]</f>
        <v>0.24480236074352058</v>
      </c>
      <c r="AH94" s="51"/>
      <c r="AI94" s="18"/>
      <c r="AJ94" s="18"/>
      <c r="AK94" s="18">
        <f>(Table2912[[#This Row],[DMD '[mg/g']]]-$AK$15)/$AK$15*100</f>
        <v>25.847195366312537</v>
      </c>
      <c r="AL94" s="18">
        <f>(Table2912[[#This Row],[CH4 '[ml/g']]]-AL$15)/AL$15*100</f>
        <v>-49.751457218740029</v>
      </c>
      <c r="AM94" s="18">
        <f>(Table2912[[#This Row],[CH4 '[% GP']]]-AM$15)/AM$15*100</f>
        <v>-15.495329741854585</v>
      </c>
      <c r="AN94" s="18">
        <f>(Table2912[[#This Row],[CH4 '[g/g DDM']]]-AN$15)/AN$15*100</f>
        <v>-37.457624862766956</v>
      </c>
      <c r="AO94" s="18"/>
      <c r="AP94" s="18"/>
      <c r="AR94">
        <f>_xlfn.NORM.DIST(Table2912[[#This Row],[GP '[ml/g']]],O$6,O$2,FALSE)</f>
        <v>1.084497409982598E-3</v>
      </c>
      <c r="AS94">
        <f>_xlfn.NORM.DIST(Table2912[[#This Row],[SCFA '[mmol/g']]],P$6,P$2,FALSE)</f>
        <v>2.752803688899989E-2</v>
      </c>
      <c r="AT94">
        <f>_xlfn.NORM.DIST(Table2912[[#This Row],[Acetate '[%']]],Q$6,Q$2,FALSE)</f>
        <v>1.2812162670065521</v>
      </c>
      <c r="AU94">
        <f>_xlfn.NORM.DIST(Table2912[[#This Row],[Propionate '[%']]],R$6,R$2,FALSE)</f>
        <v>15.832302872434433</v>
      </c>
      <c r="AV94">
        <f>_xlfn.NORM.DIST(Table2912[[#This Row],[Butyrate '[%']]],S$6,S$2,FALSE)</f>
        <v>0.31805423562867441</v>
      </c>
      <c r="AW94">
        <f>_xlfn.NORM.DIST(Table2912[[#This Row],[Valerate '[%']]],T$6,T$2,FALSE)</f>
        <v>15.10713743663632</v>
      </c>
      <c r="AX94">
        <f>_xlfn.NORM.DIST(Table2912[[#This Row],[Caproate '[%']]],U$6,U$2,FALSE)</f>
        <v>209.74628904866768</v>
      </c>
      <c r="AY94">
        <f>_xlfn.NORM.DIST(Table2912[[#This Row],[Isobutyrate '[%']]],V$6,V$2,FALSE)</f>
        <v>9.4412882547249595</v>
      </c>
      <c r="AZ94">
        <f>_xlfn.NORM.DIST(Table2912[[#This Row],[Isovalerate '[%']]],W$6,W$2,FALSE)</f>
        <v>4.8415499159337418</v>
      </c>
      <c r="BA94">
        <f>_xlfn.NORM.DIST(Table2912[[#This Row],[CH4 '[g/mmol SCFA']]],X$6,X$2,FALSE)</f>
        <v>0.20415769641719722</v>
      </c>
      <c r="BB94">
        <f>_xlfn.NORM.DIST(Table2912[[#This Row],[DMD '[mg/g']]],Y$6,Y$2,FALSE)</f>
        <v>1.484424108818651E-3</v>
      </c>
      <c r="BC94">
        <f>_xlfn.NORM.DIST(Table2912[[#This Row],[CH4 '[ml/g']]],Z$6,Z$2,FALSE)</f>
        <v>6.4300723404075912E-3</v>
      </c>
      <c r="BD94">
        <f>_xlfn.NORM.DIST(Table2912[[#This Row],[CH4 '[% GP']]],AA$6,AA$2,FALSE)</f>
        <v>8.1990815635731212E-2</v>
      </c>
      <c r="BE94">
        <f>_xlfn.NORM.DIST(Table2912[[#This Row],[CH4 '[g/g DDM']]],AB$6,AB$2,FALSE)</f>
        <v>7.0318015458618426E-3</v>
      </c>
      <c r="BG94">
        <f>IF(Table2912[[#This Row],[GP '[ml/g']]]&lt;O$10,_xlfn.NORM.DIST(Table2912[[#This Row],[GP '[ml/g']]],O$6,O$2,FALSE),-100)</f>
        <v>1.084497409982598E-3</v>
      </c>
      <c r="BH94">
        <f>IF(Table2912[[#This Row],[SCFA '[mmol/g']]]&lt;P$10,_xlfn.NORM.DIST(Table2912[[#This Row],[SCFA '[mmol/g']]],P$6,P$2,FALSE),-100)</f>
        <v>2.752803688899989E-2</v>
      </c>
      <c r="BI94">
        <f>IF(Table2912[[#This Row],[Acetate '[%']]]&lt;Q$10,_xlfn.NORM.DIST(Table2912[[#This Row],[Acetate '[%']]],Q$6,Q$2,FALSE),-100)</f>
        <v>-100</v>
      </c>
      <c r="BJ94">
        <f>IF(Table2912[[#This Row],[Propionate '[%']]]&lt;R$10,_xlfn.NORM.DIST(Table2912[[#This Row],[Propionate '[%']]],R$6,R$2,FALSE),-100)</f>
        <v>-100</v>
      </c>
      <c r="BK94">
        <f>IF(Table2912[[#This Row],[Butyrate '[%']]]&lt;S$10,_xlfn.NORM.DIST(Table2912[[#This Row],[Butyrate '[%']]],S$6,S$2,FALSE),-100)</f>
        <v>0.31805423562867441</v>
      </c>
      <c r="BL94">
        <f>IF(Table2912[[#This Row],[Valerate '[%']]]&lt;T$10,_xlfn.NORM.DIST(Table2912[[#This Row],[Valerate '[%']]],T$6,T$2,FALSE),-100)</f>
        <v>-100</v>
      </c>
      <c r="BM94">
        <f>IF(Table2912[[#This Row],[Caproate '[%']]]&lt;U$10,_xlfn.NORM.DIST(Table2912[[#This Row],[Caproate '[%']]],U$6,U$2,FALSE),-100)</f>
        <v>209.74628904866768</v>
      </c>
      <c r="BN94">
        <f>IF(Table2912[[#This Row],[Isobutyrate '[%']]]&lt;V$10,_xlfn.NORM.DIST(Table2912[[#This Row],[Isobutyrate '[%']]],V$6,V$2,FALSE),-100)</f>
        <v>9.4412882547249595</v>
      </c>
      <c r="BO94">
        <f>IF(Table2912[[#This Row],[Isovalerate '[%']]]&lt;W$10,_xlfn.NORM.DIST(Table2912[[#This Row],[Isovalerate '[%']]],W$6,W$2,FALSE),-100)</f>
        <v>4.8415499159337418</v>
      </c>
      <c r="BP94">
        <f>IF(Table2912[[#This Row],[CH4 '[g/mmol SCFA']]]&lt;X$10,_xlfn.NORM.DIST(Table2912[[#This Row],[CH4 '[g/mmol SCFA']]],X$6,X$2,FALSE),-100)</f>
        <v>-100</v>
      </c>
      <c r="BQ94">
        <f>IF(Table2912[[#This Row],[DMD '[mg/g']]]&gt;Y$10,_xlfn.NORM.DIST(Table2912[[#This Row],[DMD '[mg/g']]],Y$6,Y$2,FALSE),-100)</f>
        <v>-100</v>
      </c>
      <c r="BR94">
        <f>IF(Table2912[[#This Row],[CH4 '[ml/g']]]&lt;Z$10,_xlfn.NORM.DIST(Table2912[[#This Row],[CH4 '[ml/g']]],Z$6,Z$2,FALSE),-100)</f>
        <v>6.4300723404075912E-3</v>
      </c>
      <c r="BS94">
        <f>IF(Table2912[[#This Row],[CH4 '[% GP']]]&lt;AA$10,_xlfn.NORM.DIST(Table2912[[#This Row],[CH4 '[% GP']]],AA$6,AA$2,FALSE),-100)</f>
        <v>-100</v>
      </c>
      <c r="BT94">
        <f>IF(Table2912[[#This Row],[CH4 '[g/g DDM']]]&lt;AB$10,_xlfn.NORM.DIST(Table2912[[#This Row],[CH4 '[g/g DDM']]],AB$6,AB$2,FALSE),-100)</f>
        <v>7.0318015458618426E-3</v>
      </c>
      <c r="CJ94" t="str">
        <v>Lathyrus latifolius</v>
      </c>
      <c r="CL94" t="str">
        <v>Lathyrus latifolius</v>
      </c>
    </row>
    <row r="95" spans="1:90" x14ac:dyDescent="0.25">
      <c r="A95" s="12" t="s">
        <v>86</v>
      </c>
      <c r="B95" s="13">
        <v>1055</v>
      </c>
      <c r="C95" s="103">
        <v>23057</v>
      </c>
      <c r="D95" s="104" t="s">
        <v>115</v>
      </c>
      <c r="E95" s="104" t="s">
        <v>116</v>
      </c>
      <c r="F95" t="s">
        <v>117</v>
      </c>
      <c r="G95" s="32" t="s">
        <v>73</v>
      </c>
      <c r="H95" s="32" t="s">
        <v>74</v>
      </c>
      <c r="I95" s="105" t="s">
        <v>75</v>
      </c>
      <c r="J95" s="70">
        <v>2</v>
      </c>
      <c r="K95" s="70"/>
      <c r="L95" s="70"/>
      <c r="M95" t="s">
        <v>117</v>
      </c>
      <c r="N95" t="s">
        <v>84</v>
      </c>
      <c r="O95" s="18">
        <v>190.88405511811024</v>
      </c>
      <c r="P95" s="18">
        <v>6.9616141732283454</v>
      </c>
      <c r="Q95" s="97">
        <v>0.71353514773689786</v>
      </c>
      <c r="R95" s="97">
        <v>0.15182780257227713</v>
      </c>
      <c r="S95" s="97">
        <v>6.9799148075945727E-2</v>
      </c>
      <c r="T95" s="97">
        <v>2.706467430448432E-2</v>
      </c>
      <c r="U95" s="97">
        <v>1.1071052858495131E-3</v>
      </c>
      <c r="V95" s="97">
        <v>1.3272246211506465E-2</v>
      </c>
      <c r="W95" s="97">
        <v>2.3393875813039089E-2</v>
      </c>
      <c r="X95" s="51">
        <f t="shared" si="8"/>
        <v>3.68423915439327</v>
      </c>
      <c r="Y95" s="18">
        <v>617.01662292213473</v>
      </c>
      <c r="Z95" s="18">
        <v>25.648251514787002</v>
      </c>
      <c r="AA95" s="18">
        <f t="shared" si="9"/>
        <v>13.436560481134501</v>
      </c>
      <c r="AB95" s="18">
        <f t="shared" si="10"/>
        <v>41.568169417088335</v>
      </c>
      <c r="AC95" s="18">
        <f>$CP$15*Table2912[[#This Row],[DMD '[mg/g']]]+$CS$15*Table2912[[#This Row],[CH4 '[ml/g']]]+$CR$15*Table2912[[#This Row],[CH4 '[% GP']]]+$CQ$15*Table2912[[#This Row],[CH4 '[g/g DDM']]]</f>
        <v>7.4391564530224983</v>
      </c>
      <c r="AD95" s="18">
        <f>_xlfn.RANK.AVG(Table2912[[#This Row],[Index]],Table2912[Index])</f>
        <v>380</v>
      </c>
      <c r="AE9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6.5102377183838174</v>
      </c>
      <c r="AF95" s="18">
        <f>Table2912[[#This Row],[CH4 '[ml/g']]]/Table2912[[#This Row],[APB]]</f>
        <v>3.9396797205055432</v>
      </c>
      <c r="AG95" s="18">
        <f>Table2912[[#This Row],[Propionate '[%']]]/Table2912[[#This Row],[Acetate '[%']]]</f>
        <v>0.21278251401325596</v>
      </c>
      <c r="AH95" s="51"/>
      <c r="AI95" s="18"/>
      <c r="AJ95" s="18"/>
      <c r="AK95" s="18">
        <f>(Table2912[[#This Row],[DMD '[mg/g']]]-$AK$15)/$AK$15*100</f>
        <v>25.847504551150369</v>
      </c>
      <c r="AL95" s="18">
        <f>(Table2912[[#This Row],[CH4 '[ml/g']]]-AL$15)/AL$15*100</f>
        <v>-34.790715118116992</v>
      </c>
      <c r="AM95" s="18">
        <f>(Table2912[[#This Row],[CH4 '[% GP']]]-AM$15)/AM$15*100</f>
        <v>-13.437351925597369</v>
      </c>
      <c r="AN95" s="18">
        <f>(Table2912[[#This Row],[CH4 '[g/g DDM']]]-AN$15)/AN$15*100</f>
        <v>-18.836779894185433</v>
      </c>
      <c r="AO95" s="18"/>
      <c r="AP95" s="18"/>
      <c r="AR95">
        <f>_xlfn.NORM.DIST(Table2912[[#This Row],[GP '[ml/g']]],O$6,O$2,FALSE)</f>
        <v>3.5915412074422697E-3</v>
      </c>
      <c r="AS95">
        <f>_xlfn.NORM.DIST(Table2912[[#This Row],[SCFA '[mmol/g']]],P$6,P$2,FALSE)</f>
        <v>0.31256086296452856</v>
      </c>
      <c r="AT95">
        <f>_xlfn.NORM.DIST(Table2912[[#This Row],[Acetate '[%']]],Q$6,Q$2,FALSE)</f>
        <v>5.1120259217146975</v>
      </c>
      <c r="AU95">
        <f>_xlfn.NORM.DIST(Table2912[[#This Row],[Propionate '[%']]],R$6,R$2,FALSE)</f>
        <v>11.76517340388766</v>
      </c>
      <c r="AV95">
        <f>_xlfn.NORM.DIST(Table2912[[#This Row],[Butyrate '[%']]],S$6,S$2,FALSE)</f>
        <v>9.4491726033805481</v>
      </c>
      <c r="AW95">
        <f>_xlfn.NORM.DIST(Table2912[[#This Row],[Valerate '[%']]],T$6,T$2,FALSE)</f>
        <v>14.645835742687456</v>
      </c>
      <c r="AX95">
        <f>_xlfn.NORM.DIST(Table2912[[#This Row],[Caproate '[%']]],U$6,U$2,FALSE)</f>
        <v>396.2494283500057</v>
      </c>
      <c r="AY95">
        <f>_xlfn.NORM.DIST(Table2912[[#This Row],[Isobutyrate '[%']]],V$6,V$2,FALSE)</f>
        <v>81.022894455978104</v>
      </c>
      <c r="AZ95">
        <f>_xlfn.NORM.DIST(Table2912[[#This Row],[Isovalerate '[%']]],W$6,W$2,FALSE)</f>
        <v>39.837188778276776</v>
      </c>
      <c r="BA95">
        <f>_xlfn.NORM.DIST(Table2912[[#This Row],[CH4 '[g/mmol SCFA']]],X$6,X$2,FALSE)</f>
        <v>4.5550504182708319E-2</v>
      </c>
      <c r="BB95">
        <f>_xlfn.NORM.DIST(Table2912[[#This Row],[DMD '[mg/g']]],Y$6,Y$2,FALSE)</f>
        <v>1.4844432226470987E-3</v>
      </c>
      <c r="BC95">
        <f>_xlfn.NORM.DIST(Table2912[[#This Row],[CH4 '[ml/g']]],Z$6,Z$2,FALSE)</f>
        <v>1.3969081600502217E-2</v>
      </c>
      <c r="BD95">
        <f>_xlfn.NORM.DIST(Table2912[[#This Row],[CH4 '[% GP']]],AA$6,AA$2,FALSE)</f>
        <v>9.076652028928929E-2</v>
      </c>
      <c r="BE95">
        <f>_xlfn.NORM.DIST(Table2912[[#This Row],[CH4 '[g/g DDM']]],AB$6,AB$2,FALSE)</f>
        <v>2.0512367438891833E-2</v>
      </c>
      <c r="BG95">
        <f>IF(Table2912[[#This Row],[GP '[ml/g']]]&lt;O$10,_xlfn.NORM.DIST(Table2912[[#This Row],[GP '[ml/g']]],O$6,O$2,FALSE),-100)</f>
        <v>3.5915412074422697E-3</v>
      </c>
      <c r="BH95">
        <f>IF(Table2912[[#This Row],[SCFA '[mmol/g']]]&lt;P$10,_xlfn.NORM.DIST(Table2912[[#This Row],[SCFA '[mmol/g']]],P$6,P$2,FALSE),-100)</f>
        <v>-100</v>
      </c>
      <c r="BI95">
        <f>IF(Table2912[[#This Row],[Acetate '[%']]]&lt;Q$10,_xlfn.NORM.DIST(Table2912[[#This Row],[Acetate '[%']]],Q$6,Q$2,FALSE),-100)</f>
        <v>-100</v>
      </c>
      <c r="BJ95">
        <f>IF(Table2912[[#This Row],[Propionate '[%']]]&lt;R$10,_xlfn.NORM.DIST(Table2912[[#This Row],[Propionate '[%']]],R$6,R$2,FALSE),-100)</f>
        <v>-100</v>
      </c>
      <c r="BK95">
        <f>IF(Table2912[[#This Row],[Butyrate '[%']]]&lt;S$10,_xlfn.NORM.DIST(Table2912[[#This Row],[Butyrate '[%']]],S$6,S$2,FALSE),-100)</f>
        <v>9.4491726033805481</v>
      </c>
      <c r="BL95">
        <f>IF(Table2912[[#This Row],[Valerate '[%']]]&lt;T$10,_xlfn.NORM.DIST(Table2912[[#This Row],[Valerate '[%']]],T$6,T$2,FALSE),-100)</f>
        <v>-100</v>
      </c>
      <c r="BM95">
        <f>IF(Table2912[[#This Row],[Caproate '[%']]]&lt;U$10,_xlfn.NORM.DIST(Table2912[[#This Row],[Caproate '[%']]],U$6,U$2,FALSE),-100)</f>
        <v>-100</v>
      </c>
      <c r="BN95">
        <f>IF(Table2912[[#This Row],[Isobutyrate '[%']]]&lt;V$10,_xlfn.NORM.DIST(Table2912[[#This Row],[Isobutyrate '[%']]],V$6,V$2,FALSE),-100)</f>
        <v>-100</v>
      </c>
      <c r="BO95">
        <f>IF(Table2912[[#This Row],[Isovalerate '[%']]]&lt;W$10,_xlfn.NORM.DIST(Table2912[[#This Row],[Isovalerate '[%']]],W$6,W$2,FALSE),-100)</f>
        <v>-100</v>
      </c>
      <c r="BP95">
        <f>IF(Table2912[[#This Row],[CH4 '[g/mmol SCFA']]]&lt;X$10,_xlfn.NORM.DIST(Table2912[[#This Row],[CH4 '[g/mmol SCFA']]],X$6,X$2,FALSE),-100)</f>
        <v>4.5550504182708319E-2</v>
      </c>
      <c r="BQ95">
        <f>IF(Table2912[[#This Row],[DMD '[mg/g']]]&gt;Y$10,_xlfn.NORM.DIST(Table2912[[#This Row],[DMD '[mg/g']]],Y$6,Y$2,FALSE),-100)</f>
        <v>-100</v>
      </c>
      <c r="BR95">
        <f>IF(Table2912[[#This Row],[CH4 '[ml/g']]]&lt;Z$10,_xlfn.NORM.DIST(Table2912[[#This Row],[CH4 '[ml/g']]],Z$6,Z$2,FALSE),-100)</f>
        <v>1.3969081600502217E-2</v>
      </c>
      <c r="BS95">
        <f>IF(Table2912[[#This Row],[CH4 '[% GP']]]&lt;AA$10,_xlfn.NORM.DIST(Table2912[[#This Row],[CH4 '[% GP']]],AA$6,AA$2,FALSE),-100)</f>
        <v>-100</v>
      </c>
      <c r="BT95">
        <f>IF(Table2912[[#This Row],[CH4 '[g/g DDM']]]&lt;AB$10,_xlfn.NORM.DIST(Table2912[[#This Row],[CH4 '[g/g DDM']]],AB$6,AB$2,FALSE),-100)</f>
        <v>-100</v>
      </c>
      <c r="CJ95" t="str">
        <v>Echinochloa pyramidalis</v>
      </c>
      <c r="CL95" t="str">
        <v>Echinochloa pyramidalis</v>
      </c>
    </row>
    <row r="96" spans="1:90" x14ac:dyDescent="0.25">
      <c r="A96" s="12" t="s">
        <v>86</v>
      </c>
      <c r="B96" s="13">
        <v>1056</v>
      </c>
      <c r="C96" s="103">
        <v>23890</v>
      </c>
      <c r="D96" s="104" t="s">
        <v>115</v>
      </c>
      <c r="E96" s="104" t="s">
        <v>116</v>
      </c>
      <c r="F96" t="s">
        <v>117</v>
      </c>
      <c r="G96" s="23" t="s">
        <v>73</v>
      </c>
      <c r="H96" s="23" t="s">
        <v>74</v>
      </c>
      <c r="I96" s="105" t="s">
        <v>75</v>
      </c>
      <c r="J96" s="70">
        <v>3</v>
      </c>
      <c r="K96" s="70"/>
      <c r="L96" s="70"/>
      <c r="M96" t="s">
        <v>117</v>
      </c>
      <c r="N96" t="s">
        <v>98</v>
      </c>
      <c r="O96" s="18">
        <v>164.30699669967021</v>
      </c>
      <c r="P96" s="18">
        <v>4.9244398750898721</v>
      </c>
      <c r="Q96" s="97">
        <v>0.70518114096952944</v>
      </c>
      <c r="R96" s="97">
        <v>0.17543510013181074</v>
      </c>
      <c r="S96" s="97">
        <v>5.490386215535277E-2</v>
      </c>
      <c r="T96" s="97">
        <v>2.0186096707248202E-2</v>
      </c>
      <c r="U96" s="97">
        <v>6.142701711767673E-4</v>
      </c>
      <c r="V96" s="97">
        <v>1.5554020898952874E-2</v>
      </c>
      <c r="W96" s="97">
        <v>2.812550896592915E-2</v>
      </c>
      <c r="X96" s="51">
        <f t="shared" si="8"/>
        <v>5.4648770585342286</v>
      </c>
      <c r="Y96" s="18">
        <v>623.23939086822043</v>
      </c>
      <c r="Z96" s="18">
        <v>26.911458499509806</v>
      </c>
      <c r="AA96" s="18">
        <f t="shared" si="9"/>
        <v>16.378765992966276</v>
      </c>
      <c r="AB96" s="18">
        <f t="shared" si="10"/>
        <v>43.179970479754296</v>
      </c>
      <c r="AC96" s="18">
        <f>$CP$15*Table2912[[#This Row],[DMD '[mg/g']]]+$CS$15*Table2912[[#This Row],[CH4 '[ml/g']]]+$CR$15*Table2912[[#This Row],[CH4 '[% GP']]]+$CQ$15*Table2912[[#This Row],[CH4 '[g/g DDM']]]</f>
        <v>6.2104990088913823</v>
      </c>
      <c r="AD96" s="18">
        <f>_xlfn.RANK.AVG(Table2912[[#This Row],[Index]],Table2912[Index])</f>
        <v>395</v>
      </c>
      <c r="AE9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4.6069125004254534</v>
      </c>
      <c r="AF96" s="18">
        <f>Table2912[[#This Row],[CH4 '[ml/g']]]/Table2912[[#This Row],[APB]]</f>
        <v>5.8415388824998313</v>
      </c>
      <c r="AG96" s="18">
        <f>Table2912[[#This Row],[Propionate '[%']]]/Table2912[[#This Row],[Acetate '[%']]]</f>
        <v>0.24878019269008106</v>
      </c>
      <c r="AH96" s="51"/>
      <c r="AI96" s="18"/>
      <c r="AJ96" s="18"/>
      <c r="AK96" s="18">
        <f>(Table2912[[#This Row],[DMD '[mg/g']]]-$AK$15)/$AK$15*100</f>
        <v>27.116708310535309</v>
      </c>
      <c r="AL96" s="18">
        <f>(Table2912[[#This Row],[CH4 '[ml/g']]]-AL$15)/AL$15*100</f>
        <v>-31.57908004490028</v>
      </c>
      <c r="AM96" s="18">
        <f>(Table2912[[#This Row],[CH4 '[% GP']]]-AM$15)/AM$15*100</f>
        <v>5.5172831270896801</v>
      </c>
      <c r="AN96" s="18">
        <f>(Table2912[[#This Row],[CH4 '[g/g DDM']]]-AN$15)/AN$15*100</f>
        <v>-15.689685224142913</v>
      </c>
      <c r="AO96" s="18"/>
      <c r="AP96" s="18"/>
      <c r="AR96">
        <f>_xlfn.NORM.DIST(Table2912[[#This Row],[GP '[ml/g']]],O$6,O$2,FALSE)</f>
        <v>1.7347023942029423E-3</v>
      </c>
      <c r="AS96">
        <f>_xlfn.NORM.DIST(Table2912[[#This Row],[SCFA '[mmol/g']]],P$6,P$2,FALSE)</f>
        <v>0.13460648893155239</v>
      </c>
      <c r="AT96">
        <f>_xlfn.NORM.DIST(Table2912[[#This Row],[Acetate '[%']]],Q$6,Q$2,FALSE)</f>
        <v>7.4320115391488235</v>
      </c>
      <c r="AU96">
        <f>_xlfn.NORM.DIST(Table2912[[#This Row],[Propionate '[%']]],R$6,R$2,FALSE)</f>
        <v>16.602848393470492</v>
      </c>
      <c r="AV96">
        <f>_xlfn.NORM.DIST(Table2912[[#This Row],[Butyrate '[%']]],S$6,S$2,FALSE)</f>
        <v>2.0718938217539886</v>
      </c>
      <c r="AW96">
        <f>_xlfn.NORM.DIST(Table2912[[#This Row],[Valerate '[%']]],T$6,T$2,FALSE)</f>
        <v>68.631568329896908</v>
      </c>
      <c r="AX96">
        <f>_xlfn.NORM.DIST(Table2912[[#This Row],[Caproate '[%']]],U$6,U$2,FALSE)</f>
        <v>311.01596280907864</v>
      </c>
      <c r="AY96">
        <f>_xlfn.NORM.DIST(Table2912[[#This Row],[Isobutyrate '[%']]],V$6,V$2,FALSE)</f>
        <v>90.029829923684133</v>
      </c>
      <c r="AZ96">
        <f>_xlfn.NORM.DIST(Table2912[[#This Row],[Isovalerate '[%']]],W$6,W$2,FALSE)</f>
        <v>45.414260746517684</v>
      </c>
      <c r="BA96">
        <f>_xlfn.NORM.DIST(Table2912[[#This Row],[CH4 '[g/mmol SCFA']]],X$6,X$2,FALSE)</f>
        <v>0.24696114699130078</v>
      </c>
      <c r="BB96">
        <f>_xlfn.NORM.DIST(Table2912[[#This Row],[DMD '[mg/g']]],Y$6,Y$2,FALSE)</f>
        <v>1.5633981732152428E-3</v>
      </c>
      <c r="BC96">
        <f>_xlfn.NORM.DIST(Table2912[[#This Row],[CH4 '[ml/g']]],Z$6,Z$2,FALSE)</f>
        <v>1.5983499191172451E-2</v>
      </c>
      <c r="BD96">
        <f>_xlfn.NORM.DIST(Table2912[[#This Row],[CH4 '[% GP']]],AA$6,AA$2,FALSE)</f>
        <v>0.13397838711749613</v>
      </c>
      <c r="BE96">
        <f>_xlfn.NORM.DIST(Table2912[[#This Row],[CH4 '[g/g DDM']]],AB$6,AB$2,FALSE)</f>
        <v>2.3127909403744755E-2</v>
      </c>
      <c r="BG96">
        <f>IF(Table2912[[#This Row],[GP '[ml/g']]]&lt;O$10,_xlfn.NORM.DIST(Table2912[[#This Row],[GP '[ml/g']]],O$6,O$2,FALSE),-100)</f>
        <v>1.7347023942029423E-3</v>
      </c>
      <c r="BH96">
        <f>IF(Table2912[[#This Row],[SCFA '[mmol/g']]]&lt;P$10,_xlfn.NORM.DIST(Table2912[[#This Row],[SCFA '[mmol/g']]],P$6,P$2,FALSE),-100)</f>
        <v>0.13460648893155239</v>
      </c>
      <c r="BI96">
        <f>IF(Table2912[[#This Row],[Acetate '[%']]]&lt;Q$10,_xlfn.NORM.DIST(Table2912[[#This Row],[Acetate '[%']]],Q$6,Q$2,FALSE),-100)</f>
        <v>-100</v>
      </c>
      <c r="BJ96">
        <f>IF(Table2912[[#This Row],[Propionate '[%']]]&lt;R$10,_xlfn.NORM.DIST(Table2912[[#This Row],[Propionate '[%']]],R$6,R$2,FALSE),-100)</f>
        <v>-100</v>
      </c>
      <c r="BK96">
        <f>IF(Table2912[[#This Row],[Butyrate '[%']]]&lt;S$10,_xlfn.NORM.DIST(Table2912[[#This Row],[Butyrate '[%']]],S$6,S$2,FALSE),-100)</f>
        <v>2.0718938217539886</v>
      </c>
      <c r="BL96">
        <f>IF(Table2912[[#This Row],[Valerate '[%']]]&lt;T$10,_xlfn.NORM.DIST(Table2912[[#This Row],[Valerate '[%']]],T$6,T$2,FALSE),-100)</f>
        <v>-100</v>
      </c>
      <c r="BM96">
        <f>IF(Table2912[[#This Row],[Caproate '[%']]]&lt;U$10,_xlfn.NORM.DIST(Table2912[[#This Row],[Caproate '[%']]],U$6,U$2,FALSE),-100)</f>
        <v>-100</v>
      </c>
      <c r="BN96">
        <f>IF(Table2912[[#This Row],[Isobutyrate '[%']]]&lt;V$10,_xlfn.NORM.DIST(Table2912[[#This Row],[Isobutyrate '[%']]],V$6,V$2,FALSE),-100)</f>
        <v>-100</v>
      </c>
      <c r="BO96">
        <f>IF(Table2912[[#This Row],[Isovalerate '[%']]]&lt;W$10,_xlfn.NORM.DIST(Table2912[[#This Row],[Isovalerate '[%']]],W$6,W$2,FALSE),-100)</f>
        <v>-100</v>
      </c>
      <c r="BP96">
        <f>IF(Table2912[[#This Row],[CH4 '[g/mmol SCFA']]]&lt;X$10,_xlfn.NORM.DIST(Table2912[[#This Row],[CH4 '[g/mmol SCFA']]],X$6,X$2,FALSE),-100)</f>
        <v>-100</v>
      </c>
      <c r="BQ96">
        <f>IF(Table2912[[#This Row],[DMD '[mg/g']]]&gt;Y$10,_xlfn.NORM.DIST(Table2912[[#This Row],[DMD '[mg/g']]],Y$6,Y$2,FALSE),-100)</f>
        <v>-100</v>
      </c>
      <c r="BR96">
        <f>IF(Table2912[[#This Row],[CH4 '[ml/g']]]&lt;Z$10,_xlfn.NORM.DIST(Table2912[[#This Row],[CH4 '[ml/g']]],Z$6,Z$2,FALSE),-100)</f>
        <v>1.5983499191172451E-2</v>
      </c>
      <c r="BS96">
        <f>IF(Table2912[[#This Row],[CH4 '[% GP']]]&lt;AA$10,_xlfn.NORM.DIST(Table2912[[#This Row],[CH4 '[% GP']]],AA$6,AA$2,FALSE),-100)</f>
        <v>-100</v>
      </c>
      <c r="BT96">
        <f>IF(Table2912[[#This Row],[CH4 '[g/g DDM']]]&lt;AB$10,_xlfn.NORM.DIST(Table2912[[#This Row],[CH4 '[g/g DDM']]],AB$6,AB$2,FALSE),-100)</f>
        <v>-100</v>
      </c>
      <c r="CJ96" t="str">
        <v>Clitoria ternatea</v>
      </c>
      <c r="CL96" t="str">
        <v>Clitoria ternatea</v>
      </c>
    </row>
    <row r="97" spans="1:90" x14ac:dyDescent="0.25">
      <c r="A97" s="12" t="s">
        <v>70</v>
      </c>
      <c r="B97" s="13">
        <v>1040</v>
      </c>
      <c r="C97" s="96" t="s">
        <v>169</v>
      </c>
      <c r="D97" s="96"/>
      <c r="E97" s="96"/>
      <c r="F97" s="96" t="s">
        <v>170</v>
      </c>
      <c r="G97" t="s">
        <v>143</v>
      </c>
      <c r="H97" t="s">
        <v>144</v>
      </c>
      <c r="I97" t="s">
        <v>52</v>
      </c>
      <c r="J97" s="100">
        <v>1</v>
      </c>
      <c r="K97" s="100"/>
      <c r="L97" s="100"/>
      <c r="M97" t="s">
        <v>170</v>
      </c>
      <c r="N97" t="s">
        <v>80</v>
      </c>
      <c r="O97" s="18">
        <v>227.96838624338579</v>
      </c>
      <c r="P97" s="18">
        <v>5.3341049382716053</v>
      </c>
      <c r="Q97" s="97">
        <v>0.69345539459816918</v>
      </c>
      <c r="R97" s="97">
        <v>0.17573515736397263</v>
      </c>
      <c r="S97" s="97">
        <v>9.6120670588755702E-2</v>
      </c>
      <c r="T97" s="97">
        <v>1.0571946742159508E-2</v>
      </c>
      <c r="U97" s="97">
        <v>4.8657495466006089E-4</v>
      </c>
      <c r="V97" s="97">
        <v>9.6209138762330254E-3</v>
      </c>
      <c r="W97" s="97">
        <v>1.5946388286813818E-2</v>
      </c>
      <c r="X97" s="51">
        <f t="shared" si="8"/>
        <v>4.3624311587997715</v>
      </c>
      <c r="Y97" s="18">
        <v>626.59646179361221</v>
      </c>
      <c r="Z97" s="18">
        <v>23.269665587023781</v>
      </c>
      <c r="AA97" s="18">
        <f t="shared" si="9"/>
        <v>10.207409005466397</v>
      </c>
      <c r="AB97" s="18">
        <f t="shared" si="10"/>
        <v>37.136605464408639</v>
      </c>
      <c r="AC97" s="18">
        <f>$CP$15*Table2912[[#This Row],[DMD '[mg/g']]]+$CS$15*Table2912[[#This Row],[CH4 '[ml/g']]]+$CR$15*Table2912[[#This Row],[CH4 '[% GP']]]+$CQ$15*Table2912[[#This Row],[CH4 '[g/g DDM']]]</f>
        <v>11.431170580798835</v>
      </c>
      <c r="AD97" s="18">
        <f>_xlfn.RANK.AVG(Table2912[[#This Row],[Index]],Table2912[Index])</f>
        <v>336</v>
      </c>
      <c r="AE9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5.1490713591777428</v>
      </c>
      <c r="AF97" s="18">
        <f>Table2912[[#This Row],[CH4 '[ml/g']]]/Table2912[[#This Row],[APB]]</f>
        <v>4.519196562608859</v>
      </c>
      <c r="AG97" s="18">
        <f>Table2912[[#This Row],[Propionate '[%']]]/Table2912[[#This Row],[Acetate '[%']]]</f>
        <v>0.25341955478737666</v>
      </c>
      <c r="AH97" s="51"/>
      <c r="AI97" s="18"/>
      <c r="AJ97" s="18"/>
      <c r="AK97" s="18">
        <f>(Table2912[[#This Row],[DMD '[mg/g']]]-$AK$15)/$AK$15*100</f>
        <v>27.801420817243727</v>
      </c>
      <c r="AL97" s="18">
        <f>(Table2912[[#This Row],[CH4 '[ml/g']]]-AL$15)/AL$15*100</f>
        <v>-40.838140506554353</v>
      </c>
      <c r="AM97" s="18">
        <f>(Table2912[[#This Row],[CH4 '[% GP']]]-AM$15)/AM$15*100</f>
        <v>-34.240585250052639</v>
      </c>
      <c r="AN97" s="18">
        <f>(Table2912[[#This Row],[CH4 '[g/g DDM']]]-AN$15)/AN$15*100</f>
        <v>-27.48955449427341</v>
      </c>
      <c r="AO97" s="18"/>
      <c r="AP97" s="18"/>
      <c r="AR97">
        <f>_xlfn.NORM.DIST(Table2912[[#This Row],[GP '[ml/g']]],O$6,O$2,FALSE)</f>
        <v>6.5475063082466459E-3</v>
      </c>
      <c r="AS97">
        <f>_xlfn.NORM.DIST(Table2912[[#This Row],[SCFA '[mmol/g']]],P$6,P$2,FALSE)</f>
        <v>0.2010749738738824</v>
      </c>
      <c r="AT97">
        <f>_xlfn.NORM.DIST(Table2912[[#This Row],[Acetate '[%']]],Q$6,Q$2,FALSE)</f>
        <v>10.864395612911283</v>
      </c>
      <c r="AU97">
        <f>_xlfn.NORM.DIST(Table2912[[#This Row],[Propionate '[%']]],R$6,R$2,FALSE)</f>
        <v>16.570071891438225</v>
      </c>
      <c r="AV97">
        <f>_xlfn.NORM.DIST(Table2912[[#This Row],[Butyrate '[%']]],S$6,S$2,FALSE)</f>
        <v>22.640714479939863</v>
      </c>
      <c r="AW97">
        <f>_xlfn.NORM.DIST(Table2912[[#This Row],[Valerate '[%']]],T$6,T$2,FALSE)</f>
        <v>30.076468700744147</v>
      </c>
      <c r="AX97">
        <f>_xlfn.NORM.DIST(Table2912[[#This Row],[Caproate '[%']]],U$6,U$2,FALSE)</f>
        <v>280.30292515875652</v>
      </c>
      <c r="AY97">
        <f>_xlfn.NORM.DIST(Table2912[[#This Row],[Isobutyrate '[%']]],V$6,V$2,FALSE)</f>
        <v>39.363422496279334</v>
      </c>
      <c r="AZ97">
        <f>_xlfn.NORM.DIST(Table2912[[#This Row],[Isovalerate '[%']]],W$6,W$2,FALSE)</f>
        <v>18.00157416558579</v>
      </c>
      <c r="BA97">
        <f>_xlfn.NORM.DIST(Table2912[[#This Row],[CH4 '[g/mmol SCFA']]],X$6,X$2,FALSE)</f>
        <v>0.10674135182551729</v>
      </c>
      <c r="BB97">
        <f>_xlfn.NORM.DIST(Table2912[[#This Row],[DMD '[mg/g']]],Y$6,Y$2,FALSE)</f>
        <v>1.6063422007829944E-3</v>
      </c>
      <c r="BC97">
        <f>_xlfn.NORM.DIST(Table2912[[#This Row],[CH4 '[ml/g']]],Z$6,Z$2,FALSE)</f>
        <v>1.0513275886579602E-2</v>
      </c>
      <c r="BD97">
        <f>_xlfn.NORM.DIST(Table2912[[#This Row],[CH4 '[% GP']]],AA$6,AA$2,FALSE)</f>
        <v>1.9005064287350867E-2</v>
      </c>
      <c r="BE97">
        <f>_xlfn.NORM.DIST(Table2912[[#This Row],[CH4 '[g/g DDM']]],AB$6,AB$2,FALSE)</f>
        <v>1.3467175551023287E-2</v>
      </c>
      <c r="BG97">
        <f>IF(Table2912[[#This Row],[GP '[ml/g']]]&lt;O$10,_xlfn.NORM.DIST(Table2912[[#This Row],[GP '[ml/g']]],O$6,O$2,FALSE),-100)</f>
        <v>-100</v>
      </c>
      <c r="BH97">
        <f>IF(Table2912[[#This Row],[SCFA '[mmol/g']]]&lt;P$10,_xlfn.NORM.DIST(Table2912[[#This Row],[SCFA '[mmol/g']]],P$6,P$2,FALSE),-100)</f>
        <v>0.2010749738738824</v>
      </c>
      <c r="BI97">
        <f>IF(Table2912[[#This Row],[Acetate '[%']]]&lt;Q$10,_xlfn.NORM.DIST(Table2912[[#This Row],[Acetate '[%']]],Q$6,Q$2,FALSE),-100)</f>
        <v>-100</v>
      </c>
      <c r="BJ97">
        <f>IF(Table2912[[#This Row],[Propionate '[%']]]&lt;R$10,_xlfn.NORM.DIST(Table2912[[#This Row],[Propionate '[%']]],R$6,R$2,FALSE),-100)</f>
        <v>-100</v>
      </c>
      <c r="BK97">
        <f>IF(Table2912[[#This Row],[Butyrate '[%']]]&lt;S$10,_xlfn.NORM.DIST(Table2912[[#This Row],[Butyrate '[%']]],S$6,S$2,FALSE),-100)</f>
        <v>-100</v>
      </c>
      <c r="BL97">
        <f>IF(Table2912[[#This Row],[Valerate '[%']]]&lt;T$10,_xlfn.NORM.DIST(Table2912[[#This Row],[Valerate '[%']]],T$6,T$2,FALSE),-100)</f>
        <v>30.076468700744147</v>
      </c>
      <c r="BM97">
        <f>IF(Table2912[[#This Row],[Caproate '[%']]]&lt;U$10,_xlfn.NORM.DIST(Table2912[[#This Row],[Caproate '[%']]],U$6,U$2,FALSE),-100)</f>
        <v>-100</v>
      </c>
      <c r="BN97">
        <f>IF(Table2912[[#This Row],[Isobutyrate '[%']]]&lt;V$10,_xlfn.NORM.DIST(Table2912[[#This Row],[Isobutyrate '[%']]],V$6,V$2,FALSE),-100)</f>
        <v>39.363422496279334</v>
      </c>
      <c r="BO97">
        <f>IF(Table2912[[#This Row],[Isovalerate '[%']]]&lt;W$10,_xlfn.NORM.DIST(Table2912[[#This Row],[Isovalerate '[%']]],W$6,W$2,FALSE),-100)</f>
        <v>18.00157416558579</v>
      </c>
      <c r="BP97">
        <f>IF(Table2912[[#This Row],[CH4 '[g/mmol SCFA']]]&lt;X$10,_xlfn.NORM.DIST(Table2912[[#This Row],[CH4 '[g/mmol SCFA']]],X$6,X$2,FALSE),-100)</f>
        <v>0.10674135182551729</v>
      </c>
      <c r="BQ97">
        <f>IF(Table2912[[#This Row],[DMD '[mg/g']]]&gt;Y$10,_xlfn.NORM.DIST(Table2912[[#This Row],[DMD '[mg/g']]],Y$6,Y$2,FALSE),-100)</f>
        <v>-100</v>
      </c>
      <c r="BR97">
        <f>IF(Table2912[[#This Row],[CH4 '[ml/g']]]&lt;Z$10,_xlfn.NORM.DIST(Table2912[[#This Row],[CH4 '[ml/g']]],Z$6,Z$2,FALSE),-100)</f>
        <v>1.0513275886579602E-2</v>
      </c>
      <c r="BS97">
        <f>IF(Table2912[[#This Row],[CH4 '[% GP']]]&lt;AA$10,_xlfn.NORM.DIST(Table2912[[#This Row],[CH4 '[% GP']]],AA$6,AA$2,FALSE),-100)</f>
        <v>1.9005064287350867E-2</v>
      </c>
      <c r="BT97">
        <f>IF(Table2912[[#This Row],[CH4 '[g/g DDM']]]&lt;AB$10,_xlfn.NORM.DIST(Table2912[[#This Row],[CH4 '[g/g DDM']]],AB$6,AB$2,FALSE),-100)</f>
        <v>-100</v>
      </c>
      <c r="CJ97" t="str">
        <v>Vicia villosa</v>
      </c>
      <c r="CL97" t="str">
        <v>Vicia villosa</v>
      </c>
    </row>
    <row r="98" spans="1:90" x14ac:dyDescent="0.25">
      <c r="A98" s="12" t="s">
        <v>86</v>
      </c>
      <c r="B98" s="13">
        <v>1092</v>
      </c>
      <c r="C98" s="104" t="s">
        <v>139</v>
      </c>
      <c r="D98" s="104" t="s">
        <v>140</v>
      </c>
      <c r="E98" s="104" t="s">
        <v>141</v>
      </c>
      <c r="F98" s="104" t="s">
        <v>142</v>
      </c>
      <c r="G98" s="32" t="s">
        <v>143</v>
      </c>
      <c r="H98" s="32" t="s">
        <v>144</v>
      </c>
      <c r="I98" s="32" t="s">
        <v>52</v>
      </c>
      <c r="J98" s="100">
        <v>1</v>
      </c>
      <c r="K98" s="100"/>
      <c r="L98" s="100"/>
      <c r="M98" t="s">
        <v>142</v>
      </c>
      <c r="N98" t="s">
        <v>171</v>
      </c>
      <c r="O98" s="18">
        <v>183.56625191006324</v>
      </c>
      <c r="P98" s="18">
        <v>4.4933420650512996</v>
      </c>
      <c r="Q98" s="97">
        <v>0.67765595142745916</v>
      </c>
      <c r="R98" s="97">
        <v>0.1749107759761282</v>
      </c>
      <c r="S98" s="97">
        <v>8.658058925435691E-2</v>
      </c>
      <c r="T98" s="97">
        <v>1.6146856114871856E-2</v>
      </c>
      <c r="U98" s="97">
        <v>8.8722997387108513E-4</v>
      </c>
      <c r="V98" s="97">
        <v>1.5221143294046717E-2</v>
      </c>
      <c r="W98" s="97">
        <v>2.8597453959265894E-2</v>
      </c>
      <c r="X98" s="51">
        <f t="shared" si="8"/>
        <v>7.3226851053625408</v>
      </c>
      <c r="Y98" s="18">
        <v>629.44771883868134</v>
      </c>
      <c r="Z98" s="18">
        <v>32.903329013050111</v>
      </c>
      <c r="AA98" s="18">
        <f t="shared" si="9"/>
        <v>17.924497924145026</v>
      </c>
      <c r="AB98" s="18">
        <f t="shared" si="10"/>
        <v>52.273331093734214</v>
      </c>
      <c r="AC98" s="18">
        <f>$CP$15*Table2912[[#This Row],[DMD '[mg/g']]]+$CS$15*Table2912[[#This Row],[CH4 '[ml/g']]]+$CR$15*Table2912[[#This Row],[CH4 '[% GP']]]+$CQ$15*Table2912[[#This Row],[CH4 '[g/g DDM']]]</f>
        <v>1.5862097948975489</v>
      </c>
      <c r="AD98" s="18">
        <f>_xlfn.RANK.AVG(Table2912[[#This Row],[Index]],Table2912[Index])</f>
        <v>438</v>
      </c>
      <c r="AE9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4.2199101432191943</v>
      </c>
      <c r="AF98" s="18">
        <f>Table2912[[#This Row],[CH4 '[ml/g']]]/Table2912[[#This Row],[APB]]</f>
        <v>7.7971634220508612</v>
      </c>
      <c r="AG98" s="18">
        <f>Table2912[[#This Row],[Propionate '[%']]]/Table2912[[#This Row],[Acetate '[%']]]</f>
        <v>0.25811147324491818</v>
      </c>
      <c r="AH98" s="51"/>
      <c r="AI98" s="18"/>
      <c r="AJ98" s="18"/>
      <c r="AK98" s="18">
        <f>(Table2912[[#This Row],[DMD '[mg/g']]]-$AK$15)/$AK$15*100</f>
        <v>28.382966873906639</v>
      </c>
      <c r="AL98" s="18">
        <f>(Table2912[[#This Row],[CH4 '[ml/g']]]-AL$15)/AL$15*100</f>
        <v>-16.345075065358529</v>
      </c>
      <c r="AM98" s="18">
        <f>(Table2912[[#This Row],[CH4 '[% GP']]]-AM$15)/AM$15*100</f>
        <v>15.475385824863972</v>
      </c>
      <c r="AN98" s="18">
        <f>(Table2912[[#This Row],[CH4 '[g/g DDM']]]-AN$15)/AN$15*100</f>
        <v>2.0654009238314637</v>
      </c>
      <c r="AO98" s="18"/>
      <c r="AP98" s="18"/>
      <c r="AR98">
        <f>_xlfn.NORM.DIST(Table2912[[#This Row],[GP '[ml/g']]],O$6,O$2,FALSE)</f>
        <v>3.0131127432012476E-3</v>
      </c>
      <c r="AS98">
        <f>_xlfn.NORM.DIST(Table2912[[#This Row],[SCFA '[mmol/g']]],P$6,P$2,FALSE)</f>
        <v>7.7786283566823114E-2</v>
      </c>
      <c r="AT98">
        <f>_xlfn.NORM.DIST(Table2912[[#This Row],[Acetate '[%']]],Q$6,Q$2,FALSE)</f>
        <v>13.850022992360694</v>
      </c>
      <c r="AU98">
        <f>_xlfn.NORM.DIST(Table2912[[#This Row],[Propionate '[%']]],R$6,R$2,FALSE)</f>
        <v>16.653900948315016</v>
      </c>
      <c r="AV98">
        <f>_xlfn.NORM.DIST(Table2912[[#This Row],[Butyrate '[%']]],S$6,S$2,FALSE)</f>
        <v>21.537554262567536</v>
      </c>
      <c r="AW98">
        <f>_xlfn.NORM.DIST(Table2912[[#This Row],[Valerate '[%']]],T$6,T$2,FALSE)</f>
        <v>74.135420952295092</v>
      </c>
      <c r="AX98">
        <f>_xlfn.NORM.DIST(Table2912[[#This Row],[Caproate '[%']]],U$6,U$2,FALSE)</f>
        <v>366.94349689867744</v>
      </c>
      <c r="AY98">
        <f>_xlfn.NORM.DIST(Table2912[[#This Row],[Isobutyrate '[%']]],V$6,V$2,FALSE)</f>
        <v>90.136939490915026</v>
      </c>
      <c r="AZ98">
        <f>_xlfn.NORM.DIST(Table2912[[#This Row],[Isovalerate '[%']]],W$6,W$2,FALSE)</f>
        <v>45.284820668110633</v>
      </c>
      <c r="BA98">
        <f>_xlfn.NORM.DIST(Table2912[[#This Row],[CH4 '[g/mmol SCFA']]],X$6,X$2,FALSE)</f>
        <v>0.22020982735524047</v>
      </c>
      <c r="BB98">
        <f>_xlfn.NORM.DIST(Table2912[[#This Row],[DMD '[mg/g']]],Y$6,Y$2,FALSE)</f>
        <v>1.6429638157489069E-3</v>
      </c>
      <c r="BC98">
        <f>_xlfn.NORM.DIST(Table2912[[#This Row],[CH4 '[ml/g']]],Z$6,Z$2,FALSE)</f>
        <v>2.5977201259726201E-2</v>
      </c>
      <c r="BD98">
        <f>_xlfn.NORM.DIST(Table2912[[#This Row],[CH4 '[% GP']]],AA$6,AA$2,FALSE)</f>
        <v>0.11068891042598702</v>
      </c>
      <c r="BE98">
        <f>_xlfn.NORM.DIST(Table2912[[#This Row],[CH4 '[g/g DDM']]],AB$6,AB$2,FALSE)</f>
        <v>3.2722262236707669E-2</v>
      </c>
      <c r="BG98">
        <f>IF(Table2912[[#This Row],[GP '[ml/g']]]&lt;O$10,_xlfn.NORM.DIST(Table2912[[#This Row],[GP '[ml/g']]],O$6,O$2,FALSE),-100)</f>
        <v>3.0131127432012476E-3</v>
      </c>
      <c r="BH98">
        <f>IF(Table2912[[#This Row],[SCFA '[mmol/g']]]&lt;P$10,_xlfn.NORM.DIST(Table2912[[#This Row],[SCFA '[mmol/g']]],P$6,P$2,FALSE),-100)</f>
        <v>7.7786283566823114E-2</v>
      </c>
      <c r="BI98">
        <f>IF(Table2912[[#This Row],[Acetate '[%']]]&lt;Q$10,_xlfn.NORM.DIST(Table2912[[#This Row],[Acetate '[%']]],Q$6,Q$2,FALSE),-100)</f>
        <v>-100</v>
      </c>
      <c r="BJ98">
        <f>IF(Table2912[[#This Row],[Propionate '[%']]]&lt;R$10,_xlfn.NORM.DIST(Table2912[[#This Row],[Propionate '[%']]],R$6,R$2,FALSE),-100)</f>
        <v>-100</v>
      </c>
      <c r="BK98">
        <f>IF(Table2912[[#This Row],[Butyrate '[%']]]&lt;S$10,_xlfn.NORM.DIST(Table2912[[#This Row],[Butyrate '[%']]],S$6,S$2,FALSE),-100)</f>
        <v>-100</v>
      </c>
      <c r="BL98">
        <f>IF(Table2912[[#This Row],[Valerate '[%']]]&lt;T$10,_xlfn.NORM.DIST(Table2912[[#This Row],[Valerate '[%']]],T$6,T$2,FALSE),-100)</f>
        <v>-100</v>
      </c>
      <c r="BM98">
        <f>IF(Table2912[[#This Row],[Caproate '[%']]]&lt;U$10,_xlfn.NORM.DIST(Table2912[[#This Row],[Caproate '[%']]],U$6,U$2,FALSE),-100)</f>
        <v>-100</v>
      </c>
      <c r="BN98">
        <f>IF(Table2912[[#This Row],[Isobutyrate '[%']]]&lt;V$10,_xlfn.NORM.DIST(Table2912[[#This Row],[Isobutyrate '[%']]],V$6,V$2,FALSE),-100)</f>
        <v>-100</v>
      </c>
      <c r="BO98">
        <f>IF(Table2912[[#This Row],[Isovalerate '[%']]]&lt;W$10,_xlfn.NORM.DIST(Table2912[[#This Row],[Isovalerate '[%']]],W$6,W$2,FALSE),-100)</f>
        <v>-100</v>
      </c>
      <c r="BP98">
        <f>IF(Table2912[[#This Row],[CH4 '[g/mmol SCFA']]]&lt;X$10,_xlfn.NORM.DIST(Table2912[[#This Row],[CH4 '[g/mmol SCFA']]],X$6,X$2,FALSE),-100)</f>
        <v>-100</v>
      </c>
      <c r="BQ98">
        <f>IF(Table2912[[#This Row],[DMD '[mg/g']]]&gt;Y$10,_xlfn.NORM.DIST(Table2912[[#This Row],[DMD '[mg/g']]],Y$6,Y$2,FALSE),-100)</f>
        <v>-100</v>
      </c>
      <c r="BR98">
        <f>IF(Table2912[[#This Row],[CH4 '[ml/g']]]&lt;Z$10,_xlfn.NORM.DIST(Table2912[[#This Row],[CH4 '[ml/g']]],Z$6,Z$2,FALSE),-100)</f>
        <v>-100</v>
      </c>
      <c r="BS98">
        <f>IF(Table2912[[#This Row],[CH4 '[% GP']]]&lt;AA$10,_xlfn.NORM.DIST(Table2912[[#This Row],[CH4 '[% GP']]],AA$6,AA$2,FALSE),-100)</f>
        <v>-100</v>
      </c>
      <c r="BT98">
        <f>IF(Table2912[[#This Row],[CH4 '[g/g DDM']]]&lt;AB$10,_xlfn.NORM.DIST(Table2912[[#This Row],[CH4 '[g/g DDM']]],AB$6,AB$2,FALSE),-100)</f>
        <v>-100</v>
      </c>
      <c r="CJ98" t="str">
        <v xml:space="preserve">Chloris gayana    </v>
      </c>
      <c r="CL98" t="str">
        <v xml:space="preserve">Chloris gayana    </v>
      </c>
    </row>
    <row r="99" spans="1:90" x14ac:dyDescent="0.25">
      <c r="A99" s="12" t="s">
        <v>70</v>
      </c>
      <c r="B99" s="13">
        <v>1018</v>
      </c>
      <c r="C99" s="96" t="s">
        <v>148</v>
      </c>
      <c r="D99" s="96"/>
      <c r="E99" s="96"/>
      <c r="F99" s="96" t="s">
        <v>149</v>
      </c>
      <c r="G99" s="108" t="s">
        <v>73</v>
      </c>
      <c r="H99" s="108" t="s">
        <v>74</v>
      </c>
      <c r="I99" s="110" t="s">
        <v>44</v>
      </c>
      <c r="J99" s="100">
        <v>2</v>
      </c>
      <c r="K99" s="100"/>
      <c r="L99" s="100"/>
      <c r="M99" t="s">
        <v>149</v>
      </c>
      <c r="N99" t="s">
        <v>81</v>
      </c>
      <c r="O99" s="18">
        <v>283.52782152231032</v>
      </c>
      <c r="P99" s="18">
        <v>7.4037408071515829</v>
      </c>
      <c r="Q99" s="97">
        <v>0.68429189977045946</v>
      </c>
      <c r="R99" s="97">
        <v>0.15298835145961881</v>
      </c>
      <c r="S99" s="97">
        <v>0.11773363754459557</v>
      </c>
      <c r="T99" s="97">
        <v>1.236296664277629E-2</v>
      </c>
      <c r="U99" s="97">
        <v>2.5076193855596536E-3</v>
      </c>
      <c r="V99" s="97">
        <v>1.1406134372955968E-2</v>
      </c>
      <c r="W99" s="97">
        <v>1.8709390824034187E-2</v>
      </c>
      <c r="X99" s="51">
        <f t="shared" si="8"/>
        <v>5.1084300366690032</v>
      </c>
      <c r="Y99" s="18">
        <v>631.27279263359424</v>
      </c>
      <c r="Z99" s="18">
        <v>37.821491922965158</v>
      </c>
      <c r="AA99" s="18">
        <f t="shared" si="9"/>
        <v>13.339605164634275</v>
      </c>
      <c r="AB99" s="18">
        <f t="shared" si="10"/>
        <v>59.913071439652008</v>
      </c>
      <c r="AC99" s="18">
        <f>$CP$15*Table2912[[#This Row],[DMD '[mg/g']]]+$CS$15*Table2912[[#This Row],[CH4 '[ml/g']]]+$CR$15*Table2912[[#This Row],[CH4 '[% GP']]]+$CQ$15*Table2912[[#This Row],[CH4 '[g/g DDM']]]</f>
        <v>-0.78053029660443229</v>
      </c>
      <c r="AD99" s="18">
        <f>_xlfn.RANK.AVG(Table2912[[#This Row],[Index]],Table2912[Index])</f>
        <v>451</v>
      </c>
      <c r="AE9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7.0706752997175766</v>
      </c>
      <c r="AF99" s="18">
        <f>Table2912[[#This Row],[CH4 '[ml/g']]]/Table2912[[#This Row],[APB]]</f>
        <v>5.3490636070469622</v>
      </c>
      <c r="AG99" s="18">
        <f>Table2912[[#This Row],[Propionate '[%']]]/Table2912[[#This Row],[Acetate '[%']]]</f>
        <v>0.22357177033797651</v>
      </c>
      <c r="AH99" s="51"/>
      <c r="AI99" s="18"/>
      <c r="AJ99" s="18"/>
      <c r="AK99" s="18">
        <f>(Table2912[[#This Row],[DMD '[mg/g']]]-$AK$15)/$AK$15*100</f>
        <v>28.75521127410406</v>
      </c>
      <c r="AL99" s="18">
        <f>(Table2912[[#This Row],[CH4 '[ml/g']]]-AL$15)/AL$15*100</f>
        <v>-3.8409132864059989</v>
      </c>
      <c r="AM99" s="18">
        <f>(Table2912[[#This Row],[CH4 '[% GP']]]-AM$15)/AM$15*100</f>
        <v>-14.061969286039808</v>
      </c>
      <c r="AN99" s="18">
        <f>(Table2912[[#This Row],[CH4 '[g/g DDM']]]-AN$15)/AN$15*100</f>
        <v>16.982245613944126</v>
      </c>
      <c r="AO99" s="18"/>
      <c r="AP99" s="18"/>
      <c r="AR99">
        <f>_xlfn.NORM.DIST(Table2912[[#This Row],[GP '[ml/g']]],O$6,O$2,FALSE)</f>
        <v>6.5145519472924974E-3</v>
      </c>
      <c r="AS99">
        <f>_xlfn.NORM.DIST(Table2912[[#This Row],[SCFA '[mmol/g']]],P$6,P$2,FALSE)</f>
        <v>0.25630113737847793</v>
      </c>
      <c r="AT99">
        <f>_xlfn.NORM.DIST(Table2912[[#This Row],[Acetate '[%']]],Q$6,Q$2,FALSE)</f>
        <v>12.986323786162565</v>
      </c>
      <c r="AU99">
        <f>_xlfn.NORM.DIST(Table2912[[#This Row],[Propionate '[%']]],R$6,R$2,FALSE)</f>
        <v>12.245398519497758</v>
      </c>
      <c r="AV99">
        <f>_xlfn.NORM.DIST(Table2912[[#This Row],[Butyrate '[%']]],S$6,S$2,FALSE)</f>
        <v>8.25660649513277</v>
      </c>
      <c r="AW99">
        <f>_xlfn.NORM.DIST(Table2912[[#This Row],[Valerate '[%']]],T$6,T$2,FALSE)</f>
        <v>45.654553361637937</v>
      </c>
      <c r="AX99">
        <f>_xlfn.NORM.DIST(Table2912[[#This Row],[Caproate '[%']]],U$6,U$2,FALSE)</f>
        <v>198.53520679114624</v>
      </c>
      <c r="AY99">
        <f>_xlfn.NORM.DIST(Table2912[[#This Row],[Isobutyrate '[%']]],V$6,V$2,FALSE)</f>
        <v>60.999212773181824</v>
      </c>
      <c r="AZ99">
        <f>_xlfn.NORM.DIST(Table2912[[#This Row],[Isovalerate '[%']]],W$6,W$2,FALSE)</f>
        <v>26.287156036045605</v>
      </c>
      <c r="BA99">
        <f>_xlfn.NORM.DIST(Table2912[[#This Row],[CH4 '[g/mmol SCFA']]],X$6,X$2,FALSE)</f>
        <v>0.20273704381745</v>
      </c>
      <c r="BB99">
        <f>_xlfn.NORM.DIST(Table2912[[#This Row],[DMD '[mg/g']]],Y$6,Y$2,FALSE)</f>
        <v>1.6664621765899049E-3</v>
      </c>
      <c r="BC99">
        <f>_xlfn.NORM.DIST(Table2912[[#This Row],[CH4 '[ml/g']]],Z$6,Z$2,FALSE)</f>
        <v>3.2027942628322148E-2</v>
      </c>
      <c r="BD99">
        <f>_xlfn.NORM.DIST(Table2912[[#This Row],[CH4 '[% GP']]],AA$6,AA$2,FALSE)</f>
        <v>8.8116386134296135E-2</v>
      </c>
      <c r="BE99">
        <f>_xlfn.NORM.DIST(Table2912[[#This Row],[CH4 '[g/g DDM']]],AB$6,AB$2,FALSE)</f>
        <v>2.8393378438220308E-2</v>
      </c>
      <c r="BG99">
        <f>IF(Table2912[[#This Row],[GP '[ml/g']]]&lt;O$10,_xlfn.NORM.DIST(Table2912[[#This Row],[GP '[ml/g']]],O$6,O$2,FALSE),-100)</f>
        <v>-100</v>
      </c>
      <c r="BH99">
        <f>IF(Table2912[[#This Row],[SCFA '[mmol/g']]]&lt;P$10,_xlfn.NORM.DIST(Table2912[[#This Row],[SCFA '[mmol/g']]],P$6,P$2,FALSE),-100)</f>
        <v>-100</v>
      </c>
      <c r="BI99">
        <f>IF(Table2912[[#This Row],[Acetate '[%']]]&lt;Q$10,_xlfn.NORM.DIST(Table2912[[#This Row],[Acetate '[%']]],Q$6,Q$2,FALSE),-100)</f>
        <v>-100</v>
      </c>
      <c r="BJ99">
        <f>IF(Table2912[[#This Row],[Propionate '[%']]]&lt;R$10,_xlfn.NORM.DIST(Table2912[[#This Row],[Propionate '[%']]],R$6,R$2,FALSE),-100)</f>
        <v>-100</v>
      </c>
      <c r="BK99">
        <f>IF(Table2912[[#This Row],[Butyrate '[%']]]&lt;S$10,_xlfn.NORM.DIST(Table2912[[#This Row],[Butyrate '[%']]],S$6,S$2,FALSE),-100)</f>
        <v>-100</v>
      </c>
      <c r="BL99">
        <f>IF(Table2912[[#This Row],[Valerate '[%']]]&lt;T$10,_xlfn.NORM.DIST(Table2912[[#This Row],[Valerate '[%']]],T$6,T$2,FALSE),-100)</f>
        <v>45.654553361637937</v>
      </c>
      <c r="BM99">
        <f>IF(Table2912[[#This Row],[Caproate '[%']]]&lt;U$10,_xlfn.NORM.DIST(Table2912[[#This Row],[Caproate '[%']]],U$6,U$2,FALSE),-100)</f>
        <v>-100</v>
      </c>
      <c r="BN99">
        <f>IF(Table2912[[#This Row],[Isobutyrate '[%']]]&lt;V$10,_xlfn.NORM.DIST(Table2912[[#This Row],[Isobutyrate '[%']]],V$6,V$2,FALSE),-100)</f>
        <v>-100</v>
      </c>
      <c r="BO99">
        <f>IF(Table2912[[#This Row],[Isovalerate '[%']]]&lt;W$10,_xlfn.NORM.DIST(Table2912[[#This Row],[Isovalerate '[%']]],W$6,W$2,FALSE),-100)</f>
        <v>26.287156036045605</v>
      </c>
      <c r="BP99">
        <f>IF(Table2912[[#This Row],[CH4 '[g/mmol SCFA']]]&lt;X$10,_xlfn.NORM.DIST(Table2912[[#This Row],[CH4 '[g/mmol SCFA']]],X$6,X$2,FALSE),-100)</f>
        <v>-100</v>
      </c>
      <c r="BQ99">
        <f>IF(Table2912[[#This Row],[DMD '[mg/g']]]&gt;Y$10,_xlfn.NORM.DIST(Table2912[[#This Row],[DMD '[mg/g']]],Y$6,Y$2,FALSE),-100)</f>
        <v>-100</v>
      </c>
      <c r="BR99">
        <f>IF(Table2912[[#This Row],[CH4 '[ml/g']]]&lt;Z$10,_xlfn.NORM.DIST(Table2912[[#This Row],[CH4 '[ml/g']]],Z$6,Z$2,FALSE),-100)</f>
        <v>-100</v>
      </c>
      <c r="BS99">
        <f>IF(Table2912[[#This Row],[CH4 '[% GP']]]&lt;AA$10,_xlfn.NORM.DIST(Table2912[[#This Row],[CH4 '[% GP']]],AA$6,AA$2,FALSE),-100)</f>
        <v>-100</v>
      </c>
      <c r="BT99">
        <f>IF(Table2912[[#This Row],[CH4 '[g/g DDM']]]&lt;AB$10,_xlfn.NORM.DIST(Table2912[[#This Row],[CH4 '[g/g DDM']]],AB$6,AB$2,FALSE),-100)</f>
        <v>-100</v>
      </c>
      <c r="CJ99" t="str">
        <v>Senna siamea</v>
      </c>
      <c r="CL99" t="str">
        <v>Senna siamea</v>
      </c>
    </row>
    <row r="100" spans="1:90" ht="16.5" customHeight="1" x14ac:dyDescent="0.25">
      <c r="A100" s="12" t="s">
        <v>70</v>
      </c>
      <c r="B100" s="13">
        <v>996</v>
      </c>
      <c r="C100" s="96" t="s">
        <v>172</v>
      </c>
      <c r="D100" s="96"/>
      <c r="E100" s="96"/>
      <c r="F100" s="96" t="s">
        <v>173</v>
      </c>
      <c r="G100" s="15" t="s">
        <v>73</v>
      </c>
      <c r="H100" s="15" t="s">
        <v>74</v>
      </c>
      <c r="I100" t="s">
        <v>75</v>
      </c>
      <c r="J100" s="70">
        <v>2</v>
      </c>
      <c r="K100" s="70"/>
      <c r="L100" s="70"/>
      <c r="M100" t="s">
        <v>173</v>
      </c>
      <c r="N100" t="s">
        <v>85</v>
      </c>
      <c r="O100" s="18">
        <v>243.24136045494393</v>
      </c>
      <c r="P100" s="18">
        <v>6.2154265397464039</v>
      </c>
      <c r="Q100" s="97">
        <v>0.70489054357720859</v>
      </c>
      <c r="R100" s="97">
        <v>0.14578388749366522</v>
      </c>
      <c r="S100" s="97">
        <v>9.943661969088953E-2</v>
      </c>
      <c r="T100" s="97">
        <v>1.3251214566386274E-2</v>
      </c>
      <c r="U100" s="97">
        <v>1.1262016858205057E-3</v>
      </c>
      <c r="V100" s="97">
        <v>1.2071524619879495E-2</v>
      </c>
      <c r="W100" s="97">
        <v>2.344000836615041E-2</v>
      </c>
      <c r="X100" s="51">
        <f t="shared" si="8"/>
        <v>5.4088802915051719</v>
      </c>
      <c r="Y100" s="18">
        <v>634.52600485817493</v>
      </c>
      <c r="Z100" s="18">
        <v>33.618498114132514</v>
      </c>
      <c r="AA100" s="18">
        <f t="shared" si="9"/>
        <v>13.82104509334042</v>
      </c>
      <c r="AB100" s="18">
        <f t="shared" si="10"/>
        <v>52.982065126939439</v>
      </c>
      <c r="AC100" s="18">
        <f>$CP$15*Table2912[[#This Row],[DMD '[mg/g']]]+$CS$15*Table2912[[#This Row],[CH4 '[ml/g']]]+$CR$15*Table2912[[#This Row],[CH4 '[% GP']]]+$CQ$15*Table2912[[#This Row],[CH4 '[g/g DDM']]]</f>
        <v>2.8876189054090133</v>
      </c>
      <c r="AD100" s="18">
        <f>_xlfn.RANK.AVG(Table2912[[#This Row],[Index]],Table2912[Index])</f>
        <v>425</v>
      </c>
      <c r="AE10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5.9053454406110069</v>
      </c>
      <c r="AF100" s="18">
        <f>Table2912[[#This Row],[CH4 '[ml/g']]]/Table2912[[#This Row],[APB]]</f>
        <v>5.6928927278222217</v>
      </c>
      <c r="AG100" s="18">
        <f>Table2912[[#This Row],[Propionate '[%']]]/Table2912[[#This Row],[Acetate '[%']]]</f>
        <v>0.20681776599503651</v>
      </c>
      <c r="AH100" s="51"/>
      <c r="AI100" s="18"/>
      <c r="AJ100" s="18"/>
      <c r="AK100" s="18">
        <f>(Table2912[[#This Row],[DMD '[mg/g']]]-$AK$15)/$AK$15*100</f>
        <v>29.41874062652224</v>
      </c>
      <c r="AL100" s="18">
        <f>(Table2912[[#This Row],[CH4 '[ml/g']]]-AL$15)/AL$15*100</f>
        <v>-14.52679651236182</v>
      </c>
      <c r="AM100" s="18">
        <f>(Table2912[[#This Row],[CH4 '[% GP']]]-AM$15)/AM$15*100</f>
        <v>-10.960378281699928</v>
      </c>
      <c r="AN100" s="18">
        <f>(Table2912[[#This Row],[CH4 '[g/g DDM']]]-AN$15)/AN$15*100</f>
        <v>3.449227470445519</v>
      </c>
      <c r="AO100" s="18"/>
      <c r="AP100" s="18"/>
      <c r="AR100">
        <f>_xlfn.NORM.DIST(Table2912[[#This Row],[GP '[ml/g']]],O$6,O$2,FALSE)</f>
        <v>7.2852051064851682E-3</v>
      </c>
      <c r="AS100">
        <f>_xlfn.NORM.DIST(Table2912[[#This Row],[SCFA '[mmol/g']]],P$6,P$2,FALSE)</f>
        <v>0.32095376065527603</v>
      </c>
      <c r="AT100">
        <f>_xlfn.NORM.DIST(Table2912[[#This Row],[Acetate '[%']]],Q$6,Q$2,FALSE)</f>
        <v>7.5177019057365753</v>
      </c>
      <c r="AU100">
        <f>_xlfn.NORM.DIST(Table2912[[#This Row],[Propionate '[%']]],R$6,R$2,FALSE)</f>
        <v>9.1910458905568611</v>
      </c>
      <c r="AV100">
        <f>_xlfn.NORM.DIST(Table2912[[#This Row],[Butyrate '[%']]],S$6,S$2,FALSE)</f>
        <v>21.45762360046508</v>
      </c>
      <c r="AW100">
        <f>_xlfn.NORM.DIST(Table2912[[#This Row],[Valerate '[%']]],T$6,T$2,FALSE)</f>
        <v>53.69428621559819</v>
      </c>
      <c r="AX100">
        <f>_xlfn.NORM.DIST(Table2912[[#This Row],[Caproate '[%']]],U$6,U$2,FALSE)</f>
        <v>397.95674454104136</v>
      </c>
      <c r="AY100">
        <f>_xlfn.NORM.DIST(Table2912[[#This Row],[Isobutyrate '[%']]],V$6,V$2,FALSE)</f>
        <v>68.887982431752263</v>
      </c>
      <c r="AZ100">
        <f>_xlfn.NORM.DIST(Table2912[[#This Row],[Isovalerate '[%']]],W$6,W$2,FALSE)</f>
        <v>39.944055078859343</v>
      </c>
      <c r="BA100">
        <f>_xlfn.NORM.DIST(Table2912[[#This Row],[CH4 '[g/mmol SCFA']]],X$6,X$2,FALSE)</f>
        <v>0.24054508027865362</v>
      </c>
      <c r="BB100">
        <f>_xlfn.NORM.DIST(Table2912[[#This Row],[DMD '[mg/g']]],Y$6,Y$2,FALSE)</f>
        <v>1.7084306467122724E-3</v>
      </c>
      <c r="BC100">
        <f>_xlfn.NORM.DIST(Table2912[[#This Row],[CH4 '[ml/g']]],Z$6,Z$2,FALSE)</f>
        <v>2.7065742353990174E-2</v>
      </c>
      <c r="BD100">
        <f>_xlfn.NORM.DIST(Table2912[[#This Row],[CH4 '[% GP']]],AA$6,AA$2,FALSE)</f>
        <v>0.10101254739528764</v>
      </c>
      <c r="BE100">
        <f>_xlfn.NORM.DIST(Table2912[[#This Row],[CH4 '[g/g DDM']]],AB$6,AB$2,FALSE)</f>
        <v>3.2836712063295213E-2</v>
      </c>
      <c r="BG100">
        <f>IF(Table2912[[#This Row],[GP '[ml/g']]]&lt;O$10,_xlfn.NORM.DIST(Table2912[[#This Row],[GP '[ml/g']]],O$6,O$2,FALSE),-100)</f>
        <v>-100</v>
      </c>
      <c r="BH100">
        <f>IF(Table2912[[#This Row],[SCFA '[mmol/g']]]&lt;P$10,_xlfn.NORM.DIST(Table2912[[#This Row],[SCFA '[mmol/g']]],P$6,P$2,FALSE),-100)</f>
        <v>-100</v>
      </c>
      <c r="BI100">
        <f>IF(Table2912[[#This Row],[Acetate '[%']]]&lt;Q$10,_xlfn.NORM.DIST(Table2912[[#This Row],[Acetate '[%']]],Q$6,Q$2,FALSE),-100)</f>
        <v>-100</v>
      </c>
      <c r="BJ100">
        <f>IF(Table2912[[#This Row],[Propionate '[%']]]&lt;R$10,_xlfn.NORM.DIST(Table2912[[#This Row],[Propionate '[%']]],R$6,R$2,FALSE),-100)</f>
        <v>9.1910458905568611</v>
      </c>
      <c r="BK100">
        <f>IF(Table2912[[#This Row],[Butyrate '[%']]]&lt;S$10,_xlfn.NORM.DIST(Table2912[[#This Row],[Butyrate '[%']]],S$6,S$2,FALSE),-100)</f>
        <v>-100</v>
      </c>
      <c r="BL100">
        <f>IF(Table2912[[#This Row],[Valerate '[%']]]&lt;T$10,_xlfn.NORM.DIST(Table2912[[#This Row],[Valerate '[%']]],T$6,T$2,FALSE),-100)</f>
        <v>-100</v>
      </c>
      <c r="BM100">
        <f>IF(Table2912[[#This Row],[Caproate '[%']]]&lt;U$10,_xlfn.NORM.DIST(Table2912[[#This Row],[Caproate '[%']]],U$6,U$2,FALSE),-100)</f>
        <v>-100</v>
      </c>
      <c r="BN100">
        <f>IF(Table2912[[#This Row],[Isobutyrate '[%']]]&lt;V$10,_xlfn.NORM.DIST(Table2912[[#This Row],[Isobutyrate '[%']]],V$6,V$2,FALSE),-100)</f>
        <v>-100</v>
      </c>
      <c r="BO100">
        <f>IF(Table2912[[#This Row],[Isovalerate '[%']]]&lt;W$10,_xlfn.NORM.DIST(Table2912[[#This Row],[Isovalerate '[%']]],W$6,W$2,FALSE),-100)</f>
        <v>-100</v>
      </c>
      <c r="BP100">
        <f>IF(Table2912[[#This Row],[CH4 '[g/mmol SCFA']]]&lt;X$10,_xlfn.NORM.DIST(Table2912[[#This Row],[CH4 '[g/mmol SCFA']]],X$6,X$2,FALSE),-100)</f>
        <v>-100</v>
      </c>
      <c r="BQ100">
        <f>IF(Table2912[[#This Row],[DMD '[mg/g']]]&gt;Y$10,_xlfn.NORM.DIST(Table2912[[#This Row],[DMD '[mg/g']]],Y$6,Y$2,FALSE),-100)</f>
        <v>-100</v>
      </c>
      <c r="BR100">
        <f>IF(Table2912[[#This Row],[CH4 '[ml/g']]]&lt;Z$10,_xlfn.NORM.DIST(Table2912[[#This Row],[CH4 '[ml/g']]],Z$6,Z$2,FALSE),-100)</f>
        <v>-100</v>
      </c>
      <c r="BS100">
        <f>IF(Table2912[[#This Row],[CH4 '[% GP']]]&lt;AA$10,_xlfn.NORM.DIST(Table2912[[#This Row],[CH4 '[% GP']]],AA$6,AA$2,FALSE),-100)</f>
        <v>-100</v>
      </c>
      <c r="BT100">
        <f>IF(Table2912[[#This Row],[CH4 '[g/g DDM']]]&lt;AB$10,_xlfn.NORM.DIST(Table2912[[#This Row],[CH4 '[g/g DDM']]],AB$6,AB$2,FALSE),-100)</f>
        <v>-100</v>
      </c>
      <c r="CJ100" t="str">
        <v>Trifolium pratense-276</v>
      </c>
      <c r="CL100" t="str">
        <v>Trifolium pratense-276</v>
      </c>
    </row>
    <row r="101" spans="1:90" x14ac:dyDescent="0.25">
      <c r="A101" s="12" t="s">
        <v>86</v>
      </c>
      <c r="B101" s="13">
        <v>1073</v>
      </c>
      <c r="C101" s="104" t="s">
        <v>125</v>
      </c>
      <c r="D101" s="104" t="s">
        <v>126</v>
      </c>
      <c r="E101" s="104" t="s">
        <v>127</v>
      </c>
      <c r="F101" s="104" t="s">
        <v>128</v>
      </c>
      <c r="G101" s="23" t="s">
        <v>73</v>
      </c>
      <c r="H101" s="23" t="s">
        <v>74</v>
      </c>
      <c r="I101" s="105" t="s">
        <v>44</v>
      </c>
      <c r="J101" s="70">
        <v>2</v>
      </c>
      <c r="K101" s="70"/>
      <c r="L101" s="70"/>
      <c r="M101" t="s">
        <v>128</v>
      </c>
      <c r="N101" t="s">
        <v>145</v>
      </c>
      <c r="O101" s="18">
        <v>187.91438689685688</v>
      </c>
      <c r="P101" s="18">
        <v>4.5771448115204301</v>
      </c>
      <c r="Q101" s="97">
        <v>0.69205943048965479</v>
      </c>
      <c r="R101" s="97">
        <v>0.15512853682317329</v>
      </c>
      <c r="S101" s="97">
        <v>8.7875331346807181E-2</v>
      </c>
      <c r="T101" s="97">
        <v>1.5537603307044873E-2</v>
      </c>
      <c r="U101" s="97">
        <v>-1.2831809748590046E-5</v>
      </c>
      <c r="V101" s="97">
        <v>1.5834597636849454E-2</v>
      </c>
      <c r="W101" s="97">
        <v>3.3577332206218974E-2</v>
      </c>
      <c r="X101" s="51">
        <f t="shared" si="8"/>
        <v>5.3435075058371879</v>
      </c>
      <c r="Y101" s="18">
        <v>634.7004295607494</v>
      </c>
      <c r="Z101" s="18">
        <v>24.45800765566316</v>
      </c>
      <c r="AA101" s="18">
        <f t="shared" si="9"/>
        <v>13.015505656353902</v>
      </c>
      <c r="AB101" s="18">
        <f t="shared" si="10"/>
        <v>38.53472680424931</v>
      </c>
      <c r="AC101" s="18">
        <f>$CP$15*Table2912[[#This Row],[DMD '[mg/g']]]+$CS$15*Table2912[[#This Row],[CH4 '[ml/g']]]+$CR$15*Table2912[[#This Row],[CH4 '[% GP']]]+$CQ$15*Table2912[[#This Row],[CH4 '[g/g DDM']]]</f>
        <v>10.487993572534904</v>
      </c>
      <c r="AD101" s="18">
        <f>_xlfn.RANK.AVG(Table2912[[#This Row],[Index]],Table2912[Index])</f>
        <v>352</v>
      </c>
      <c r="AE10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4.2799201259031276</v>
      </c>
      <c r="AF101" s="18">
        <f>Table2912[[#This Row],[CH4 '[ml/g']]]/Table2912[[#This Row],[APB]]</f>
        <v>5.7145944167596241</v>
      </c>
      <c r="AG101" s="18">
        <f>Table2912[[#This Row],[Propionate '[%']]]/Table2912[[#This Row],[Acetate '[%']]]</f>
        <v>0.22415493523932584</v>
      </c>
      <c r="AH101" s="51"/>
      <c r="AI101" s="18"/>
      <c r="AJ101" s="18"/>
      <c r="AK101" s="18">
        <f>(Table2912[[#This Row],[DMD '[mg/g']]]-$AK$15)/$AK$15*100</f>
        <v>29.454316513355106</v>
      </c>
      <c r="AL101" s="18">
        <f>(Table2912[[#This Row],[CH4 '[ml/g']]]-AL$15)/AL$15*100</f>
        <v>-37.816845411785202</v>
      </c>
      <c r="AM101" s="18">
        <f>(Table2912[[#This Row],[CH4 '[% GP']]]-AM$15)/AM$15*100</f>
        <v>-16.149922651467747</v>
      </c>
      <c r="AN101" s="18">
        <f>(Table2912[[#This Row],[CH4 '[g/g DDM']]]-AN$15)/AN$15*100</f>
        <v>-24.759676521983494</v>
      </c>
      <c r="AO101" s="18"/>
      <c r="AP101" s="18"/>
      <c r="AR101">
        <f>_xlfn.NORM.DIST(Table2912[[#This Row],[GP '[ml/g']]],O$6,O$2,FALSE)</f>
        <v>3.3520996236271377E-3</v>
      </c>
      <c r="AS101">
        <f>_xlfn.NORM.DIST(Table2912[[#This Row],[SCFA '[mmol/g']]],P$6,P$2,FALSE)</f>
        <v>8.7417214953422695E-2</v>
      </c>
      <c r="AT101">
        <f>_xlfn.NORM.DIST(Table2912[[#This Row],[Acetate '[%']]],Q$6,Q$2,FALSE)</f>
        <v>11.238795476982313</v>
      </c>
      <c r="AU101">
        <f>_xlfn.NORM.DIST(Table2912[[#This Row],[Propionate '[%']]],R$6,R$2,FALSE)</f>
        <v>13.100753175927727</v>
      </c>
      <c r="AV101">
        <f>_xlfn.NORM.DIST(Table2912[[#This Row],[Butyrate '[%']]],S$6,S$2,FALSE)</f>
        <v>22.073229640996729</v>
      </c>
      <c r="AW101">
        <f>_xlfn.NORM.DIST(Table2912[[#This Row],[Valerate '[%']]],T$6,T$2,FALSE)</f>
        <v>71.11040252258158</v>
      </c>
      <c r="AX101">
        <f>_xlfn.NORM.DIST(Table2912[[#This Row],[Caproate '[%']]],U$6,U$2,FALSE)</f>
        <v>158.59098186625269</v>
      </c>
      <c r="AY101">
        <f>_xlfn.NORM.DIST(Table2912[[#This Row],[Isobutyrate '[%']]],V$6,V$2,FALSE)</f>
        <v>89.545197007525445</v>
      </c>
      <c r="AZ101">
        <f>_xlfn.NORM.DIST(Table2912[[#This Row],[Isovalerate '[%']]],W$6,W$2,FALSE)</f>
        <v>36.848730679960404</v>
      </c>
      <c r="BA101">
        <f>_xlfn.NORM.DIST(Table2912[[#This Row],[CH4 '[g/mmol SCFA']]],X$6,X$2,FALSE)</f>
        <v>0.23275157578822914</v>
      </c>
      <c r="BB101">
        <f>_xlfn.NORM.DIST(Table2912[[#This Row],[DMD '[mg/g']]],Y$6,Y$2,FALSE)</f>
        <v>1.7106831314781634E-3</v>
      </c>
      <c r="BC101">
        <f>_xlfn.NORM.DIST(Table2912[[#This Row],[CH4 '[ml/g']]],Z$6,Z$2,FALSE)</f>
        <v>1.2177835620764363E-2</v>
      </c>
      <c r="BD101">
        <f>_xlfn.NORM.DIST(Table2912[[#This Row],[CH4 '[% GP']]],AA$6,AA$2,FALSE)</f>
        <v>7.9188016105243189E-2</v>
      </c>
      <c r="BE101">
        <f>_xlfn.NORM.DIST(Table2912[[#This Row],[CH4 '[g/g DDM']]],AB$6,AB$2,FALSE)</f>
        <v>1.5601787818272725E-2</v>
      </c>
      <c r="BG101">
        <f>IF(Table2912[[#This Row],[GP '[ml/g']]]&lt;O$10,_xlfn.NORM.DIST(Table2912[[#This Row],[GP '[ml/g']]],O$6,O$2,FALSE),-100)</f>
        <v>3.3520996236271377E-3</v>
      </c>
      <c r="BH101">
        <f>IF(Table2912[[#This Row],[SCFA '[mmol/g']]]&lt;P$10,_xlfn.NORM.DIST(Table2912[[#This Row],[SCFA '[mmol/g']]],P$6,P$2,FALSE),-100)</f>
        <v>8.7417214953422695E-2</v>
      </c>
      <c r="BI101">
        <f>IF(Table2912[[#This Row],[Acetate '[%']]]&lt;Q$10,_xlfn.NORM.DIST(Table2912[[#This Row],[Acetate '[%']]],Q$6,Q$2,FALSE),-100)</f>
        <v>-100</v>
      </c>
      <c r="BJ101">
        <f>IF(Table2912[[#This Row],[Propionate '[%']]]&lt;R$10,_xlfn.NORM.DIST(Table2912[[#This Row],[Propionate '[%']]],R$6,R$2,FALSE),-100)</f>
        <v>-100</v>
      </c>
      <c r="BK101">
        <f>IF(Table2912[[#This Row],[Butyrate '[%']]]&lt;S$10,_xlfn.NORM.DIST(Table2912[[#This Row],[Butyrate '[%']]],S$6,S$2,FALSE),-100)</f>
        <v>-100</v>
      </c>
      <c r="BL101">
        <f>IF(Table2912[[#This Row],[Valerate '[%']]]&lt;T$10,_xlfn.NORM.DIST(Table2912[[#This Row],[Valerate '[%']]],T$6,T$2,FALSE),-100)</f>
        <v>-100</v>
      </c>
      <c r="BM101">
        <f>IF(Table2912[[#This Row],[Caproate '[%']]]&lt;U$10,_xlfn.NORM.DIST(Table2912[[#This Row],[Caproate '[%']]],U$6,U$2,FALSE),-100)</f>
        <v>158.59098186625269</v>
      </c>
      <c r="BN101">
        <f>IF(Table2912[[#This Row],[Isobutyrate '[%']]]&lt;V$10,_xlfn.NORM.DIST(Table2912[[#This Row],[Isobutyrate '[%']]],V$6,V$2,FALSE),-100)</f>
        <v>-100</v>
      </c>
      <c r="BO101">
        <f>IF(Table2912[[#This Row],[Isovalerate '[%']]]&lt;W$10,_xlfn.NORM.DIST(Table2912[[#This Row],[Isovalerate '[%']]],W$6,W$2,FALSE),-100)</f>
        <v>-100</v>
      </c>
      <c r="BP101">
        <f>IF(Table2912[[#This Row],[CH4 '[g/mmol SCFA']]]&lt;X$10,_xlfn.NORM.DIST(Table2912[[#This Row],[CH4 '[g/mmol SCFA']]],X$6,X$2,FALSE),-100)</f>
        <v>-100</v>
      </c>
      <c r="BQ101">
        <f>IF(Table2912[[#This Row],[DMD '[mg/g']]]&gt;Y$10,_xlfn.NORM.DIST(Table2912[[#This Row],[DMD '[mg/g']]],Y$6,Y$2,FALSE),-100)</f>
        <v>-100</v>
      </c>
      <c r="BR101">
        <f>IF(Table2912[[#This Row],[CH4 '[ml/g']]]&lt;Z$10,_xlfn.NORM.DIST(Table2912[[#This Row],[CH4 '[ml/g']]],Z$6,Z$2,FALSE),-100)</f>
        <v>1.2177835620764363E-2</v>
      </c>
      <c r="BS101">
        <f>IF(Table2912[[#This Row],[CH4 '[% GP']]]&lt;AA$10,_xlfn.NORM.DIST(Table2912[[#This Row],[CH4 '[% GP']]],AA$6,AA$2,FALSE),-100)</f>
        <v>-100</v>
      </c>
      <c r="BT101">
        <f>IF(Table2912[[#This Row],[CH4 '[g/g DDM']]]&lt;AB$10,_xlfn.NORM.DIST(Table2912[[#This Row],[CH4 '[g/g DDM']]],AB$6,AB$2,FALSE),-100)</f>
        <v>-100</v>
      </c>
      <c r="CJ101" t="str">
        <v xml:space="preserve">Arachis pintoi    </v>
      </c>
      <c r="CL101" t="str">
        <v xml:space="preserve">Arachis pintoi    </v>
      </c>
    </row>
    <row r="102" spans="1:90" x14ac:dyDescent="0.25">
      <c r="A102" s="12" t="s">
        <v>86</v>
      </c>
      <c r="B102" s="13">
        <v>1071</v>
      </c>
      <c r="C102" s="32">
        <v>17238</v>
      </c>
      <c r="D102" s="104" t="s">
        <v>161</v>
      </c>
      <c r="E102" s="104" t="s">
        <v>97</v>
      </c>
      <c r="F102" s="104" t="s">
        <v>162</v>
      </c>
      <c r="G102" s="32" t="s">
        <v>73</v>
      </c>
      <c r="H102" s="32" t="s">
        <v>74</v>
      </c>
      <c r="I102" s="105" t="s">
        <v>44</v>
      </c>
      <c r="J102" s="70">
        <v>2</v>
      </c>
      <c r="K102" s="70"/>
      <c r="L102" s="70"/>
      <c r="M102" t="s">
        <v>163</v>
      </c>
      <c r="N102" t="s">
        <v>98</v>
      </c>
      <c r="O102" s="18">
        <v>162.86642416225723</v>
      </c>
      <c r="P102" s="18">
        <v>5.1386677715943971</v>
      </c>
      <c r="Q102" s="97">
        <v>0.66846178322446059</v>
      </c>
      <c r="R102" s="97">
        <v>0.17138228972826933</v>
      </c>
      <c r="S102" s="97">
        <v>6.9988254757071142E-2</v>
      </c>
      <c r="T102" s="97">
        <v>1.8469853388903668E-2</v>
      </c>
      <c r="U102" s="97">
        <v>8.9530421105199595E-4</v>
      </c>
      <c r="V102" s="97">
        <v>2.5581525897261349E-2</v>
      </c>
      <c r="W102" s="97">
        <v>4.52209887929821E-2</v>
      </c>
      <c r="X102" s="51">
        <f t="shared" si="8"/>
        <v>7.0119692385840677</v>
      </c>
      <c r="Y102" s="18">
        <v>635.62241334485691</v>
      </c>
      <c r="Z102" s="18">
        <v>36.032180341723254</v>
      </c>
      <c r="AA102" s="18">
        <f t="shared" si="9"/>
        <v>22.123762173243179</v>
      </c>
      <c r="AB102" s="18">
        <f t="shared" si="10"/>
        <v>56.688026704580658</v>
      </c>
      <c r="AC102" s="18">
        <f>$CP$15*Table2912[[#This Row],[DMD '[mg/g']]]+$CS$15*Table2912[[#This Row],[CH4 '[ml/g']]]+$CR$15*Table2912[[#This Row],[CH4 '[% GP']]]+$CQ$15*Table2912[[#This Row],[CH4 '[g/g DDM']]]</f>
        <v>-1.3964149268672585</v>
      </c>
      <c r="AD102" s="18">
        <f>_xlfn.RANK.AVG(Table2912[[#This Row],[Index]],Table2912[Index])</f>
        <v>455</v>
      </c>
      <c r="AE10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4.675326059957067</v>
      </c>
      <c r="AF102" s="18">
        <f>Table2912[[#This Row],[CH4 '[ml/g']]]/Table2912[[#This Row],[APB]]</f>
        <v>7.7068807350848454</v>
      </c>
      <c r="AG102" s="18">
        <f>Table2912[[#This Row],[Propionate '[%']]]/Table2912[[#This Row],[Acetate '[%']]]</f>
        <v>0.25638307832883461</v>
      </c>
      <c r="AH102" s="51"/>
      <c r="AI102" s="18"/>
      <c r="AJ102" s="18"/>
      <c r="AK102" s="18">
        <f>(Table2912[[#This Row],[DMD '[mg/g']]]-$AK$15)/$AK$15*100</f>
        <v>29.64236551261391</v>
      </c>
      <c r="AL102" s="18">
        <f>(Table2912[[#This Row],[CH4 '[ml/g']]]-AL$15)/AL$15*100</f>
        <v>-8.3901406899343218</v>
      </c>
      <c r="AM102" s="18">
        <f>(Table2912[[#This Row],[CH4 '[% GP']]]-AM$15)/AM$15*100</f>
        <v>42.528397931382791</v>
      </c>
      <c r="AN102" s="18">
        <f>(Table2912[[#This Row],[CH4 '[g/g DDM']]]-AN$15)/AN$15*100</f>
        <v>10.685239530821088</v>
      </c>
      <c r="AO102" s="18"/>
      <c r="AP102" s="18"/>
      <c r="AR102">
        <f>_xlfn.NORM.DIST(Table2912[[#This Row],[GP '[ml/g']]],O$6,O$2,FALSE)</f>
        <v>1.6558181273509593E-3</v>
      </c>
      <c r="AS102">
        <f>_xlfn.NORM.DIST(Table2912[[#This Row],[SCFA '[mmol/g']]],P$6,P$2,FALSE)</f>
        <v>0.16847440173438413</v>
      </c>
      <c r="AT102">
        <f>_xlfn.NORM.DIST(Table2912[[#This Row],[Acetate '[%']]],Q$6,Q$2,FALSE)</f>
        <v>13.839623776210443</v>
      </c>
      <c r="AU102">
        <f>_xlfn.NORM.DIST(Table2912[[#This Row],[Propionate '[%']]],R$6,R$2,FALSE)</f>
        <v>16.787580662404871</v>
      </c>
      <c r="AV102">
        <f>_xlfn.NORM.DIST(Table2912[[#This Row],[Butyrate '[%']]],S$6,S$2,FALSE)</f>
        <v>9.5873012908069271</v>
      </c>
      <c r="AW102">
        <f>_xlfn.NORM.DIST(Table2912[[#This Row],[Valerate '[%']]],T$6,T$2,FALSE)</f>
        <v>76.443673991024767</v>
      </c>
      <c r="AX102">
        <f>_xlfn.NORM.DIST(Table2912[[#This Row],[Caproate '[%']]],U$6,U$2,FALSE)</f>
        <v>368.30780712224316</v>
      </c>
      <c r="AY102">
        <f>_xlfn.NORM.DIST(Table2912[[#This Row],[Isobutyrate '[%']]],V$6,V$2,FALSE)</f>
        <v>6.1187857024350061</v>
      </c>
      <c r="AZ102">
        <f>_xlfn.NORM.DIST(Table2912[[#This Row],[Isovalerate '[%']]],W$6,W$2,FALSE)</f>
        <v>6.4870302822116059</v>
      </c>
      <c r="BA102">
        <f>_xlfn.NORM.DIST(Table2912[[#This Row],[CH4 '[g/mmol SCFA']]],X$6,X$2,FALSE)</f>
        <v>0.25655244756678702</v>
      </c>
      <c r="BB102">
        <f>_xlfn.NORM.DIST(Table2912[[#This Row],[DMD '[mg/g']]],Y$6,Y$2,FALSE)</f>
        <v>1.7225923525372078E-3</v>
      </c>
      <c r="BC102">
        <f>_xlfn.NORM.DIST(Table2912[[#This Row],[CH4 '[ml/g']]],Z$6,Z$2,FALSE)</f>
        <v>3.0270532204579072E-2</v>
      </c>
      <c r="BD102">
        <f>_xlfn.NORM.DIST(Table2912[[#This Row],[CH4 '[% GP']]],AA$6,AA$2,FALSE)</f>
        <v>1.6651033225888401E-2</v>
      </c>
      <c r="BE102">
        <f>_xlfn.NORM.DIST(Table2912[[#This Row],[CH4 '[g/g DDM']]],AB$6,AB$2,FALSE)</f>
        <v>3.1637135645653618E-2</v>
      </c>
      <c r="BG102">
        <f>IF(Table2912[[#This Row],[GP '[ml/g']]]&lt;O$10,_xlfn.NORM.DIST(Table2912[[#This Row],[GP '[ml/g']]],O$6,O$2,FALSE),-100)</f>
        <v>1.6558181273509593E-3</v>
      </c>
      <c r="BH102">
        <f>IF(Table2912[[#This Row],[SCFA '[mmol/g']]]&lt;P$10,_xlfn.NORM.DIST(Table2912[[#This Row],[SCFA '[mmol/g']]],P$6,P$2,FALSE),-100)</f>
        <v>0.16847440173438413</v>
      </c>
      <c r="BI102">
        <f>IF(Table2912[[#This Row],[Acetate '[%']]]&lt;Q$10,_xlfn.NORM.DIST(Table2912[[#This Row],[Acetate '[%']]],Q$6,Q$2,FALSE),-100)</f>
        <v>-100</v>
      </c>
      <c r="BJ102">
        <f>IF(Table2912[[#This Row],[Propionate '[%']]]&lt;R$10,_xlfn.NORM.DIST(Table2912[[#This Row],[Propionate '[%']]],R$6,R$2,FALSE),-100)</f>
        <v>-100</v>
      </c>
      <c r="BK102">
        <f>IF(Table2912[[#This Row],[Butyrate '[%']]]&lt;S$10,_xlfn.NORM.DIST(Table2912[[#This Row],[Butyrate '[%']]],S$6,S$2,FALSE),-100)</f>
        <v>9.5873012908069271</v>
      </c>
      <c r="BL102">
        <f>IF(Table2912[[#This Row],[Valerate '[%']]]&lt;T$10,_xlfn.NORM.DIST(Table2912[[#This Row],[Valerate '[%']]],T$6,T$2,FALSE),-100)</f>
        <v>-100</v>
      </c>
      <c r="BM102">
        <f>IF(Table2912[[#This Row],[Caproate '[%']]]&lt;U$10,_xlfn.NORM.DIST(Table2912[[#This Row],[Caproate '[%']]],U$6,U$2,FALSE),-100)</f>
        <v>-100</v>
      </c>
      <c r="BN102">
        <f>IF(Table2912[[#This Row],[Isobutyrate '[%']]]&lt;V$10,_xlfn.NORM.DIST(Table2912[[#This Row],[Isobutyrate '[%']]],V$6,V$2,FALSE),-100)</f>
        <v>-100</v>
      </c>
      <c r="BO102">
        <f>IF(Table2912[[#This Row],[Isovalerate '[%']]]&lt;W$10,_xlfn.NORM.DIST(Table2912[[#This Row],[Isovalerate '[%']]],W$6,W$2,FALSE),-100)</f>
        <v>-100</v>
      </c>
      <c r="BP102">
        <f>IF(Table2912[[#This Row],[CH4 '[g/mmol SCFA']]]&lt;X$10,_xlfn.NORM.DIST(Table2912[[#This Row],[CH4 '[g/mmol SCFA']]],X$6,X$2,FALSE),-100)</f>
        <v>-100</v>
      </c>
      <c r="BQ102">
        <f>IF(Table2912[[#This Row],[DMD '[mg/g']]]&gt;Y$10,_xlfn.NORM.DIST(Table2912[[#This Row],[DMD '[mg/g']]],Y$6,Y$2,FALSE),-100)</f>
        <v>-100</v>
      </c>
      <c r="BR102">
        <f>IF(Table2912[[#This Row],[CH4 '[ml/g']]]&lt;Z$10,_xlfn.NORM.DIST(Table2912[[#This Row],[CH4 '[ml/g']]],Z$6,Z$2,FALSE),-100)</f>
        <v>-100</v>
      </c>
      <c r="BS102">
        <f>IF(Table2912[[#This Row],[CH4 '[% GP']]]&lt;AA$10,_xlfn.NORM.DIST(Table2912[[#This Row],[CH4 '[% GP']]],AA$6,AA$2,FALSE),-100)</f>
        <v>-100</v>
      </c>
      <c r="BT102">
        <f>IF(Table2912[[#This Row],[CH4 '[g/g DDM']]]&lt;AB$10,_xlfn.NORM.DIST(Table2912[[#This Row],[CH4 '[g/g DDM']]],AB$6,AB$2,FALSE),-100)</f>
        <v>-100</v>
      </c>
      <c r="CJ102" t="str">
        <v xml:space="preserve">Trifolium pratense  </v>
      </c>
      <c r="CL102" t="str">
        <v xml:space="preserve">Trifolium pratense  </v>
      </c>
    </row>
    <row r="103" spans="1:90" x14ac:dyDescent="0.25">
      <c r="A103" s="12" t="s">
        <v>86</v>
      </c>
      <c r="B103" s="13">
        <v>1086</v>
      </c>
      <c r="C103" s="32">
        <v>16320</v>
      </c>
      <c r="D103" s="104" t="s">
        <v>164</v>
      </c>
      <c r="E103" t="s">
        <v>165</v>
      </c>
      <c r="F103" t="s">
        <v>166</v>
      </c>
      <c r="G103" s="32" t="s">
        <v>143</v>
      </c>
      <c r="H103" s="32" t="s">
        <v>144</v>
      </c>
      <c r="I103" s="32" t="s">
        <v>52</v>
      </c>
      <c r="J103" s="100">
        <v>1</v>
      </c>
      <c r="K103" s="70"/>
      <c r="L103" s="70"/>
      <c r="M103" t="s">
        <v>166</v>
      </c>
      <c r="N103" t="s">
        <v>145</v>
      </c>
      <c r="O103" s="18">
        <v>284.26302151954275</v>
      </c>
      <c r="P103" s="18">
        <v>6.3761584966295111</v>
      </c>
      <c r="Q103" s="97">
        <v>0.65108767947656743</v>
      </c>
      <c r="R103" s="97">
        <v>0.16967934548999744</v>
      </c>
      <c r="S103" s="97">
        <v>0.10439808728169173</v>
      </c>
      <c r="T103" s="97">
        <v>2.0029618620339772E-2</v>
      </c>
      <c r="U103" s="97">
        <v>4.7172576981573957E-4</v>
      </c>
      <c r="V103" s="97">
        <v>1.7912636944819732E-2</v>
      </c>
      <c r="W103" s="97">
        <v>3.642090641676797E-2</v>
      </c>
      <c r="X103" s="51">
        <f t="shared" si="8"/>
        <v>7.5719400946940763</v>
      </c>
      <c r="Y103" s="18">
        <v>637.81448020578432</v>
      </c>
      <c r="Z103" s="18">
        <v>48.279890170753298</v>
      </c>
      <c r="AA103" s="18">
        <f t="shared" si="9"/>
        <v>16.984231685384415</v>
      </c>
      <c r="AB103" s="18">
        <f t="shared" si="10"/>
        <v>75.695820131233589</v>
      </c>
      <c r="AC103" s="18">
        <f>$CP$15*Table2912[[#This Row],[DMD '[mg/g']]]+$CS$15*Table2912[[#This Row],[CH4 '[ml/g']]]+$CR$15*Table2912[[#This Row],[CH4 '[% GP']]]+$CQ$15*Table2912[[#This Row],[CH4 '[g/g DDM']]]</f>
        <v>-9.287751543141475</v>
      </c>
      <c r="AD103" s="18">
        <f>_xlfn.RANK.AVG(Table2912[[#This Row],[Index]],Table2912[Index])</f>
        <v>491</v>
      </c>
      <c r="AE10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5.8989993912469165</v>
      </c>
      <c r="AF103" s="18">
        <f>Table2912[[#This Row],[CH4 '[ml/g']]]/Table2912[[#This Row],[APB]]</f>
        <v>8.1844202666628867</v>
      </c>
      <c r="AG103" s="18">
        <f>Table2912[[#This Row],[Propionate '[%']]]/Table2912[[#This Row],[Acetate '[%']]]</f>
        <v>0.26060905595143302</v>
      </c>
      <c r="AH103" s="51"/>
      <c r="AI103" s="18"/>
      <c r="AJ103" s="18"/>
      <c r="AK103" s="18">
        <f>(Table2912[[#This Row],[DMD '[mg/g']]]-$AK$15)/$AK$15*100</f>
        <v>30.089462290899256</v>
      </c>
      <c r="AL103" s="18">
        <f>(Table2912[[#This Row],[CH4 '[ml/g']]]-AL$15)/AL$15*100</f>
        <v>22.748995595102659</v>
      </c>
      <c r="AM103" s="18">
        <f>(Table2912[[#This Row],[CH4 '[% GP']]]-AM$15)/AM$15*100</f>
        <v>9.4178880272427179</v>
      </c>
      <c r="AN103" s="18">
        <f>(Table2912[[#This Row],[CH4 '[g/g DDM']]]-AN$15)/AN$15*100</f>
        <v>47.798582342089603</v>
      </c>
      <c r="AO103" s="18"/>
      <c r="AP103" s="18"/>
      <c r="AR103">
        <f>_xlfn.NORM.DIST(Table2912[[#This Row],[GP '[ml/g']]],O$6,O$2,FALSE)</f>
        <v>6.4669012549825643E-3</v>
      </c>
      <c r="AS103">
        <f>_xlfn.NORM.DIST(Table2912[[#This Row],[SCFA '[mmol/g']]],P$6,P$2,FALSE)</f>
        <v>0.32974538504306111</v>
      </c>
      <c r="AT103">
        <f>_xlfn.NORM.DIST(Table2912[[#This Row],[Acetate '[%']]],Q$6,Q$2,FALSE)</f>
        <v>10.389461088743809</v>
      </c>
      <c r="AU103">
        <f>_xlfn.NORM.DIST(Table2912[[#This Row],[Propionate '[%']]],R$6,R$2,FALSE)</f>
        <v>16.720023111833498</v>
      </c>
      <c r="AV103">
        <f>_xlfn.NORM.DIST(Table2912[[#This Row],[Butyrate '[%']]],S$6,S$2,FALSE)</f>
        <v>18.4921657829838</v>
      </c>
      <c r="AW103">
        <f>_xlfn.NORM.DIST(Table2912[[#This Row],[Valerate '[%']]],T$6,T$2,FALSE)</f>
        <v>69.628525833302547</v>
      </c>
      <c r="AX103">
        <f>_xlfn.NORM.DIST(Table2912[[#This Row],[Caproate '[%']]],U$6,U$2,FALSE)</f>
        <v>276.62953175890169</v>
      </c>
      <c r="AY103">
        <f>_xlfn.NORM.DIST(Table2912[[#This Row],[Isobutyrate '[%']]],V$6,V$2,FALSE)</f>
        <v>75.914314141741869</v>
      </c>
      <c r="AZ103">
        <f>_xlfn.NORM.DIST(Table2912[[#This Row],[Isovalerate '[%']]],W$6,W$2,FALSE)</f>
        <v>28.35668867854627</v>
      </c>
      <c r="BA103">
        <f>_xlfn.NORM.DIST(Table2912[[#This Row],[CH4 '[g/mmol SCFA']]],X$6,X$2,FALSE)</f>
        <v>0.18740251318780984</v>
      </c>
      <c r="BB103">
        <f>_xlfn.NORM.DIST(Table2912[[#This Row],[DMD '[mg/g']]],Y$6,Y$2,FALSE)</f>
        <v>1.7509218102816609E-3</v>
      </c>
      <c r="BC103">
        <f>_xlfn.NORM.DIST(Table2912[[#This Row],[CH4 '[ml/g']]],Z$6,Z$2,FALSE)</f>
        <v>2.8351877313020041E-2</v>
      </c>
      <c r="BD103">
        <f>_xlfn.NORM.DIST(Table2912[[#This Row],[CH4 '[% GP']]],AA$6,AA$2,FALSE)</f>
        <v>0.1284243609824112</v>
      </c>
      <c r="BE103">
        <f>_xlfn.NORM.DIST(Table2912[[#This Row],[CH4 '[g/g DDM']]],AB$6,AB$2,FALSE)</f>
        <v>6.0472300470887233E-3</v>
      </c>
      <c r="BG103">
        <f>IF(Table2912[[#This Row],[GP '[ml/g']]]&lt;O$10,_xlfn.NORM.DIST(Table2912[[#This Row],[GP '[ml/g']]],O$6,O$2,FALSE),-100)</f>
        <v>-100</v>
      </c>
      <c r="BH103">
        <f>IF(Table2912[[#This Row],[SCFA '[mmol/g']]]&lt;P$10,_xlfn.NORM.DIST(Table2912[[#This Row],[SCFA '[mmol/g']]],P$6,P$2,FALSE),-100)</f>
        <v>-100</v>
      </c>
      <c r="BI103">
        <f>IF(Table2912[[#This Row],[Acetate '[%']]]&lt;Q$10,_xlfn.NORM.DIST(Table2912[[#This Row],[Acetate '[%']]],Q$6,Q$2,FALSE),-100)</f>
        <v>-100</v>
      </c>
      <c r="BJ103">
        <f>IF(Table2912[[#This Row],[Propionate '[%']]]&lt;R$10,_xlfn.NORM.DIST(Table2912[[#This Row],[Propionate '[%']]],R$6,R$2,FALSE),-100)</f>
        <v>-100</v>
      </c>
      <c r="BK103">
        <f>IF(Table2912[[#This Row],[Butyrate '[%']]]&lt;S$10,_xlfn.NORM.DIST(Table2912[[#This Row],[Butyrate '[%']]],S$6,S$2,FALSE),-100)</f>
        <v>-100</v>
      </c>
      <c r="BL103">
        <f>IF(Table2912[[#This Row],[Valerate '[%']]]&lt;T$10,_xlfn.NORM.DIST(Table2912[[#This Row],[Valerate '[%']]],T$6,T$2,FALSE),-100)</f>
        <v>-100</v>
      </c>
      <c r="BM103">
        <f>IF(Table2912[[#This Row],[Caproate '[%']]]&lt;U$10,_xlfn.NORM.DIST(Table2912[[#This Row],[Caproate '[%']]],U$6,U$2,FALSE),-100)</f>
        <v>-100</v>
      </c>
      <c r="BN103">
        <f>IF(Table2912[[#This Row],[Isobutyrate '[%']]]&lt;V$10,_xlfn.NORM.DIST(Table2912[[#This Row],[Isobutyrate '[%']]],V$6,V$2,FALSE),-100)</f>
        <v>-100</v>
      </c>
      <c r="BO103">
        <f>IF(Table2912[[#This Row],[Isovalerate '[%']]]&lt;W$10,_xlfn.NORM.DIST(Table2912[[#This Row],[Isovalerate '[%']]],W$6,W$2,FALSE),-100)</f>
        <v>-100</v>
      </c>
      <c r="BP103">
        <f>IF(Table2912[[#This Row],[CH4 '[g/mmol SCFA']]]&lt;X$10,_xlfn.NORM.DIST(Table2912[[#This Row],[CH4 '[g/mmol SCFA']]],X$6,X$2,FALSE),-100)</f>
        <v>-100</v>
      </c>
      <c r="BQ103">
        <f>IF(Table2912[[#This Row],[DMD '[mg/g']]]&gt;Y$10,_xlfn.NORM.DIST(Table2912[[#This Row],[DMD '[mg/g']]],Y$6,Y$2,FALSE),-100)</f>
        <v>-100</v>
      </c>
      <c r="BR103">
        <f>IF(Table2912[[#This Row],[CH4 '[ml/g']]]&lt;Z$10,_xlfn.NORM.DIST(Table2912[[#This Row],[CH4 '[ml/g']]],Z$6,Z$2,FALSE),-100)</f>
        <v>-100</v>
      </c>
      <c r="BS103">
        <f>IF(Table2912[[#This Row],[CH4 '[% GP']]]&lt;AA$10,_xlfn.NORM.DIST(Table2912[[#This Row],[CH4 '[% GP']]],AA$6,AA$2,FALSE),-100)</f>
        <v>-100</v>
      </c>
      <c r="BT103">
        <f>IF(Table2912[[#This Row],[CH4 '[g/g DDM']]]&lt;AB$10,_xlfn.NORM.DIST(Table2912[[#This Row],[CH4 '[g/g DDM']]],AB$6,AB$2,FALSE),-100)</f>
        <v>-100</v>
      </c>
      <c r="CJ103" t="str">
        <v>Andropogon gayanus</v>
      </c>
      <c r="CL103" t="str">
        <v>Andropogon gayanus</v>
      </c>
    </row>
    <row r="104" spans="1:90" x14ac:dyDescent="0.25">
      <c r="A104" s="12" t="s">
        <v>70</v>
      </c>
      <c r="B104" s="13">
        <v>1033</v>
      </c>
      <c r="C104" s="96" t="s">
        <v>146</v>
      </c>
      <c r="D104" s="96"/>
      <c r="E104" s="96"/>
      <c r="F104" s="96" t="s">
        <v>147</v>
      </c>
      <c r="G104" s="15" t="s">
        <v>73</v>
      </c>
      <c r="H104" s="15" t="s">
        <v>74</v>
      </c>
      <c r="I104" t="s">
        <v>75</v>
      </c>
      <c r="J104" s="70">
        <v>2</v>
      </c>
      <c r="K104" s="70"/>
      <c r="L104" s="70"/>
      <c r="M104" t="s">
        <v>147</v>
      </c>
      <c r="N104" t="s">
        <v>84</v>
      </c>
      <c r="O104" s="18">
        <v>219.99667994687906</v>
      </c>
      <c r="P104" s="18">
        <v>7.1705308578666624</v>
      </c>
      <c r="Q104" s="97">
        <v>0.67605389994718279</v>
      </c>
      <c r="R104" s="97">
        <v>0.18539162515800836</v>
      </c>
      <c r="S104" s="97">
        <v>8.1895164924063429E-2</v>
      </c>
      <c r="T104" s="97">
        <v>1.4089523398456819E-2</v>
      </c>
      <c r="U104" s="97">
        <v>7.8896430375842159E-4</v>
      </c>
      <c r="V104" s="97">
        <v>1.5220998205293721E-2</v>
      </c>
      <c r="W104" s="97">
        <v>2.655982406323644E-2</v>
      </c>
      <c r="X104" s="51">
        <f t="shared" si="8"/>
        <v>4.668826268287309</v>
      </c>
      <c r="Y104" s="18">
        <v>643.09538523573462</v>
      </c>
      <c r="Z104" s="18">
        <v>33.477962826772604</v>
      </c>
      <c r="AA104" s="18">
        <f t="shared" si="9"/>
        <v>15.217485479715547</v>
      </c>
      <c r="AB104" s="18">
        <f t="shared" si="10"/>
        <v>52.057538578823483</v>
      </c>
      <c r="AC104" s="18">
        <f>$CP$15*Table2912[[#This Row],[DMD '[mg/g']]]+$CS$15*Table2912[[#This Row],[CH4 '[ml/g']]]+$CR$15*Table2912[[#This Row],[CH4 '[% GP']]]+$CQ$15*Table2912[[#This Row],[CH4 '[g/g DDM']]]</f>
        <v>3.6599002398613223</v>
      </c>
      <c r="AD104" s="18">
        <f>_xlfn.RANK.AVG(Table2912[[#This Row],[Index]],Table2912[Index])</f>
        <v>420</v>
      </c>
      <c r="AE10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6.7642535273360007</v>
      </c>
      <c r="AF104" s="18">
        <f>Table2912[[#This Row],[CH4 '[ml/g']]]/Table2912[[#This Row],[APB]]</f>
        <v>4.9492471994847591</v>
      </c>
      <c r="AG104" s="18">
        <f>Table2912[[#This Row],[Propionate '[%']]]/Table2912[[#This Row],[Acetate '[%']]]</f>
        <v>0.27422610116218871</v>
      </c>
      <c r="AH104" s="51"/>
      <c r="AI104" s="18"/>
      <c r="AJ104" s="18"/>
      <c r="AK104" s="18">
        <f>(Table2912[[#This Row],[DMD '[mg/g']]]-$AK$15)/$AK$15*100</f>
        <v>31.16656247767126</v>
      </c>
      <c r="AL104" s="18">
        <f>(Table2912[[#This Row],[CH4 '[ml/g']]]-AL$15)/AL$15*100</f>
        <v>-14.884099839028211</v>
      </c>
      <c r="AM104" s="18">
        <f>(Table2912[[#This Row],[CH4 '[% GP']]]-AM$15)/AM$15*100</f>
        <v>-1.9640597750111777</v>
      </c>
      <c r="AN104" s="18">
        <f>(Table2912[[#This Row],[CH4 '[g/g DDM']]]-AN$15)/AN$15*100</f>
        <v>1.6440589299334372</v>
      </c>
      <c r="AO104" s="18"/>
      <c r="AP104" s="18"/>
      <c r="AR104">
        <f>_xlfn.NORM.DIST(Table2912[[#This Row],[GP '[ml/g']]],O$6,O$2,FALSE)</f>
        <v>5.9941905285136373E-3</v>
      </c>
      <c r="AS104">
        <f>_xlfn.NORM.DIST(Table2912[[#This Row],[SCFA '[mmol/g']]],P$6,P$2,FALSE)</f>
        <v>0.28944779862495007</v>
      </c>
      <c r="AT104">
        <f>_xlfn.NORM.DIST(Table2912[[#This Row],[Acetate '[%']]],Q$6,Q$2,FALSE)</f>
        <v>13.952716065458574</v>
      </c>
      <c r="AU104">
        <f>_xlfn.NORM.DIST(Table2912[[#This Row],[Propionate '[%']]],R$6,R$2,FALSE)</f>
        <v>14.279766331569148</v>
      </c>
      <c r="AV104">
        <f>_xlfn.NORM.DIST(Table2912[[#This Row],[Butyrate '[%']]],S$6,S$2,FALSE)</f>
        <v>18.806558548866438</v>
      </c>
      <c r="AW104">
        <f>_xlfn.NORM.DIST(Table2912[[#This Row],[Valerate '[%']]],T$6,T$2,FALSE)</f>
        <v>60.895128977659901</v>
      </c>
      <c r="AX104">
        <f>_xlfn.NORM.DIST(Table2912[[#This Row],[Caproate '[%']]],U$6,U$2,FALSE)</f>
        <v>348.83762654652395</v>
      </c>
      <c r="AY104">
        <f>_xlfn.NORM.DIST(Table2912[[#This Row],[Isobutyrate '[%']]],V$6,V$2,FALSE)</f>
        <v>90.136874986383418</v>
      </c>
      <c r="AZ104">
        <f>_xlfn.NORM.DIST(Table2912[[#This Row],[Isovalerate '[%']]],W$6,W$2,FALSE)</f>
        <v>44.907729167690775</v>
      </c>
      <c r="BA104">
        <f>_xlfn.NORM.DIST(Table2912[[#This Row],[CH4 '[g/mmol SCFA']]],X$6,X$2,FALSE)</f>
        <v>0.14421606019136574</v>
      </c>
      <c r="BB104">
        <f>_xlfn.NORM.DIST(Table2912[[#This Row],[DMD '[mg/g']]],Y$6,Y$2,FALSE)</f>
        <v>1.8191793794656355E-3</v>
      </c>
      <c r="BC104">
        <f>_xlfn.NORM.DIST(Table2912[[#This Row],[CH4 '[ml/g']]],Z$6,Z$2,FALSE)</f>
        <v>2.6855942948788916E-2</v>
      </c>
      <c r="BD104">
        <f>_xlfn.NORM.DIST(Table2912[[#This Row],[CH4 '[% GP']]],AA$6,AA$2,FALSE)</f>
        <v>0.12927024424709554</v>
      </c>
      <c r="BE104">
        <f>_xlfn.NORM.DIST(Table2912[[#This Row],[CH4 '[g/g DDM']]],AB$6,AB$2,FALSE)</f>
        <v>3.2665390463870334E-2</v>
      </c>
      <c r="BG104">
        <f>IF(Table2912[[#This Row],[GP '[ml/g']]]&lt;O$10,_xlfn.NORM.DIST(Table2912[[#This Row],[GP '[ml/g']]],O$6,O$2,FALSE),-100)</f>
        <v>-100</v>
      </c>
      <c r="BH104">
        <f>IF(Table2912[[#This Row],[SCFA '[mmol/g']]]&lt;P$10,_xlfn.NORM.DIST(Table2912[[#This Row],[SCFA '[mmol/g']]],P$6,P$2,FALSE),-100)</f>
        <v>-100</v>
      </c>
      <c r="BI104">
        <f>IF(Table2912[[#This Row],[Acetate '[%']]]&lt;Q$10,_xlfn.NORM.DIST(Table2912[[#This Row],[Acetate '[%']]],Q$6,Q$2,FALSE),-100)</f>
        <v>-100</v>
      </c>
      <c r="BJ104">
        <f>IF(Table2912[[#This Row],[Propionate '[%']]]&lt;R$10,_xlfn.NORM.DIST(Table2912[[#This Row],[Propionate '[%']]],R$6,R$2,FALSE),-100)</f>
        <v>-100</v>
      </c>
      <c r="BK104">
        <f>IF(Table2912[[#This Row],[Butyrate '[%']]]&lt;S$10,_xlfn.NORM.DIST(Table2912[[#This Row],[Butyrate '[%']]],S$6,S$2,FALSE),-100)</f>
        <v>-100</v>
      </c>
      <c r="BL104">
        <f>IF(Table2912[[#This Row],[Valerate '[%']]]&lt;T$10,_xlfn.NORM.DIST(Table2912[[#This Row],[Valerate '[%']]],T$6,T$2,FALSE),-100)</f>
        <v>-100</v>
      </c>
      <c r="BM104">
        <f>IF(Table2912[[#This Row],[Caproate '[%']]]&lt;U$10,_xlfn.NORM.DIST(Table2912[[#This Row],[Caproate '[%']]],U$6,U$2,FALSE),-100)</f>
        <v>-100</v>
      </c>
      <c r="BN104">
        <f>IF(Table2912[[#This Row],[Isobutyrate '[%']]]&lt;V$10,_xlfn.NORM.DIST(Table2912[[#This Row],[Isobutyrate '[%']]],V$6,V$2,FALSE),-100)</f>
        <v>-100</v>
      </c>
      <c r="BO104">
        <f>IF(Table2912[[#This Row],[Isovalerate '[%']]]&lt;W$10,_xlfn.NORM.DIST(Table2912[[#This Row],[Isovalerate '[%']]],W$6,W$2,FALSE),-100)</f>
        <v>-100</v>
      </c>
      <c r="BP104">
        <f>IF(Table2912[[#This Row],[CH4 '[g/mmol SCFA']]]&lt;X$10,_xlfn.NORM.DIST(Table2912[[#This Row],[CH4 '[g/mmol SCFA']]],X$6,X$2,FALSE),-100)</f>
        <v>0.14421606019136574</v>
      </c>
      <c r="BQ104">
        <f>IF(Table2912[[#This Row],[DMD '[mg/g']]]&gt;Y$10,_xlfn.NORM.DIST(Table2912[[#This Row],[DMD '[mg/g']]],Y$6,Y$2,FALSE),-100)</f>
        <v>-100</v>
      </c>
      <c r="BR104">
        <f>IF(Table2912[[#This Row],[CH4 '[ml/g']]]&lt;Z$10,_xlfn.NORM.DIST(Table2912[[#This Row],[CH4 '[ml/g']]],Z$6,Z$2,FALSE),-100)</f>
        <v>-100</v>
      </c>
      <c r="BS104">
        <f>IF(Table2912[[#This Row],[CH4 '[% GP']]]&lt;AA$10,_xlfn.NORM.DIST(Table2912[[#This Row],[CH4 '[% GP']]],AA$6,AA$2,FALSE),-100)</f>
        <v>-100</v>
      </c>
      <c r="BT104">
        <f>IF(Table2912[[#This Row],[CH4 '[g/g DDM']]]&lt;AB$10,_xlfn.NORM.DIST(Table2912[[#This Row],[CH4 '[g/g DDM']]],AB$6,AB$2,FALSE),-100)</f>
        <v>-100</v>
      </c>
      <c r="CJ104" t="str">
        <v>Hordeum vulgare(ICB-63)</v>
      </c>
      <c r="CL104" t="str">
        <v>Hordeum vulgare(ICB-63)</v>
      </c>
    </row>
    <row r="105" spans="1:90" x14ac:dyDescent="0.25">
      <c r="A105" s="12" t="s">
        <v>70</v>
      </c>
      <c r="B105" s="13">
        <v>1022</v>
      </c>
      <c r="C105" s="96" t="s">
        <v>174</v>
      </c>
      <c r="D105" s="96"/>
      <c r="E105" s="96"/>
      <c r="F105" s="96" t="s">
        <v>175</v>
      </c>
      <c r="G105" t="s">
        <v>73</v>
      </c>
      <c r="H105" t="s">
        <v>74</v>
      </c>
      <c r="I105" t="s">
        <v>75</v>
      </c>
      <c r="J105" s="100">
        <v>1</v>
      </c>
      <c r="K105" s="100"/>
      <c r="L105" s="100"/>
      <c r="M105" t="s">
        <v>175</v>
      </c>
      <c r="N105" t="s">
        <v>80</v>
      </c>
      <c r="O105" s="18">
        <v>207.42471835652725</v>
      </c>
      <c r="P105" s="18">
        <v>5.8592595660604285</v>
      </c>
      <c r="Q105" s="97">
        <v>0.65794435200598866</v>
      </c>
      <c r="R105" s="97">
        <v>0.16505230912243968</v>
      </c>
      <c r="S105" s="97">
        <v>0.10232278137292501</v>
      </c>
      <c r="T105" s="97">
        <v>2.7611952769146138E-2</v>
      </c>
      <c r="U105" s="97">
        <v>1.429651974268485E-3</v>
      </c>
      <c r="V105" s="97">
        <v>1.5899519910444179E-2</v>
      </c>
      <c r="W105" s="97">
        <v>2.9739432844787774E-2</v>
      </c>
      <c r="X105" s="51">
        <f t="shared" si="8"/>
        <v>4.1505025030691938</v>
      </c>
      <c r="Y105" s="18">
        <v>644.38654668111258</v>
      </c>
      <c r="Z105" s="18">
        <v>24.318871495065927</v>
      </c>
      <c r="AA105" s="18">
        <f t="shared" si="9"/>
        <v>11.724191642996949</v>
      </c>
      <c r="AB105" s="18">
        <f t="shared" si="10"/>
        <v>37.739570480357344</v>
      </c>
      <c r="AC105" s="18">
        <f>$CP$15*Table2912[[#This Row],[DMD '[mg/g']]]+$CS$15*Table2912[[#This Row],[CH4 '[ml/g']]]+$CR$15*Table2912[[#This Row],[CH4 '[% GP']]]+$CQ$15*Table2912[[#This Row],[CH4 '[g/g DDM']]]</f>
        <v>12.014495959733082</v>
      </c>
      <c r="AD105" s="18">
        <f>_xlfn.RANK.AVG(Table2912[[#This Row],[Index]],Table2912[Index])</f>
        <v>322</v>
      </c>
      <c r="AE10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5.4216867951377576</v>
      </c>
      <c r="AF105" s="18">
        <f>Table2912[[#This Row],[CH4 '[ml/g']]]/Table2912[[#This Row],[APB]]</f>
        <v>4.4854807025878776</v>
      </c>
      <c r="AG105" s="18">
        <f>Table2912[[#This Row],[Propionate '[%']]]/Table2912[[#This Row],[Acetate '[%']]]</f>
        <v>0.25086059120230486</v>
      </c>
      <c r="AH105" s="51"/>
      <c r="AI105" s="18"/>
      <c r="AJ105" s="18"/>
      <c r="AK105" s="18">
        <f>(Table2912[[#This Row],[DMD '[mg/g']]]-$AK$15)/$AK$15*100</f>
        <v>31.429909427878105</v>
      </c>
      <c r="AL105" s="18">
        <f>(Table2912[[#This Row],[CH4 '[ml/g']]]-AL$15)/AL$15*100</f>
        <v>-38.170591534733411</v>
      </c>
      <c r="AM105" s="18">
        <f>(Table2912[[#This Row],[CH4 '[% GP']]]-AM$15)/AM$15*100</f>
        <v>-24.468983221224839</v>
      </c>
      <c r="AN105" s="18">
        <f>(Table2912[[#This Row],[CH4 '[g/g DDM']]]-AN$15)/AN$15*100</f>
        <v>-26.312245438045583</v>
      </c>
      <c r="AO105" s="18"/>
      <c r="AP105" s="18"/>
      <c r="AR105">
        <f>_xlfn.NORM.DIST(Table2912[[#This Row],[GP '[ml/g']]],O$6,O$2,FALSE)</f>
        <v>4.9835843380793806E-3</v>
      </c>
      <c r="AS105">
        <f>_xlfn.NORM.DIST(Table2912[[#This Row],[SCFA '[mmol/g']]],P$6,P$2,FALSE)</f>
        <v>0.2835471279234858</v>
      </c>
      <c r="AT105">
        <f>_xlfn.NORM.DIST(Table2912[[#This Row],[Acetate '[%']]],Q$6,Q$2,FALSE)</f>
        <v>12.164606281725412</v>
      </c>
      <c r="AU105">
        <f>_xlfn.NORM.DIST(Table2912[[#This Row],[Propionate '[%']]],R$6,R$2,FALSE)</f>
        <v>16.114317418322646</v>
      </c>
      <c r="AV105">
        <f>_xlfn.NORM.DIST(Table2912[[#This Row],[Butyrate '[%']]],S$6,S$2,FALSE)</f>
        <v>19.876539320118404</v>
      </c>
      <c r="AW105">
        <f>_xlfn.NORM.DIST(Table2912[[#This Row],[Valerate '[%']]],T$6,T$2,FALSE)</f>
        <v>11.998555484657064</v>
      </c>
      <c r="AX105">
        <f>_xlfn.NORM.DIST(Table2912[[#This Row],[Caproate '[%']]],U$6,U$2,FALSE)</f>
        <v>404.94425187461428</v>
      </c>
      <c r="AY105">
        <f>_xlfn.NORM.DIST(Table2912[[#This Row],[Isobutyrate '[%']]],V$6,V$2,FALSE)</f>
        <v>89.382217874502473</v>
      </c>
      <c r="AZ105">
        <f>_xlfn.NORM.DIST(Table2912[[#This Row],[Isovalerate '[%']]],W$6,W$2,FALSE)</f>
        <v>44.4388965306145</v>
      </c>
      <c r="BA105">
        <f>_xlfn.NORM.DIST(Table2912[[#This Row],[CH4 '[g/mmol SCFA']]],X$6,X$2,FALSE)</f>
        <v>8.4078760250673942E-2</v>
      </c>
      <c r="BB105">
        <f>_xlfn.NORM.DIST(Table2912[[#This Row],[DMD '[mg/g']]],Y$6,Y$2,FALSE)</f>
        <v>1.8358528105065202E-3</v>
      </c>
      <c r="BC105">
        <f>_xlfn.NORM.DIST(Table2912[[#This Row],[CH4 '[ml/g']]],Z$6,Z$2,FALSE)</f>
        <v>1.1976226025260009E-2</v>
      </c>
      <c r="BD105">
        <f>_xlfn.NORM.DIST(Table2912[[#This Row],[CH4 '[% GP']]],AA$6,AA$2,FALSE)</f>
        <v>4.59352040854272E-2</v>
      </c>
      <c r="BE105">
        <f>_xlfn.NORM.DIST(Table2912[[#This Row],[CH4 '[g/g DDM']]],AB$6,AB$2,FALSE)</f>
        <v>1.4372741696285911E-2</v>
      </c>
      <c r="BG105">
        <f>IF(Table2912[[#This Row],[GP '[ml/g']]]&lt;O$10,_xlfn.NORM.DIST(Table2912[[#This Row],[GP '[ml/g']]],O$6,O$2,FALSE),-100)</f>
        <v>-100</v>
      </c>
      <c r="BH105">
        <f>IF(Table2912[[#This Row],[SCFA '[mmol/g']]]&lt;P$10,_xlfn.NORM.DIST(Table2912[[#This Row],[SCFA '[mmol/g']]],P$6,P$2,FALSE),-100)</f>
        <v>-100</v>
      </c>
      <c r="BI105">
        <f>IF(Table2912[[#This Row],[Acetate '[%']]]&lt;Q$10,_xlfn.NORM.DIST(Table2912[[#This Row],[Acetate '[%']]],Q$6,Q$2,FALSE),-100)</f>
        <v>-100</v>
      </c>
      <c r="BJ105">
        <f>IF(Table2912[[#This Row],[Propionate '[%']]]&lt;R$10,_xlfn.NORM.DIST(Table2912[[#This Row],[Propionate '[%']]],R$6,R$2,FALSE),-100)</f>
        <v>-100</v>
      </c>
      <c r="BK105">
        <f>IF(Table2912[[#This Row],[Butyrate '[%']]]&lt;S$10,_xlfn.NORM.DIST(Table2912[[#This Row],[Butyrate '[%']]],S$6,S$2,FALSE),-100)</f>
        <v>-100</v>
      </c>
      <c r="BL105">
        <f>IF(Table2912[[#This Row],[Valerate '[%']]]&lt;T$10,_xlfn.NORM.DIST(Table2912[[#This Row],[Valerate '[%']]],T$6,T$2,FALSE),-100)</f>
        <v>-100</v>
      </c>
      <c r="BM105">
        <f>IF(Table2912[[#This Row],[Caproate '[%']]]&lt;U$10,_xlfn.NORM.DIST(Table2912[[#This Row],[Caproate '[%']]],U$6,U$2,FALSE),-100)</f>
        <v>-100</v>
      </c>
      <c r="BN105">
        <f>IF(Table2912[[#This Row],[Isobutyrate '[%']]]&lt;V$10,_xlfn.NORM.DIST(Table2912[[#This Row],[Isobutyrate '[%']]],V$6,V$2,FALSE),-100)</f>
        <v>-100</v>
      </c>
      <c r="BO105">
        <f>IF(Table2912[[#This Row],[Isovalerate '[%']]]&lt;W$10,_xlfn.NORM.DIST(Table2912[[#This Row],[Isovalerate '[%']]],W$6,W$2,FALSE),-100)</f>
        <v>-100</v>
      </c>
      <c r="BP105">
        <f>IF(Table2912[[#This Row],[CH4 '[g/mmol SCFA']]]&lt;X$10,_xlfn.NORM.DIST(Table2912[[#This Row],[CH4 '[g/mmol SCFA']]],X$6,X$2,FALSE),-100)</f>
        <v>8.4078760250673942E-2</v>
      </c>
      <c r="BQ105">
        <f>IF(Table2912[[#This Row],[DMD '[mg/g']]]&gt;Y$10,_xlfn.NORM.DIST(Table2912[[#This Row],[DMD '[mg/g']]],Y$6,Y$2,FALSE),-100)</f>
        <v>-100</v>
      </c>
      <c r="BR105">
        <f>IF(Table2912[[#This Row],[CH4 '[ml/g']]]&lt;Z$10,_xlfn.NORM.DIST(Table2912[[#This Row],[CH4 '[ml/g']]],Z$6,Z$2,FALSE),-100)</f>
        <v>1.1976226025260009E-2</v>
      </c>
      <c r="BS105">
        <f>IF(Table2912[[#This Row],[CH4 '[% GP']]]&lt;AA$10,_xlfn.NORM.DIST(Table2912[[#This Row],[CH4 '[% GP']]],AA$6,AA$2,FALSE),-100)</f>
        <v>-100</v>
      </c>
      <c r="BT105">
        <f>IF(Table2912[[#This Row],[CH4 '[g/g DDM']]]&lt;AB$10,_xlfn.NORM.DIST(Table2912[[#This Row],[CH4 '[g/g DDM']]],AB$6,AB$2,FALSE),-100)</f>
        <v>-100</v>
      </c>
      <c r="CJ105" t="str">
        <v>Medicago Sativa-045</v>
      </c>
      <c r="CL105" t="str">
        <v>Medicago Sativa-045</v>
      </c>
    </row>
    <row r="106" spans="1:90" x14ac:dyDescent="0.25">
      <c r="A106" s="12" t="s">
        <v>70</v>
      </c>
      <c r="B106" s="13">
        <v>1015</v>
      </c>
      <c r="C106" s="96" t="s">
        <v>176</v>
      </c>
      <c r="D106" s="96"/>
      <c r="E106" s="96"/>
      <c r="F106" s="96" t="s">
        <v>177</v>
      </c>
      <c r="G106" s="15" t="s">
        <v>73</v>
      </c>
      <c r="H106" s="15" t="s">
        <v>74</v>
      </c>
      <c r="I106" t="s">
        <v>75</v>
      </c>
      <c r="J106" s="107">
        <v>3</v>
      </c>
      <c r="K106" s="107"/>
      <c r="L106" s="107"/>
      <c r="M106" t="s">
        <v>177</v>
      </c>
      <c r="N106" t="s">
        <v>81</v>
      </c>
      <c r="O106" s="18">
        <v>276.75678524374189</v>
      </c>
      <c r="P106" s="18">
        <v>7.7529644268774707</v>
      </c>
      <c r="Q106" s="97">
        <v>0.68552978162970513</v>
      </c>
      <c r="R106" s="97">
        <v>0.1537938652391877</v>
      </c>
      <c r="S106" s="97">
        <v>0.10129719319115188</v>
      </c>
      <c r="T106" s="97">
        <v>1.808423258843855E-2</v>
      </c>
      <c r="U106" s="97">
        <v>1.2320503016399018E-3</v>
      </c>
      <c r="V106" s="97">
        <v>1.5322740533038774E-2</v>
      </c>
      <c r="W106" s="97">
        <v>2.474013651683802E-2</v>
      </c>
      <c r="X106" s="51">
        <f t="shared" si="8"/>
        <v>5.529008385180302</v>
      </c>
      <c r="Y106" s="18">
        <v>644.92753623188412</v>
      </c>
      <c r="Z106" s="18">
        <v>42.866205326210128</v>
      </c>
      <c r="AA106" s="18">
        <f t="shared" si="9"/>
        <v>15.488764002102972</v>
      </c>
      <c r="AB106" s="18">
        <f t="shared" si="10"/>
        <v>66.466700393449401</v>
      </c>
      <c r="AC106" s="18">
        <f>$CP$15*Table2912[[#This Row],[DMD '[mg/g']]]+$CS$15*Table2912[[#This Row],[CH4 '[ml/g']]]+$CR$15*Table2912[[#This Row],[CH4 '[% GP']]]+$CQ$15*Table2912[[#This Row],[CH4 '[g/g DDM']]]</f>
        <v>-3.5044574256323031</v>
      </c>
      <c r="AD106" s="18">
        <f>_xlfn.RANK.AVG(Table2912[[#This Row],[Index]],Table2912[Index])</f>
        <v>464</v>
      </c>
      <c r="AE10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7.2925999121651301</v>
      </c>
      <c r="AF106" s="18">
        <f>Table2912[[#This Row],[CH4 '[ml/g']]]/Table2912[[#This Row],[APB]]</f>
        <v>5.8780415547962512</v>
      </c>
      <c r="AG106" s="18">
        <f>Table2912[[#This Row],[Propionate '[%']]]/Table2912[[#This Row],[Acetate '[%']]]</f>
        <v>0.22434308378780368</v>
      </c>
      <c r="AH106" s="51"/>
      <c r="AI106" s="18"/>
      <c r="AJ106" s="18"/>
      <c r="AK106" s="18">
        <f>(Table2912[[#This Row],[DMD '[mg/g']]]-$AK$15)/$AK$15*100</f>
        <v>31.540250352941708</v>
      </c>
      <c r="AL106" s="18">
        <f>(Table2912[[#This Row],[CH4 '[ml/g']]]-AL$15)/AL$15*100</f>
        <v>8.9849962407989263</v>
      </c>
      <c r="AM106" s="18">
        <f>(Table2912[[#This Row],[CH4 '[% GP']]]-AM$15)/AM$15*100</f>
        <v>-0.21639620466985926</v>
      </c>
      <c r="AN106" s="18">
        <f>(Table2912[[#This Row],[CH4 '[g/g DDM']]]-AN$15)/AN$15*100</f>
        <v>29.778422032774632</v>
      </c>
      <c r="AO106" s="18"/>
      <c r="AP106" s="18"/>
      <c r="AR106">
        <f>_xlfn.NORM.DIST(Table2912[[#This Row],[GP '[ml/g']]],O$6,O$2,FALSE)</f>
        <v>6.9082590204787827E-3</v>
      </c>
      <c r="AS106">
        <f>_xlfn.NORM.DIST(Table2912[[#This Row],[SCFA '[mmol/g']]],P$6,P$2,FALSE)</f>
        <v>0.19903481312118929</v>
      </c>
      <c r="AT106">
        <f>_xlfn.NORM.DIST(Table2912[[#This Row],[Acetate '[%']]],Q$6,Q$2,FALSE)</f>
        <v>12.754199596240623</v>
      </c>
      <c r="AU106">
        <f>_xlfn.NORM.DIST(Table2912[[#This Row],[Propionate '[%']]],R$6,R$2,FALSE)</f>
        <v>12.572541478021687</v>
      </c>
      <c r="AV106">
        <f>_xlfn.NORM.DIST(Table2912[[#This Row],[Butyrate '[%']]],S$6,S$2,FALSE)</f>
        <v>20.48960763806533</v>
      </c>
      <c r="AW106">
        <f>_xlfn.NORM.DIST(Table2912[[#This Row],[Valerate '[%']]],T$6,T$2,FALSE)</f>
        <v>77.132398603884866</v>
      </c>
      <c r="AX106">
        <f>_xlfn.NORM.DIST(Table2912[[#This Row],[Caproate '[%']]],U$6,U$2,FALSE)</f>
        <v>404.76025262414419</v>
      </c>
      <c r="AY106">
        <f>_xlfn.NORM.DIST(Table2912[[#This Row],[Isobutyrate '[%']]],V$6,V$2,FALSE)</f>
        <v>90.158317866619583</v>
      </c>
      <c r="AZ106">
        <f>_xlfn.NORM.DIST(Table2912[[#This Row],[Isovalerate '[%']]],W$6,W$2,FALSE)</f>
        <v>42.590508511333994</v>
      </c>
      <c r="BA106">
        <f>_xlfn.NORM.DIST(Table2912[[#This Row],[CH4 '[g/mmol SCFA']]],X$6,X$2,FALSE)</f>
        <v>0.25397548568683592</v>
      </c>
      <c r="BB106">
        <f>_xlfn.NORM.DIST(Table2912[[#This Row],[DMD '[mg/g']]],Y$6,Y$2,FALSE)</f>
        <v>1.8428354392161991E-3</v>
      </c>
      <c r="BC106">
        <f>_xlfn.NORM.DIST(Table2912[[#This Row],[CH4 '[ml/g']]],Z$6,Z$2,FALSE)</f>
        <v>3.3252285511781866E-2</v>
      </c>
      <c r="BD106">
        <f>_xlfn.NORM.DIST(Table2912[[#This Row],[CH4 '[% GP']]],AA$6,AA$2,FALSE)</f>
        <v>0.13216189521986085</v>
      </c>
      <c r="BE106">
        <f>_xlfn.NORM.DIST(Table2912[[#This Row],[CH4 '[g/g DDM']]],AB$6,AB$2,FALSE)</f>
        <v>1.8339224591152194E-2</v>
      </c>
      <c r="BG106">
        <f>IF(Table2912[[#This Row],[GP '[ml/g']]]&lt;O$10,_xlfn.NORM.DIST(Table2912[[#This Row],[GP '[ml/g']]],O$6,O$2,FALSE),-100)</f>
        <v>-100</v>
      </c>
      <c r="BH106">
        <f>IF(Table2912[[#This Row],[SCFA '[mmol/g']]]&lt;P$10,_xlfn.NORM.DIST(Table2912[[#This Row],[SCFA '[mmol/g']]],P$6,P$2,FALSE),-100)</f>
        <v>-100</v>
      </c>
      <c r="BI106">
        <f>IF(Table2912[[#This Row],[Acetate '[%']]]&lt;Q$10,_xlfn.NORM.DIST(Table2912[[#This Row],[Acetate '[%']]],Q$6,Q$2,FALSE),-100)</f>
        <v>-100</v>
      </c>
      <c r="BJ106">
        <f>IF(Table2912[[#This Row],[Propionate '[%']]]&lt;R$10,_xlfn.NORM.DIST(Table2912[[#This Row],[Propionate '[%']]],R$6,R$2,FALSE),-100)</f>
        <v>-100</v>
      </c>
      <c r="BK106">
        <f>IF(Table2912[[#This Row],[Butyrate '[%']]]&lt;S$10,_xlfn.NORM.DIST(Table2912[[#This Row],[Butyrate '[%']]],S$6,S$2,FALSE),-100)</f>
        <v>-100</v>
      </c>
      <c r="BL106">
        <f>IF(Table2912[[#This Row],[Valerate '[%']]]&lt;T$10,_xlfn.NORM.DIST(Table2912[[#This Row],[Valerate '[%']]],T$6,T$2,FALSE),-100)</f>
        <v>-100</v>
      </c>
      <c r="BM106">
        <f>IF(Table2912[[#This Row],[Caproate '[%']]]&lt;U$10,_xlfn.NORM.DIST(Table2912[[#This Row],[Caproate '[%']]],U$6,U$2,FALSE),-100)</f>
        <v>-100</v>
      </c>
      <c r="BN106">
        <f>IF(Table2912[[#This Row],[Isobutyrate '[%']]]&lt;V$10,_xlfn.NORM.DIST(Table2912[[#This Row],[Isobutyrate '[%']]],V$6,V$2,FALSE),-100)</f>
        <v>-100</v>
      </c>
      <c r="BO106">
        <f>IF(Table2912[[#This Row],[Isovalerate '[%']]]&lt;W$10,_xlfn.NORM.DIST(Table2912[[#This Row],[Isovalerate '[%']]],W$6,W$2,FALSE),-100)</f>
        <v>-100</v>
      </c>
      <c r="BP106">
        <f>IF(Table2912[[#This Row],[CH4 '[g/mmol SCFA']]]&lt;X$10,_xlfn.NORM.DIST(Table2912[[#This Row],[CH4 '[g/mmol SCFA']]],X$6,X$2,FALSE),-100)</f>
        <v>-100</v>
      </c>
      <c r="BQ106">
        <f>IF(Table2912[[#This Row],[DMD '[mg/g']]]&gt;Y$10,_xlfn.NORM.DIST(Table2912[[#This Row],[DMD '[mg/g']]],Y$6,Y$2,FALSE),-100)</f>
        <v>-100</v>
      </c>
      <c r="BR106">
        <f>IF(Table2912[[#This Row],[CH4 '[ml/g']]]&lt;Z$10,_xlfn.NORM.DIST(Table2912[[#This Row],[CH4 '[ml/g']]],Z$6,Z$2,FALSE),-100)</f>
        <v>-100</v>
      </c>
      <c r="BS106">
        <f>IF(Table2912[[#This Row],[CH4 '[% GP']]]&lt;AA$10,_xlfn.NORM.DIST(Table2912[[#This Row],[CH4 '[% GP']]],AA$6,AA$2,FALSE),-100)</f>
        <v>-100</v>
      </c>
      <c r="BT106">
        <f>IF(Table2912[[#This Row],[CH4 '[g/g DDM']]]&lt;AB$10,_xlfn.NORM.DIST(Table2912[[#This Row],[CH4 '[g/g DDM']]],AB$6,AB$2,FALSE),-100)</f>
        <v>-100</v>
      </c>
      <c r="CJ106" t="str">
        <v>Macroptilium  lathyroides</v>
      </c>
      <c r="CL106" t="str">
        <v>Macroptilium  lathyroides</v>
      </c>
    </row>
    <row r="107" spans="1:90" ht="16.5" customHeight="1" x14ac:dyDescent="0.25">
      <c r="A107" s="12" t="s">
        <v>70</v>
      </c>
      <c r="B107" s="13">
        <v>1000</v>
      </c>
      <c r="C107" s="96" t="s">
        <v>178</v>
      </c>
      <c r="D107" s="96"/>
      <c r="E107" s="96"/>
      <c r="F107" s="96" t="s">
        <v>179</v>
      </c>
      <c r="G107" t="s">
        <v>73</v>
      </c>
      <c r="H107" t="s">
        <v>74</v>
      </c>
      <c r="I107" t="s">
        <v>75</v>
      </c>
      <c r="J107" s="107">
        <v>1</v>
      </c>
      <c r="K107" s="107"/>
      <c r="L107" s="107"/>
      <c r="M107" t="s">
        <v>179</v>
      </c>
      <c r="N107" t="s">
        <v>180</v>
      </c>
      <c r="O107" s="18">
        <v>230.15838823012805</v>
      </c>
      <c r="P107" s="18">
        <v>5.9944024760078261</v>
      </c>
      <c r="Q107" s="97">
        <v>0.6784255110846138</v>
      </c>
      <c r="R107" s="97">
        <v>0.16830126993059147</v>
      </c>
      <c r="S107" s="97">
        <v>9.2695327984163786E-2</v>
      </c>
      <c r="T107" s="97">
        <v>1.5850962479257616E-2</v>
      </c>
      <c r="U107" s="97">
        <v>1.5475455222215236E-3</v>
      </c>
      <c r="V107" s="97">
        <v>1.4522129312275669E-2</v>
      </c>
      <c r="W107" s="97">
        <v>2.8657253686876178E-2</v>
      </c>
      <c r="X107" s="51">
        <f t="shared" si="8"/>
        <v>5.5387142119095545</v>
      </c>
      <c r="Y107" s="18">
        <v>645.84551457461157</v>
      </c>
      <c r="Z107" s="18">
        <v>33.201282185770367</v>
      </c>
      <c r="AA107" s="18">
        <f t="shared" si="9"/>
        <v>14.425406104501157</v>
      </c>
      <c r="AB107" s="18">
        <f t="shared" si="10"/>
        <v>51.407467322334057</v>
      </c>
      <c r="AC107" s="18">
        <f>$CP$15*Table2912[[#This Row],[DMD '[mg/g']]]+$CS$15*Table2912[[#This Row],[CH4 '[ml/g']]]+$CR$15*Table2912[[#This Row],[CH4 '[% GP']]]+$CQ$15*Table2912[[#This Row],[CH4 '[g/g DDM']]]</f>
        <v>4.455795489697401</v>
      </c>
      <c r="AD107" s="18">
        <f>_xlfn.RANK.AVG(Table2912[[#This Row],[Index]],Table2912[Index])</f>
        <v>412</v>
      </c>
      <c r="AE10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5.6312742162023115</v>
      </c>
      <c r="AF107" s="18">
        <f>Table2912[[#This Row],[CH4 '[ml/g']]]/Table2912[[#This Row],[APB]]</f>
        <v>5.8958738131138393</v>
      </c>
      <c r="AG107" s="18">
        <f>Table2912[[#This Row],[Propionate '[%']]]/Table2912[[#This Row],[Acetate '[%']]]</f>
        <v>0.24807626951045006</v>
      </c>
      <c r="AH107" s="51"/>
      <c r="AI107" s="18"/>
      <c r="AJ107" s="18"/>
      <c r="AK107" s="18">
        <f>(Table2912[[#This Row],[DMD '[mg/g']]]-$AK$15)/$AK$15*100</f>
        <v>31.72748239722138</v>
      </c>
      <c r="AL107" s="18">
        <f>(Table2912[[#This Row],[CH4 '[ml/g']]]-AL$15)/AL$15*100</f>
        <v>-15.587545324581681</v>
      </c>
      <c r="AM107" s="18">
        <f>(Table2912[[#This Row],[CH4 '[% GP']]]-AM$15)/AM$15*100</f>
        <v>-7.0668900938225603</v>
      </c>
      <c r="AN107" s="18">
        <f>(Table2912[[#This Row],[CH4 '[g/g DDM']]]-AN$15)/AN$15*100</f>
        <v>0.37477338729838611</v>
      </c>
      <c r="AO107" s="18"/>
      <c r="AP107" s="18"/>
      <c r="AR107">
        <f>_xlfn.NORM.DIST(Table2912[[#This Row],[GP '[ml/g']]],O$6,O$2,FALSE)</f>
        <v>6.6820770153779088E-3</v>
      </c>
      <c r="AS107">
        <f>_xlfn.NORM.DIST(Table2912[[#This Row],[SCFA '[mmol/g']]],P$6,P$2,FALSE)</f>
        <v>0.30030161936682415</v>
      </c>
      <c r="AT107">
        <f>_xlfn.NORM.DIST(Table2912[[#This Row],[Acetate '[%']]],Q$6,Q$2,FALSE)</f>
        <v>13.785402045954486</v>
      </c>
      <c r="AU107">
        <f>_xlfn.NORM.DIST(Table2912[[#This Row],[Propionate '[%']]],R$6,R$2,FALSE)</f>
        <v>16.602995196640876</v>
      </c>
      <c r="AV107">
        <f>_xlfn.NORM.DIST(Table2912[[#This Row],[Butyrate '[%']]],S$6,S$2,FALSE)</f>
        <v>23.02808306388458</v>
      </c>
      <c r="AW107">
        <f>_xlfn.NORM.DIST(Table2912[[#This Row],[Valerate '[%']]],T$6,T$2,FALSE)</f>
        <v>72.777403202804649</v>
      </c>
      <c r="AX107">
        <f>_xlfn.NORM.DIST(Table2912[[#This Row],[Caproate '[%']]],U$6,U$2,FALSE)</f>
        <v>397.29236853709205</v>
      </c>
      <c r="AY107">
        <f>_xlfn.NORM.DIST(Table2912[[#This Row],[Isobutyrate '[%']]],V$6,V$2,FALSE)</f>
        <v>88.713066941087405</v>
      </c>
      <c r="AZ107">
        <f>_xlfn.NORM.DIST(Table2912[[#This Row],[Isovalerate '[%']]],W$6,W$2,FALSE)</f>
        <v>45.259113534393862</v>
      </c>
      <c r="BA107">
        <f>_xlfn.NORM.DIST(Table2912[[#This Row],[CH4 '[g/mmol SCFA']]],X$6,X$2,FALSE)</f>
        <v>0.25500348966558561</v>
      </c>
      <c r="BB107">
        <f>_xlfn.NORM.DIST(Table2912[[#This Row],[DMD '[mg/g']]],Y$6,Y$2,FALSE)</f>
        <v>1.8546783782607665E-3</v>
      </c>
      <c r="BC107">
        <f>_xlfn.NORM.DIST(Table2912[[#This Row],[CH4 '[ml/g']]],Z$6,Z$2,FALSE)</f>
        <v>2.6436872861646653E-2</v>
      </c>
      <c r="BD107">
        <f>_xlfn.NORM.DIST(Table2912[[#This Row],[CH4 '[% GP']]],AA$6,AA$2,FALSE)</f>
        <v>0.11550220096381361</v>
      </c>
      <c r="BE107">
        <f>_xlfn.NORM.DIST(Table2912[[#This Row],[CH4 '[g/g DDM']]],AB$6,AB$2,FALSE)</f>
        <v>3.2432705655669539E-2</v>
      </c>
      <c r="BG107">
        <f>IF(Table2912[[#This Row],[GP '[ml/g']]]&lt;O$10,_xlfn.NORM.DIST(Table2912[[#This Row],[GP '[ml/g']]],O$6,O$2,FALSE),-100)</f>
        <v>-100</v>
      </c>
      <c r="BH107">
        <f>IF(Table2912[[#This Row],[SCFA '[mmol/g']]]&lt;P$10,_xlfn.NORM.DIST(Table2912[[#This Row],[SCFA '[mmol/g']]],P$6,P$2,FALSE),-100)</f>
        <v>-100</v>
      </c>
      <c r="BI107">
        <f>IF(Table2912[[#This Row],[Acetate '[%']]]&lt;Q$10,_xlfn.NORM.DIST(Table2912[[#This Row],[Acetate '[%']]],Q$6,Q$2,FALSE),-100)</f>
        <v>-100</v>
      </c>
      <c r="BJ107">
        <f>IF(Table2912[[#This Row],[Propionate '[%']]]&lt;R$10,_xlfn.NORM.DIST(Table2912[[#This Row],[Propionate '[%']]],R$6,R$2,FALSE),-100)</f>
        <v>-100</v>
      </c>
      <c r="BK107">
        <f>IF(Table2912[[#This Row],[Butyrate '[%']]]&lt;S$10,_xlfn.NORM.DIST(Table2912[[#This Row],[Butyrate '[%']]],S$6,S$2,FALSE),-100)</f>
        <v>-100</v>
      </c>
      <c r="BL107">
        <f>IF(Table2912[[#This Row],[Valerate '[%']]]&lt;T$10,_xlfn.NORM.DIST(Table2912[[#This Row],[Valerate '[%']]],T$6,T$2,FALSE),-100)</f>
        <v>-100</v>
      </c>
      <c r="BM107">
        <f>IF(Table2912[[#This Row],[Caproate '[%']]]&lt;U$10,_xlfn.NORM.DIST(Table2912[[#This Row],[Caproate '[%']]],U$6,U$2,FALSE),-100)</f>
        <v>-100</v>
      </c>
      <c r="BN107">
        <f>IF(Table2912[[#This Row],[Isobutyrate '[%']]]&lt;V$10,_xlfn.NORM.DIST(Table2912[[#This Row],[Isobutyrate '[%']]],V$6,V$2,FALSE),-100)</f>
        <v>-100</v>
      </c>
      <c r="BO107">
        <f>IF(Table2912[[#This Row],[Isovalerate '[%']]]&lt;W$10,_xlfn.NORM.DIST(Table2912[[#This Row],[Isovalerate '[%']]],W$6,W$2,FALSE),-100)</f>
        <v>-100</v>
      </c>
      <c r="BP107">
        <f>IF(Table2912[[#This Row],[CH4 '[g/mmol SCFA']]]&lt;X$10,_xlfn.NORM.DIST(Table2912[[#This Row],[CH4 '[g/mmol SCFA']]],X$6,X$2,FALSE),-100)</f>
        <v>-100</v>
      </c>
      <c r="BQ107">
        <f>IF(Table2912[[#This Row],[DMD '[mg/g']]]&gt;Y$10,_xlfn.NORM.DIST(Table2912[[#This Row],[DMD '[mg/g']]],Y$6,Y$2,FALSE),-100)</f>
        <v>-100</v>
      </c>
      <c r="BR107">
        <f>IF(Table2912[[#This Row],[CH4 '[ml/g']]]&lt;Z$10,_xlfn.NORM.DIST(Table2912[[#This Row],[CH4 '[ml/g']]],Z$6,Z$2,FALSE),-100)</f>
        <v>-100</v>
      </c>
      <c r="BS107">
        <f>IF(Table2912[[#This Row],[CH4 '[% GP']]]&lt;AA$10,_xlfn.NORM.DIST(Table2912[[#This Row],[CH4 '[% GP']]],AA$6,AA$2,FALSE),-100)</f>
        <v>-100</v>
      </c>
      <c r="BT107">
        <f>IF(Table2912[[#This Row],[CH4 '[g/g DDM']]]&lt;AB$10,_xlfn.NORM.DIST(Table2912[[#This Row],[CH4 '[g/g DDM']]],AB$6,AB$2,FALSE),-100)</f>
        <v>-100</v>
      </c>
      <c r="CJ107" t="str">
        <v>Asparugo</v>
      </c>
      <c r="CL107" t="str">
        <v>Asparugo</v>
      </c>
    </row>
    <row r="108" spans="1:90" x14ac:dyDescent="0.25">
      <c r="A108" s="12" t="s">
        <v>70</v>
      </c>
      <c r="B108" s="13">
        <v>1040</v>
      </c>
      <c r="C108" s="96" t="s">
        <v>169</v>
      </c>
      <c r="D108" s="96"/>
      <c r="E108" s="96"/>
      <c r="F108" s="96" t="s">
        <v>170</v>
      </c>
      <c r="G108" s="15" t="s">
        <v>143</v>
      </c>
      <c r="H108" s="15" t="s">
        <v>144</v>
      </c>
      <c r="I108" t="s">
        <v>52</v>
      </c>
      <c r="J108" s="100">
        <v>2</v>
      </c>
      <c r="K108" s="100"/>
      <c r="L108" s="100"/>
      <c r="M108" t="s">
        <v>170</v>
      </c>
      <c r="N108" t="s">
        <v>84</v>
      </c>
      <c r="O108" s="18">
        <v>249.31607895320477</v>
      </c>
      <c r="P108" s="18">
        <v>6.4295852738966506</v>
      </c>
      <c r="Q108" s="97">
        <v>0.67881411472525965</v>
      </c>
      <c r="R108" s="97">
        <v>0.16944103732258631</v>
      </c>
      <c r="S108" s="97">
        <v>0.10042771894725952</v>
      </c>
      <c r="T108" s="97">
        <v>1.3790082355002627E-2</v>
      </c>
      <c r="U108" s="97">
        <v>8.6233658721672241E-4</v>
      </c>
      <c r="V108" s="97">
        <v>1.3780138663723226E-2</v>
      </c>
      <c r="W108" s="97">
        <v>2.4593839467420928E-2</v>
      </c>
      <c r="X108" s="51">
        <f t="shared" si="8"/>
        <v>4.6936167883675886</v>
      </c>
      <c r="Y108" s="18">
        <v>646.57246771279563</v>
      </c>
      <c r="Z108" s="18">
        <v>30.178009383802337</v>
      </c>
      <c r="AA108" s="18">
        <f t="shared" si="9"/>
        <v>12.104317343072999</v>
      </c>
      <c r="AB108" s="18">
        <f t="shared" si="10"/>
        <v>46.673823725521302</v>
      </c>
      <c r="AC108" s="18">
        <f>$CP$15*Table2912[[#This Row],[DMD '[mg/g']]]+$CS$15*Table2912[[#This Row],[CH4 '[ml/g']]]+$CR$15*Table2912[[#This Row],[CH4 '[% GP']]]+$CQ$15*Table2912[[#This Row],[CH4 '[g/g DDM']]]</f>
        <v>7.5872797296196239</v>
      </c>
      <c r="AD108" s="18">
        <f>_xlfn.RANK.AVG(Table2912[[#This Row],[Index]],Table2912[Index])</f>
        <v>376</v>
      </c>
      <c r="AE10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6.0996374169481253</v>
      </c>
      <c r="AF108" s="18">
        <f>Table2912[[#This Row],[CH4 '[ml/g']]]/Table2912[[#This Row],[APB]]</f>
        <v>4.947508732232401</v>
      </c>
      <c r="AG108" s="18">
        <f>Table2912[[#This Row],[Propionate '[%']]]/Table2912[[#This Row],[Acetate '[%']]]</f>
        <v>0.24961330892650216</v>
      </c>
      <c r="AH108" s="51"/>
      <c r="AI108" s="18"/>
      <c r="AJ108" s="18"/>
      <c r="AK108" s="18">
        <f>(Table2912[[#This Row],[DMD '[mg/g']]]-$AK$15)/$AK$15*100</f>
        <v>31.875752694920696</v>
      </c>
      <c r="AL108" s="18">
        <f>(Table2912[[#This Row],[CH4 '[ml/g']]]-AL$15)/AL$15*100</f>
        <v>-23.274052036570275</v>
      </c>
      <c r="AM108" s="18">
        <f>(Table2912[[#This Row],[CH4 '[% GP']]]-AM$15)/AM$15*100</f>
        <v>-22.020091092475173</v>
      </c>
      <c r="AN108" s="18">
        <f>(Table2912[[#This Row],[CH4 '[g/g DDM']]]-AN$15)/AN$15*100</f>
        <v>-8.8678216689239537</v>
      </c>
      <c r="AO108" s="18"/>
      <c r="AP108" s="18"/>
      <c r="AR108">
        <f>_xlfn.NORM.DIST(Table2912[[#This Row],[GP '[ml/g']]],O$6,O$2,FALSE)</f>
        <v>7.4299229237919338E-3</v>
      </c>
      <c r="AS108">
        <f>_xlfn.NORM.DIST(Table2912[[#This Row],[SCFA '[mmol/g']]],P$6,P$2,FALSE)</f>
        <v>0.3313991597120034</v>
      </c>
      <c r="AT108">
        <f>_xlfn.NORM.DIST(Table2912[[#This Row],[Acetate '[%']]],Q$6,Q$2,FALSE)</f>
        <v>13.749059680228383</v>
      </c>
      <c r="AU108">
        <f>_xlfn.NORM.DIST(Table2912[[#This Row],[Propionate '[%']]],R$6,R$2,FALSE)</f>
        <v>16.703744984408104</v>
      </c>
      <c r="AV108">
        <f>_xlfn.NORM.DIST(Table2912[[#This Row],[Butyrate '[%']]],S$6,S$2,FALSE)</f>
        <v>20.966500847758866</v>
      </c>
      <c r="AW108">
        <f>_xlfn.NORM.DIST(Table2912[[#This Row],[Valerate '[%']]],T$6,T$2,FALSE)</f>
        <v>58.395434286154547</v>
      </c>
      <c r="AX108">
        <f>_xlfn.NORM.DIST(Table2912[[#This Row],[Caproate '[%']]],U$6,U$2,FALSE)</f>
        <v>362.61413583614291</v>
      </c>
      <c r="AY108">
        <f>_xlfn.NORM.DIST(Table2912[[#This Row],[Isobutyrate '[%']]],V$6,V$2,FALSE)</f>
        <v>84.876850162499963</v>
      </c>
      <c r="AZ108">
        <f>_xlfn.NORM.DIST(Table2912[[#This Row],[Isovalerate '[%']]],W$6,W$2,FALSE)</f>
        <v>42.33047390658659</v>
      </c>
      <c r="BA108">
        <f>_xlfn.NORM.DIST(Table2912[[#This Row],[CH4 '[g/mmol SCFA']]],X$6,X$2,FALSE)</f>
        <v>0.14743352240533875</v>
      </c>
      <c r="BB108">
        <f>_xlfn.NORM.DIST(Table2912[[#This Row],[DMD '[mg/g']]],Y$6,Y$2,FALSE)</f>
        <v>1.8640513088923464E-3</v>
      </c>
      <c r="BC108">
        <f>_xlfn.NORM.DIST(Table2912[[#This Row],[CH4 '[ml/g']]],Z$6,Z$2,FALSE)</f>
        <v>2.1492853508102219E-2</v>
      </c>
      <c r="BD108">
        <f>_xlfn.NORM.DIST(Table2912[[#This Row],[CH4 '[% GP']]],AA$6,AA$2,FALSE)</f>
        <v>5.4997769751341186E-2</v>
      </c>
      <c r="BE108">
        <f>_xlfn.NORM.DIST(Table2912[[#This Row],[CH4 '[g/g DDM']]],AB$6,AB$2,FALSE)</f>
        <v>2.823899352013735E-2</v>
      </c>
      <c r="BG108">
        <f>IF(Table2912[[#This Row],[GP '[ml/g']]]&lt;O$10,_xlfn.NORM.DIST(Table2912[[#This Row],[GP '[ml/g']]],O$6,O$2,FALSE),-100)</f>
        <v>-100</v>
      </c>
      <c r="BH108">
        <f>IF(Table2912[[#This Row],[SCFA '[mmol/g']]]&lt;P$10,_xlfn.NORM.DIST(Table2912[[#This Row],[SCFA '[mmol/g']]],P$6,P$2,FALSE),-100)</f>
        <v>-100</v>
      </c>
      <c r="BI108">
        <f>IF(Table2912[[#This Row],[Acetate '[%']]]&lt;Q$10,_xlfn.NORM.DIST(Table2912[[#This Row],[Acetate '[%']]],Q$6,Q$2,FALSE),-100)</f>
        <v>-100</v>
      </c>
      <c r="BJ108">
        <f>IF(Table2912[[#This Row],[Propionate '[%']]]&lt;R$10,_xlfn.NORM.DIST(Table2912[[#This Row],[Propionate '[%']]],R$6,R$2,FALSE),-100)</f>
        <v>-100</v>
      </c>
      <c r="BK108">
        <f>IF(Table2912[[#This Row],[Butyrate '[%']]]&lt;S$10,_xlfn.NORM.DIST(Table2912[[#This Row],[Butyrate '[%']]],S$6,S$2,FALSE),-100)</f>
        <v>-100</v>
      </c>
      <c r="BL108">
        <f>IF(Table2912[[#This Row],[Valerate '[%']]]&lt;T$10,_xlfn.NORM.DIST(Table2912[[#This Row],[Valerate '[%']]],T$6,T$2,FALSE),-100)</f>
        <v>-100</v>
      </c>
      <c r="BM108">
        <f>IF(Table2912[[#This Row],[Caproate '[%']]]&lt;U$10,_xlfn.NORM.DIST(Table2912[[#This Row],[Caproate '[%']]],U$6,U$2,FALSE),-100)</f>
        <v>-100</v>
      </c>
      <c r="BN108">
        <f>IF(Table2912[[#This Row],[Isobutyrate '[%']]]&lt;V$10,_xlfn.NORM.DIST(Table2912[[#This Row],[Isobutyrate '[%']]],V$6,V$2,FALSE),-100)</f>
        <v>-100</v>
      </c>
      <c r="BO108">
        <f>IF(Table2912[[#This Row],[Isovalerate '[%']]]&lt;W$10,_xlfn.NORM.DIST(Table2912[[#This Row],[Isovalerate '[%']]],W$6,W$2,FALSE),-100)</f>
        <v>-100</v>
      </c>
      <c r="BP108">
        <f>IF(Table2912[[#This Row],[CH4 '[g/mmol SCFA']]]&lt;X$10,_xlfn.NORM.DIST(Table2912[[#This Row],[CH4 '[g/mmol SCFA']]],X$6,X$2,FALSE),-100)</f>
        <v>0.14743352240533875</v>
      </c>
      <c r="BQ108">
        <f>IF(Table2912[[#This Row],[DMD '[mg/g']]]&gt;Y$10,_xlfn.NORM.DIST(Table2912[[#This Row],[DMD '[mg/g']]],Y$6,Y$2,FALSE),-100)</f>
        <v>-100</v>
      </c>
      <c r="BR108">
        <f>IF(Table2912[[#This Row],[CH4 '[ml/g']]]&lt;Z$10,_xlfn.NORM.DIST(Table2912[[#This Row],[CH4 '[ml/g']]],Z$6,Z$2,FALSE),-100)</f>
        <v>-100</v>
      </c>
      <c r="BS108">
        <f>IF(Table2912[[#This Row],[CH4 '[% GP']]]&lt;AA$10,_xlfn.NORM.DIST(Table2912[[#This Row],[CH4 '[% GP']]],AA$6,AA$2,FALSE),-100)</f>
        <v>-100</v>
      </c>
      <c r="BT108">
        <f>IF(Table2912[[#This Row],[CH4 '[g/g DDM']]]&lt;AB$10,_xlfn.NORM.DIST(Table2912[[#This Row],[CH4 '[g/g DDM']]],AB$6,AB$2,FALSE),-100)</f>
        <v>-100</v>
      </c>
      <c r="CJ108" t="str">
        <v>Trifolium pratense-511</v>
      </c>
      <c r="CL108" t="str">
        <v>Trifolium pratense-511</v>
      </c>
    </row>
    <row r="109" spans="1:90" x14ac:dyDescent="0.25">
      <c r="A109" s="12" t="s">
        <v>70</v>
      </c>
      <c r="B109" s="13">
        <v>996</v>
      </c>
      <c r="C109" s="96" t="s">
        <v>172</v>
      </c>
      <c r="D109" s="96"/>
      <c r="E109" s="96"/>
      <c r="F109" s="96" t="s">
        <v>173</v>
      </c>
      <c r="G109" t="s">
        <v>73</v>
      </c>
      <c r="H109" t="s">
        <v>74</v>
      </c>
      <c r="I109" t="s">
        <v>75</v>
      </c>
      <c r="J109" s="70">
        <v>3</v>
      </c>
      <c r="K109" s="70"/>
      <c r="L109" s="70"/>
      <c r="M109" t="s">
        <v>173</v>
      </c>
      <c r="N109" t="s">
        <v>76</v>
      </c>
      <c r="O109" s="18">
        <v>255.13089862771128</v>
      </c>
      <c r="P109" s="18">
        <v>6.4503955363875214</v>
      </c>
      <c r="Q109" s="97">
        <v>0.71424989504657954</v>
      </c>
      <c r="R109" s="97">
        <v>0.13596751497508869</v>
      </c>
      <c r="S109" s="97">
        <v>9.9890449679891941E-2</v>
      </c>
      <c r="T109" s="97">
        <v>1.2462035057411856E-2</v>
      </c>
      <c r="U109" s="97">
        <v>1.4446513123142731E-3</v>
      </c>
      <c r="V109" s="97">
        <v>1.1767073730625115E-2</v>
      </c>
      <c r="W109" s="97">
        <v>2.4218380198088467E-2</v>
      </c>
      <c r="X109" s="51">
        <f t="shared" si="8"/>
        <v>6.2470928505362453</v>
      </c>
      <c r="Y109" s="18">
        <v>647.21076401662515</v>
      </c>
      <c r="Z109" s="18">
        <v>40.296219838497393</v>
      </c>
      <c r="AA109" s="18">
        <f t="shared" si="9"/>
        <v>15.79433148052283</v>
      </c>
      <c r="AB109" s="18">
        <f t="shared" si="10"/>
        <v>62.261356081930508</v>
      </c>
      <c r="AC109" s="18">
        <f>$CP$15*Table2912[[#This Row],[DMD '[mg/g']]]+$CS$15*Table2912[[#This Row],[CH4 '[ml/g']]]+$CR$15*Table2912[[#This Row],[CH4 '[% GP']]]+$CQ$15*Table2912[[#This Row],[CH4 '[g/g DDM']]]</f>
        <v>-1.2780130556873601</v>
      </c>
      <c r="AD109" s="18">
        <f>_xlfn.RANK.AVG(Table2912[[#This Row],[Index]],Table2912[Index])</f>
        <v>453</v>
      </c>
      <c r="AE10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6.1285714973056455</v>
      </c>
      <c r="AF109" s="18">
        <f>Table2912[[#This Row],[CH4 '[ml/g']]]/Table2912[[#This Row],[APB]]</f>
        <v>6.5751406924457276</v>
      </c>
      <c r="AG109" s="18">
        <f>Table2912[[#This Row],[Propionate '[%']]]/Table2912[[#This Row],[Acetate '[%']]]</f>
        <v>0.19036406713958512</v>
      </c>
      <c r="AH109" s="51"/>
      <c r="AI109" s="18"/>
      <c r="AJ109" s="18"/>
      <c r="AK109" s="18">
        <f>(Table2912[[#This Row],[DMD '[mg/g']]]-$AK$15)/$AK$15*100</f>
        <v>32.005940430578029</v>
      </c>
      <c r="AL109" s="18">
        <f>(Table2912[[#This Row],[CH4 '[ml/g']]]-AL$15)/AL$15*100</f>
        <v>2.4509478783229972</v>
      </c>
      <c r="AM109" s="18">
        <f>(Table2912[[#This Row],[CH4 '[% GP']]]-AM$15)/AM$15*100</f>
        <v>1.7521678586243712</v>
      </c>
      <c r="AN109" s="18">
        <f>(Table2912[[#This Row],[CH4 '[g/g DDM']]]-AN$15)/AN$15*100</f>
        <v>21.567348734073402</v>
      </c>
      <c r="AO109" s="18"/>
      <c r="AP109" s="18"/>
      <c r="AR109">
        <f>_xlfn.NORM.DIST(Table2912[[#This Row],[GP '[ml/g']]],O$6,O$2,FALSE)</f>
        <v>7.4796954953900282E-3</v>
      </c>
      <c r="AS109">
        <f>_xlfn.NORM.DIST(Table2912[[#This Row],[SCFA '[mmol/g']]],P$6,P$2,FALSE)</f>
        <v>0.33186718267191123</v>
      </c>
      <c r="AT109">
        <f>_xlfn.NORM.DIST(Table2912[[#This Row],[Acetate '[%']]],Q$6,Q$2,FALSE)</f>
        <v>4.9311565632854766</v>
      </c>
      <c r="AU109">
        <f>_xlfn.NORM.DIST(Table2912[[#This Row],[Propionate '[%']]],R$6,R$2,FALSE)</f>
        <v>5.3617836318430259</v>
      </c>
      <c r="AV109">
        <f>_xlfn.NORM.DIST(Table2912[[#This Row],[Butyrate '[%']]],S$6,S$2,FALSE)</f>
        <v>21.239951499080068</v>
      </c>
      <c r="AW109">
        <f>_xlfn.NORM.DIST(Table2912[[#This Row],[Valerate '[%']]],T$6,T$2,FALSE)</f>
        <v>46.556448534879969</v>
      </c>
      <c r="AX109">
        <f>_xlfn.NORM.DIST(Table2912[[#This Row],[Caproate '[%']]],U$6,U$2,FALSE)</f>
        <v>404.28703563148576</v>
      </c>
      <c r="AY109">
        <f>_xlfn.NORM.DIST(Table2912[[#This Row],[Isobutyrate '[%']]],V$6,V$2,FALSE)</f>
        <v>65.342327757978907</v>
      </c>
      <c r="AZ109">
        <f>_xlfn.NORM.DIST(Table2912[[#This Row],[Isovalerate '[%']]],W$6,W$2,FALSE)</f>
        <v>41.617464106244114</v>
      </c>
      <c r="BA109">
        <f>_xlfn.NORM.DIST(Table2912[[#This Row],[CH4 '[g/mmol SCFA']]],X$6,X$2,FALSE)</f>
        <v>0.29730215240324587</v>
      </c>
      <c r="BB109">
        <f>_xlfn.NORM.DIST(Table2912[[#This Row],[DMD '[mg/g']]],Y$6,Y$2,FALSE)</f>
        <v>1.8722766078071956E-3</v>
      </c>
      <c r="BC109">
        <f>_xlfn.NORM.DIST(Table2912[[#This Row],[CH4 '[ml/g']]],Z$6,Z$2,FALSE)</f>
        <v>3.3362856314145782E-2</v>
      </c>
      <c r="BD109">
        <f>_xlfn.NORM.DIST(Table2912[[#This Row],[CH4 '[% GP']]],AA$6,AA$2,FALSE)</f>
        <v>0.13414167630400126</v>
      </c>
      <c r="BE109">
        <f>_xlfn.NORM.DIST(Table2912[[#This Row],[CH4 '[g/g DDM']]],AB$6,AB$2,FALSE)</f>
        <v>2.5103656548480228E-2</v>
      </c>
      <c r="BG109">
        <f>IF(Table2912[[#This Row],[GP '[ml/g']]]&lt;O$10,_xlfn.NORM.DIST(Table2912[[#This Row],[GP '[ml/g']]],O$6,O$2,FALSE),-100)</f>
        <v>-100</v>
      </c>
      <c r="BH109">
        <f>IF(Table2912[[#This Row],[SCFA '[mmol/g']]]&lt;P$10,_xlfn.NORM.DIST(Table2912[[#This Row],[SCFA '[mmol/g']]],P$6,P$2,FALSE),-100)</f>
        <v>-100</v>
      </c>
      <c r="BI109">
        <f>IF(Table2912[[#This Row],[Acetate '[%']]]&lt;Q$10,_xlfn.NORM.DIST(Table2912[[#This Row],[Acetate '[%']]],Q$6,Q$2,FALSE),-100)</f>
        <v>-100</v>
      </c>
      <c r="BJ109">
        <f>IF(Table2912[[#This Row],[Propionate '[%']]]&lt;R$10,_xlfn.NORM.DIST(Table2912[[#This Row],[Propionate '[%']]],R$6,R$2,FALSE),-100)</f>
        <v>5.3617836318430259</v>
      </c>
      <c r="BK109">
        <f>IF(Table2912[[#This Row],[Butyrate '[%']]]&lt;S$10,_xlfn.NORM.DIST(Table2912[[#This Row],[Butyrate '[%']]],S$6,S$2,FALSE),-100)</f>
        <v>-100</v>
      </c>
      <c r="BL109">
        <f>IF(Table2912[[#This Row],[Valerate '[%']]]&lt;T$10,_xlfn.NORM.DIST(Table2912[[#This Row],[Valerate '[%']]],T$6,T$2,FALSE),-100)</f>
        <v>46.556448534879969</v>
      </c>
      <c r="BM109">
        <f>IF(Table2912[[#This Row],[Caproate '[%']]]&lt;U$10,_xlfn.NORM.DIST(Table2912[[#This Row],[Caproate '[%']]],U$6,U$2,FALSE),-100)</f>
        <v>-100</v>
      </c>
      <c r="BN109">
        <f>IF(Table2912[[#This Row],[Isobutyrate '[%']]]&lt;V$10,_xlfn.NORM.DIST(Table2912[[#This Row],[Isobutyrate '[%']]],V$6,V$2,FALSE),-100)</f>
        <v>-100</v>
      </c>
      <c r="BO109">
        <f>IF(Table2912[[#This Row],[Isovalerate '[%']]]&lt;W$10,_xlfn.NORM.DIST(Table2912[[#This Row],[Isovalerate '[%']]],W$6,W$2,FALSE),-100)</f>
        <v>-100</v>
      </c>
      <c r="BP109">
        <f>IF(Table2912[[#This Row],[CH4 '[g/mmol SCFA']]]&lt;X$10,_xlfn.NORM.DIST(Table2912[[#This Row],[CH4 '[g/mmol SCFA']]],X$6,X$2,FALSE),-100)</f>
        <v>-100</v>
      </c>
      <c r="BQ109">
        <f>IF(Table2912[[#This Row],[DMD '[mg/g']]]&gt;Y$10,_xlfn.NORM.DIST(Table2912[[#This Row],[DMD '[mg/g']]],Y$6,Y$2,FALSE),-100)</f>
        <v>-100</v>
      </c>
      <c r="BR109">
        <f>IF(Table2912[[#This Row],[CH4 '[ml/g']]]&lt;Z$10,_xlfn.NORM.DIST(Table2912[[#This Row],[CH4 '[ml/g']]],Z$6,Z$2,FALSE),-100)</f>
        <v>-100</v>
      </c>
      <c r="BS109">
        <f>IF(Table2912[[#This Row],[CH4 '[% GP']]]&lt;AA$10,_xlfn.NORM.DIST(Table2912[[#This Row],[CH4 '[% GP']]],AA$6,AA$2,FALSE),-100)</f>
        <v>-100</v>
      </c>
      <c r="BT109">
        <f>IF(Table2912[[#This Row],[CH4 '[g/g DDM']]]&lt;AB$10,_xlfn.NORM.DIST(Table2912[[#This Row],[CH4 '[g/g DDM']]],AB$6,AB$2,FALSE),-100)</f>
        <v>-100</v>
      </c>
      <c r="CJ109" t="str">
        <v>Lathyrus sativus (IFLA-22)</v>
      </c>
      <c r="CL109" t="str">
        <v>Lathyrus sativus (IFLA-22)</v>
      </c>
    </row>
    <row r="110" spans="1:90" x14ac:dyDescent="0.25">
      <c r="A110" s="12" t="s">
        <v>70</v>
      </c>
      <c r="B110" s="13">
        <v>1023</v>
      </c>
      <c r="C110" s="96" t="s">
        <v>181</v>
      </c>
      <c r="D110" s="96"/>
      <c r="E110" s="96"/>
      <c r="F110" s="96" t="s">
        <v>182</v>
      </c>
      <c r="G110" t="s">
        <v>73</v>
      </c>
      <c r="H110" t="s">
        <v>74</v>
      </c>
      <c r="I110" t="s">
        <v>75</v>
      </c>
      <c r="J110" s="100">
        <v>3</v>
      </c>
      <c r="K110" s="100"/>
      <c r="L110" s="100"/>
      <c r="M110" t="s">
        <v>182</v>
      </c>
      <c r="N110" t="s">
        <v>81</v>
      </c>
      <c r="O110" s="18">
        <v>246.6710059171595</v>
      </c>
      <c r="P110" s="18">
        <v>7.3219799833512216</v>
      </c>
      <c r="Q110" s="97">
        <v>0.66110305870228703</v>
      </c>
      <c r="R110" s="97">
        <v>0.17166258342378293</v>
      </c>
      <c r="S110" s="97">
        <v>9.9360151910361738E-2</v>
      </c>
      <c r="T110" s="97">
        <v>2.3063226150040493E-2</v>
      </c>
      <c r="U110" s="97">
        <v>1.2812795645366051E-3</v>
      </c>
      <c r="V110" s="97">
        <v>1.652862243876578E-2</v>
      </c>
      <c r="W110" s="97">
        <v>2.7001077810225305E-2</v>
      </c>
      <c r="X110" s="51">
        <f t="shared" si="8"/>
        <v>5.3174659488309954</v>
      </c>
      <c r="Y110" s="18">
        <v>649.83771338286397</v>
      </c>
      <c r="Z110" s="18">
        <v>38.934379239492259</v>
      </c>
      <c r="AA110" s="18">
        <f t="shared" si="9"/>
        <v>15.783930135902452</v>
      </c>
      <c r="AB110" s="18">
        <f t="shared" si="10"/>
        <v>59.91400381613947</v>
      </c>
      <c r="AC110" s="18">
        <f>$CP$15*Table2912[[#This Row],[DMD '[mg/g']]]+$CS$15*Table2912[[#This Row],[CH4 '[ml/g']]]+$CR$15*Table2912[[#This Row],[CH4 '[% GP']]]+$CQ$15*Table2912[[#This Row],[CH4 '[g/g DDM']]]</f>
        <v>0.1344217364798439</v>
      </c>
      <c r="AD110" s="18">
        <f>_xlfn.RANK.AVG(Table2912[[#This Row],[Index]],Table2912[Index])</f>
        <v>442</v>
      </c>
      <c r="AE11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6.8250064059001163</v>
      </c>
      <c r="AF110" s="18">
        <f>Table2912[[#This Row],[CH4 '[ml/g']]]/Table2912[[#This Row],[APB]]</f>
        <v>5.7046655964797441</v>
      </c>
      <c r="AG110" s="18">
        <f>Table2912[[#This Row],[Propionate '[%']]]/Table2912[[#This Row],[Acetate '[%']]]</f>
        <v>0.25966085191127114</v>
      </c>
      <c r="AH110" s="51"/>
      <c r="AI110" s="18"/>
      <c r="AJ110" s="18"/>
      <c r="AK110" s="18">
        <f>(Table2912[[#This Row],[DMD '[mg/g']]]-$AK$15)/$AK$15*100</f>
        <v>32.541736404368351</v>
      </c>
      <c r="AL110" s="18">
        <f>(Table2912[[#This Row],[CH4 '[ml/g']]]-AL$15)/AL$15*100</f>
        <v>-1.0114577961161122</v>
      </c>
      <c r="AM110" s="18">
        <f>(Table2912[[#This Row],[CH4 '[% GP']]]-AM$15)/AM$15*100</f>
        <v>1.6851590482120233</v>
      </c>
      <c r="AN110" s="18">
        <f>(Table2912[[#This Row],[CH4 '[g/g DDM']]]-AN$15)/AN$15*100</f>
        <v>16.984066109749804</v>
      </c>
      <c r="AO110" s="18"/>
      <c r="AP110" s="18"/>
      <c r="AR110">
        <f>_xlfn.NORM.DIST(Table2912[[#This Row],[GP '[ml/g']]],O$6,O$2,FALSE)</f>
        <v>7.3783147450234244E-3</v>
      </c>
      <c r="AS110">
        <f>_xlfn.NORM.DIST(Table2912[[#This Row],[SCFA '[mmol/g']]],P$6,P$2,FALSE)</f>
        <v>0.26862045203094065</v>
      </c>
      <c r="AT110">
        <f>_xlfn.NORM.DIST(Table2912[[#This Row],[Acetate '[%']]],Q$6,Q$2,FALSE)</f>
        <v>12.828155946322907</v>
      </c>
      <c r="AU110">
        <f>_xlfn.NORM.DIST(Table2912[[#This Row],[Propionate '[%']]],R$6,R$2,FALSE)</f>
        <v>16.79045710931042</v>
      </c>
      <c r="AV110">
        <f>_xlfn.NORM.DIST(Table2912[[#This Row],[Butyrate '[%']]],S$6,S$2,FALSE)</f>
        <v>21.493066813300754</v>
      </c>
      <c r="AW110">
        <f>_xlfn.NORM.DIST(Table2912[[#This Row],[Valerate '[%']]],T$6,T$2,FALSE)</f>
        <v>44.671530368328447</v>
      </c>
      <c r="AX110">
        <f>_xlfn.NORM.DIST(Table2912[[#This Row],[Caproate '[%']]],U$6,U$2,FALSE)</f>
        <v>406.34709202955275</v>
      </c>
      <c r="AY110">
        <f>_xlfn.NORM.DIST(Table2912[[#This Row],[Isobutyrate '[%']]],V$6,V$2,FALSE)</f>
        <v>86.844521002254723</v>
      </c>
      <c r="AZ110">
        <f>_xlfn.NORM.DIST(Table2912[[#This Row],[Isovalerate '[%']]],W$6,W$2,FALSE)</f>
        <v>45.195069546180576</v>
      </c>
      <c r="BA110">
        <f>_xlfn.NORM.DIST(Table2912[[#This Row],[CH4 '[g/mmol SCFA']]],X$6,X$2,FALSE)</f>
        <v>0.22956587777249624</v>
      </c>
      <c r="BB110">
        <f>_xlfn.NORM.DIST(Table2912[[#This Row],[DMD '[mg/g']]],Y$6,Y$2,FALSE)</f>
        <v>1.9060753575842486E-3</v>
      </c>
      <c r="BC110">
        <f>_xlfn.NORM.DIST(Table2912[[#This Row],[CH4 '[ml/g']]],Z$6,Z$2,FALSE)</f>
        <v>3.2796353567715299E-2</v>
      </c>
      <c r="BD110">
        <f>_xlfn.NORM.DIST(Table2912[[#This Row],[CH4 '[% GP']]],AA$6,AA$2,FALSE)</f>
        <v>0.13409727160134785</v>
      </c>
      <c r="BE110">
        <f>_xlfn.NORM.DIST(Table2912[[#This Row],[CH4 '[g/g DDM']]],AB$6,AB$2,FALSE)</f>
        <v>2.8392200919390594E-2</v>
      </c>
      <c r="BG110">
        <f>IF(Table2912[[#This Row],[GP '[ml/g']]]&lt;O$10,_xlfn.NORM.DIST(Table2912[[#This Row],[GP '[ml/g']]],O$6,O$2,FALSE),-100)</f>
        <v>-100</v>
      </c>
      <c r="BH110">
        <f>IF(Table2912[[#This Row],[SCFA '[mmol/g']]]&lt;P$10,_xlfn.NORM.DIST(Table2912[[#This Row],[SCFA '[mmol/g']]],P$6,P$2,FALSE),-100)</f>
        <v>-100</v>
      </c>
      <c r="BI110">
        <f>IF(Table2912[[#This Row],[Acetate '[%']]]&lt;Q$10,_xlfn.NORM.DIST(Table2912[[#This Row],[Acetate '[%']]],Q$6,Q$2,FALSE),-100)</f>
        <v>-100</v>
      </c>
      <c r="BJ110">
        <f>IF(Table2912[[#This Row],[Propionate '[%']]]&lt;R$10,_xlfn.NORM.DIST(Table2912[[#This Row],[Propionate '[%']]],R$6,R$2,FALSE),-100)</f>
        <v>-100</v>
      </c>
      <c r="BK110">
        <f>IF(Table2912[[#This Row],[Butyrate '[%']]]&lt;S$10,_xlfn.NORM.DIST(Table2912[[#This Row],[Butyrate '[%']]],S$6,S$2,FALSE),-100)</f>
        <v>-100</v>
      </c>
      <c r="BL110">
        <f>IF(Table2912[[#This Row],[Valerate '[%']]]&lt;T$10,_xlfn.NORM.DIST(Table2912[[#This Row],[Valerate '[%']]],T$6,T$2,FALSE),-100)</f>
        <v>-100</v>
      </c>
      <c r="BM110">
        <f>IF(Table2912[[#This Row],[Caproate '[%']]]&lt;U$10,_xlfn.NORM.DIST(Table2912[[#This Row],[Caproate '[%']]],U$6,U$2,FALSE),-100)</f>
        <v>-100</v>
      </c>
      <c r="BN110">
        <f>IF(Table2912[[#This Row],[Isobutyrate '[%']]]&lt;V$10,_xlfn.NORM.DIST(Table2912[[#This Row],[Isobutyrate '[%']]],V$6,V$2,FALSE),-100)</f>
        <v>-100</v>
      </c>
      <c r="BO110">
        <f>IF(Table2912[[#This Row],[Isovalerate '[%']]]&lt;W$10,_xlfn.NORM.DIST(Table2912[[#This Row],[Isovalerate '[%']]],W$6,W$2,FALSE),-100)</f>
        <v>-100</v>
      </c>
      <c r="BP110">
        <f>IF(Table2912[[#This Row],[CH4 '[g/mmol SCFA']]]&lt;X$10,_xlfn.NORM.DIST(Table2912[[#This Row],[CH4 '[g/mmol SCFA']]],X$6,X$2,FALSE),-100)</f>
        <v>-100</v>
      </c>
      <c r="BQ110">
        <f>IF(Table2912[[#This Row],[DMD '[mg/g']]]&gt;Y$10,_xlfn.NORM.DIST(Table2912[[#This Row],[DMD '[mg/g']]],Y$6,Y$2,FALSE),-100)</f>
        <v>-100</v>
      </c>
      <c r="BR110">
        <f>IF(Table2912[[#This Row],[CH4 '[ml/g']]]&lt;Z$10,_xlfn.NORM.DIST(Table2912[[#This Row],[CH4 '[ml/g']]],Z$6,Z$2,FALSE),-100)</f>
        <v>-100</v>
      </c>
      <c r="BS110">
        <f>IF(Table2912[[#This Row],[CH4 '[% GP']]]&lt;AA$10,_xlfn.NORM.DIST(Table2912[[#This Row],[CH4 '[% GP']]],AA$6,AA$2,FALSE),-100)</f>
        <v>-100</v>
      </c>
      <c r="BT110">
        <f>IF(Table2912[[#This Row],[CH4 '[g/g DDM']]]&lt;AB$10,_xlfn.NORM.DIST(Table2912[[#This Row],[CH4 '[g/g DDM']]],AB$6,AB$2,FALSE),-100)</f>
        <v>-100</v>
      </c>
      <c r="CJ110" t="str">
        <v>Hordeum vulgare(ICB-35)</v>
      </c>
      <c r="CL110" t="str">
        <v>Hordeum vulgare(ICB-35)</v>
      </c>
    </row>
    <row r="111" spans="1:90" x14ac:dyDescent="0.25">
      <c r="A111" s="12" t="s">
        <v>86</v>
      </c>
      <c r="B111" s="13">
        <v>1061</v>
      </c>
      <c r="C111" s="104" t="s">
        <v>150</v>
      </c>
      <c r="D111" s="104" t="s">
        <v>134</v>
      </c>
      <c r="E111" s="104" t="s">
        <v>151</v>
      </c>
      <c r="F111" s="104" t="s">
        <v>152</v>
      </c>
      <c r="G111" s="32" t="s">
        <v>73</v>
      </c>
      <c r="H111" s="32" t="s">
        <v>74</v>
      </c>
      <c r="I111" s="105" t="s">
        <v>44</v>
      </c>
      <c r="J111" s="70">
        <v>1</v>
      </c>
      <c r="K111" s="70"/>
      <c r="L111" s="70"/>
      <c r="M111" t="s">
        <v>152</v>
      </c>
      <c r="N111" t="s">
        <v>145</v>
      </c>
      <c r="O111" s="18">
        <v>186.37350935093568</v>
      </c>
      <c r="P111" s="18">
        <v>5.2467941833865925</v>
      </c>
      <c r="Q111" s="97">
        <v>0.62023063697913694</v>
      </c>
      <c r="R111" s="97">
        <v>0.15792911761454367</v>
      </c>
      <c r="S111" s="97">
        <v>0.11412322105669817</v>
      </c>
      <c r="T111" s="97">
        <v>2.4046258716325361E-2</v>
      </c>
      <c r="U111" s="97">
        <v>1.4181523481175953E-3</v>
      </c>
      <c r="V111" s="97">
        <v>2.6961978393407197E-2</v>
      </c>
      <c r="W111" s="97">
        <v>5.5290634891771023E-2</v>
      </c>
      <c r="X111" s="51">
        <f t="shared" si="8"/>
        <v>5.8608221576657078</v>
      </c>
      <c r="Y111" s="18">
        <v>650.26018474863372</v>
      </c>
      <c r="Z111" s="18">
        <v>30.750527606703695</v>
      </c>
      <c r="AA111" s="18">
        <f t="shared" si="9"/>
        <v>16.49940901676181</v>
      </c>
      <c r="AB111" s="18">
        <f t="shared" si="10"/>
        <v>47.289574739364831</v>
      </c>
      <c r="AC111" s="18">
        <f>$CP$15*Table2912[[#This Row],[DMD '[mg/g']]]+$CS$15*Table2912[[#This Row],[CH4 '[ml/g']]]+$CR$15*Table2912[[#This Row],[CH4 '[% GP']]]+$CQ$15*Table2912[[#This Row],[CH4 '[g/g DDM']]]</f>
        <v>6.2580162258103158</v>
      </c>
      <c r="AD111" s="18">
        <f>_xlfn.RANK.AVG(Table2912[[#This Row],[Index]],Table2912[Index])</f>
        <v>393</v>
      </c>
      <c r="AE11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4.6816251265772877</v>
      </c>
      <c r="AF111" s="18">
        <f>Table2912[[#This Row],[CH4 '[ml/g']]]/Table2912[[#This Row],[APB]]</f>
        <v>6.5683447040932235</v>
      </c>
      <c r="AG111" s="18">
        <f>Table2912[[#This Row],[Propionate '[%']]]/Table2912[[#This Row],[Acetate '[%']]]</f>
        <v>0.25462966225555222</v>
      </c>
      <c r="AH111" s="51"/>
      <c r="AI111" s="18"/>
      <c r="AJ111" s="18"/>
      <c r="AK111" s="18">
        <f>(Table2912[[#This Row],[DMD '[mg/g']]]-$AK$15)/$AK$15*100</f>
        <v>32.62790420787848</v>
      </c>
      <c r="AL111" s="18">
        <f>(Table2912[[#This Row],[CH4 '[ml/g']]]-AL$15)/AL$15*100</f>
        <v>-21.818455584869849</v>
      </c>
      <c r="AM111" s="18">
        <f>(Table2912[[#This Row],[CH4 '[% GP']]]-AM$15)/AM$15*100</f>
        <v>6.2945043234000932</v>
      </c>
      <c r="AN111" s="18">
        <f>(Table2912[[#This Row],[CH4 '[g/g DDM']]]-AN$15)/AN$15*100</f>
        <v>-7.6655475306161973</v>
      </c>
      <c r="AO111" s="18"/>
      <c r="AP111" s="18"/>
      <c r="AR111">
        <f>_xlfn.NORM.DIST(Table2912[[#This Row],[GP '[ml/g']]],O$6,O$2,FALSE)</f>
        <v>3.2302707893590594E-3</v>
      </c>
      <c r="AS111">
        <f>_xlfn.NORM.DIST(Table2912[[#This Row],[SCFA '[mmol/g']]],P$6,P$2,FALSE)</f>
        <v>0.18640745624664484</v>
      </c>
      <c r="AT111">
        <f>_xlfn.NORM.DIST(Table2912[[#This Row],[Acetate '[%']]],Q$6,Q$2,FALSE)</f>
        <v>2.4882849206870739</v>
      </c>
      <c r="AU111">
        <f>_xlfn.NORM.DIST(Table2912[[#This Row],[Propionate '[%']]],R$6,R$2,FALSE)</f>
        <v>14.136606302286751</v>
      </c>
      <c r="AV111">
        <f>_xlfn.NORM.DIST(Table2912[[#This Row],[Butyrate '[%']]],S$6,S$2,FALSE)</f>
        <v>10.889753471049795</v>
      </c>
      <c r="AW111">
        <f>_xlfn.NORM.DIST(Table2912[[#This Row],[Valerate '[%']]],T$6,T$2,FALSE)</f>
        <v>35.916915306269388</v>
      </c>
      <c r="AX111">
        <f>_xlfn.NORM.DIST(Table2912[[#This Row],[Caproate '[%']]],U$6,U$2,FALSE)</f>
        <v>405.38458264030345</v>
      </c>
      <c r="AY111">
        <f>_xlfn.NORM.DIST(Table2912[[#This Row],[Isobutyrate '[%']]],V$6,V$2,FALSE)</f>
        <v>2.8265467483960949</v>
      </c>
      <c r="AZ111">
        <f>_xlfn.NORM.DIST(Table2912[[#This Row],[Isovalerate '[%']]],W$6,W$2,FALSE)</f>
        <v>0.34991572591304881</v>
      </c>
      <c r="BA111">
        <f>_xlfn.NORM.DIST(Table2912[[#This Row],[CH4 '[g/mmol SCFA']]],X$6,X$2,FALSE)</f>
        <v>0.28305360620533354</v>
      </c>
      <c r="BB111">
        <f>_xlfn.NORM.DIST(Table2912[[#This Row],[DMD '[mg/g']]],Y$6,Y$2,FALSE)</f>
        <v>1.9115018221076822E-3</v>
      </c>
      <c r="BC111">
        <f>_xlfn.NORM.DIST(Table2912[[#This Row],[CH4 '[ml/g']]],Z$6,Z$2,FALSE)</f>
        <v>2.2463150434919012E-2</v>
      </c>
      <c r="BD111">
        <f>_xlfn.NORM.DIST(Table2912[[#This Row],[CH4 '[% GP']]],AA$6,AA$2,FALSE)</f>
        <v>0.13329665888157916</v>
      </c>
      <c r="BE111">
        <f>_xlfn.NORM.DIST(Table2912[[#This Row],[CH4 '[g/g DDM']]],AB$6,AB$2,FALSE)</f>
        <v>2.9000476955646899E-2</v>
      </c>
      <c r="BG111">
        <f>IF(Table2912[[#This Row],[GP '[ml/g']]]&lt;O$10,_xlfn.NORM.DIST(Table2912[[#This Row],[GP '[ml/g']]],O$6,O$2,FALSE),-100)</f>
        <v>3.2302707893590594E-3</v>
      </c>
      <c r="BH111">
        <f>IF(Table2912[[#This Row],[SCFA '[mmol/g']]]&lt;P$10,_xlfn.NORM.DIST(Table2912[[#This Row],[SCFA '[mmol/g']]],P$6,P$2,FALSE),-100)</f>
        <v>0.18640745624664484</v>
      </c>
      <c r="BI111">
        <f>IF(Table2912[[#This Row],[Acetate '[%']]]&lt;Q$10,_xlfn.NORM.DIST(Table2912[[#This Row],[Acetate '[%']]],Q$6,Q$2,FALSE),-100)</f>
        <v>2.4882849206870739</v>
      </c>
      <c r="BJ111">
        <f>IF(Table2912[[#This Row],[Propionate '[%']]]&lt;R$10,_xlfn.NORM.DIST(Table2912[[#This Row],[Propionate '[%']]],R$6,R$2,FALSE),-100)</f>
        <v>-100</v>
      </c>
      <c r="BK111">
        <f>IF(Table2912[[#This Row],[Butyrate '[%']]]&lt;S$10,_xlfn.NORM.DIST(Table2912[[#This Row],[Butyrate '[%']]],S$6,S$2,FALSE),-100)</f>
        <v>-100</v>
      </c>
      <c r="BL111">
        <f>IF(Table2912[[#This Row],[Valerate '[%']]]&lt;T$10,_xlfn.NORM.DIST(Table2912[[#This Row],[Valerate '[%']]],T$6,T$2,FALSE),-100)</f>
        <v>-100</v>
      </c>
      <c r="BM111">
        <f>IF(Table2912[[#This Row],[Caproate '[%']]]&lt;U$10,_xlfn.NORM.DIST(Table2912[[#This Row],[Caproate '[%']]],U$6,U$2,FALSE),-100)</f>
        <v>-100</v>
      </c>
      <c r="BN111">
        <f>IF(Table2912[[#This Row],[Isobutyrate '[%']]]&lt;V$10,_xlfn.NORM.DIST(Table2912[[#This Row],[Isobutyrate '[%']]],V$6,V$2,FALSE),-100)</f>
        <v>-100</v>
      </c>
      <c r="BO111">
        <f>IF(Table2912[[#This Row],[Isovalerate '[%']]]&lt;W$10,_xlfn.NORM.DIST(Table2912[[#This Row],[Isovalerate '[%']]],W$6,W$2,FALSE),-100)</f>
        <v>-100</v>
      </c>
      <c r="BP111">
        <f>IF(Table2912[[#This Row],[CH4 '[g/mmol SCFA']]]&lt;X$10,_xlfn.NORM.DIST(Table2912[[#This Row],[CH4 '[g/mmol SCFA']]],X$6,X$2,FALSE),-100)</f>
        <v>-100</v>
      </c>
      <c r="BQ111">
        <f>IF(Table2912[[#This Row],[DMD '[mg/g']]]&gt;Y$10,_xlfn.NORM.DIST(Table2912[[#This Row],[DMD '[mg/g']]],Y$6,Y$2,FALSE),-100)</f>
        <v>-100</v>
      </c>
      <c r="BR111">
        <f>IF(Table2912[[#This Row],[CH4 '[ml/g']]]&lt;Z$10,_xlfn.NORM.DIST(Table2912[[#This Row],[CH4 '[ml/g']]],Z$6,Z$2,FALSE),-100)</f>
        <v>-100</v>
      </c>
      <c r="BS111">
        <f>IF(Table2912[[#This Row],[CH4 '[% GP']]]&lt;AA$10,_xlfn.NORM.DIST(Table2912[[#This Row],[CH4 '[% GP']]],AA$6,AA$2,FALSE),-100)</f>
        <v>-100</v>
      </c>
      <c r="BT111">
        <f>IF(Table2912[[#This Row],[CH4 '[g/g DDM']]]&lt;AB$10,_xlfn.NORM.DIST(Table2912[[#This Row],[CH4 '[g/g DDM']]],AB$6,AB$2,FALSE),-100)</f>
        <v>-100</v>
      </c>
      <c r="CJ111" t="str">
        <v>Arachis pintoi</v>
      </c>
      <c r="CL111" t="str">
        <v>Arachis pintoi</v>
      </c>
    </row>
    <row r="112" spans="1:90" x14ac:dyDescent="0.25">
      <c r="A112" s="12" t="s">
        <v>86</v>
      </c>
      <c r="B112" s="13">
        <v>1047</v>
      </c>
      <c r="C112" s="104" t="s">
        <v>183</v>
      </c>
      <c r="D112" s="104" t="s">
        <v>184</v>
      </c>
      <c r="E112" s="104" t="s">
        <v>185</v>
      </c>
      <c r="F112" s="104" t="s">
        <v>186</v>
      </c>
      <c r="G112" s="32" t="s">
        <v>73</v>
      </c>
      <c r="H112" s="32" t="s">
        <v>74</v>
      </c>
      <c r="I112" s="104" t="s">
        <v>44</v>
      </c>
      <c r="J112" s="100">
        <v>2</v>
      </c>
      <c r="K112" s="100"/>
      <c r="L112" s="100"/>
      <c r="M112" t="s">
        <v>186</v>
      </c>
      <c r="N112" t="s">
        <v>99</v>
      </c>
      <c r="O112" s="18">
        <v>202.87876592006938</v>
      </c>
      <c r="P112" s="18">
        <v>5.5089580588493625</v>
      </c>
      <c r="Q112" s="97">
        <v>0.65067191183644213</v>
      </c>
      <c r="R112" s="97">
        <v>0.18359643375341345</v>
      </c>
      <c r="S112" s="97">
        <v>8.3266603694465341E-2</v>
      </c>
      <c r="T112" s="97">
        <v>2.2466439651113154E-2</v>
      </c>
      <c r="U112" s="97">
        <v>4.694895608616912E-4</v>
      </c>
      <c r="V112" s="97">
        <v>2.1594054904525654E-2</v>
      </c>
      <c r="W112" s="97">
        <v>3.793506659917871E-2</v>
      </c>
      <c r="X112" s="51">
        <f t="shared" si="8"/>
        <v>6.5049606248726661</v>
      </c>
      <c r="Y112" s="18">
        <v>650.98506807202466</v>
      </c>
      <c r="Z112" s="18">
        <v>35.835555256890061</v>
      </c>
      <c r="AA112" s="18">
        <f t="shared" si="9"/>
        <v>17.663531762120748</v>
      </c>
      <c r="AB112" s="18">
        <f t="shared" si="10"/>
        <v>55.048198514017578</v>
      </c>
      <c r="AC112" s="18">
        <f>$CP$15*Table2912[[#This Row],[DMD '[mg/g']]]+$CS$15*Table2912[[#This Row],[CH4 '[ml/g']]]+$CR$15*Table2912[[#This Row],[CH4 '[% GP']]]+$CQ$15*Table2912[[#This Row],[CH4 '[g/g DDM']]]</f>
        <v>2.0980320354437936</v>
      </c>
      <c r="AD112" s="18">
        <f>_xlfn.RANK.AVG(Table2912[[#This Row],[Index]],Table2912[Index])</f>
        <v>432</v>
      </c>
      <c r="AE11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5.0546615531358006</v>
      </c>
      <c r="AF112" s="18">
        <f>Table2912[[#This Row],[CH4 '[ml/g']]]/Table2912[[#This Row],[APB]]</f>
        <v>7.0896052841873205</v>
      </c>
      <c r="AG112" s="18">
        <f>Table2912[[#This Row],[Propionate '[%']]]/Table2912[[#This Row],[Acetate '[%']]]</f>
        <v>0.28216437564553065</v>
      </c>
      <c r="AH112" s="51"/>
      <c r="AI112" s="18"/>
      <c r="AJ112" s="18"/>
      <c r="AK112" s="18">
        <f>(Table2912[[#This Row],[DMD '[mg/g']]]-$AK$15)/$AK$15*100</f>
        <v>32.775752343488605</v>
      </c>
      <c r="AL112" s="18">
        <f>(Table2912[[#This Row],[CH4 '[ml/g']]]-AL$15)/AL$15*100</f>
        <v>-8.8900492768576846</v>
      </c>
      <c r="AM112" s="18">
        <f>(Table2912[[#This Row],[CH4 '[% GP']]]-AM$15)/AM$15*100</f>
        <v>13.794157799704381</v>
      </c>
      <c r="AN112" s="18">
        <f>(Table2912[[#This Row],[CH4 '[g/g DDM']]]-AN$15)/AN$15*100</f>
        <v>7.4834209703030705</v>
      </c>
      <c r="AO112" s="18"/>
      <c r="AP112" s="18"/>
      <c r="AR112">
        <f>_xlfn.NORM.DIST(Table2912[[#This Row],[GP '[ml/g']]],O$6,O$2,FALSE)</f>
        <v>4.5983905780566346E-3</v>
      </c>
      <c r="AS112">
        <f>_xlfn.NORM.DIST(Table2912[[#This Row],[SCFA '[mmol/g']]],P$6,P$2,FALSE)</f>
        <v>0.23030855980604142</v>
      </c>
      <c r="AT112">
        <f>_xlfn.NORM.DIST(Table2912[[#This Row],[Acetate '[%']]],Q$6,Q$2,FALSE)</f>
        <v>10.271346931133769</v>
      </c>
      <c r="AU112">
        <f>_xlfn.NORM.DIST(Table2912[[#This Row],[Propionate '[%']]],R$6,R$2,FALSE)</f>
        <v>14.864828678946283</v>
      </c>
      <c r="AV112">
        <f>_xlfn.NORM.DIST(Table2912[[#This Row],[Butyrate '[%']]],S$6,S$2,FALSE)</f>
        <v>19.71671974222587</v>
      </c>
      <c r="AW112">
        <f>_xlfn.NORM.DIST(Table2912[[#This Row],[Valerate '[%']]],T$6,T$2,FALSE)</f>
        <v>50.099801183678181</v>
      </c>
      <c r="AX112">
        <f>_xlfn.NORM.DIST(Table2912[[#This Row],[Caproate '[%']]],U$6,U$2,FALSE)</f>
        <v>276.07503748453973</v>
      </c>
      <c r="AY112">
        <f>_xlfn.NORM.DIST(Table2912[[#This Row],[Isobutyrate '[%']]],V$6,V$2,FALSE)</f>
        <v>32.97002421863737</v>
      </c>
      <c r="AZ112">
        <f>_xlfn.NORM.DIST(Table2912[[#This Row],[Isovalerate '[%']]],W$6,W$2,FALSE)</f>
        <v>23.63176222941318</v>
      </c>
      <c r="BA112">
        <f>_xlfn.NORM.DIST(Table2912[[#This Row],[CH4 '[g/mmol SCFA']]],X$6,X$2,FALSE)</f>
        <v>0.29335388297190879</v>
      </c>
      <c r="BB112">
        <f>_xlfn.NORM.DIST(Table2912[[#This Row],[DMD '[mg/g']]],Y$6,Y$2,FALSE)</f>
        <v>1.9208059809546596E-3</v>
      </c>
      <c r="BC112">
        <f>_xlfn.NORM.DIST(Table2912[[#This Row],[CH4 '[ml/g']]],Z$6,Z$2,FALSE)</f>
        <v>3.0041988955053906E-2</v>
      </c>
      <c r="BD112">
        <f>_xlfn.NORM.DIST(Table2912[[#This Row],[CH4 '[% GP']]],AA$6,AA$2,FALSE)</f>
        <v>0.11652184969008779</v>
      </c>
      <c r="BE112">
        <f>_xlfn.NORM.DIST(Table2912[[#This Row],[CH4 '[g/g DDM']]],AB$6,AB$2,FALSE)</f>
        <v>3.2534029593122578E-2</v>
      </c>
      <c r="BG112">
        <f>IF(Table2912[[#This Row],[GP '[ml/g']]]&lt;O$10,_xlfn.NORM.DIST(Table2912[[#This Row],[GP '[ml/g']]],O$6,O$2,FALSE),-100)</f>
        <v>-100</v>
      </c>
      <c r="BH112">
        <f>IF(Table2912[[#This Row],[SCFA '[mmol/g']]]&lt;P$10,_xlfn.NORM.DIST(Table2912[[#This Row],[SCFA '[mmol/g']]],P$6,P$2,FALSE),-100)</f>
        <v>-100</v>
      </c>
      <c r="BI112">
        <f>IF(Table2912[[#This Row],[Acetate '[%']]]&lt;Q$10,_xlfn.NORM.DIST(Table2912[[#This Row],[Acetate '[%']]],Q$6,Q$2,FALSE),-100)</f>
        <v>-100</v>
      </c>
      <c r="BJ112">
        <f>IF(Table2912[[#This Row],[Propionate '[%']]]&lt;R$10,_xlfn.NORM.DIST(Table2912[[#This Row],[Propionate '[%']]],R$6,R$2,FALSE),-100)</f>
        <v>-100</v>
      </c>
      <c r="BK112">
        <f>IF(Table2912[[#This Row],[Butyrate '[%']]]&lt;S$10,_xlfn.NORM.DIST(Table2912[[#This Row],[Butyrate '[%']]],S$6,S$2,FALSE),-100)</f>
        <v>-100</v>
      </c>
      <c r="BL112">
        <f>IF(Table2912[[#This Row],[Valerate '[%']]]&lt;T$10,_xlfn.NORM.DIST(Table2912[[#This Row],[Valerate '[%']]],T$6,T$2,FALSE),-100)</f>
        <v>-100</v>
      </c>
      <c r="BM112">
        <f>IF(Table2912[[#This Row],[Caproate '[%']]]&lt;U$10,_xlfn.NORM.DIST(Table2912[[#This Row],[Caproate '[%']]],U$6,U$2,FALSE),-100)</f>
        <v>-100</v>
      </c>
      <c r="BN112">
        <f>IF(Table2912[[#This Row],[Isobutyrate '[%']]]&lt;V$10,_xlfn.NORM.DIST(Table2912[[#This Row],[Isobutyrate '[%']]],V$6,V$2,FALSE),-100)</f>
        <v>-100</v>
      </c>
      <c r="BO112">
        <f>IF(Table2912[[#This Row],[Isovalerate '[%']]]&lt;W$10,_xlfn.NORM.DIST(Table2912[[#This Row],[Isovalerate '[%']]],W$6,W$2,FALSE),-100)</f>
        <v>-100</v>
      </c>
      <c r="BP112">
        <f>IF(Table2912[[#This Row],[CH4 '[g/mmol SCFA']]]&lt;X$10,_xlfn.NORM.DIST(Table2912[[#This Row],[CH4 '[g/mmol SCFA']]],X$6,X$2,FALSE),-100)</f>
        <v>-100</v>
      </c>
      <c r="BQ112">
        <f>IF(Table2912[[#This Row],[DMD '[mg/g']]]&gt;Y$10,_xlfn.NORM.DIST(Table2912[[#This Row],[DMD '[mg/g']]],Y$6,Y$2,FALSE),-100)</f>
        <v>-100</v>
      </c>
      <c r="BR112">
        <f>IF(Table2912[[#This Row],[CH4 '[ml/g']]]&lt;Z$10,_xlfn.NORM.DIST(Table2912[[#This Row],[CH4 '[ml/g']]],Z$6,Z$2,FALSE),-100)</f>
        <v>-100</v>
      </c>
      <c r="BS112">
        <f>IF(Table2912[[#This Row],[CH4 '[% GP']]]&lt;AA$10,_xlfn.NORM.DIST(Table2912[[#This Row],[CH4 '[% GP']]],AA$6,AA$2,FALSE),-100)</f>
        <v>-100</v>
      </c>
      <c r="BT112">
        <f>IF(Table2912[[#This Row],[CH4 '[g/g DDM']]]&lt;AB$10,_xlfn.NORM.DIST(Table2912[[#This Row],[CH4 '[g/g DDM']]],AB$6,AB$2,FALSE),-100)</f>
        <v>-100</v>
      </c>
      <c r="CJ112" t="str">
        <v>Hordeum vulgare(ICB-16)</v>
      </c>
      <c r="CL112" t="str">
        <v>Hordeum vulgare(ICB-16)</v>
      </c>
    </row>
    <row r="113" spans="1:90" x14ac:dyDescent="0.25">
      <c r="A113" s="12" t="s">
        <v>70</v>
      </c>
      <c r="B113" s="13">
        <v>1020</v>
      </c>
      <c r="C113" s="96" t="s">
        <v>155</v>
      </c>
      <c r="D113" s="96"/>
      <c r="E113" s="96"/>
      <c r="F113" s="96" t="s">
        <v>156</v>
      </c>
      <c r="G113" t="s">
        <v>73</v>
      </c>
      <c r="H113" t="s">
        <v>74</v>
      </c>
      <c r="I113" t="s">
        <v>75</v>
      </c>
      <c r="J113" s="100">
        <v>1</v>
      </c>
      <c r="K113" s="100"/>
      <c r="L113" s="100"/>
      <c r="M113" t="s">
        <v>156</v>
      </c>
      <c r="N113" t="s">
        <v>80</v>
      </c>
      <c r="O113" s="18">
        <v>233.73499890422957</v>
      </c>
      <c r="P113" s="18">
        <v>5.2927814938684499</v>
      </c>
      <c r="Q113" s="97">
        <v>0.67010356948287897</v>
      </c>
      <c r="R113" s="97">
        <v>0.15955500687161572</v>
      </c>
      <c r="S113" s="97">
        <v>0.10729354411797212</v>
      </c>
      <c r="T113" s="97">
        <v>1.8576274827415397E-2</v>
      </c>
      <c r="U113" s="97">
        <v>1.7636968097396294E-3</v>
      </c>
      <c r="V113" s="97">
        <v>1.4907146451780613E-2</v>
      </c>
      <c r="W113" s="97">
        <v>2.7800761438597651E-2</v>
      </c>
      <c r="X113" s="51">
        <f t="shared" si="8"/>
        <v>6.2156765302576567</v>
      </c>
      <c r="Y113" s="18">
        <v>655.03504299490919</v>
      </c>
      <c r="Z113" s="18">
        <v>32.898217711220184</v>
      </c>
      <c r="AA113" s="18">
        <f t="shared" si="9"/>
        <v>14.075007108670054</v>
      </c>
      <c r="AB113" s="18">
        <f t="shared" si="10"/>
        <v>50.223599581489665</v>
      </c>
      <c r="AC113" s="18">
        <f>$CP$15*Table2912[[#This Row],[DMD '[mg/g']]]+$CS$15*Table2912[[#This Row],[CH4 '[ml/g']]]+$CR$15*Table2912[[#This Row],[CH4 '[% GP']]]+$CQ$15*Table2912[[#This Row],[CH4 '[g/g DDM']]]</f>
        <v>5.9193244081115921</v>
      </c>
      <c r="AD113" s="18">
        <f>_xlfn.RANK.AVG(Table2912[[#This Row],[Index]],Table2912[Index])</f>
        <v>398</v>
      </c>
      <c r="AE11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4.959082843877475</v>
      </c>
      <c r="AF113" s="18">
        <f>Table2912[[#This Row],[CH4 '[ml/g']]]/Table2912[[#This Row],[APB]]</f>
        <v>6.6339318674291956</v>
      </c>
      <c r="AG113" s="18">
        <f>Table2912[[#This Row],[Propionate '[%']]]/Table2912[[#This Row],[Acetate '[%']]]</f>
        <v>0.23810499471707758</v>
      </c>
      <c r="AH113" s="51"/>
      <c r="AI113" s="18"/>
      <c r="AJ113" s="18"/>
      <c r="AK113" s="18">
        <f>(Table2912[[#This Row],[DMD '[mg/g']]]-$AK$15)/$AK$15*100</f>
        <v>33.601790441337513</v>
      </c>
      <c r="AL113" s="18">
        <f>(Table2912[[#This Row],[CH4 '[ml/g']]]-AL$15)/AL$15*100</f>
        <v>-16.358070272339905</v>
      </c>
      <c r="AM113" s="18">
        <f>(Table2912[[#This Row],[CH4 '[% GP']]]-AM$15)/AM$15*100</f>
        <v>-9.324273224299926</v>
      </c>
      <c r="AN113" s="18">
        <f>(Table2912[[#This Row],[CH4 '[g/g DDM']]]-AN$15)/AN$15*100</f>
        <v>-1.9367673751107084</v>
      </c>
      <c r="AO113" s="18"/>
      <c r="AP113" s="18"/>
      <c r="AR113">
        <f>_xlfn.NORM.DIST(Table2912[[#This Row],[GP '[ml/g']]],O$6,O$2,FALSE)</f>
        <v>6.8828276865938775E-3</v>
      </c>
      <c r="AS113">
        <f>_xlfn.NORM.DIST(Table2912[[#This Row],[SCFA '[mmol/g']]],P$6,P$2,FALSE)</f>
        <v>0.1941226840982043</v>
      </c>
      <c r="AT113">
        <f>_xlfn.NORM.DIST(Table2912[[#This Row],[Acetate '[%']]],Q$6,Q$2,FALSE)</f>
        <v>13.947973328182128</v>
      </c>
      <c r="AU113">
        <f>_xlfn.NORM.DIST(Table2912[[#This Row],[Propionate '[%']]],R$6,R$2,FALSE)</f>
        <v>14.681261449196418</v>
      </c>
      <c r="AV113">
        <f>_xlfn.NORM.DIST(Table2912[[#This Row],[Butyrate '[%']]],S$6,S$2,FALSE)</f>
        <v>16.3240950643014</v>
      </c>
      <c r="AW113">
        <f>_xlfn.NORM.DIST(Table2912[[#This Row],[Valerate '[%']]],T$6,T$2,FALSE)</f>
        <v>76.179584872613148</v>
      </c>
      <c r="AX113">
        <f>_xlfn.NORM.DIST(Table2912[[#This Row],[Caproate '[%']]],U$6,U$2,FALSE)</f>
        <v>369.49475549093239</v>
      </c>
      <c r="AY113">
        <f>_xlfn.NORM.DIST(Table2912[[#This Row],[Isobutyrate '[%']]],V$6,V$2,FALSE)</f>
        <v>89.771247032107993</v>
      </c>
      <c r="AZ113">
        <f>_xlfn.NORM.DIST(Table2912[[#This Row],[Isovalerate '[%']]],W$6,W$2,FALSE)</f>
        <v>45.427274375425817</v>
      </c>
      <c r="BA113">
        <f>_xlfn.NORM.DIST(Table2912[[#This Row],[CH4 '[g/mmol SCFA']]],X$6,X$2,FALSE)</f>
        <v>0.29703570568697363</v>
      </c>
      <c r="BB113">
        <f>_xlfn.NORM.DIST(Table2912[[#This Row],[DMD '[mg/g']]],Y$6,Y$2,FALSE)</f>
        <v>1.9726092451751269E-3</v>
      </c>
      <c r="BC113">
        <f>_xlfn.NORM.DIST(Table2912[[#This Row],[CH4 '[ml/g']]],Z$6,Z$2,FALSE)</f>
        <v>2.5969243975441515E-2</v>
      </c>
      <c r="BD113">
        <f>_xlfn.NORM.DIST(Table2912[[#This Row],[CH4 '[% GP']]],AA$6,AA$2,FALSE)</f>
        <v>0.10740923895672146</v>
      </c>
      <c r="BE113">
        <f>_xlfn.NORM.DIST(Table2912[[#This Row],[CH4 '[g/g DDM']]],AB$6,AB$2,FALSE)</f>
        <v>3.1778405382113087E-2</v>
      </c>
      <c r="BG113">
        <f>IF(Table2912[[#This Row],[GP '[ml/g']]]&lt;O$10,_xlfn.NORM.DIST(Table2912[[#This Row],[GP '[ml/g']]],O$6,O$2,FALSE),-100)</f>
        <v>-100</v>
      </c>
      <c r="BH113">
        <f>IF(Table2912[[#This Row],[SCFA '[mmol/g']]]&lt;P$10,_xlfn.NORM.DIST(Table2912[[#This Row],[SCFA '[mmol/g']]],P$6,P$2,FALSE),-100)</f>
        <v>0.1941226840982043</v>
      </c>
      <c r="BI113">
        <f>IF(Table2912[[#This Row],[Acetate '[%']]]&lt;Q$10,_xlfn.NORM.DIST(Table2912[[#This Row],[Acetate '[%']]],Q$6,Q$2,FALSE),-100)</f>
        <v>-100</v>
      </c>
      <c r="BJ113">
        <f>IF(Table2912[[#This Row],[Propionate '[%']]]&lt;R$10,_xlfn.NORM.DIST(Table2912[[#This Row],[Propionate '[%']]],R$6,R$2,FALSE),-100)</f>
        <v>-100</v>
      </c>
      <c r="BK113">
        <f>IF(Table2912[[#This Row],[Butyrate '[%']]]&lt;S$10,_xlfn.NORM.DIST(Table2912[[#This Row],[Butyrate '[%']]],S$6,S$2,FALSE),-100)</f>
        <v>-100</v>
      </c>
      <c r="BL113">
        <f>IF(Table2912[[#This Row],[Valerate '[%']]]&lt;T$10,_xlfn.NORM.DIST(Table2912[[#This Row],[Valerate '[%']]],T$6,T$2,FALSE),-100)</f>
        <v>-100</v>
      </c>
      <c r="BM113">
        <f>IF(Table2912[[#This Row],[Caproate '[%']]]&lt;U$10,_xlfn.NORM.DIST(Table2912[[#This Row],[Caproate '[%']]],U$6,U$2,FALSE),-100)</f>
        <v>-100</v>
      </c>
      <c r="BN113">
        <f>IF(Table2912[[#This Row],[Isobutyrate '[%']]]&lt;V$10,_xlfn.NORM.DIST(Table2912[[#This Row],[Isobutyrate '[%']]],V$6,V$2,FALSE),-100)</f>
        <v>-100</v>
      </c>
      <c r="BO113">
        <f>IF(Table2912[[#This Row],[Isovalerate '[%']]]&lt;W$10,_xlfn.NORM.DIST(Table2912[[#This Row],[Isovalerate '[%']]],W$6,W$2,FALSE),-100)</f>
        <v>-100</v>
      </c>
      <c r="BP113">
        <f>IF(Table2912[[#This Row],[CH4 '[g/mmol SCFA']]]&lt;X$10,_xlfn.NORM.DIST(Table2912[[#This Row],[CH4 '[g/mmol SCFA']]],X$6,X$2,FALSE),-100)</f>
        <v>-100</v>
      </c>
      <c r="BQ113">
        <f>IF(Table2912[[#This Row],[DMD '[mg/g']]]&gt;Y$10,_xlfn.NORM.DIST(Table2912[[#This Row],[DMD '[mg/g']]],Y$6,Y$2,FALSE),-100)</f>
        <v>-100</v>
      </c>
      <c r="BR113">
        <f>IF(Table2912[[#This Row],[CH4 '[ml/g']]]&lt;Z$10,_xlfn.NORM.DIST(Table2912[[#This Row],[CH4 '[ml/g']]],Z$6,Z$2,FALSE),-100)</f>
        <v>-100</v>
      </c>
      <c r="BS113">
        <f>IF(Table2912[[#This Row],[CH4 '[% GP']]]&lt;AA$10,_xlfn.NORM.DIST(Table2912[[#This Row],[CH4 '[% GP']]],AA$6,AA$2,FALSE),-100)</f>
        <v>-100</v>
      </c>
      <c r="BT113">
        <f>IF(Table2912[[#This Row],[CH4 '[g/g DDM']]]&lt;AB$10,_xlfn.NORM.DIST(Table2912[[#This Row],[CH4 '[g/g DDM']]],AB$6,AB$2,FALSE),-100)</f>
        <v>-100</v>
      </c>
      <c r="CJ113" t="str">
        <v>Brachiaria ruziziensis</v>
      </c>
      <c r="CL113" t="str">
        <v>Brachiaria ruziziensis</v>
      </c>
    </row>
    <row r="114" spans="1:90" x14ac:dyDescent="0.25">
      <c r="A114" s="12" t="s">
        <v>86</v>
      </c>
      <c r="B114" s="13">
        <v>1053</v>
      </c>
      <c r="C114" s="112">
        <v>22393</v>
      </c>
      <c r="D114" s="104" t="s">
        <v>103</v>
      </c>
      <c r="E114" s="104" t="s">
        <v>153</v>
      </c>
      <c r="F114" t="s">
        <v>154</v>
      </c>
      <c r="G114" s="23" t="s">
        <v>73</v>
      </c>
      <c r="H114" s="23" t="s">
        <v>74</v>
      </c>
      <c r="I114" s="105" t="s">
        <v>48</v>
      </c>
      <c r="J114" s="70">
        <v>1</v>
      </c>
      <c r="K114" s="70"/>
      <c r="L114" s="70"/>
      <c r="M114" t="s">
        <v>154</v>
      </c>
      <c r="N114" t="s">
        <v>84</v>
      </c>
      <c r="O114" s="18">
        <v>182.04236248082421</v>
      </c>
      <c r="P114" s="18">
        <v>5.6904448827525735</v>
      </c>
      <c r="Q114" s="97">
        <v>0.65363655619957262</v>
      </c>
      <c r="R114" s="97">
        <v>0.18149082436309721</v>
      </c>
      <c r="S114" s="97">
        <v>8.6037241724596106E-2</v>
      </c>
      <c r="T114" s="97">
        <v>2.0488725424120467E-2</v>
      </c>
      <c r="U114" s="97">
        <v>1.0783539696905512E-3</v>
      </c>
      <c r="V114" s="97">
        <v>2.0103599006373842E-2</v>
      </c>
      <c r="W114" s="97">
        <v>3.716469931254935E-2</v>
      </c>
      <c r="X114" s="51">
        <f t="shared" si="8"/>
        <v>4.2257495039573429</v>
      </c>
      <c r="Y114" s="18">
        <v>655.92811746657947</v>
      </c>
      <c r="Z114" s="18">
        <v>24.046394640588286</v>
      </c>
      <c r="AA114" s="18">
        <f t="shared" si="9"/>
        <v>13.20923015549266</v>
      </c>
      <c r="AB114" s="18">
        <f t="shared" si="10"/>
        <v>36.660106496827353</v>
      </c>
      <c r="AC114" s="18">
        <f>$CP$15*Table2912[[#This Row],[DMD '[mg/g']]]+$CS$15*Table2912[[#This Row],[CH4 '[ml/g']]]+$CR$15*Table2912[[#This Row],[CH4 '[% GP']]]+$CQ$15*Table2912[[#This Row],[CH4 '[g/g DDM']]]</f>
        <v>12.978241029243826</v>
      </c>
      <c r="AD114" s="18">
        <f>_xlfn.RANK.AVG(Table2912[[#This Row],[Index]],Table2912[Index])</f>
        <v>303</v>
      </c>
      <c r="AE11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5.2418365110672802</v>
      </c>
      <c r="AF114" s="18">
        <f>Table2912[[#This Row],[CH4 '[ml/g']]]/Table2912[[#This Row],[APB]]</f>
        <v>4.587398822877871</v>
      </c>
      <c r="AG114" s="18">
        <f>Table2912[[#This Row],[Propionate '[%']]]/Table2912[[#This Row],[Acetate '[%']]]</f>
        <v>0.27766320999292954</v>
      </c>
      <c r="AH114" s="51"/>
      <c r="AI114" s="18"/>
      <c r="AJ114" s="18"/>
      <c r="AK114" s="18">
        <f>(Table2912[[#This Row],[DMD '[mg/g']]]-$AK$15)/$AK$15*100</f>
        <v>33.783943060023489</v>
      </c>
      <c r="AL114" s="18">
        <f>(Table2912[[#This Row],[CH4 '[ml/g']]]-AL$15)/AL$15*100</f>
        <v>-38.863349121624204</v>
      </c>
      <c r="AM114" s="18">
        <f>(Table2912[[#This Row],[CH4 '[% GP']]]-AM$15)/AM$15*100</f>
        <v>-14.901887064839528</v>
      </c>
      <c r="AN114" s="18">
        <f>(Table2912[[#This Row],[CH4 '[g/g DDM']]]-AN$15)/AN$15*100</f>
        <v>-28.41993442507918</v>
      </c>
      <c r="AO114" s="18"/>
      <c r="AP114" s="18"/>
      <c r="AR114">
        <f>_xlfn.NORM.DIST(Table2912[[#This Row],[GP '[ml/g']]],O$6,O$2,FALSE)</f>
        <v>2.8980443810013501E-3</v>
      </c>
      <c r="AS114">
        <f>_xlfn.NORM.DIST(Table2912[[#This Row],[SCFA '[mmol/g']]],P$6,P$2,FALSE)</f>
        <v>0.25925635255092527</v>
      </c>
      <c r="AT114">
        <f>_xlfn.NORM.DIST(Table2912[[#This Row],[Acetate '[%']]],Q$6,Q$2,FALSE)</f>
        <v>11.091911817473955</v>
      </c>
      <c r="AU114">
        <f>_xlfn.NORM.DIST(Table2912[[#This Row],[Propionate '[%']]],R$6,R$2,FALSE)</f>
        <v>15.468729188902222</v>
      </c>
      <c r="AV114">
        <f>_xlfn.NORM.DIST(Table2912[[#This Row],[Butyrate '[%']]],S$6,S$2,FALSE)</f>
        <v>21.281201254458416</v>
      </c>
      <c r="AW114">
        <f>_xlfn.NORM.DIST(Table2912[[#This Row],[Valerate '[%']]],T$6,T$2,FALSE)</f>
        <v>66.569491953708223</v>
      </c>
      <c r="AX114">
        <f>_xlfn.NORM.DIST(Table2912[[#This Row],[Caproate '[%']]],U$6,U$2,FALSE)</f>
        <v>393.411090419743</v>
      </c>
      <c r="AY114">
        <f>_xlfn.NORM.DIST(Table2912[[#This Row],[Isobutyrate '[%']]],V$6,V$2,FALSE)</f>
        <v>50.231603054952835</v>
      </c>
      <c r="AZ114">
        <f>_xlfn.NORM.DIST(Table2912[[#This Row],[Isovalerate '[%']]],W$6,W$2,FALSE)</f>
        <v>26.024593414142867</v>
      </c>
      <c r="BA114">
        <f>_xlfn.NORM.DIST(Table2912[[#This Row],[CH4 '[g/mmol SCFA']]],X$6,X$2,FALSE)</f>
        <v>9.1775759010189945E-2</v>
      </c>
      <c r="BB114">
        <f>_xlfn.NORM.DIST(Table2912[[#This Row],[DMD '[mg/g']]],Y$6,Y$2,FALSE)</f>
        <v>1.9839852905460258E-3</v>
      </c>
      <c r="BC114">
        <f>_xlfn.NORM.DIST(Table2912[[#This Row],[CH4 '[ml/g']]],Z$6,Z$2,FALSE)</f>
        <v>1.1586437859694446E-2</v>
      </c>
      <c r="BD114">
        <f>_xlfn.NORM.DIST(Table2912[[#This Row],[CH4 '[% GP']]],AA$6,AA$2,FALSE)</f>
        <v>8.4531376309581893E-2</v>
      </c>
      <c r="BE114">
        <f>_xlfn.NORM.DIST(Table2912[[#This Row],[CH4 '[g/g DDM']]],AB$6,AB$2,FALSE)</f>
        <v>1.2769794892232586E-2</v>
      </c>
      <c r="BG114">
        <f>IF(Table2912[[#This Row],[GP '[ml/g']]]&lt;O$10,_xlfn.NORM.DIST(Table2912[[#This Row],[GP '[ml/g']]],O$6,O$2,FALSE),-100)</f>
        <v>2.8980443810013501E-3</v>
      </c>
      <c r="BH114">
        <f>IF(Table2912[[#This Row],[SCFA '[mmol/g']]]&lt;P$10,_xlfn.NORM.DIST(Table2912[[#This Row],[SCFA '[mmol/g']]],P$6,P$2,FALSE),-100)</f>
        <v>-100</v>
      </c>
      <c r="BI114">
        <f>IF(Table2912[[#This Row],[Acetate '[%']]]&lt;Q$10,_xlfn.NORM.DIST(Table2912[[#This Row],[Acetate '[%']]],Q$6,Q$2,FALSE),-100)</f>
        <v>-100</v>
      </c>
      <c r="BJ114">
        <f>IF(Table2912[[#This Row],[Propionate '[%']]]&lt;R$10,_xlfn.NORM.DIST(Table2912[[#This Row],[Propionate '[%']]],R$6,R$2,FALSE),-100)</f>
        <v>-100</v>
      </c>
      <c r="BK114">
        <f>IF(Table2912[[#This Row],[Butyrate '[%']]]&lt;S$10,_xlfn.NORM.DIST(Table2912[[#This Row],[Butyrate '[%']]],S$6,S$2,FALSE),-100)</f>
        <v>-100</v>
      </c>
      <c r="BL114">
        <f>IF(Table2912[[#This Row],[Valerate '[%']]]&lt;T$10,_xlfn.NORM.DIST(Table2912[[#This Row],[Valerate '[%']]],T$6,T$2,FALSE),-100)</f>
        <v>-100</v>
      </c>
      <c r="BM114">
        <f>IF(Table2912[[#This Row],[Caproate '[%']]]&lt;U$10,_xlfn.NORM.DIST(Table2912[[#This Row],[Caproate '[%']]],U$6,U$2,FALSE),-100)</f>
        <v>-100</v>
      </c>
      <c r="BN114">
        <f>IF(Table2912[[#This Row],[Isobutyrate '[%']]]&lt;V$10,_xlfn.NORM.DIST(Table2912[[#This Row],[Isobutyrate '[%']]],V$6,V$2,FALSE),-100)</f>
        <v>-100</v>
      </c>
      <c r="BO114">
        <f>IF(Table2912[[#This Row],[Isovalerate '[%']]]&lt;W$10,_xlfn.NORM.DIST(Table2912[[#This Row],[Isovalerate '[%']]],W$6,W$2,FALSE),-100)</f>
        <v>-100</v>
      </c>
      <c r="BP114">
        <f>IF(Table2912[[#This Row],[CH4 '[g/mmol SCFA']]]&lt;X$10,_xlfn.NORM.DIST(Table2912[[#This Row],[CH4 '[g/mmol SCFA']]],X$6,X$2,FALSE),-100)</f>
        <v>9.1775759010189945E-2</v>
      </c>
      <c r="BQ114">
        <f>IF(Table2912[[#This Row],[DMD '[mg/g']]]&gt;Y$10,_xlfn.NORM.DIST(Table2912[[#This Row],[DMD '[mg/g']]],Y$6,Y$2,FALSE),-100)</f>
        <v>-100</v>
      </c>
      <c r="BR114">
        <f>IF(Table2912[[#This Row],[CH4 '[ml/g']]]&lt;Z$10,_xlfn.NORM.DIST(Table2912[[#This Row],[CH4 '[ml/g']]],Z$6,Z$2,FALSE),-100)</f>
        <v>1.1586437859694446E-2</v>
      </c>
      <c r="BS114">
        <f>IF(Table2912[[#This Row],[CH4 '[% GP']]]&lt;AA$10,_xlfn.NORM.DIST(Table2912[[#This Row],[CH4 '[% GP']]],AA$6,AA$2,FALSE),-100)</f>
        <v>-100</v>
      </c>
      <c r="BT114">
        <f>IF(Table2912[[#This Row],[CH4 '[g/g DDM']]]&lt;AB$10,_xlfn.NORM.DIST(Table2912[[#This Row],[CH4 '[g/g DDM']]],AB$6,AB$2,FALSE),-100)</f>
        <v>-100</v>
      </c>
      <c r="CJ114" t="str">
        <v>Trifolium pratense-283</v>
      </c>
      <c r="CL114" t="str">
        <v>Trifolium pratense-283</v>
      </c>
    </row>
    <row r="115" spans="1:90" x14ac:dyDescent="0.25">
      <c r="A115" s="12" t="s">
        <v>86</v>
      </c>
      <c r="B115" s="13">
        <v>1049</v>
      </c>
      <c r="C115" s="104" t="s">
        <v>157</v>
      </c>
      <c r="D115" s="104" t="s">
        <v>158</v>
      </c>
      <c r="E115" s="104" t="s">
        <v>159</v>
      </c>
      <c r="F115" s="104" t="s">
        <v>160</v>
      </c>
      <c r="G115" s="32" t="s">
        <v>73</v>
      </c>
      <c r="H115" s="32" t="s">
        <v>74</v>
      </c>
      <c r="I115" s="104" t="s">
        <v>44</v>
      </c>
      <c r="J115" s="100">
        <v>2</v>
      </c>
      <c r="K115" s="100"/>
      <c r="L115" s="100"/>
      <c r="M115" t="s">
        <v>160</v>
      </c>
      <c r="N115" t="s">
        <v>99</v>
      </c>
      <c r="O115" s="18">
        <v>140.67944334867366</v>
      </c>
      <c r="P115" s="18">
        <v>4.0115950836146972</v>
      </c>
      <c r="Q115" s="97">
        <v>0.71668125953283268</v>
      </c>
      <c r="R115" s="97">
        <v>0.17119627077504135</v>
      </c>
      <c r="S115" s="97">
        <v>5.7095963796990251E-2</v>
      </c>
      <c r="T115" s="97">
        <v>1.6153888108211254E-2</v>
      </c>
      <c r="U115" s="97">
        <v>5.4516599047499809E-3</v>
      </c>
      <c r="V115" s="97">
        <v>1.1693325669803804E-2</v>
      </c>
      <c r="W115" s="97">
        <v>2.1727632212370576E-2</v>
      </c>
      <c r="X115" s="51">
        <f t="shared" si="8"/>
        <v>5.2357971130774628</v>
      </c>
      <c r="Y115" s="18">
        <v>656.84926303988527</v>
      </c>
      <c r="Z115" s="18">
        <v>21.003897957625576</v>
      </c>
      <c r="AA115" s="18">
        <f t="shared" si="9"/>
        <v>14.930324898690042</v>
      </c>
      <c r="AB115" s="18">
        <f t="shared" si="10"/>
        <v>31.976739778042766</v>
      </c>
      <c r="AC115" s="18">
        <f>$CP$15*Table2912[[#This Row],[DMD '[mg/g']]]+$CS$15*Table2912[[#This Row],[CH4 '[ml/g']]]+$CR$15*Table2912[[#This Row],[CH4 '[% GP']]]+$CQ$15*Table2912[[#This Row],[CH4 '[g/g DDM']]]</f>
        <v>14.84957535262566</v>
      </c>
      <c r="AD115" s="18">
        <f>_xlfn.RANK.AVG(Table2912[[#This Row],[Index]],Table2912[Index])</f>
        <v>273</v>
      </c>
      <c r="AE11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3.7908510230972756</v>
      </c>
      <c r="AF115" s="18">
        <f>Table2912[[#This Row],[CH4 '[ml/g']]]/Table2912[[#This Row],[APB]]</f>
        <v>5.5406814537556155</v>
      </c>
      <c r="AG115" s="18">
        <f>Table2912[[#This Row],[Propionate '[%']]]/Table2912[[#This Row],[Acetate '[%']]]</f>
        <v>0.23887365338202832</v>
      </c>
      <c r="AH115" s="51"/>
      <c r="AI115" s="18"/>
      <c r="AJ115" s="18"/>
      <c r="AK115" s="18">
        <f>(Table2912[[#This Row],[DMD '[mg/g']]]-$AK$15)/$AK$15*100</f>
        <v>33.971821096728341</v>
      </c>
      <c r="AL115" s="18">
        <f>(Table2912[[#This Row],[CH4 '[ml/g']]]-AL$15)/AL$15*100</f>
        <v>-46.598731505765137</v>
      </c>
      <c r="AM115" s="18">
        <f>(Table2912[[#This Row],[CH4 '[% GP']]]-AM$15)/AM$15*100</f>
        <v>-3.8140406798009563</v>
      </c>
      <c r="AN115" s="18">
        <f>(Table2912[[#This Row],[CH4 '[g/g DDM']]]-AN$15)/AN$15*100</f>
        <v>-37.564362220754418</v>
      </c>
      <c r="AO115" s="18"/>
      <c r="AP115" s="18"/>
      <c r="AR115">
        <f>_xlfn.NORM.DIST(Table2912[[#This Row],[GP '[ml/g']]],O$6,O$2,FALSE)</f>
        <v>7.3738738210403162E-4</v>
      </c>
      <c r="AS115">
        <f>_xlfn.NORM.DIST(Table2912[[#This Row],[SCFA '[mmol/g']]],P$6,P$2,FALSE)</f>
        <v>3.6168270099567183E-2</v>
      </c>
      <c r="AT115">
        <f>_xlfn.NORM.DIST(Table2912[[#This Row],[Acetate '[%']]],Q$6,Q$2,FALSE)</f>
        <v>4.3418828375190852</v>
      </c>
      <c r="AU115">
        <f>_xlfn.NORM.DIST(Table2912[[#This Row],[Propionate '[%']]],R$6,R$2,FALSE)</f>
        <v>16.784382333879591</v>
      </c>
      <c r="AV115">
        <f>_xlfn.NORM.DIST(Table2912[[#This Row],[Butyrate '[%']]],S$6,S$2,FALSE)</f>
        <v>2.7133496558034325</v>
      </c>
      <c r="AW115">
        <f>_xlfn.NORM.DIST(Table2912[[#This Row],[Valerate '[%']]],T$6,T$2,FALSE)</f>
        <v>74.165027988269998</v>
      </c>
      <c r="AX115">
        <f>_xlfn.NORM.DIST(Table2912[[#This Row],[Caproate '[%']]],U$6,U$2,FALSE)</f>
        <v>5.9894271088097639E-2</v>
      </c>
      <c r="AY115">
        <f>_xlfn.NORM.DIST(Table2912[[#This Row],[Isobutyrate '[%']]],V$6,V$2,FALSE)</f>
        <v>64.465343686518608</v>
      </c>
      <c r="AZ115">
        <f>_xlfn.NORM.DIST(Table2912[[#This Row],[Isovalerate '[%']]],W$6,W$2,FALSE)</f>
        <v>35.500248648983082</v>
      </c>
      <c r="BA115">
        <f>_xlfn.NORM.DIST(Table2912[[#This Row],[CH4 '[g/mmol SCFA']]],X$6,X$2,FALSE)</f>
        <v>0.21931851685265288</v>
      </c>
      <c r="BB115">
        <f>_xlfn.NORM.DIST(Table2912[[#This Row],[DMD '[mg/g']]],Y$6,Y$2,FALSE)</f>
        <v>1.9956985457632707E-3</v>
      </c>
      <c r="BC115">
        <f>_xlfn.NORM.DIST(Table2912[[#This Row],[CH4 '[ml/g']]],Z$6,Z$2,FALSE)</f>
        <v>7.7275939258957416E-3</v>
      </c>
      <c r="BD115">
        <f>_xlfn.NORM.DIST(Table2912[[#This Row],[CH4 '[% GP']]],AA$6,AA$2,FALSE)</f>
        <v>0.12512888962477536</v>
      </c>
      <c r="BE115">
        <f>_xlfn.NORM.DIST(Table2912[[#This Row],[CH4 '[g/g DDM']]],AB$6,AB$2,FALSE)</f>
        <v>6.9763678042159038E-3</v>
      </c>
      <c r="BG115">
        <f>IF(Table2912[[#This Row],[GP '[ml/g']]]&lt;O$10,_xlfn.NORM.DIST(Table2912[[#This Row],[GP '[ml/g']]],O$6,O$2,FALSE),-100)</f>
        <v>7.3738738210403162E-4</v>
      </c>
      <c r="BH115">
        <f>IF(Table2912[[#This Row],[SCFA '[mmol/g']]]&lt;P$10,_xlfn.NORM.DIST(Table2912[[#This Row],[SCFA '[mmol/g']]],P$6,P$2,FALSE),-100)</f>
        <v>3.6168270099567183E-2</v>
      </c>
      <c r="BI115">
        <f>IF(Table2912[[#This Row],[Acetate '[%']]]&lt;Q$10,_xlfn.NORM.DIST(Table2912[[#This Row],[Acetate '[%']]],Q$6,Q$2,FALSE),-100)</f>
        <v>-100</v>
      </c>
      <c r="BJ115">
        <f>IF(Table2912[[#This Row],[Propionate '[%']]]&lt;R$10,_xlfn.NORM.DIST(Table2912[[#This Row],[Propionate '[%']]],R$6,R$2,FALSE),-100)</f>
        <v>-100</v>
      </c>
      <c r="BK115">
        <f>IF(Table2912[[#This Row],[Butyrate '[%']]]&lt;S$10,_xlfn.NORM.DIST(Table2912[[#This Row],[Butyrate '[%']]],S$6,S$2,FALSE),-100)</f>
        <v>2.7133496558034325</v>
      </c>
      <c r="BL115">
        <f>IF(Table2912[[#This Row],[Valerate '[%']]]&lt;T$10,_xlfn.NORM.DIST(Table2912[[#This Row],[Valerate '[%']]],T$6,T$2,FALSE),-100)</f>
        <v>-100</v>
      </c>
      <c r="BM115">
        <f>IF(Table2912[[#This Row],[Caproate '[%']]]&lt;U$10,_xlfn.NORM.DIST(Table2912[[#This Row],[Caproate '[%']]],U$6,U$2,FALSE),-100)</f>
        <v>-100</v>
      </c>
      <c r="BN115">
        <f>IF(Table2912[[#This Row],[Isobutyrate '[%']]]&lt;V$10,_xlfn.NORM.DIST(Table2912[[#This Row],[Isobutyrate '[%']]],V$6,V$2,FALSE),-100)</f>
        <v>-100</v>
      </c>
      <c r="BO115">
        <f>IF(Table2912[[#This Row],[Isovalerate '[%']]]&lt;W$10,_xlfn.NORM.DIST(Table2912[[#This Row],[Isovalerate '[%']]],W$6,W$2,FALSE),-100)</f>
        <v>-100</v>
      </c>
      <c r="BP115">
        <f>IF(Table2912[[#This Row],[CH4 '[g/mmol SCFA']]]&lt;X$10,_xlfn.NORM.DIST(Table2912[[#This Row],[CH4 '[g/mmol SCFA']]],X$6,X$2,FALSE),-100)</f>
        <v>-100</v>
      </c>
      <c r="BQ115">
        <f>IF(Table2912[[#This Row],[DMD '[mg/g']]]&gt;Y$10,_xlfn.NORM.DIST(Table2912[[#This Row],[DMD '[mg/g']]],Y$6,Y$2,FALSE),-100)</f>
        <v>-100</v>
      </c>
      <c r="BR115">
        <f>IF(Table2912[[#This Row],[CH4 '[ml/g']]]&lt;Z$10,_xlfn.NORM.DIST(Table2912[[#This Row],[CH4 '[ml/g']]],Z$6,Z$2,FALSE),-100)</f>
        <v>7.7275939258957416E-3</v>
      </c>
      <c r="BS115">
        <f>IF(Table2912[[#This Row],[CH4 '[% GP']]]&lt;AA$10,_xlfn.NORM.DIST(Table2912[[#This Row],[CH4 '[% GP']]],AA$6,AA$2,FALSE),-100)</f>
        <v>-100</v>
      </c>
      <c r="BT115">
        <f>IF(Table2912[[#This Row],[CH4 '[g/g DDM']]]&lt;AB$10,_xlfn.NORM.DIST(Table2912[[#This Row],[CH4 '[g/g DDM']]],AB$6,AB$2,FALSE),-100)</f>
        <v>6.9763678042159038E-3</v>
      </c>
      <c r="CJ115" t="str">
        <v>Lathyrus sativus (IFLA-11)</v>
      </c>
      <c r="CL115" t="str">
        <v>Lathyrus sativus (IFLA-11)</v>
      </c>
    </row>
    <row r="116" spans="1:90" x14ac:dyDescent="0.25">
      <c r="A116" s="12" t="s">
        <v>86</v>
      </c>
      <c r="B116" s="13">
        <v>1074</v>
      </c>
      <c r="C116" s="32">
        <v>17237</v>
      </c>
      <c r="D116" s="104" t="s">
        <v>161</v>
      </c>
      <c r="E116" s="104" t="s">
        <v>97</v>
      </c>
      <c r="F116" s="104" t="s">
        <v>162</v>
      </c>
      <c r="G116" s="32" t="s">
        <v>73</v>
      </c>
      <c r="H116" s="32" t="s">
        <v>74</v>
      </c>
      <c r="I116" s="105" t="s">
        <v>44</v>
      </c>
      <c r="J116" s="70">
        <v>3</v>
      </c>
      <c r="K116" s="70"/>
      <c r="L116" s="70"/>
      <c r="M116" t="s">
        <v>163</v>
      </c>
      <c r="N116" t="s">
        <v>98</v>
      </c>
      <c r="O116" s="18">
        <v>188.61474867724874</v>
      </c>
      <c r="P116" s="18">
        <v>5.7946878710905914</v>
      </c>
      <c r="Q116" s="97">
        <v>0.66292373870240417</v>
      </c>
      <c r="R116" s="97">
        <v>0.16880710072183619</v>
      </c>
      <c r="S116" s="97">
        <v>7.7896471092443076E-2</v>
      </c>
      <c r="T116" s="97">
        <v>1.9714262089643143E-2</v>
      </c>
      <c r="U116" s="97">
        <v>1.27097622987028E-3</v>
      </c>
      <c r="V116" s="97">
        <v>2.5246328477515755E-2</v>
      </c>
      <c r="W116" s="97">
        <v>4.4141122686287539E-2</v>
      </c>
      <c r="X116" s="51">
        <f t="shared" si="8"/>
        <v>8.1301454772781092</v>
      </c>
      <c r="Y116" s="18">
        <v>656.88217149040497</v>
      </c>
      <c r="Z116" s="18">
        <v>47.111655387385483</v>
      </c>
      <c r="AA116" s="18">
        <f t="shared" si="9"/>
        <v>24.97771553803641</v>
      </c>
      <c r="AB116" s="18">
        <f t="shared" si="10"/>
        <v>71.720100547855466</v>
      </c>
      <c r="AC116" s="18">
        <f>$CP$15*Table2912[[#This Row],[DMD '[mg/g']]]+$CS$15*Table2912[[#This Row],[CH4 '[ml/g']]]+$CR$15*Table2912[[#This Row],[CH4 '[% GP']]]+$CQ$15*Table2912[[#This Row],[CH4 '[g/g DDM']]]</f>
        <v>-7.8490969559858357</v>
      </c>
      <c r="AD116" s="18">
        <f>_xlfn.RANK.AVG(Table2912[[#This Row],[Index]],Table2912[Index])</f>
        <v>481</v>
      </c>
      <c r="AE11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5.2710063434637799</v>
      </c>
      <c r="AF116" s="18">
        <f>Table2912[[#This Row],[CH4 '[ml/g']]]/Table2912[[#This Row],[APB]]</f>
        <v>8.937886300555391</v>
      </c>
      <c r="AG116" s="18">
        <f>Table2912[[#This Row],[Propionate '[%']]]/Table2912[[#This Row],[Acetate '[%']]]</f>
        <v>0.25464030154095307</v>
      </c>
      <c r="AH116" s="51"/>
      <c r="AI116" s="18"/>
      <c r="AJ116" s="18"/>
      <c r="AK116" s="18">
        <f>(Table2912[[#This Row],[DMD '[mg/g']]]-$AK$15)/$AK$15*100</f>
        <v>33.978533146651628</v>
      </c>
      <c r="AL116" s="18">
        <f>(Table2912[[#This Row],[CH4 '[ml/g']]]-AL$15)/AL$15*100</f>
        <v>19.778822179825724</v>
      </c>
      <c r="AM116" s="18">
        <f>(Table2912[[#This Row],[CH4 '[% GP']]]-AM$15)/AM$15*100</f>
        <v>60.914484242996267</v>
      </c>
      <c r="AN116" s="18">
        <f>(Table2912[[#This Row],[CH4 '[g/g DDM']]]-AN$15)/AN$15*100</f>
        <v>40.035858889272269</v>
      </c>
      <c r="AO116" s="18"/>
      <c r="AP116" s="18"/>
      <c r="AR116">
        <f>_xlfn.NORM.DIST(Table2912[[#This Row],[GP '[ml/g']]],O$6,O$2,FALSE)</f>
        <v>3.4080415837404701E-3</v>
      </c>
      <c r="AS116">
        <f>_xlfn.NORM.DIST(Table2912[[#This Row],[SCFA '[mmol/g']]],P$6,P$2,FALSE)</f>
        <v>0.27464037937119495</v>
      </c>
      <c r="AT116">
        <f>_xlfn.NORM.DIST(Table2912[[#This Row],[Acetate '[%']]],Q$6,Q$2,FALSE)</f>
        <v>13.153032220975245</v>
      </c>
      <c r="AU116">
        <f>_xlfn.NORM.DIST(Table2912[[#This Row],[Propionate '[%']]],R$6,R$2,FALSE)</f>
        <v>16.652361946784374</v>
      </c>
      <c r="AV116">
        <f>_xlfn.NORM.DIST(Table2912[[#This Row],[Butyrate '[%']]],S$6,S$2,FALSE)</f>
        <v>15.809736186045146</v>
      </c>
      <c r="AW116">
        <f>_xlfn.NORM.DIST(Table2912[[#This Row],[Valerate '[%']]],T$6,T$2,FALSE)</f>
        <v>71.481519259938764</v>
      </c>
      <c r="AX116">
        <f>_xlfn.NORM.DIST(Table2912[[#This Row],[Caproate '[%']]],U$6,U$2,FALSE)</f>
        <v>406.09917867643759</v>
      </c>
      <c r="AY116">
        <f>_xlfn.NORM.DIST(Table2912[[#This Row],[Isobutyrate '[%']]],V$6,V$2,FALSE)</f>
        <v>7.2732818568434823</v>
      </c>
      <c r="AZ116">
        <f>_xlfn.NORM.DIST(Table2912[[#This Row],[Isovalerate '[%']]],W$6,W$2,FALSE)</f>
        <v>8.2059965257985432</v>
      </c>
      <c r="BA116">
        <f>_xlfn.NORM.DIST(Table2912[[#This Row],[CH4 '[g/mmol SCFA']]],X$6,X$2,FALSE)</f>
        <v>0.11520712500623777</v>
      </c>
      <c r="BB116">
        <f>_xlfn.NORM.DIST(Table2912[[#This Row],[DMD '[mg/g']]],Y$6,Y$2,FALSE)</f>
        <v>1.9961166112701855E-3</v>
      </c>
      <c r="BC116">
        <f>_xlfn.NORM.DIST(Table2912[[#This Row],[CH4 '[ml/g']]],Z$6,Z$2,FALSE)</f>
        <v>2.986208370564836E-2</v>
      </c>
      <c r="BD116">
        <f>_xlfn.NORM.DIST(Table2912[[#This Row],[CH4 '[% GP']]],AA$6,AA$2,FALSE)</f>
        <v>1.4584587247724386E-3</v>
      </c>
      <c r="BE116">
        <f>_xlfn.NORM.DIST(Table2912[[#This Row],[CH4 '[g/g DDM']]],AB$6,AB$2,FALSE)</f>
        <v>1.0468198148270909E-2</v>
      </c>
      <c r="BG116">
        <f>IF(Table2912[[#This Row],[GP '[ml/g']]]&lt;O$10,_xlfn.NORM.DIST(Table2912[[#This Row],[GP '[ml/g']]],O$6,O$2,FALSE),-100)</f>
        <v>3.4080415837404701E-3</v>
      </c>
      <c r="BH116">
        <f>IF(Table2912[[#This Row],[SCFA '[mmol/g']]]&lt;P$10,_xlfn.NORM.DIST(Table2912[[#This Row],[SCFA '[mmol/g']]],P$6,P$2,FALSE),-100)</f>
        <v>-100</v>
      </c>
      <c r="BI116">
        <f>IF(Table2912[[#This Row],[Acetate '[%']]]&lt;Q$10,_xlfn.NORM.DIST(Table2912[[#This Row],[Acetate '[%']]],Q$6,Q$2,FALSE),-100)</f>
        <v>-100</v>
      </c>
      <c r="BJ116">
        <f>IF(Table2912[[#This Row],[Propionate '[%']]]&lt;R$10,_xlfn.NORM.DIST(Table2912[[#This Row],[Propionate '[%']]],R$6,R$2,FALSE),-100)</f>
        <v>-100</v>
      </c>
      <c r="BK116">
        <f>IF(Table2912[[#This Row],[Butyrate '[%']]]&lt;S$10,_xlfn.NORM.DIST(Table2912[[#This Row],[Butyrate '[%']]],S$6,S$2,FALSE),-100)</f>
        <v>-100</v>
      </c>
      <c r="BL116">
        <f>IF(Table2912[[#This Row],[Valerate '[%']]]&lt;T$10,_xlfn.NORM.DIST(Table2912[[#This Row],[Valerate '[%']]],T$6,T$2,FALSE),-100)</f>
        <v>-100</v>
      </c>
      <c r="BM116">
        <f>IF(Table2912[[#This Row],[Caproate '[%']]]&lt;U$10,_xlfn.NORM.DIST(Table2912[[#This Row],[Caproate '[%']]],U$6,U$2,FALSE),-100)</f>
        <v>-100</v>
      </c>
      <c r="BN116">
        <f>IF(Table2912[[#This Row],[Isobutyrate '[%']]]&lt;V$10,_xlfn.NORM.DIST(Table2912[[#This Row],[Isobutyrate '[%']]],V$6,V$2,FALSE),-100)</f>
        <v>-100</v>
      </c>
      <c r="BO116">
        <f>IF(Table2912[[#This Row],[Isovalerate '[%']]]&lt;W$10,_xlfn.NORM.DIST(Table2912[[#This Row],[Isovalerate '[%']]],W$6,W$2,FALSE),-100)</f>
        <v>-100</v>
      </c>
      <c r="BP116">
        <f>IF(Table2912[[#This Row],[CH4 '[g/mmol SCFA']]]&lt;X$10,_xlfn.NORM.DIST(Table2912[[#This Row],[CH4 '[g/mmol SCFA']]],X$6,X$2,FALSE),-100)</f>
        <v>-100</v>
      </c>
      <c r="BQ116">
        <f>IF(Table2912[[#This Row],[DMD '[mg/g']]]&gt;Y$10,_xlfn.NORM.DIST(Table2912[[#This Row],[DMD '[mg/g']]],Y$6,Y$2,FALSE),-100)</f>
        <v>-100</v>
      </c>
      <c r="BR116">
        <f>IF(Table2912[[#This Row],[CH4 '[ml/g']]]&lt;Z$10,_xlfn.NORM.DIST(Table2912[[#This Row],[CH4 '[ml/g']]],Z$6,Z$2,FALSE),-100)</f>
        <v>-100</v>
      </c>
      <c r="BS116">
        <f>IF(Table2912[[#This Row],[CH4 '[% GP']]]&lt;AA$10,_xlfn.NORM.DIST(Table2912[[#This Row],[CH4 '[% GP']]],AA$6,AA$2,FALSE),-100)</f>
        <v>-100</v>
      </c>
      <c r="BT116">
        <f>IF(Table2912[[#This Row],[CH4 '[g/g DDM']]]&lt;AB$10,_xlfn.NORM.DIST(Table2912[[#This Row],[CH4 '[g/g DDM']]],AB$6,AB$2,FALSE),-100)</f>
        <v>-100</v>
      </c>
      <c r="CJ116" t="str">
        <v>Hordeum vulgare(ICB-19)</v>
      </c>
      <c r="CL116" t="str">
        <v>Hordeum vulgare(ICB-19)</v>
      </c>
    </row>
    <row r="117" spans="1:90" x14ac:dyDescent="0.25">
      <c r="A117" s="12" t="s">
        <v>86</v>
      </c>
      <c r="B117" s="13">
        <v>1074</v>
      </c>
      <c r="C117" s="32">
        <v>17237</v>
      </c>
      <c r="D117" s="104" t="s">
        <v>161</v>
      </c>
      <c r="E117" s="104" t="s">
        <v>97</v>
      </c>
      <c r="F117" s="104" t="s">
        <v>162</v>
      </c>
      <c r="G117" s="32" t="s">
        <v>73</v>
      </c>
      <c r="H117" s="32" t="s">
        <v>74</v>
      </c>
      <c r="I117" s="105" t="s">
        <v>44</v>
      </c>
      <c r="J117" s="70">
        <v>2</v>
      </c>
      <c r="K117" s="70"/>
      <c r="L117" s="70"/>
      <c r="M117" t="s">
        <v>163</v>
      </c>
      <c r="N117" t="s">
        <v>124</v>
      </c>
      <c r="O117" s="18">
        <v>193.45619743249171</v>
      </c>
      <c r="P117" s="18">
        <v>5.5060905689618744</v>
      </c>
      <c r="Q117" s="97">
        <v>0.6564006090992911</v>
      </c>
      <c r="R117" s="97">
        <v>0.1761361755658179</v>
      </c>
      <c r="S117" s="97">
        <v>7.9466295956562766E-2</v>
      </c>
      <c r="T117" s="97">
        <v>1.9043642147523847E-2</v>
      </c>
      <c r="U117" s="97">
        <v>1.1277355733019189E-3</v>
      </c>
      <c r="V117" s="97">
        <v>2.3368094685476036E-2</v>
      </c>
      <c r="W117" s="97">
        <v>4.4457446972026263E-2</v>
      </c>
      <c r="X117" s="51">
        <f t="shared" si="8"/>
        <v>7.8249588347030805</v>
      </c>
      <c r="Y117" s="18">
        <v>660.99909464956158</v>
      </c>
      <c r="Z117" s="18">
        <v>43.084932042273529</v>
      </c>
      <c r="AA117" s="18">
        <f t="shared" si="9"/>
        <v>22.271156269009374</v>
      </c>
      <c r="AB117" s="18">
        <f t="shared" si="10"/>
        <v>65.181529583055848</v>
      </c>
      <c r="AC117" s="18">
        <f>$CP$15*Table2912[[#This Row],[DMD '[mg/g']]]+$CS$15*Table2912[[#This Row],[CH4 '[ml/g']]]+$CR$15*Table2912[[#This Row],[CH4 '[% GP']]]+$CQ$15*Table2912[[#This Row],[CH4 '[g/g DDM']]]</f>
        <v>-3.4189852937495857</v>
      </c>
      <c r="AD117" s="18">
        <f>_xlfn.RANK.AVG(Table2912[[#This Row],[Index]],Table2912[Index])</f>
        <v>463</v>
      </c>
      <c r="AE11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5.021571561075163</v>
      </c>
      <c r="AF117" s="18">
        <f>Table2912[[#This Row],[CH4 '[ml/g']]]/Table2912[[#This Row],[APB]]</f>
        <v>8.5799697401999513</v>
      </c>
      <c r="AG117" s="18">
        <f>Table2912[[#This Row],[Propionate '[%']]]/Table2912[[#This Row],[Acetate '[%']]]</f>
        <v>0.26833639872380816</v>
      </c>
      <c r="AH117" s="51"/>
      <c r="AI117" s="18"/>
      <c r="AJ117" s="18"/>
      <c r="AK117" s="18">
        <f>(Table2912[[#This Row],[DMD '[mg/g']]]-$AK$15)/$AK$15*100</f>
        <v>34.818226092937259</v>
      </c>
      <c r="AL117" s="18">
        <f>(Table2912[[#This Row],[CH4 '[ml/g']]]-AL$15)/AL$15*100</f>
        <v>9.5410970233740642</v>
      </c>
      <c r="AM117" s="18">
        <f>(Table2912[[#This Row],[CH4 '[% GP']]]-AM$15)/AM$15*100</f>
        <v>43.477958144948452</v>
      </c>
      <c r="AN117" s="18">
        <f>(Table2912[[#This Row],[CH4 '[g/g DDM']]]-AN$15)/AN$15*100</f>
        <v>27.269083689993064</v>
      </c>
      <c r="AO117" s="18"/>
      <c r="AP117" s="18"/>
      <c r="AR117">
        <f>_xlfn.NORM.DIST(Table2912[[#This Row],[GP '[ml/g']]],O$6,O$2,FALSE)</f>
        <v>3.8031692847645734E-3</v>
      </c>
      <c r="AS117">
        <f>_xlfn.NORM.DIST(Table2912[[#This Row],[SCFA '[mmol/g']]],P$6,P$2,FALSE)</f>
        <v>0.22983586439754544</v>
      </c>
      <c r="AT117">
        <f>_xlfn.NORM.DIST(Table2912[[#This Row],[Acetate '[%']]],Q$6,Q$2,FALSE)</f>
        <v>11.799843841510585</v>
      </c>
      <c r="AU117">
        <f>_xlfn.NORM.DIST(Table2912[[#This Row],[Propionate '[%']]],R$6,R$2,FALSE)</f>
        <v>16.522253104524598</v>
      </c>
      <c r="AV117">
        <f>_xlfn.NORM.DIST(Table2912[[#This Row],[Butyrate '[%']]],S$6,S$2,FALSE)</f>
        <v>17.032510261508229</v>
      </c>
      <c r="AW117">
        <f>_xlfn.NORM.DIST(Table2912[[#This Row],[Valerate '[%']]],T$6,T$2,FALSE)</f>
        <v>74.652866568210868</v>
      </c>
      <c r="AX117">
        <f>_xlfn.NORM.DIST(Table2912[[#This Row],[Caproate '[%']]],U$6,U$2,FALSE)</f>
        <v>398.0876477590005</v>
      </c>
      <c r="AY117">
        <f>_xlfn.NORM.DIST(Table2912[[#This Row],[Isobutyrate '[%']]],V$6,V$2,FALSE)</f>
        <v>17.22826605677513</v>
      </c>
      <c r="AZ117">
        <f>_xlfn.NORM.DIST(Table2912[[#This Row],[Isovalerate '[%']]],W$6,W$2,FALSE)</f>
        <v>7.6719833561172157</v>
      </c>
      <c r="BA117">
        <f>_xlfn.NORM.DIST(Table2912[[#This Row],[CH4 '[g/mmol SCFA']]],X$6,X$2,FALSE)</f>
        <v>0.15357466035700698</v>
      </c>
      <c r="BB117">
        <f>_xlfn.NORM.DIST(Table2912[[#This Row],[DMD '[mg/g']]],Y$6,Y$2,FALSE)</f>
        <v>2.0481793960931325E-3</v>
      </c>
      <c r="BC117">
        <f>_xlfn.NORM.DIST(Table2912[[#This Row],[CH4 '[ml/g']]],Z$6,Z$2,FALSE)</f>
        <v>3.3171453367828937E-2</v>
      </c>
      <c r="BD117">
        <f>_xlfn.NORM.DIST(Table2912[[#This Row],[CH4 '[% GP']]],AA$6,AA$2,FALSE)</f>
        <v>1.5021098734868866E-2</v>
      </c>
      <c r="BE117">
        <f>_xlfn.NORM.DIST(Table2912[[#This Row],[CH4 '[g/g DDM']]],AB$6,AB$2,FALSE)</f>
        <v>2.0444579918655618E-2</v>
      </c>
      <c r="BG117">
        <f>IF(Table2912[[#This Row],[GP '[ml/g']]]&lt;O$10,_xlfn.NORM.DIST(Table2912[[#This Row],[GP '[ml/g']]],O$6,O$2,FALSE),-100)</f>
        <v>3.8031692847645734E-3</v>
      </c>
      <c r="BH117">
        <f>IF(Table2912[[#This Row],[SCFA '[mmol/g']]]&lt;P$10,_xlfn.NORM.DIST(Table2912[[#This Row],[SCFA '[mmol/g']]],P$6,P$2,FALSE),-100)</f>
        <v>-100</v>
      </c>
      <c r="BI117">
        <f>IF(Table2912[[#This Row],[Acetate '[%']]]&lt;Q$10,_xlfn.NORM.DIST(Table2912[[#This Row],[Acetate '[%']]],Q$6,Q$2,FALSE),-100)</f>
        <v>-100</v>
      </c>
      <c r="BJ117">
        <f>IF(Table2912[[#This Row],[Propionate '[%']]]&lt;R$10,_xlfn.NORM.DIST(Table2912[[#This Row],[Propionate '[%']]],R$6,R$2,FALSE),-100)</f>
        <v>-100</v>
      </c>
      <c r="BK117">
        <f>IF(Table2912[[#This Row],[Butyrate '[%']]]&lt;S$10,_xlfn.NORM.DIST(Table2912[[#This Row],[Butyrate '[%']]],S$6,S$2,FALSE),-100)</f>
        <v>-100</v>
      </c>
      <c r="BL117">
        <f>IF(Table2912[[#This Row],[Valerate '[%']]]&lt;T$10,_xlfn.NORM.DIST(Table2912[[#This Row],[Valerate '[%']]],T$6,T$2,FALSE),-100)</f>
        <v>-100</v>
      </c>
      <c r="BM117">
        <f>IF(Table2912[[#This Row],[Caproate '[%']]]&lt;U$10,_xlfn.NORM.DIST(Table2912[[#This Row],[Caproate '[%']]],U$6,U$2,FALSE),-100)</f>
        <v>-100</v>
      </c>
      <c r="BN117">
        <f>IF(Table2912[[#This Row],[Isobutyrate '[%']]]&lt;V$10,_xlfn.NORM.DIST(Table2912[[#This Row],[Isobutyrate '[%']]],V$6,V$2,FALSE),-100)</f>
        <v>-100</v>
      </c>
      <c r="BO117">
        <f>IF(Table2912[[#This Row],[Isovalerate '[%']]]&lt;W$10,_xlfn.NORM.DIST(Table2912[[#This Row],[Isovalerate '[%']]],W$6,W$2,FALSE),-100)</f>
        <v>-100</v>
      </c>
      <c r="BP117">
        <f>IF(Table2912[[#This Row],[CH4 '[g/mmol SCFA']]]&lt;X$10,_xlfn.NORM.DIST(Table2912[[#This Row],[CH4 '[g/mmol SCFA']]],X$6,X$2,FALSE),-100)</f>
        <v>-100</v>
      </c>
      <c r="BQ117">
        <f>IF(Table2912[[#This Row],[DMD '[mg/g']]]&gt;Y$10,_xlfn.NORM.DIST(Table2912[[#This Row],[DMD '[mg/g']]],Y$6,Y$2,FALSE),-100)</f>
        <v>-100</v>
      </c>
      <c r="BR117">
        <f>IF(Table2912[[#This Row],[CH4 '[ml/g']]]&lt;Z$10,_xlfn.NORM.DIST(Table2912[[#This Row],[CH4 '[ml/g']]],Z$6,Z$2,FALSE),-100)</f>
        <v>-100</v>
      </c>
      <c r="BS117">
        <f>IF(Table2912[[#This Row],[CH4 '[% GP']]]&lt;AA$10,_xlfn.NORM.DIST(Table2912[[#This Row],[CH4 '[% GP']]],AA$6,AA$2,FALSE),-100)</f>
        <v>-100</v>
      </c>
      <c r="BT117">
        <f>IF(Table2912[[#This Row],[CH4 '[g/g DDM']]]&lt;AB$10,_xlfn.NORM.DIST(Table2912[[#This Row],[CH4 '[g/g DDM']]],AB$6,AB$2,FALSE),-100)</f>
        <v>-100</v>
      </c>
      <c r="CJ117" t="str">
        <v>Vicia Tenuifolia</v>
      </c>
      <c r="CL117" t="str">
        <v>Vicia Tenuifolia</v>
      </c>
    </row>
    <row r="118" spans="1:90" x14ac:dyDescent="0.25">
      <c r="A118" s="12" t="s">
        <v>70</v>
      </c>
      <c r="B118" s="13">
        <v>1026</v>
      </c>
      <c r="C118" s="96" t="s">
        <v>187</v>
      </c>
      <c r="D118" s="96"/>
      <c r="E118" s="96"/>
      <c r="F118" s="96" t="s">
        <v>188</v>
      </c>
      <c r="G118" s="15" t="s">
        <v>73</v>
      </c>
      <c r="H118" s="15" t="s">
        <v>74</v>
      </c>
      <c r="I118" t="s">
        <v>75</v>
      </c>
      <c r="J118" s="70">
        <v>2</v>
      </c>
      <c r="K118" s="70"/>
      <c r="L118" s="70"/>
      <c r="M118" t="s">
        <v>188</v>
      </c>
      <c r="N118" t="s">
        <v>81</v>
      </c>
      <c r="O118" s="18">
        <v>247.73669301712738</v>
      </c>
      <c r="P118" s="18">
        <v>6.6937856829161158</v>
      </c>
      <c r="Q118" s="97">
        <v>0.68391096822871411</v>
      </c>
      <c r="R118" s="97">
        <v>0.15734741745534475</v>
      </c>
      <c r="S118" s="97">
        <v>0.10617219151344172</v>
      </c>
      <c r="T118" s="97">
        <v>1.7238834123378226E-2</v>
      </c>
      <c r="U118" s="97">
        <v>1.5254153886528781E-3</v>
      </c>
      <c r="V118" s="97">
        <v>1.2761001853461715E-2</v>
      </c>
      <c r="W118" s="97">
        <v>2.104417143700691E-2</v>
      </c>
      <c r="X118" s="51">
        <f t="shared" si="8"/>
        <v>4.7255428649263429</v>
      </c>
      <c r="Y118" s="18">
        <v>661.39657444005252</v>
      </c>
      <c r="Z118" s="18">
        <v>31.631771173250357</v>
      </c>
      <c r="AA118" s="18">
        <f t="shared" si="9"/>
        <v>12.76830282507383</v>
      </c>
      <c r="AB118" s="18">
        <f t="shared" si="10"/>
        <v>47.825725738041882</v>
      </c>
      <c r="AC118" s="18">
        <f>$CP$15*Table2912[[#This Row],[DMD '[mg/g']]]+$CS$15*Table2912[[#This Row],[CH4 '[ml/g']]]+$CR$15*Table2912[[#This Row],[CH4 '[% GP']]]+$CQ$15*Table2912[[#This Row],[CH4 '[g/g DDM']]]</f>
        <v>8.0221727867733463</v>
      </c>
      <c r="AD118" s="18">
        <f>_xlfn.RANK.AVG(Table2912[[#This Row],[Index]],Table2912[Index])</f>
        <v>373</v>
      </c>
      <c r="AE11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6.3418972332015811</v>
      </c>
      <c r="AF118" s="18">
        <f>Table2912[[#This Row],[CH4 '[ml/g']]]/Table2912[[#This Row],[APB]]</f>
        <v>4.9877457817590152</v>
      </c>
      <c r="AG118" s="18">
        <f>Table2912[[#This Row],[Propionate '[%']]]/Table2912[[#This Row],[Acetate '[%']]]</f>
        <v>0.23007003069838836</v>
      </c>
      <c r="AH118" s="51"/>
      <c r="AI118" s="18"/>
      <c r="AJ118" s="18"/>
      <c r="AK118" s="18">
        <f>(Table2912[[#This Row],[DMD '[mg/g']]]-$AK$15)/$AK$15*100</f>
        <v>34.899296582587766</v>
      </c>
      <c r="AL118" s="18">
        <f>(Table2912[[#This Row],[CH4 '[ml/g']]]-AL$15)/AL$15*100</f>
        <v>-19.577941733540165</v>
      </c>
      <c r="AM118" s="18">
        <f>(Table2912[[#This Row],[CH4 '[% GP']]]-AM$15)/AM$15*100</f>
        <v>-17.742482869325379</v>
      </c>
      <c r="AN118" s="18">
        <f>(Table2912[[#This Row],[CH4 '[g/g DDM']]]-AN$15)/AN$15*100</f>
        <v>-6.6186950440669854</v>
      </c>
      <c r="AO118" s="18"/>
      <c r="AP118" s="18"/>
      <c r="AR118">
        <f>_xlfn.NORM.DIST(Table2912[[#This Row],[GP '[ml/g']]],O$6,O$2,FALSE)</f>
        <v>7.4012534258262389E-3</v>
      </c>
      <c r="AS118">
        <f>_xlfn.NORM.DIST(Table2912[[#This Row],[SCFA '[mmol/g']]],P$6,P$2,FALSE)</f>
        <v>0.32992774021078802</v>
      </c>
      <c r="AT118">
        <f>_xlfn.NORM.DIST(Table2912[[#This Row],[Acetate '[%']]],Q$6,Q$2,FALSE)</f>
        <v>13.053624943086195</v>
      </c>
      <c r="AU118">
        <f>_xlfn.NORM.DIST(Table2912[[#This Row],[Propionate '[%']]],R$6,R$2,FALSE)</f>
        <v>13.930836100914359</v>
      </c>
      <c r="AV118">
        <f>_xlfn.NORM.DIST(Table2912[[#This Row],[Butyrate '[%']]],S$6,S$2,FALSE)</f>
        <v>17.188710431960121</v>
      </c>
      <c r="AW118">
        <f>_xlfn.NORM.DIST(Table2912[[#This Row],[Valerate '[%']]],T$6,T$2,FALSE)</f>
        <v>77.138502031730468</v>
      </c>
      <c r="AX118">
        <f>_xlfn.NORM.DIST(Table2912[[#This Row],[Caproate '[%']]],U$6,U$2,FALSE)</f>
        <v>399.15740746767739</v>
      </c>
      <c r="AY118">
        <f>_xlfn.NORM.DIST(Table2912[[#This Row],[Isobutyrate '[%']]],V$6,V$2,FALSE)</f>
        <v>76.298265616064668</v>
      </c>
      <c r="AZ118">
        <f>_xlfn.NORM.DIST(Table2912[[#This Row],[Isovalerate '[%']]],W$6,W$2,FALSE)</f>
        <v>33.510177011164764</v>
      </c>
      <c r="BA118">
        <f>_xlfn.NORM.DIST(Table2912[[#This Row],[CH4 '[g/mmol SCFA']]],X$6,X$2,FALSE)</f>
        <v>0.15160675022632028</v>
      </c>
      <c r="BB118">
        <f>_xlfn.NORM.DIST(Table2912[[#This Row],[DMD '[mg/g']]],Y$6,Y$2,FALSE)</f>
        <v>2.0531788423895181E-3</v>
      </c>
      <c r="BC118">
        <f>_xlfn.NORM.DIST(Table2912[[#This Row],[CH4 '[ml/g']]],Z$6,Z$2,FALSE)</f>
        <v>2.3934576016625183E-2</v>
      </c>
      <c r="BD118">
        <f>_xlfn.NORM.DIST(Table2912[[#This Row],[CH4 '[% GP']]],AA$6,AA$2,FALSE)</f>
        <v>7.240583310782038E-2</v>
      </c>
      <c r="BE118">
        <f>_xlfn.NORM.DIST(Table2912[[#This Row],[CH4 '[g/g DDM']]],AB$6,AB$2,FALSE)</f>
        <v>2.9618139789761175E-2</v>
      </c>
      <c r="BG118">
        <f>IF(Table2912[[#This Row],[GP '[ml/g']]]&lt;O$10,_xlfn.NORM.DIST(Table2912[[#This Row],[GP '[ml/g']]],O$6,O$2,FALSE),-100)</f>
        <v>-100</v>
      </c>
      <c r="BH118">
        <f>IF(Table2912[[#This Row],[SCFA '[mmol/g']]]&lt;P$10,_xlfn.NORM.DIST(Table2912[[#This Row],[SCFA '[mmol/g']]],P$6,P$2,FALSE),-100)</f>
        <v>-100</v>
      </c>
      <c r="BI118">
        <f>IF(Table2912[[#This Row],[Acetate '[%']]]&lt;Q$10,_xlfn.NORM.DIST(Table2912[[#This Row],[Acetate '[%']]],Q$6,Q$2,FALSE),-100)</f>
        <v>-100</v>
      </c>
      <c r="BJ118">
        <f>IF(Table2912[[#This Row],[Propionate '[%']]]&lt;R$10,_xlfn.NORM.DIST(Table2912[[#This Row],[Propionate '[%']]],R$6,R$2,FALSE),-100)</f>
        <v>-100</v>
      </c>
      <c r="BK118">
        <f>IF(Table2912[[#This Row],[Butyrate '[%']]]&lt;S$10,_xlfn.NORM.DIST(Table2912[[#This Row],[Butyrate '[%']]],S$6,S$2,FALSE),-100)</f>
        <v>-100</v>
      </c>
      <c r="BL118">
        <f>IF(Table2912[[#This Row],[Valerate '[%']]]&lt;T$10,_xlfn.NORM.DIST(Table2912[[#This Row],[Valerate '[%']]],T$6,T$2,FALSE),-100)</f>
        <v>-100</v>
      </c>
      <c r="BM118">
        <f>IF(Table2912[[#This Row],[Caproate '[%']]]&lt;U$10,_xlfn.NORM.DIST(Table2912[[#This Row],[Caproate '[%']]],U$6,U$2,FALSE),-100)</f>
        <v>-100</v>
      </c>
      <c r="BN118">
        <f>IF(Table2912[[#This Row],[Isobutyrate '[%']]]&lt;V$10,_xlfn.NORM.DIST(Table2912[[#This Row],[Isobutyrate '[%']]],V$6,V$2,FALSE),-100)</f>
        <v>-100</v>
      </c>
      <c r="BO118">
        <f>IF(Table2912[[#This Row],[Isovalerate '[%']]]&lt;W$10,_xlfn.NORM.DIST(Table2912[[#This Row],[Isovalerate '[%']]],W$6,W$2,FALSE),-100)</f>
        <v>-100</v>
      </c>
      <c r="BP118">
        <f>IF(Table2912[[#This Row],[CH4 '[g/mmol SCFA']]]&lt;X$10,_xlfn.NORM.DIST(Table2912[[#This Row],[CH4 '[g/mmol SCFA']]],X$6,X$2,FALSE),-100)</f>
        <v>0.15160675022632028</v>
      </c>
      <c r="BQ118">
        <f>IF(Table2912[[#This Row],[DMD '[mg/g']]]&gt;Y$10,_xlfn.NORM.DIST(Table2912[[#This Row],[DMD '[mg/g']]],Y$6,Y$2,FALSE),-100)</f>
        <v>-100</v>
      </c>
      <c r="BR118">
        <f>IF(Table2912[[#This Row],[CH4 '[ml/g']]]&lt;Z$10,_xlfn.NORM.DIST(Table2912[[#This Row],[CH4 '[ml/g']]],Z$6,Z$2,FALSE),-100)</f>
        <v>-100</v>
      </c>
      <c r="BS118">
        <f>IF(Table2912[[#This Row],[CH4 '[% GP']]]&lt;AA$10,_xlfn.NORM.DIST(Table2912[[#This Row],[CH4 '[% GP']]],AA$6,AA$2,FALSE),-100)</f>
        <v>-100</v>
      </c>
      <c r="BT118">
        <f>IF(Table2912[[#This Row],[CH4 '[g/g DDM']]]&lt;AB$10,_xlfn.NORM.DIST(Table2912[[#This Row],[CH4 '[g/g DDM']]],AB$6,AB$2,FALSE),-100)</f>
        <v>-100</v>
      </c>
      <c r="CJ118" t="str">
        <v xml:space="preserve">Labalab purpureues </v>
      </c>
      <c r="CL118" t="str">
        <v xml:space="preserve">Labalab purpureues </v>
      </c>
    </row>
    <row r="119" spans="1:90" x14ac:dyDescent="0.25">
      <c r="A119" s="12" t="s">
        <v>86</v>
      </c>
      <c r="B119" s="13">
        <v>1058</v>
      </c>
      <c r="C119" s="104" t="s">
        <v>189</v>
      </c>
      <c r="D119" s="104" t="s">
        <v>115</v>
      </c>
      <c r="E119" s="104" t="s">
        <v>190</v>
      </c>
      <c r="F119" s="104" t="s">
        <v>191</v>
      </c>
      <c r="G119" s="32" t="s">
        <v>73</v>
      </c>
      <c r="H119" s="32" t="s">
        <v>74</v>
      </c>
      <c r="I119" s="105" t="s">
        <v>75</v>
      </c>
      <c r="J119" s="70">
        <v>3</v>
      </c>
      <c r="K119" s="70"/>
      <c r="L119" s="70"/>
      <c r="M119" t="s">
        <v>191</v>
      </c>
      <c r="N119" t="s">
        <v>98</v>
      </c>
      <c r="O119" s="18">
        <v>291.94654005675619</v>
      </c>
      <c r="P119" s="18">
        <v>7.0554872033895712</v>
      </c>
      <c r="Q119" s="97">
        <v>0.68542497663797719</v>
      </c>
      <c r="R119" s="97">
        <v>0.15691300550180406</v>
      </c>
      <c r="S119" s="97">
        <v>9.1214661211069553E-2</v>
      </c>
      <c r="T119" s="97">
        <v>1.7117345397995355E-2</v>
      </c>
      <c r="U119" s="97">
        <v>1.5009859444734153E-3</v>
      </c>
      <c r="V119" s="97">
        <v>1.7770957211517883E-2</v>
      </c>
      <c r="W119" s="97">
        <v>3.0058068095162628E-2</v>
      </c>
      <c r="X119" s="51">
        <f t="shared" si="8"/>
        <v>7.6167673317636764</v>
      </c>
      <c r="Y119" s="18">
        <v>664.16454340970108</v>
      </c>
      <c r="Z119" s="18">
        <v>53.740004440454349</v>
      </c>
      <c r="AA119" s="18">
        <f t="shared" si="9"/>
        <v>18.407481188167864</v>
      </c>
      <c r="AB119" s="18">
        <f t="shared" si="10"/>
        <v>80.91369070164879</v>
      </c>
      <c r="AC119" s="18">
        <f>$CP$15*Table2912[[#This Row],[DMD '[mg/g']]]+$CS$15*Table2912[[#This Row],[CH4 '[ml/g']]]+$CR$15*Table2912[[#This Row],[CH4 '[% GP']]]+$CQ$15*Table2912[[#This Row],[CH4 '[g/g DDM']]]</f>
        <v>-9.6898204338881939</v>
      </c>
      <c r="AD119" s="18">
        <f>_xlfn.RANK.AVG(Table2912[[#This Row],[Index]],Table2912[Index])</f>
        <v>493</v>
      </c>
      <c r="AE11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6.5866687288524357</v>
      </c>
      <c r="AF119" s="18">
        <f>Table2912[[#This Row],[CH4 '[ml/g']]]/Table2912[[#This Row],[APB]]</f>
        <v>8.158905002319317</v>
      </c>
      <c r="AG119" s="18">
        <f>Table2912[[#This Row],[Propionate '[%']]]/Table2912[[#This Row],[Acetate '[%']]]</f>
        <v>0.22892805317872336</v>
      </c>
      <c r="AH119" s="51"/>
      <c r="AI119" s="18"/>
      <c r="AJ119" s="18"/>
      <c r="AK119" s="18">
        <f>(Table2912[[#This Row],[DMD '[mg/g']]]-$AK$15)/$AK$15*100</f>
        <v>35.463855096190812</v>
      </c>
      <c r="AL119" s="18">
        <f>(Table2912[[#This Row],[CH4 '[ml/g']]]-AL$15)/AL$15*100</f>
        <v>36.631039238323197</v>
      </c>
      <c r="AM119" s="18">
        <f>(Table2912[[#This Row],[CH4 '[% GP']]]-AM$15)/AM$15*100</f>
        <v>18.5869194921396</v>
      </c>
      <c r="AN119" s="18">
        <f>(Table2912[[#This Row],[CH4 '[g/g DDM']]]-AN$15)/AN$15*100</f>
        <v>57.986646515446353</v>
      </c>
      <c r="AO119" s="18"/>
      <c r="AP119" s="18"/>
      <c r="AR119">
        <f>_xlfn.NORM.DIST(Table2912[[#This Row],[GP '[ml/g']]],O$6,O$2,FALSE)</f>
        <v>5.9215798210677795E-3</v>
      </c>
      <c r="AS119">
        <f>_xlfn.NORM.DIST(Table2912[[#This Row],[SCFA '[mmol/g']]],P$6,P$2,FALSE)</f>
        <v>0.30309188177977198</v>
      </c>
      <c r="AT119">
        <f>_xlfn.NORM.DIST(Table2912[[#This Row],[Acetate '[%']]],Q$6,Q$2,FALSE)</f>
        <v>12.774628182631538</v>
      </c>
      <c r="AU119">
        <f>_xlfn.NORM.DIST(Table2912[[#This Row],[Propionate '[%']]],R$6,R$2,FALSE)</f>
        <v>13.773737272372115</v>
      </c>
      <c r="AV119">
        <f>_xlfn.NORM.DIST(Table2912[[#This Row],[Butyrate '[%']]],S$6,S$2,FALSE)</f>
        <v>22.91848652380574</v>
      </c>
      <c r="AW119">
        <f>_xlfn.NORM.DIST(Table2912[[#This Row],[Valerate '[%']]],T$6,T$2,FALSE)</f>
        <v>76.969050989058232</v>
      </c>
      <c r="AX119">
        <f>_xlfn.NORM.DIST(Table2912[[#This Row],[Caproate '[%']]],U$6,U$2,FALSE)</f>
        <v>400.98906892765336</v>
      </c>
      <c r="AY119">
        <f>_xlfn.NORM.DIST(Table2912[[#This Row],[Isobutyrate '[%']]],V$6,V$2,FALSE)</f>
        <v>77.313615125989017</v>
      </c>
      <c r="AZ119">
        <f>_xlfn.NORM.DIST(Table2912[[#This Row],[Isovalerate '[%']]],W$6,W$2,FALSE)</f>
        <v>44.072504593409008</v>
      </c>
      <c r="BA119">
        <f>_xlfn.NORM.DIST(Table2912[[#This Row],[CH4 '[g/mmol SCFA']]],X$6,X$2,FALSE)</f>
        <v>0.18137788299591967</v>
      </c>
      <c r="BB119">
        <f>_xlfn.NORM.DIST(Table2912[[#This Row],[DMD '[mg/g']]],Y$6,Y$2,FALSE)</f>
        <v>2.0878452590071665E-3</v>
      </c>
      <c r="BC119">
        <f>_xlfn.NORM.DIST(Table2912[[#This Row],[CH4 '[ml/g']]],Z$6,Z$2,FALSE)</f>
        <v>1.9579726587226537E-2</v>
      </c>
      <c r="BD119">
        <f>_xlfn.NORM.DIST(Table2912[[#This Row],[CH4 '[% GP']]],AA$6,AA$2,FALSE)</f>
        <v>9.8611858310029082E-2</v>
      </c>
      <c r="BE119">
        <f>_xlfn.NORM.DIST(Table2912[[#This Row],[CH4 '[g/g DDM']]],AB$6,AB$2,FALSE)</f>
        <v>2.5011798279790999E-3</v>
      </c>
      <c r="BG119">
        <f>IF(Table2912[[#This Row],[GP '[ml/g']]]&lt;O$10,_xlfn.NORM.DIST(Table2912[[#This Row],[GP '[ml/g']]],O$6,O$2,FALSE),-100)</f>
        <v>-100</v>
      </c>
      <c r="BH119">
        <f>IF(Table2912[[#This Row],[SCFA '[mmol/g']]]&lt;P$10,_xlfn.NORM.DIST(Table2912[[#This Row],[SCFA '[mmol/g']]],P$6,P$2,FALSE),-100)</f>
        <v>-100</v>
      </c>
      <c r="BI119">
        <f>IF(Table2912[[#This Row],[Acetate '[%']]]&lt;Q$10,_xlfn.NORM.DIST(Table2912[[#This Row],[Acetate '[%']]],Q$6,Q$2,FALSE),-100)</f>
        <v>-100</v>
      </c>
      <c r="BJ119">
        <f>IF(Table2912[[#This Row],[Propionate '[%']]]&lt;R$10,_xlfn.NORM.DIST(Table2912[[#This Row],[Propionate '[%']]],R$6,R$2,FALSE),-100)</f>
        <v>-100</v>
      </c>
      <c r="BK119">
        <f>IF(Table2912[[#This Row],[Butyrate '[%']]]&lt;S$10,_xlfn.NORM.DIST(Table2912[[#This Row],[Butyrate '[%']]],S$6,S$2,FALSE),-100)</f>
        <v>-100</v>
      </c>
      <c r="BL119">
        <f>IF(Table2912[[#This Row],[Valerate '[%']]]&lt;T$10,_xlfn.NORM.DIST(Table2912[[#This Row],[Valerate '[%']]],T$6,T$2,FALSE),-100)</f>
        <v>-100</v>
      </c>
      <c r="BM119">
        <f>IF(Table2912[[#This Row],[Caproate '[%']]]&lt;U$10,_xlfn.NORM.DIST(Table2912[[#This Row],[Caproate '[%']]],U$6,U$2,FALSE),-100)</f>
        <v>-100</v>
      </c>
      <c r="BN119">
        <f>IF(Table2912[[#This Row],[Isobutyrate '[%']]]&lt;V$10,_xlfn.NORM.DIST(Table2912[[#This Row],[Isobutyrate '[%']]],V$6,V$2,FALSE),-100)</f>
        <v>-100</v>
      </c>
      <c r="BO119">
        <f>IF(Table2912[[#This Row],[Isovalerate '[%']]]&lt;W$10,_xlfn.NORM.DIST(Table2912[[#This Row],[Isovalerate '[%']]],W$6,W$2,FALSE),-100)</f>
        <v>-100</v>
      </c>
      <c r="BP119">
        <f>IF(Table2912[[#This Row],[CH4 '[g/mmol SCFA']]]&lt;X$10,_xlfn.NORM.DIST(Table2912[[#This Row],[CH4 '[g/mmol SCFA']]],X$6,X$2,FALSE),-100)</f>
        <v>-100</v>
      </c>
      <c r="BQ119">
        <f>IF(Table2912[[#This Row],[DMD '[mg/g']]]&gt;Y$10,_xlfn.NORM.DIST(Table2912[[#This Row],[DMD '[mg/g']]],Y$6,Y$2,FALSE),-100)</f>
        <v>-100</v>
      </c>
      <c r="BR119">
        <f>IF(Table2912[[#This Row],[CH4 '[ml/g']]]&lt;Z$10,_xlfn.NORM.DIST(Table2912[[#This Row],[CH4 '[ml/g']]],Z$6,Z$2,FALSE),-100)</f>
        <v>-100</v>
      </c>
      <c r="BS119">
        <f>IF(Table2912[[#This Row],[CH4 '[% GP']]]&lt;AA$10,_xlfn.NORM.DIST(Table2912[[#This Row],[CH4 '[% GP']]],AA$6,AA$2,FALSE),-100)</f>
        <v>-100</v>
      </c>
      <c r="BT119">
        <f>IF(Table2912[[#This Row],[CH4 '[g/g DDM']]]&lt;AB$10,_xlfn.NORM.DIST(Table2912[[#This Row],[CH4 '[g/g DDM']]],AB$6,AB$2,FALSE),-100)</f>
        <v>-100</v>
      </c>
      <c r="CJ119" t="str">
        <v>Opuntia ficus-indica</v>
      </c>
      <c r="CL119" t="str">
        <v>Opuntia ficus-indica</v>
      </c>
    </row>
    <row r="120" spans="1:90" x14ac:dyDescent="0.25">
      <c r="A120" s="12" t="s">
        <v>70</v>
      </c>
      <c r="B120" s="13">
        <v>1033</v>
      </c>
      <c r="C120" s="96" t="s">
        <v>146</v>
      </c>
      <c r="D120" s="96"/>
      <c r="E120" s="96"/>
      <c r="F120" s="96" t="s">
        <v>147</v>
      </c>
      <c r="G120" s="15" t="s">
        <v>73</v>
      </c>
      <c r="H120" s="15" t="s">
        <v>74</v>
      </c>
      <c r="I120" t="s">
        <v>75</v>
      </c>
      <c r="J120" s="70">
        <v>1</v>
      </c>
      <c r="K120" s="70"/>
      <c r="L120" s="70"/>
      <c r="M120" t="s">
        <v>147</v>
      </c>
      <c r="N120" t="s">
        <v>80</v>
      </c>
      <c r="O120" s="18">
        <v>214.80471781305141</v>
      </c>
      <c r="P120" s="18">
        <v>5.8627277707929526</v>
      </c>
      <c r="Q120" s="97">
        <v>0.68646922526990184</v>
      </c>
      <c r="R120" s="97">
        <v>0.1847950273788273</v>
      </c>
      <c r="S120" s="97">
        <v>7.9702527720620336E-2</v>
      </c>
      <c r="T120" s="97">
        <v>1.3474881174129904E-2</v>
      </c>
      <c r="U120" s="97">
        <v>5.5375735034176275E-4</v>
      </c>
      <c r="V120" s="97">
        <v>1.2487824230626277E-2</v>
      </c>
      <c r="W120" s="97">
        <v>2.2516756875552588E-2</v>
      </c>
      <c r="X120" s="51">
        <f t="shared" si="8"/>
        <v>4.4827794658140085</v>
      </c>
      <c r="Y120" s="18">
        <v>664.77028655246477</v>
      </c>
      <c r="Z120" s="18">
        <v>26.281315664568186</v>
      </c>
      <c r="AA120" s="18">
        <f t="shared" si="9"/>
        <v>12.234980652259839</v>
      </c>
      <c r="AB120" s="18">
        <f t="shared" si="10"/>
        <v>39.534431962752926</v>
      </c>
      <c r="AC120" s="18">
        <f>$CP$15*Table2912[[#This Row],[DMD '[mg/g']]]+$CS$15*Table2912[[#This Row],[CH4 '[ml/g']]]+$CR$15*Table2912[[#This Row],[CH4 '[% GP']]]+$CQ$15*Table2912[[#This Row],[CH4 '[g/g DDM']]]</f>
        <v>12.525645973867761</v>
      </c>
      <c r="AD120" s="18">
        <f>_xlfn.RANK.AVG(Table2912[[#This Row],[Index]],Table2912[Index])</f>
        <v>312</v>
      </c>
      <c r="AE12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5.5752593523729477</v>
      </c>
      <c r="AF120" s="18">
        <f>Table2912[[#This Row],[CH4 '[ml/g']]]/Table2912[[#This Row],[APB]]</f>
        <v>4.7139180446165803</v>
      </c>
      <c r="AG120" s="18">
        <f>Table2912[[#This Row],[Propionate '[%']]]/Table2912[[#This Row],[Acetate '[%']]]</f>
        <v>0.26919637556391651</v>
      </c>
      <c r="AH120" s="51"/>
      <c r="AI120" s="18"/>
      <c r="AJ120" s="18"/>
      <c r="AK120" s="18">
        <f>(Table2912[[#This Row],[DMD '[mg/g']]]-$AK$15)/$AK$15*100</f>
        <v>35.58740324721915</v>
      </c>
      <c r="AL120" s="18">
        <f>(Table2912[[#This Row],[CH4 '[ml/g']]]-AL$15)/AL$15*100</f>
        <v>-33.181183939440423</v>
      </c>
      <c r="AM120" s="18">
        <f>(Table2912[[#This Row],[CH4 '[% GP']]]-AM$15)/AM$15*100</f>
        <v>-21.178315991975477</v>
      </c>
      <c r="AN120" s="18">
        <f>(Table2912[[#This Row],[CH4 '[g/g DDM']]]-AN$15)/AN$15*100</f>
        <v>-22.807719268191327</v>
      </c>
      <c r="AO120" s="18"/>
      <c r="AP120" s="18"/>
      <c r="AR120">
        <f>_xlfn.NORM.DIST(Table2912[[#This Row],[GP '[ml/g']]],O$6,O$2,FALSE)</f>
        <v>5.5916390972243386E-3</v>
      </c>
      <c r="AS120">
        <f>_xlfn.NORM.DIST(Table2912[[#This Row],[SCFA '[mmol/g']]],P$6,P$2,FALSE)</f>
        <v>0.28401029653545146</v>
      </c>
      <c r="AT120">
        <f>_xlfn.NORM.DIST(Table2912[[#This Row],[Acetate '[%']]],Q$6,Q$2,FALSE)</f>
        <v>12.56491445777433</v>
      </c>
      <c r="AU120">
        <f>_xlfn.NORM.DIST(Table2912[[#This Row],[Propionate '[%']]],R$6,R$2,FALSE)</f>
        <v>14.480769098311677</v>
      </c>
      <c r="AV120">
        <f>_xlfn.NORM.DIST(Table2912[[#This Row],[Butyrate '[%']]],S$6,S$2,FALSE)</f>
        <v>17.212289705568828</v>
      </c>
      <c r="AW120">
        <f>_xlfn.NORM.DIST(Table2912[[#This Row],[Valerate '[%']]],T$6,T$2,FALSE)</f>
        <v>55.671612713826043</v>
      </c>
      <c r="AX120">
        <f>_xlfn.NORM.DIST(Table2912[[#This Row],[Caproate '[%']]],U$6,U$2,FALSE)</f>
        <v>296.68993385162401</v>
      </c>
      <c r="AY120">
        <f>_xlfn.NORM.DIST(Table2912[[#This Row],[Isobutyrate '[%']]],V$6,V$2,FALSE)</f>
        <v>73.484475986444039</v>
      </c>
      <c r="AZ120">
        <f>_xlfn.NORM.DIST(Table2912[[#This Row],[Isovalerate '[%']]],W$6,W$2,FALSE)</f>
        <v>37.660607551619428</v>
      </c>
      <c r="BA120">
        <f>_xlfn.NORM.DIST(Table2912[[#This Row],[CH4 '[g/mmol SCFA']]],X$6,X$2,FALSE)</f>
        <v>0.12088284663704421</v>
      </c>
      <c r="BB120">
        <f>_xlfn.NORM.DIST(Table2912[[#This Row],[DMD '[mg/g']]],Y$6,Y$2,FALSE)</f>
        <v>2.0953949910888269E-3</v>
      </c>
      <c r="BC120">
        <f>_xlfn.NORM.DIST(Table2912[[#This Row],[CH4 '[ml/g']]],Z$6,Z$2,FALSE)</f>
        <v>1.4965751975600478E-2</v>
      </c>
      <c r="BD120">
        <f>_xlfn.NORM.DIST(Table2912[[#This Row],[CH4 '[% GP']]],AA$6,AA$2,FALSE)</f>
        <v>5.8287107378426899E-2</v>
      </c>
      <c r="BE120">
        <f>_xlfn.NORM.DIST(Table2912[[#This Row],[CH4 '[g/g DDM']]],AB$6,AB$2,FALSE)</f>
        <v>1.7192290142335451E-2</v>
      </c>
      <c r="BG120">
        <f>IF(Table2912[[#This Row],[GP '[ml/g']]]&lt;O$10,_xlfn.NORM.DIST(Table2912[[#This Row],[GP '[ml/g']]],O$6,O$2,FALSE),-100)</f>
        <v>-100</v>
      </c>
      <c r="BH120">
        <f>IF(Table2912[[#This Row],[SCFA '[mmol/g']]]&lt;P$10,_xlfn.NORM.DIST(Table2912[[#This Row],[SCFA '[mmol/g']]],P$6,P$2,FALSE),-100)</f>
        <v>-100</v>
      </c>
      <c r="BI120">
        <f>IF(Table2912[[#This Row],[Acetate '[%']]]&lt;Q$10,_xlfn.NORM.DIST(Table2912[[#This Row],[Acetate '[%']]],Q$6,Q$2,FALSE),-100)</f>
        <v>-100</v>
      </c>
      <c r="BJ120">
        <f>IF(Table2912[[#This Row],[Propionate '[%']]]&lt;R$10,_xlfn.NORM.DIST(Table2912[[#This Row],[Propionate '[%']]],R$6,R$2,FALSE),-100)</f>
        <v>-100</v>
      </c>
      <c r="BK120">
        <f>IF(Table2912[[#This Row],[Butyrate '[%']]]&lt;S$10,_xlfn.NORM.DIST(Table2912[[#This Row],[Butyrate '[%']]],S$6,S$2,FALSE),-100)</f>
        <v>-100</v>
      </c>
      <c r="BL120">
        <f>IF(Table2912[[#This Row],[Valerate '[%']]]&lt;T$10,_xlfn.NORM.DIST(Table2912[[#This Row],[Valerate '[%']]],T$6,T$2,FALSE),-100)</f>
        <v>-100</v>
      </c>
      <c r="BM120">
        <f>IF(Table2912[[#This Row],[Caproate '[%']]]&lt;U$10,_xlfn.NORM.DIST(Table2912[[#This Row],[Caproate '[%']]],U$6,U$2,FALSE),-100)</f>
        <v>-100</v>
      </c>
      <c r="BN120">
        <f>IF(Table2912[[#This Row],[Isobutyrate '[%']]]&lt;V$10,_xlfn.NORM.DIST(Table2912[[#This Row],[Isobutyrate '[%']]],V$6,V$2,FALSE),-100)</f>
        <v>-100</v>
      </c>
      <c r="BO120">
        <f>IF(Table2912[[#This Row],[Isovalerate '[%']]]&lt;W$10,_xlfn.NORM.DIST(Table2912[[#This Row],[Isovalerate '[%']]],W$6,W$2,FALSE),-100)</f>
        <v>-100</v>
      </c>
      <c r="BP120">
        <f>IF(Table2912[[#This Row],[CH4 '[g/mmol SCFA']]]&lt;X$10,_xlfn.NORM.DIST(Table2912[[#This Row],[CH4 '[g/mmol SCFA']]],X$6,X$2,FALSE),-100)</f>
        <v>0.12088284663704421</v>
      </c>
      <c r="BQ120">
        <f>IF(Table2912[[#This Row],[DMD '[mg/g']]]&gt;Y$10,_xlfn.NORM.DIST(Table2912[[#This Row],[DMD '[mg/g']]],Y$6,Y$2,FALSE),-100)</f>
        <v>-100</v>
      </c>
      <c r="BR120">
        <f>IF(Table2912[[#This Row],[CH4 '[ml/g']]]&lt;Z$10,_xlfn.NORM.DIST(Table2912[[#This Row],[CH4 '[ml/g']]],Z$6,Z$2,FALSE),-100)</f>
        <v>1.4965751975600478E-2</v>
      </c>
      <c r="BS120">
        <f>IF(Table2912[[#This Row],[CH4 '[% GP']]]&lt;AA$10,_xlfn.NORM.DIST(Table2912[[#This Row],[CH4 '[% GP']]],AA$6,AA$2,FALSE),-100)</f>
        <v>-100</v>
      </c>
      <c r="BT120">
        <f>IF(Table2912[[#This Row],[CH4 '[g/g DDM']]]&lt;AB$10,_xlfn.NORM.DIST(Table2912[[#This Row],[CH4 '[g/g DDM']]],AB$6,AB$2,FALSE),-100)</f>
        <v>-100</v>
      </c>
      <c r="CJ120" t="str">
        <v>Erythrina velutina</v>
      </c>
      <c r="CL120" t="str">
        <v>Erythrina velutina</v>
      </c>
    </row>
    <row r="121" spans="1:90" x14ac:dyDescent="0.25">
      <c r="A121" s="12" t="s">
        <v>86</v>
      </c>
      <c r="B121" s="13">
        <v>1075</v>
      </c>
      <c r="C121" s="104" t="s">
        <v>192</v>
      </c>
      <c r="D121" s="104" t="s">
        <v>193</v>
      </c>
      <c r="E121" s="104" t="s">
        <v>194</v>
      </c>
      <c r="F121" s="104" t="s">
        <v>195</v>
      </c>
      <c r="G121" s="23" t="s">
        <v>73</v>
      </c>
      <c r="H121" s="23" t="s">
        <v>74</v>
      </c>
      <c r="I121" s="105" t="s">
        <v>44</v>
      </c>
      <c r="J121" s="107">
        <v>3</v>
      </c>
      <c r="K121" s="107"/>
      <c r="L121" s="107"/>
      <c r="M121" t="s">
        <v>195</v>
      </c>
      <c r="N121" t="s">
        <v>99</v>
      </c>
      <c r="O121" s="18">
        <v>194.31624779541488</v>
      </c>
      <c r="P121" s="18">
        <v>5.1106307481390321</v>
      </c>
      <c r="Q121" s="97">
        <v>0.64228559865293455</v>
      </c>
      <c r="R121" s="97">
        <v>0.20181648095021432</v>
      </c>
      <c r="S121" s="97">
        <v>7.4326209224232997E-2</v>
      </c>
      <c r="T121" s="97">
        <v>2.0565413580341863E-2</v>
      </c>
      <c r="U121" s="97">
        <v>1.839723449025697E-3</v>
      </c>
      <c r="V121" s="97">
        <v>2.1647027017498946E-2</v>
      </c>
      <c r="W121" s="97">
        <v>3.7519547125751493E-2</v>
      </c>
      <c r="X121" s="51">
        <f t="shared" si="8"/>
        <v>7.9310861148529916</v>
      </c>
      <c r="Y121" s="18">
        <v>667.12292383266561</v>
      </c>
      <c r="Z121" s="18">
        <v>40.532852564706232</v>
      </c>
      <c r="AA121" s="18">
        <f t="shared" si="9"/>
        <v>20.859219455174479</v>
      </c>
      <c r="AB121" s="18">
        <f t="shared" si="10"/>
        <v>60.757697144991354</v>
      </c>
      <c r="AC121" s="18">
        <f>$CP$15*Table2912[[#This Row],[DMD '[mg/g']]]+$CS$15*Table2912[[#This Row],[CH4 '[ml/g']]]+$CR$15*Table2912[[#This Row],[CH4 '[% GP']]]+$CQ$15*Table2912[[#This Row],[CH4 '[g/g DDM']]]</f>
        <v>-0.26731332283969778</v>
      </c>
      <c r="AD121" s="18">
        <f>_xlfn.RANK.AVG(Table2912[[#This Row],[Index]],Table2912[Index])</f>
        <v>449</v>
      </c>
      <c r="AE12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4.6937478528419341</v>
      </c>
      <c r="AF121" s="18">
        <f>Table2912[[#This Row],[CH4 '[ml/g']]]/Table2912[[#This Row],[APB]]</f>
        <v>8.6354985047108386</v>
      </c>
      <c r="AG121" s="18">
        <f>Table2912[[#This Row],[Propionate '[%']]]/Table2912[[#This Row],[Acetate '[%']]]</f>
        <v>0.31421610787083498</v>
      </c>
      <c r="AH121" s="51"/>
      <c r="AI121" s="18"/>
      <c r="AJ121" s="18"/>
      <c r="AK121" s="18">
        <f>(Table2912[[#This Row],[DMD '[mg/g']]]-$AK$15)/$AK$15*100</f>
        <v>36.067250174883924</v>
      </c>
      <c r="AL121" s="18">
        <f>(Table2912[[#This Row],[CH4 '[ml/g']]]-AL$15)/AL$15*100</f>
        <v>3.0525737180740053</v>
      </c>
      <c r="AM121" s="18">
        <f>(Table2912[[#This Row],[CH4 '[% GP']]]-AM$15)/AM$15*100</f>
        <v>34.381806664003101</v>
      </c>
      <c r="AN121" s="18">
        <f>(Table2912[[#This Row],[CH4 '[g/g DDM']]]-AN$15)/AN$15*100</f>
        <v>18.631405126879162</v>
      </c>
      <c r="AO121" s="18"/>
      <c r="AP121" s="18"/>
      <c r="AR121">
        <f>_xlfn.NORM.DIST(Table2912[[#This Row],[GP '[ml/g']]],O$6,O$2,FALSE)</f>
        <v>3.8746671653895042E-3</v>
      </c>
      <c r="AS121">
        <f>_xlfn.NORM.DIST(Table2912[[#This Row],[SCFA '[mmol/g']]],P$6,P$2,FALSE)</f>
        <v>0.16389526568967278</v>
      </c>
      <c r="AT121">
        <f>_xlfn.NORM.DIST(Table2912[[#This Row],[Acetate '[%']]],Q$6,Q$2,FALSE)</f>
        <v>7.7920466345474706</v>
      </c>
      <c r="AU121">
        <f>_xlfn.NORM.DIST(Table2912[[#This Row],[Propionate '[%']]],R$6,R$2,FALSE)</f>
        <v>7.5866371596580047</v>
      </c>
      <c r="AV121">
        <f>_xlfn.NORM.DIST(Table2912[[#This Row],[Butyrate '[%']]],S$6,S$2,FALSE)</f>
        <v>12.943798927076097</v>
      </c>
      <c r="AW121">
        <f>_xlfn.NORM.DIST(Table2912[[#This Row],[Valerate '[%']]],T$6,T$2,FALSE)</f>
        <v>66.02071181435511</v>
      </c>
      <c r="AX121">
        <f>_xlfn.NORM.DIST(Table2912[[#This Row],[Caproate '[%']]],U$6,U$2,FALSE)</f>
        <v>356.049086440449</v>
      </c>
      <c r="AY121">
        <f>_xlfn.NORM.DIST(Table2912[[#This Row],[Isobutyrate '[%']]],V$6,V$2,FALSE)</f>
        <v>32.412580314120611</v>
      </c>
      <c r="AZ121">
        <f>_xlfn.NORM.DIST(Table2912[[#This Row],[Isovalerate '[%']]],W$6,W$2,FALSE)</f>
        <v>24.91751343682246</v>
      </c>
      <c r="BA121">
        <f>_xlfn.NORM.DIST(Table2912[[#This Row],[CH4 '[g/mmol SCFA']]],X$6,X$2,FALSE)</f>
        <v>0.13978365383650623</v>
      </c>
      <c r="BB121">
        <f>_xlfn.NORM.DIST(Table2912[[#This Row],[DMD '[mg/g']]],Y$6,Y$2,FALSE)</f>
        <v>2.1245820505522372E-3</v>
      </c>
      <c r="BC121">
        <f>_xlfn.NORM.DIST(Table2912[[#This Row],[CH4 '[ml/g']]],Z$6,Z$2,FALSE)</f>
        <v>3.341767371859735E-2</v>
      </c>
      <c r="BD121">
        <f>_xlfn.NORM.DIST(Table2912[[#This Row],[CH4 '[% GP']]],AA$6,AA$2,FALSE)</f>
        <v>3.6396984837583891E-2</v>
      </c>
      <c r="BE121">
        <f>_xlfn.NORM.DIST(Table2912[[#This Row],[CH4 '[g/g DDM']]],AB$6,AB$2,FALSE)</f>
        <v>2.7280455537869699E-2</v>
      </c>
      <c r="BG121">
        <f>IF(Table2912[[#This Row],[GP '[ml/g']]]&lt;O$10,_xlfn.NORM.DIST(Table2912[[#This Row],[GP '[ml/g']]],O$6,O$2,FALSE),-100)</f>
        <v>3.8746671653895042E-3</v>
      </c>
      <c r="BH121">
        <f>IF(Table2912[[#This Row],[SCFA '[mmol/g']]]&lt;P$10,_xlfn.NORM.DIST(Table2912[[#This Row],[SCFA '[mmol/g']]],P$6,P$2,FALSE),-100)</f>
        <v>0.16389526568967278</v>
      </c>
      <c r="BI121">
        <f>IF(Table2912[[#This Row],[Acetate '[%']]]&lt;Q$10,_xlfn.NORM.DIST(Table2912[[#This Row],[Acetate '[%']]],Q$6,Q$2,FALSE),-100)</f>
        <v>7.7920466345474706</v>
      </c>
      <c r="BJ121">
        <f>IF(Table2912[[#This Row],[Propionate '[%']]]&lt;R$10,_xlfn.NORM.DIST(Table2912[[#This Row],[Propionate '[%']]],R$6,R$2,FALSE),-100)</f>
        <v>-100</v>
      </c>
      <c r="BK121">
        <f>IF(Table2912[[#This Row],[Butyrate '[%']]]&lt;S$10,_xlfn.NORM.DIST(Table2912[[#This Row],[Butyrate '[%']]],S$6,S$2,FALSE),-100)</f>
        <v>12.943798927076097</v>
      </c>
      <c r="BL121">
        <f>IF(Table2912[[#This Row],[Valerate '[%']]]&lt;T$10,_xlfn.NORM.DIST(Table2912[[#This Row],[Valerate '[%']]],T$6,T$2,FALSE),-100)</f>
        <v>-100</v>
      </c>
      <c r="BM121">
        <f>IF(Table2912[[#This Row],[Caproate '[%']]]&lt;U$10,_xlfn.NORM.DIST(Table2912[[#This Row],[Caproate '[%']]],U$6,U$2,FALSE),-100)</f>
        <v>-100</v>
      </c>
      <c r="BN121">
        <f>IF(Table2912[[#This Row],[Isobutyrate '[%']]]&lt;V$10,_xlfn.NORM.DIST(Table2912[[#This Row],[Isobutyrate '[%']]],V$6,V$2,FALSE),-100)</f>
        <v>-100</v>
      </c>
      <c r="BO121">
        <f>IF(Table2912[[#This Row],[Isovalerate '[%']]]&lt;W$10,_xlfn.NORM.DIST(Table2912[[#This Row],[Isovalerate '[%']]],W$6,W$2,FALSE),-100)</f>
        <v>-100</v>
      </c>
      <c r="BP121">
        <f>IF(Table2912[[#This Row],[CH4 '[g/mmol SCFA']]]&lt;X$10,_xlfn.NORM.DIST(Table2912[[#This Row],[CH4 '[g/mmol SCFA']]],X$6,X$2,FALSE),-100)</f>
        <v>-100</v>
      </c>
      <c r="BQ121">
        <f>IF(Table2912[[#This Row],[DMD '[mg/g']]]&gt;Y$10,_xlfn.NORM.DIST(Table2912[[#This Row],[DMD '[mg/g']]],Y$6,Y$2,FALSE),-100)</f>
        <v>-100</v>
      </c>
      <c r="BR121">
        <f>IF(Table2912[[#This Row],[CH4 '[ml/g']]]&lt;Z$10,_xlfn.NORM.DIST(Table2912[[#This Row],[CH4 '[ml/g']]],Z$6,Z$2,FALSE),-100)</f>
        <v>-100</v>
      </c>
      <c r="BS121">
        <f>IF(Table2912[[#This Row],[CH4 '[% GP']]]&lt;AA$10,_xlfn.NORM.DIST(Table2912[[#This Row],[CH4 '[% GP']]],AA$6,AA$2,FALSE),-100)</f>
        <v>-100</v>
      </c>
      <c r="BT121">
        <f>IF(Table2912[[#This Row],[CH4 '[g/g DDM']]]&lt;AB$10,_xlfn.NORM.DIST(Table2912[[#This Row],[CH4 '[g/g DDM']]],AB$6,AB$2,FALSE),-100)</f>
        <v>-100</v>
      </c>
      <c r="CJ121" t="str">
        <v xml:space="preserve">Arachis glabrata    </v>
      </c>
      <c r="CL121" t="str">
        <v xml:space="preserve">Arachis glabrata    </v>
      </c>
    </row>
    <row r="122" spans="1:90" x14ac:dyDescent="0.25">
      <c r="A122" s="12" t="s">
        <v>70</v>
      </c>
      <c r="B122" s="13">
        <v>1026</v>
      </c>
      <c r="C122" s="96" t="s">
        <v>187</v>
      </c>
      <c r="D122" s="96"/>
      <c r="E122" s="96"/>
      <c r="F122" s="98" t="s">
        <v>188</v>
      </c>
      <c r="G122" t="s">
        <v>73</v>
      </c>
      <c r="H122" t="s">
        <v>74</v>
      </c>
      <c r="I122" t="s">
        <v>75</v>
      </c>
      <c r="J122" s="70">
        <v>1</v>
      </c>
      <c r="K122" s="70"/>
      <c r="L122" s="70"/>
      <c r="M122" t="s">
        <v>188</v>
      </c>
      <c r="N122" t="s">
        <v>80</v>
      </c>
      <c r="O122" s="18">
        <v>200.1128458498026</v>
      </c>
      <c r="P122" s="18">
        <v>4.5647298040314137</v>
      </c>
      <c r="Q122" s="97">
        <v>0.62829190784501532</v>
      </c>
      <c r="R122" s="97">
        <v>0.23333183424333043</v>
      </c>
      <c r="S122" s="97">
        <v>0.10754575000473157</v>
      </c>
      <c r="T122" s="97">
        <v>1.7168076448148977E-2</v>
      </c>
      <c r="U122" s="97">
        <v>9.0115350112591293E-4</v>
      </c>
      <c r="V122" s="97">
        <v>5.6343822145220705E-3</v>
      </c>
      <c r="W122" s="97">
        <v>7.1268957431257383E-3</v>
      </c>
      <c r="X122" s="51">
        <f t="shared" si="8"/>
        <v>3.1065282247813548</v>
      </c>
      <c r="Y122" s="18">
        <v>667.2899830208969</v>
      </c>
      <c r="Z122" s="18">
        <v>14.180461974724249</v>
      </c>
      <c r="AA122" s="18">
        <f t="shared" si="9"/>
        <v>7.0862327275919039</v>
      </c>
      <c r="AB122" s="18">
        <f t="shared" si="10"/>
        <v>21.250823982892268</v>
      </c>
      <c r="AC122" s="18">
        <f>$CP$15*Table2912[[#This Row],[DMD '[mg/g']]]+$CS$15*Table2912[[#This Row],[CH4 '[ml/g']]]+$CR$15*Table2912[[#This Row],[CH4 '[% GP']]]+$CQ$15*Table2912[[#This Row],[CH4 '[g/g DDM']]]</f>
        <v>23.208772859987231</v>
      </c>
      <c r="AD122" s="18">
        <f>_xlfn.RANK.AVG(Table2912[[#This Row],[Index]],Table2912[Index])</f>
        <v>112</v>
      </c>
      <c r="AE12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4.4239968657152575</v>
      </c>
      <c r="AF122" s="18">
        <f>Table2912[[#This Row],[CH4 '[ml/g']]]/Table2912[[#This Row],[APB]]</f>
        <v>3.2053508185367119</v>
      </c>
      <c r="AG122" s="18">
        <f>Table2912[[#This Row],[Propionate '[%']]]/Table2912[[#This Row],[Acetate '[%']]]</f>
        <v>0.37137488376006245</v>
      </c>
      <c r="AH122" s="51"/>
      <c r="AI122" s="18"/>
      <c r="AJ122" s="18"/>
      <c r="AK122" s="18">
        <f>(Table2912[[#This Row],[DMD '[mg/g']]]-$AK$15)/$AK$15*100</f>
        <v>36.101323781931463</v>
      </c>
      <c r="AL122" s="18">
        <f>(Table2912[[#This Row],[CH4 '[ml/g']]]-AL$15)/AL$15*100</f>
        <v>-63.946946475732034</v>
      </c>
      <c r="AM122" s="18">
        <f>(Table2912[[#This Row],[CH4 '[% GP']]]-AM$15)/AM$15*100</f>
        <v>-54.348207591288258</v>
      </c>
      <c r="AN122" s="18">
        <f>(Table2912[[#This Row],[CH4 '[g/g DDM']]]-AN$15)/AN$15*100</f>
        <v>-58.50706613882393</v>
      </c>
      <c r="AO122" s="18"/>
      <c r="AP122" s="18"/>
      <c r="AR122">
        <f>_xlfn.NORM.DIST(Table2912[[#This Row],[GP '[ml/g']]],O$6,O$2,FALSE)</f>
        <v>4.3632065794069466E-3</v>
      </c>
      <c r="AS122">
        <f>_xlfn.NORM.DIST(Table2912[[#This Row],[SCFA '[mmol/g']]],P$6,P$2,FALSE)</f>
        <v>8.5945029393182201E-2</v>
      </c>
      <c r="AT122">
        <f>_xlfn.NORM.DIST(Table2912[[#This Row],[Acetate '[%']]],Q$6,Q$2,FALSE)</f>
        <v>4.0493374480639881</v>
      </c>
      <c r="AU122">
        <f>_xlfn.NORM.DIST(Table2912[[#This Row],[Propionate '[%']]],R$6,R$2,FALSE)</f>
        <v>0.59133849971066621</v>
      </c>
      <c r="AV122">
        <f>_xlfn.NORM.DIST(Table2912[[#This Row],[Butyrate '[%']]],S$6,S$2,FALSE)</f>
        <v>16.126391862783827</v>
      </c>
      <c r="AW122">
        <f>_xlfn.NORM.DIST(Table2912[[#This Row],[Valerate '[%']]],T$6,T$2,FALSE)</f>
        <v>77.044968966527719</v>
      </c>
      <c r="AX122">
        <f>_xlfn.NORM.DIST(Table2912[[#This Row],[Caproate '[%']]],U$6,U$2,FALSE)</f>
        <v>369.28368857681562</v>
      </c>
      <c r="AY122">
        <f>_xlfn.NORM.DIST(Table2912[[#This Row],[Isobutyrate '[%']]],V$6,V$2,FALSE)</f>
        <v>8.2245157040972341</v>
      </c>
      <c r="AZ122">
        <f>_xlfn.NORM.DIST(Table2912[[#This Row],[Isovalerate '[%']]],W$6,W$2,FALSE)</f>
        <v>2.771987785776846</v>
      </c>
      <c r="BA122">
        <f>_xlfn.NORM.DIST(Table2912[[#This Row],[CH4 '[g/mmol SCFA']]],X$6,X$2,FALSE)</f>
        <v>1.8025595066449067E-2</v>
      </c>
      <c r="BB122">
        <f>_xlfn.NORM.DIST(Table2912[[#This Row],[DMD '[mg/g']]],Y$6,Y$2,FALSE)</f>
        <v>2.1266460828708285E-3</v>
      </c>
      <c r="BC122">
        <f>_xlfn.NORM.DIST(Table2912[[#This Row],[CH4 '[ml/g']]],Z$6,Z$2,FALSE)</f>
        <v>2.4571076220678682E-3</v>
      </c>
      <c r="BD122">
        <f>_xlfn.NORM.DIST(Table2912[[#This Row],[CH4 '[% GP']]],AA$6,AA$2,FALSE)</f>
        <v>1.3543555823595206E-3</v>
      </c>
      <c r="BE122">
        <f>_xlfn.NORM.DIST(Table2912[[#This Row],[CH4 '[g/g DDM']]],AB$6,AB$2,FALSE)</f>
        <v>9.975779601310384E-4</v>
      </c>
      <c r="BG122">
        <f>IF(Table2912[[#This Row],[GP '[ml/g']]]&lt;O$10,_xlfn.NORM.DIST(Table2912[[#This Row],[GP '[ml/g']]],O$6,O$2,FALSE),-100)</f>
        <v>4.3632065794069466E-3</v>
      </c>
      <c r="BH122">
        <f>IF(Table2912[[#This Row],[SCFA '[mmol/g']]]&lt;P$10,_xlfn.NORM.DIST(Table2912[[#This Row],[SCFA '[mmol/g']]],P$6,P$2,FALSE),-100)</f>
        <v>8.5945029393182201E-2</v>
      </c>
      <c r="BI122">
        <f>IF(Table2912[[#This Row],[Acetate '[%']]]&lt;Q$10,_xlfn.NORM.DIST(Table2912[[#This Row],[Acetate '[%']]],Q$6,Q$2,FALSE),-100)</f>
        <v>4.0493374480639881</v>
      </c>
      <c r="BJ122">
        <f>IF(Table2912[[#This Row],[Propionate '[%']]]&lt;R$10,_xlfn.NORM.DIST(Table2912[[#This Row],[Propionate '[%']]],R$6,R$2,FALSE),-100)</f>
        <v>-100</v>
      </c>
      <c r="BK122">
        <f>IF(Table2912[[#This Row],[Butyrate '[%']]]&lt;S$10,_xlfn.NORM.DIST(Table2912[[#This Row],[Butyrate '[%']]],S$6,S$2,FALSE),-100)</f>
        <v>-100</v>
      </c>
      <c r="BL122">
        <f>IF(Table2912[[#This Row],[Valerate '[%']]]&lt;T$10,_xlfn.NORM.DIST(Table2912[[#This Row],[Valerate '[%']]],T$6,T$2,FALSE),-100)</f>
        <v>-100</v>
      </c>
      <c r="BM122">
        <f>IF(Table2912[[#This Row],[Caproate '[%']]]&lt;U$10,_xlfn.NORM.DIST(Table2912[[#This Row],[Caproate '[%']]],U$6,U$2,FALSE),-100)</f>
        <v>-100</v>
      </c>
      <c r="BN122">
        <f>IF(Table2912[[#This Row],[Isobutyrate '[%']]]&lt;V$10,_xlfn.NORM.DIST(Table2912[[#This Row],[Isobutyrate '[%']]],V$6,V$2,FALSE),-100)</f>
        <v>8.2245157040972341</v>
      </c>
      <c r="BO122">
        <f>IF(Table2912[[#This Row],[Isovalerate '[%']]]&lt;W$10,_xlfn.NORM.DIST(Table2912[[#This Row],[Isovalerate '[%']]],W$6,W$2,FALSE),-100)</f>
        <v>2.771987785776846</v>
      </c>
      <c r="BP122">
        <f>IF(Table2912[[#This Row],[CH4 '[g/mmol SCFA']]]&lt;X$10,_xlfn.NORM.DIST(Table2912[[#This Row],[CH4 '[g/mmol SCFA']]],X$6,X$2,FALSE),-100)</f>
        <v>1.8025595066449067E-2</v>
      </c>
      <c r="BQ122">
        <f>IF(Table2912[[#This Row],[DMD '[mg/g']]]&gt;Y$10,_xlfn.NORM.DIST(Table2912[[#This Row],[DMD '[mg/g']]],Y$6,Y$2,FALSE),-100)</f>
        <v>-100</v>
      </c>
      <c r="BR122">
        <f>IF(Table2912[[#This Row],[CH4 '[ml/g']]]&lt;Z$10,_xlfn.NORM.DIST(Table2912[[#This Row],[CH4 '[ml/g']]],Z$6,Z$2,FALSE),-100)</f>
        <v>2.4571076220678682E-3</v>
      </c>
      <c r="BS122">
        <f>IF(Table2912[[#This Row],[CH4 '[% GP']]]&lt;AA$10,_xlfn.NORM.DIST(Table2912[[#This Row],[CH4 '[% GP']]],AA$6,AA$2,FALSE),-100)</f>
        <v>1.3543555823595206E-3</v>
      </c>
      <c r="BT122">
        <f>IF(Table2912[[#This Row],[CH4 '[g/g DDM']]]&lt;AB$10,_xlfn.NORM.DIST(Table2912[[#This Row],[CH4 '[g/g DDM']]],AB$6,AB$2,FALSE),-100)</f>
        <v>9.975779601310384E-4</v>
      </c>
      <c r="CJ122" t="str">
        <v>Setaria sphacelata</v>
      </c>
      <c r="CL122" t="str">
        <v>Setaria sphacelata</v>
      </c>
    </row>
    <row r="123" spans="1:90" x14ac:dyDescent="0.25">
      <c r="A123" s="12" t="s">
        <v>70</v>
      </c>
      <c r="B123" s="13">
        <v>1040</v>
      </c>
      <c r="C123" s="96" t="s">
        <v>169</v>
      </c>
      <c r="D123" s="96"/>
      <c r="E123" s="96"/>
      <c r="F123" s="96" t="s">
        <v>170</v>
      </c>
      <c r="G123" s="15" t="s">
        <v>143</v>
      </c>
      <c r="H123" s="15" t="s">
        <v>144</v>
      </c>
      <c r="I123" t="s">
        <v>52</v>
      </c>
      <c r="J123" s="100">
        <v>3</v>
      </c>
      <c r="K123" s="100"/>
      <c r="L123" s="100"/>
      <c r="M123" t="s">
        <v>170</v>
      </c>
      <c r="N123" t="s">
        <v>85</v>
      </c>
      <c r="O123" s="18">
        <v>245.22771137671586</v>
      </c>
      <c r="P123" s="18">
        <v>5.399181053563523</v>
      </c>
      <c r="Q123" s="97">
        <v>0.70143008805345664</v>
      </c>
      <c r="R123" s="97">
        <v>0.17350486063406817</v>
      </c>
      <c r="S123" s="97">
        <v>8.6703425092750114E-2</v>
      </c>
      <c r="T123" s="97">
        <v>1.0884046979728204E-2</v>
      </c>
      <c r="U123" s="97">
        <v>8.4038780822760155E-4</v>
      </c>
      <c r="V123" s="97">
        <v>9.9411728534240674E-3</v>
      </c>
      <c r="W123" s="97">
        <v>1.8468034517391922E-2</v>
      </c>
      <c r="X123" s="51">
        <f t="shared" si="8"/>
        <v>6.9268724714772762</v>
      </c>
      <c r="Y123" s="18">
        <v>667.330677290837</v>
      </c>
      <c r="Z123" s="18">
        <v>37.399438608450843</v>
      </c>
      <c r="AA123" s="18">
        <f t="shared" si="9"/>
        <v>15.250902273029935</v>
      </c>
      <c r="AB123" s="18">
        <f t="shared" si="10"/>
        <v>56.043337855051682</v>
      </c>
      <c r="AC123" s="18">
        <f>$CP$15*Table2912[[#This Row],[DMD '[mg/g']]]+$CS$15*Table2912[[#This Row],[CH4 '[ml/g']]]+$CR$15*Table2912[[#This Row],[CH4 '[% GP']]]+$CQ$15*Table2912[[#This Row],[CH4 '[g/g DDM']]]</f>
        <v>3.7423408785680294</v>
      </c>
      <c r="AD123" s="18">
        <f>_xlfn.RANK.AVG(Table2912[[#This Row],[Index]],Table2912[Index])</f>
        <v>419</v>
      </c>
      <c r="AE12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5.1920596880940977</v>
      </c>
      <c r="AF123" s="18">
        <f>Table2912[[#This Row],[CH4 '[ml/g']]]/Table2912[[#This Row],[APB]]</f>
        <v>7.2031988950765387</v>
      </c>
      <c r="AG123" s="18">
        <f>Table2912[[#This Row],[Propionate '[%']]]/Table2912[[#This Row],[Acetate '[%']]]</f>
        <v>0.24735873694207028</v>
      </c>
      <c r="AH123" s="51"/>
      <c r="AI123" s="18"/>
      <c r="AJ123" s="18"/>
      <c r="AK123" s="18">
        <f>(Table2912[[#This Row],[DMD '[mg/g']]]-$AK$15)/$AK$15*100</f>
        <v>36.109623837604587</v>
      </c>
      <c r="AL123" s="18">
        <f>(Table2912[[#This Row],[CH4 '[ml/g']]]-AL$15)/AL$15*100</f>
        <v>-4.913960889890383</v>
      </c>
      <c r="AM123" s="18">
        <f>(Table2912[[#This Row],[CH4 '[% GP']]]-AM$15)/AM$15*100</f>
        <v>-1.7487780350517765</v>
      </c>
      <c r="AN123" s="18">
        <f>(Table2912[[#This Row],[CH4 '[g/g DDM']]]-AN$15)/AN$15*100</f>
        <v>9.4264633150810173</v>
      </c>
      <c r="AO123" s="18"/>
      <c r="AP123" s="18"/>
      <c r="AR123">
        <f>_xlfn.NORM.DIST(Table2912[[#This Row],[GP '[ml/g']]],O$6,O$2,FALSE)</f>
        <v>7.3426864333178054E-3</v>
      </c>
      <c r="AS123">
        <f>_xlfn.NORM.DIST(Table2912[[#This Row],[SCFA '[mmol/g']]],P$6,P$2,FALSE)</f>
        <v>0.21202043334032264</v>
      </c>
      <c r="AT123">
        <f>_xlfn.NORM.DIST(Table2912[[#This Row],[Acetate '[%']]],Q$6,Q$2,FALSE)</f>
        <v>8.5484546210063677</v>
      </c>
      <c r="AU123">
        <f>_xlfn.NORM.DIST(Table2912[[#This Row],[Propionate '[%']]],R$6,R$2,FALSE)</f>
        <v>16.751255510731315</v>
      </c>
      <c r="AV123">
        <f>_xlfn.NORM.DIST(Table2912[[#This Row],[Butyrate '[%']]],S$6,S$2,FALSE)</f>
        <v>21.592990802370672</v>
      </c>
      <c r="AW123">
        <f>_xlfn.NORM.DIST(Table2912[[#This Row],[Valerate '[%']]],T$6,T$2,FALSE)</f>
        <v>32.627567713672221</v>
      </c>
      <c r="AX123">
        <f>_xlfn.NORM.DIST(Table2912[[#This Row],[Caproate '[%']]],U$6,U$2,FALSE)</f>
        <v>358.64742202435923</v>
      </c>
      <c r="AY123">
        <f>_xlfn.NORM.DIST(Table2912[[#This Row],[Isobutyrate '[%']]],V$6,V$2,FALSE)</f>
        <v>43.094572861554489</v>
      </c>
      <c r="AZ123">
        <f>_xlfn.NORM.DIST(Table2912[[#This Row],[Isovalerate '[%']]],W$6,W$2,FALSE)</f>
        <v>25.532520733666729</v>
      </c>
      <c r="BA123">
        <f>_xlfn.NORM.DIST(Table2912[[#This Row],[CH4 '[g/mmol SCFA']]],X$6,X$2,FALSE)</f>
        <v>0.26502080169781284</v>
      </c>
      <c r="BB123">
        <f>_xlfn.NORM.DIST(Table2912[[#This Row],[DMD '[mg/g']]],Y$6,Y$2,FALSE)</f>
        <v>2.1271486877088089E-3</v>
      </c>
      <c r="BC123">
        <f>_xlfn.NORM.DIST(Table2912[[#This Row],[CH4 '[ml/g']]],Z$6,Z$2,FALSE)</f>
        <v>3.166882002347534E-2</v>
      </c>
      <c r="BD123">
        <f>_xlfn.NORM.DIST(Table2912[[#This Row],[CH4 '[% GP']]],AA$6,AA$2,FALSE)</f>
        <v>0.1296817577848291</v>
      </c>
      <c r="BE123">
        <f>_xlfn.NORM.DIST(Table2912[[#This Row],[CH4 '[g/g DDM']]],AB$6,AB$2,FALSE)</f>
        <v>3.2056411554809663E-2</v>
      </c>
      <c r="BG123">
        <f>IF(Table2912[[#This Row],[GP '[ml/g']]]&lt;O$10,_xlfn.NORM.DIST(Table2912[[#This Row],[GP '[ml/g']]],O$6,O$2,FALSE),-100)</f>
        <v>-100</v>
      </c>
      <c r="BH123">
        <f>IF(Table2912[[#This Row],[SCFA '[mmol/g']]]&lt;P$10,_xlfn.NORM.DIST(Table2912[[#This Row],[SCFA '[mmol/g']]],P$6,P$2,FALSE),-100)</f>
        <v>-100</v>
      </c>
      <c r="BI123">
        <f>IF(Table2912[[#This Row],[Acetate '[%']]]&lt;Q$10,_xlfn.NORM.DIST(Table2912[[#This Row],[Acetate '[%']]],Q$6,Q$2,FALSE),-100)</f>
        <v>-100</v>
      </c>
      <c r="BJ123">
        <f>IF(Table2912[[#This Row],[Propionate '[%']]]&lt;R$10,_xlfn.NORM.DIST(Table2912[[#This Row],[Propionate '[%']]],R$6,R$2,FALSE),-100)</f>
        <v>-100</v>
      </c>
      <c r="BK123">
        <f>IF(Table2912[[#This Row],[Butyrate '[%']]]&lt;S$10,_xlfn.NORM.DIST(Table2912[[#This Row],[Butyrate '[%']]],S$6,S$2,FALSE),-100)</f>
        <v>-100</v>
      </c>
      <c r="BL123">
        <f>IF(Table2912[[#This Row],[Valerate '[%']]]&lt;T$10,_xlfn.NORM.DIST(Table2912[[#This Row],[Valerate '[%']]],T$6,T$2,FALSE),-100)</f>
        <v>32.627567713672221</v>
      </c>
      <c r="BM123">
        <f>IF(Table2912[[#This Row],[Caproate '[%']]]&lt;U$10,_xlfn.NORM.DIST(Table2912[[#This Row],[Caproate '[%']]],U$6,U$2,FALSE),-100)</f>
        <v>-100</v>
      </c>
      <c r="BN123">
        <f>IF(Table2912[[#This Row],[Isobutyrate '[%']]]&lt;V$10,_xlfn.NORM.DIST(Table2912[[#This Row],[Isobutyrate '[%']]],V$6,V$2,FALSE),-100)</f>
        <v>43.094572861554489</v>
      </c>
      <c r="BO123">
        <f>IF(Table2912[[#This Row],[Isovalerate '[%']]]&lt;W$10,_xlfn.NORM.DIST(Table2912[[#This Row],[Isovalerate '[%']]],W$6,W$2,FALSE),-100)</f>
        <v>25.532520733666729</v>
      </c>
      <c r="BP123">
        <f>IF(Table2912[[#This Row],[CH4 '[g/mmol SCFA']]]&lt;X$10,_xlfn.NORM.DIST(Table2912[[#This Row],[CH4 '[g/mmol SCFA']]],X$6,X$2,FALSE),-100)</f>
        <v>-100</v>
      </c>
      <c r="BQ123">
        <f>IF(Table2912[[#This Row],[DMD '[mg/g']]]&gt;Y$10,_xlfn.NORM.DIST(Table2912[[#This Row],[DMD '[mg/g']]],Y$6,Y$2,FALSE),-100)</f>
        <v>-100</v>
      </c>
      <c r="BR123">
        <f>IF(Table2912[[#This Row],[CH4 '[ml/g']]]&lt;Z$10,_xlfn.NORM.DIST(Table2912[[#This Row],[CH4 '[ml/g']]],Z$6,Z$2,FALSE),-100)</f>
        <v>-100</v>
      </c>
      <c r="BS123">
        <f>IF(Table2912[[#This Row],[CH4 '[% GP']]]&lt;AA$10,_xlfn.NORM.DIST(Table2912[[#This Row],[CH4 '[% GP']]],AA$6,AA$2,FALSE),-100)</f>
        <v>-100</v>
      </c>
      <c r="BT123">
        <f>IF(Table2912[[#This Row],[CH4 '[g/g DDM']]]&lt;AB$10,_xlfn.NORM.DIST(Table2912[[#This Row],[CH4 '[g/g DDM']]],AB$6,AB$2,FALSE),-100)</f>
        <v>-100</v>
      </c>
      <c r="CJ123" t="str">
        <v>Calendula</v>
      </c>
      <c r="CL123" t="str">
        <v>Calendula</v>
      </c>
    </row>
    <row r="124" spans="1:90" x14ac:dyDescent="0.25">
      <c r="A124" s="12" t="s">
        <v>70</v>
      </c>
      <c r="B124" s="13">
        <v>1017</v>
      </c>
      <c r="C124" s="96" t="s">
        <v>196</v>
      </c>
      <c r="D124" s="96"/>
      <c r="E124" s="96"/>
      <c r="F124" s="96" t="s">
        <v>197</v>
      </c>
      <c r="G124" t="s">
        <v>73</v>
      </c>
      <c r="H124" t="s">
        <v>74</v>
      </c>
      <c r="I124" s="99" t="s">
        <v>79</v>
      </c>
      <c r="J124" s="100">
        <v>1</v>
      </c>
      <c r="K124" s="100"/>
      <c r="L124" s="100"/>
      <c r="M124" t="s">
        <v>197</v>
      </c>
      <c r="N124" t="s">
        <v>80</v>
      </c>
      <c r="O124" s="18">
        <v>242.41415343915327</v>
      </c>
      <c r="P124" s="18">
        <v>5.9095731272441103</v>
      </c>
      <c r="Q124" s="97">
        <v>0.67220585891587148</v>
      </c>
      <c r="R124" s="97">
        <v>0.16382956152758132</v>
      </c>
      <c r="S124" s="97">
        <v>9.9829496782676247E-2</v>
      </c>
      <c r="T124" s="97">
        <v>1.7502253620734307E-2</v>
      </c>
      <c r="U124" s="97">
        <v>1.7204588919656552E-3</v>
      </c>
      <c r="V124" s="97">
        <v>1.556543468733191E-2</v>
      </c>
      <c r="W124" s="97">
        <v>2.9346935573839071E-2</v>
      </c>
      <c r="X124" s="51">
        <f t="shared" si="8"/>
        <v>5.2442689312099562</v>
      </c>
      <c r="Y124" s="18">
        <v>667.88182367531613</v>
      </c>
      <c r="Z124" s="18">
        <v>30.991390747919549</v>
      </c>
      <c r="AA124" s="18">
        <f t="shared" si="9"/>
        <v>12.784480736063328</v>
      </c>
      <c r="AB124" s="18">
        <f t="shared" si="10"/>
        <v>46.402506625162616</v>
      </c>
      <c r="AC124" s="18">
        <f>$CP$15*Table2912[[#This Row],[DMD '[mg/g']]]+$CS$15*Table2912[[#This Row],[CH4 '[ml/g']]]+$CR$15*Table2912[[#This Row],[CH4 '[% GP']]]+$CQ$15*Table2912[[#This Row],[CH4 '[g/g DDM']]]</f>
        <v>9.2430509435944259</v>
      </c>
      <c r="AD124" s="18">
        <f>_xlfn.RANK.AVG(Table2912[[#This Row],[Index]],Table2912[Index])</f>
        <v>364</v>
      </c>
      <c r="AE12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5.5305621655700659</v>
      </c>
      <c r="AF124" s="18">
        <f>Table2912[[#This Row],[CH4 '[ml/g']]]/Table2912[[#This Row],[APB]]</f>
        <v>5.6036601379970374</v>
      </c>
      <c r="AG124" s="18">
        <f>Table2912[[#This Row],[Propionate '[%']]]/Table2912[[#This Row],[Acetate '[%']]]</f>
        <v>0.24371932995616016</v>
      </c>
      <c r="AH124" s="51"/>
      <c r="AI124" s="18"/>
      <c r="AJ124" s="18"/>
      <c r="AK124" s="18">
        <f>(Table2912[[#This Row],[DMD '[mg/g']]]-$AK$15)/$AK$15*100</f>
        <v>36.22203636354368</v>
      </c>
      <c r="AL124" s="18">
        <f>(Table2912[[#This Row],[CH4 '[ml/g']]]-AL$15)/AL$15*100</f>
        <v>-21.206074144987504</v>
      </c>
      <c r="AM124" s="18">
        <f>(Table2912[[#This Row],[CH4 '[% GP']]]-AM$15)/AM$15*100</f>
        <v>-17.63825955878924</v>
      </c>
      <c r="AN124" s="18">
        <f>(Table2912[[#This Row],[CH4 '[g/g DDM']]]-AN$15)/AN$15*100</f>
        <v>-9.3975772449737107</v>
      </c>
      <c r="AO124" s="18"/>
      <c r="AP124" s="18"/>
      <c r="AR124">
        <f>_xlfn.NORM.DIST(Table2912[[#This Row],[GP '[ml/g']]],O$6,O$2,FALSE)</f>
        <v>7.2584303025256839E-3</v>
      </c>
      <c r="AS124">
        <f>_xlfn.NORM.DIST(Table2912[[#This Row],[SCFA '[mmol/g']]],P$6,P$2,FALSE)</f>
        <v>0.29010305814013804</v>
      </c>
      <c r="AT124">
        <f>_xlfn.NORM.DIST(Table2912[[#This Row],[Acetate '[%']]],Q$6,Q$2,FALSE)</f>
        <v>14.019577410034351</v>
      </c>
      <c r="AU124">
        <f>_xlfn.NORM.DIST(Table2912[[#This Row],[Propionate '[%']]],R$6,R$2,FALSE)</f>
        <v>15.857168561152481</v>
      </c>
      <c r="AV124">
        <f>_xlfn.NORM.DIST(Table2912[[#This Row],[Butyrate '[%']]],S$6,S$2,FALSE)</f>
        <v>21.269906378888969</v>
      </c>
      <c r="AW124">
        <f>_xlfn.NORM.DIST(Table2912[[#This Row],[Valerate '[%']]],T$6,T$2,FALSE)</f>
        <v>77.359454390282295</v>
      </c>
      <c r="AX124">
        <f>_xlfn.NORM.DIST(Table2912[[#This Row],[Caproate '[%']]],U$6,U$2,FALSE)</f>
        <v>376.35596028536889</v>
      </c>
      <c r="AY124">
        <f>_xlfn.NORM.DIST(Table2912[[#This Row],[Isobutyrate '[%']]],V$6,V$2,FALSE)</f>
        <v>90.01712589705771</v>
      </c>
      <c r="AZ124">
        <f>_xlfn.NORM.DIST(Table2912[[#This Row],[Isovalerate '[%']]],W$6,W$2,FALSE)</f>
        <v>44.813235889947698</v>
      </c>
      <c r="BA124">
        <f>_xlfn.NORM.DIST(Table2912[[#This Row],[CH4 '[g/mmol SCFA']]],X$6,X$2,FALSE)</f>
        <v>0.22039786742188128</v>
      </c>
      <c r="BB124">
        <f>_xlfn.NORM.DIST(Table2912[[#This Row],[DMD '[mg/g']]],Y$6,Y$2,FALSE)</f>
        <v>2.1339488750770777E-3</v>
      </c>
      <c r="BC124">
        <f>_xlfn.NORM.DIST(Table2912[[#This Row],[CH4 '[ml/g']]],Z$6,Z$2,FALSE)</f>
        <v>2.2868534208094551E-2</v>
      </c>
      <c r="BD124">
        <f>_xlfn.NORM.DIST(Table2912[[#This Row],[CH4 '[% GP']]],AA$6,AA$2,FALSE)</f>
        <v>7.2846878302515183E-2</v>
      </c>
      <c r="BE124">
        <f>_xlfn.NORM.DIST(Table2912[[#This Row],[CH4 '[g/g DDM']]],AB$6,AB$2,FALSE)</f>
        <v>2.7887073936745763E-2</v>
      </c>
      <c r="BG124">
        <f>IF(Table2912[[#This Row],[GP '[ml/g']]]&lt;O$10,_xlfn.NORM.DIST(Table2912[[#This Row],[GP '[ml/g']]],O$6,O$2,FALSE),-100)</f>
        <v>-100</v>
      </c>
      <c r="BH124">
        <f>IF(Table2912[[#This Row],[SCFA '[mmol/g']]]&lt;P$10,_xlfn.NORM.DIST(Table2912[[#This Row],[SCFA '[mmol/g']]],P$6,P$2,FALSE),-100)</f>
        <v>-100</v>
      </c>
      <c r="BI124">
        <f>IF(Table2912[[#This Row],[Acetate '[%']]]&lt;Q$10,_xlfn.NORM.DIST(Table2912[[#This Row],[Acetate '[%']]],Q$6,Q$2,FALSE),-100)</f>
        <v>-100</v>
      </c>
      <c r="BJ124">
        <f>IF(Table2912[[#This Row],[Propionate '[%']]]&lt;R$10,_xlfn.NORM.DIST(Table2912[[#This Row],[Propionate '[%']]],R$6,R$2,FALSE),-100)</f>
        <v>-100</v>
      </c>
      <c r="BK124">
        <f>IF(Table2912[[#This Row],[Butyrate '[%']]]&lt;S$10,_xlfn.NORM.DIST(Table2912[[#This Row],[Butyrate '[%']]],S$6,S$2,FALSE),-100)</f>
        <v>-100</v>
      </c>
      <c r="BL124">
        <f>IF(Table2912[[#This Row],[Valerate '[%']]]&lt;T$10,_xlfn.NORM.DIST(Table2912[[#This Row],[Valerate '[%']]],T$6,T$2,FALSE),-100)</f>
        <v>-100</v>
      </c>
      <c r="BM124">
        <f>IF(Table2912[[#This Row],[Caproate '[%']]]&lt;U$10,_xlfn.NORM.DIST(Table2912[[#This Row],[Caproate '[%']]],U$6,U$2,FALSE),-100)</f>
        <v>-100</v>
      </c>
      <c r="BN124">
        <f>IF(Table2912[[#This Row],[Isobutyrate '[%']]]&lt;V$10,_xlfn.NORM.DIST(Table2912[[#This Row],[Isobutyrate '[%']]],V$6,V$2,FALSE),-100)</f>
        <v>-100</v>
      </c>
      <c r="BO124">
        <f>IF(Table2912[[#This Row],[Isovalerate '[%']]]&lt;W$10,_xlfn.NORM.DIST(Table2912[[#This Row],[Isovalerate '[%']]],W$6,W$2,FALSE),-100)</f>
        <v>-100</v>
      </c>
      <c r="BP124">
        <f>IF(Table2912[[#This Row],[CH4 '[g/mmol SCFA']]]&lt;X$10,_xlfn.NORM.DIST(Table2912[[#This Row],[CH4 '[g/mmol SCFA']]],X$6,X$2,FALSE),-100)</f>
        <v>-100</v>
      </c>
      <c r="BQ124">
        <f>IF(Table2912[[#This Row],[DMD '[mg/g']]]&gt;Y$10,_xlfn.NORM.DIST(Table2912[[#This Row],[DMD '[mg/g']]],Y$6,Y$2,FALSE),-100)</f>
        <v>-100</v>
      </c>
      <c r="BR124">
        <f>IF(Table2912[[#This Row],[CH4 '[ml/g']]]&lt;Z$10,_xlfn.NORM.DIST(Table2912[[#This Row],[CH4 '[ml/g']]],Z$6,Z$2,FALSE),-100)</f>
        <v>-100</v>
      </c>
      <c r="BS124">
        <f>IF(Table2912[[#This Row],[CH4 '[% GP']]]&lt;AA$10,_xlfn.NORM.DIST(Table2912[[#This Row],[CH4 '[% GP']]],AA$6,AA$2,FALSE),-100)</f>
        <v>-100</v>
      </c>
      <c r="BT124">
        <f>IF(Table2912[[#This Row],[CH4 '[g/g DDM']]]&lt;AB$10,_xlfn.NORM.DIST(Table2912[[#This Row],[CH4 '[g/g DDM']]],AB$6,AB$2,FALSE),-100)</f>
        <v>-100</v>
      </c>
      <c r="CJ124" t="str">
        <v>Hordeum vulgare(ICB-46)</v>
      </c>
      <c r="CL124" t="str">
        <v>Hordeum vulgare(ICB-46)</v>
      </c>
    </row>
    <row r="125" spans="1:90" x14ac:dyDescent="0.25">
      <c r="A125" s="12" t="s">
        <v>86</v>
      </c>
      <c r="B125" s="13">
        <v>1074</v>
      </c>
      <c r="C125" s="32">
        <v>17237</v>
      </c>
      <c r="D125" s="104" t="s">
        <v>161</v>
      </c>
      <c r="E125" s="104" t="s">
        <v>97</v>
      </c>
      <c r="F125" s="104" t="s">
        <v>162</v>
      </c>
      <c r="G125" s="23" t="s">
        <v>73</v>
      </c>
      <c r="H125" s="23" t="s">
        <v>74</v>
      </c>
      <c r="I125" s="105" t="s">
        <v>44</v>
      </c>
      <c r="J125" s="70">
        <v>1</v>
      </c>
      <c r="K125" s="70"/>
      <c r="L125" s="70"/>
      <c r="M125" t="s">
        <v>163</v>
      </c>
      <c r="N125" t="s">
        <v>145</v>
      </c>
      <c r="O125" s="18">
        <v>220.32318840579666</v>
      </c>
      <c r="P125" s="18">
        <v>5.0782226613965733</v>
      </c>
      <c r="Q125" s="97">
        <v>0.62714152562355463</v>
      </c>
      <c r="R125" s="97">
        <v>0.17128198613585621</v>
      </c>
      <c r="S125" s="97">
        <v>9.5651005493751246E-2</v>
      </c>
      <c r="T125" s="97">
        <v>2.3974099811850592E-2</v>
      </c>
      <c r="U125" s="97">
        <v>1.0160919021921645E-3</v>
      </c>
      <c r="V125" s="97">
        <v>2.6796232676906933E-2</v>
      </c>
      <c r="W125" s="97">
        <v>5.4139058355888434E-2</v>
      </c>
      <c r="X125" s="51">
        <f t="shared" si="8"/>
        <v>7.1833702806650619</v>
      </c>
      <c r="Y125" s="18">
        <v>669.35924462011394</v>
      </c>
      <c r="Z125" s="18">
        <v>36.478753744475981</v>
      </c>
      <c r="AA125" s="18">
        <f t="shared" si="9"/>
        <v>16.556928940810586</v>
      </c>
      <c r="AB125" s="18">
        <f t="shared" si="10"/>
        <v>54.498020364504001</v>
      </c>
      <c r="AC125" s="18">
        <f>$CP$15*Table2912[[#This Row],[DMD '[mg/g']]]+$CS$15*Table2912[[#This Row],[CH4 '[ml/g']]]+$CR$15*Table2912[[#This Row],[CH4 '[% GP']]]+$CQ$15*Table2912[[#This Row],[CH4 '[g/g DDM']]]</f>
        <v>4.2793859846905988</v>
      </c>
      <c r="AD125" s="18">
        <f>_xlfn.RANK.AVG(Table2912[[#This Row],[Index]],Table2912[Index])</f>
        <v>417</v>
      </c>
      <c r="AE12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4.5403094744922097</v>
      </c>
      <c r="AF125" s="18">
        <f>Table2912[[#This Row],[CH4 '[ml/g']]]/Table2912[[#This Row],[APB]]</f>
        <v>8.0344201093375425</v>
      </c>
      <c r="AG125" s="18">
        <f>Table2912[[#This Row],[Propionate '[%']]]/Table2912[[#This Row],[Acetate '[%']]]</f>
        <v>0.27311536413659399</v>
      </c>
      <c r="AH125" s="51"/>
      <c r="AI125" s="18"/>
      <c r="AJ125" s="18"/>
      <c r="AK125" s="18">
        <f>(Table2912[[#This Row],[DMD '[mg/g']]]-$AK$15)/$AK$15*100</f>
        <v>36.523373040980118</v>
      </c>
      <c r="AL125" s="18">
        <f>(Table2912[[#This Row],[CH4 '[ml/g']]]-AL$15)/AL$15*100</f>
        <v>-7.2547520953556477</v>
      </c>
      <c r="AM125" s="18">
        <f>(Table2912[[#This Row],[CH4 '[% GP']]]-AM$15)/AM$15*100</f>
        <v>6.6650661907538264</v>
      </c>
      <c r="AN125" s="18">
        <f>(Table2912[[#This Row],[CH4 '[g/g DDM']]]-AN$15)/AN$15*100</f>
        <v>6.4091800096697824</v>
      </c>
      <c r="AO125" s="18"/>
      <c r="AP125" s="18"/>
      <c r="AR125">
        <f>_xlfn.NORM.DIST(Table2912[[#This Row],[GP '[ml/g']]],O$6,O$2,FALSE)</f>
        <v>6.0185470145011936E-3</v>
      </c>
      <c r="AS125">
        <f>_xlfn.NORM.DIST(Table2912[[#This Row],[SCFA '[mmol/g']]],P$6,P$2,FALSE)</f>
        <v>0.15864895072945526</v>
      </c>
      <c r="AT125">
        <f>_xlfn.NORM.DIST(Table2912[[#This Row],[Acetate '[%']]],Q$6,Q$2,FALSE)</f>
        <v>3.7961065659688598</v>
      </c>
      <c r="AU125">
        <f>_xlfn.NORM.DIST(Table2912[[#This Row],[Propionate '[%']]],R$6,R$2,FALSE)</f>
        <v>16.785983839044341</v>
      </c>
      <c r="AV125">
        <f>_xlfn.NORM.DIST(Table2912[[#This Row],[Butyrate '[%']]],S$6,S$2,FALSE)</f>
        <v>22.745992297573881</v>
      </c>
      <c r="AW125">
        <f>_xlfn.NORM.DIST(Table2912[[#This Row],[Valerate '[%']]],T$6,T$2,FALSE)</f>
        <v>36.54179941880971</v>
      </c>
      <c r="AX125">
        <f>_xlfn.NORM.DIST(Table2912[[#This Row],[Caproate '[%']]],U$6,U$2,FALSE)</f>
        <v>386.19398679307182</v>
      </c>
      <c r="AY125">
        <f>_xlfn.NORM.DIST(Table2912[[#This Row],[Isobutyrate '[%']]],V$6,V$2,FALSE)</f>
        <v>3.117168836157973</v>
      </c>
      <c r="AZ125">
        <f>_xlfn.NORM.DIST(Table2912[[#This Row],[Isovalerate '[%']]],W$6,W$2,FALSE)</f>
        <v>0.52227799623515492</v>
      </c>
      <c r="BA125">
        <f>_xlfn.NORM.DIST(Table2912[[#This Row],[CH4 '[g/mmol SCFA']]],X$6,X$2,FALSE)</f>
        <v>0.23739022650717803</v>
      </c>
      <c r="BB125">
        <f>_xlfn.NORM.DIST(Table2912[[#This Row],[DMD '[mg/g']]],Y$6,Y$2,FALSE)</f>
        <v>2.1521128023055179E-3</v>
      </c>
      <c r="BC125">
        <f>_xlfn.NORM.DIST(Table2912[[#This Row],[CH4 '[ml/g']]],Z$6,Z$2,FALSE)</f>
        <v>3.076489496531145E-2</v>
      </c>
      <c r="BD125">
        <f>_xlfn.NORM.DIST(Table2912[[#This Row],[CH4 '[% GP']]],AA$6,AA$2,FALSE)</f>
        <v>0.1328951760542923</v>
      </c>
      <c r="BE125">
        <f>_xlfn.NORM.DIST(Table2912[[#This Row],[CH4 '[g/g DDM']]],AB$6,AB$2,FALSE)</f>
        <v>3.2706716686689917E-2</v>
      </c>
      <c r="BG125">
        <f>IF(Table2912[[#This Row],[GP '[ml/g']]]&lt;O$10,_xlfn.NORM.DIST(Table2912[[#This Row],[GP '[ml/g']]],O$6,O$2,FALSE),-100)</f>
        <v>-100</v>
      </c>
      <c r="BH125">
        <f>IF(Table2912[[#This Row],[SCFA '[mmol/g']]]&lt;P$10,_xlfn.NORM.DIST(Table2912[[#This Row],[SCFA '[mmol/g']]],P$6,P$2,FALSE),-100)</f>
        <v>0.15864895072945526</v>
      </c>
      <c r="BI125">
        <f>IF(Table2912[[#This Row],[Acetate '[%']]]&lt;Q$10,_xlfn.NORM.DIST(Table2912[[#This Row],[Acetate '[%']]],Q$6,Q$2,FALSE),-100)</f>
        <v>3.7961065659688598</v>
      </c>
      <c r="BJ125">
        <f>IF(Table2912[[#This Row],[Propionate '[%']]]&lt;R$10,_xlfn.NORM.DIST(Table2912[[#This Row],[Propionate '[%']]],R$6,R$2,FALSE),-100)</f>
        <v>-100</v>
      </c>
      <c r="BK125">
        <f>IF(Table2912[[#This Row],[Butyrate '[%']]]&lt;S$10,_xlfn.NORM.DIST(Table2912[[#This Row],[Butyrate '[%']]],S$6,S$2,FALSE),-100)</f>
        <v>-100</v>
      </c>
      <c r="BL125">
        <f>IF(Table2912[[#This Row],[Valerate '[%']]]&lt;T$10,_xlfn.NORM.DIST(Table2912[[#This Row],[Valerate '[%']]],T$6,T$2,FALSE),-100)</f>
        <v>-100</v>
      </c>
      <c r="BM125">
        <f>IF(Table2912[[#This Row],[Caproate '[%']]]&lt;U$10,_xlfn.NORM.DIST(Table2912[[#This Row],[Caproate '[%']]],U$6,U$2,FALSE),-100)</f>
        <v>-100</v>
      </c>
      <c r="BN125">
        <f>IF(Table2912[[#This Row],[Isobutyrate '[%']]]&lt;V$10,_xlfn.NORM.DIST(Table2912[[#This Row],[Isobutyrate '[%']]],V$6,V$2,FALSE),-100)</f>
        <v>-100</v>
      </c>
      <c r="BO125">
        <f>IF(Table2912[[#This Row],[Isovalerate '[%']]]&lt;W$10,_xlfn.NORM.DIST(Table2912[[#This Row],[Isovalerate '[%']]],W$6,W$2,FALSE),-100)</f>
        <v>-100</v>
      </c>
      <c r="BP125">
        <f>IF(Table2912[[#This Row],[CH4 '[g/mmol SCFA']]]&lt;X$10,_xlfn.NORM.DIST(Table2912[[#This Row],[CH4 '[g/mmol SCFA']]],X$6,X$2,FALSE),-100)</f>
        <v>-100</v>
      </c>
      <c r="BQ125">
        <f>IF(Table2912[[#This Row],[DMD '[mg/g']]]&gt;Y$10,_xlfn.NORM.DIST(Table2912[[#This Row],[DMD '[mg/g']]],Y$6,Y$2,FALSE),-100)</f>
        <v>-100</v>
      </c>
      <c r="BR125">
        <f>IF(Table2912[[#This Row],[CH4 '[ml/g']]]&lt;Z$10,_xlfn.NORM.DIST(Table2912[[#This Row],[CH4 '[ml/g']]],Z$6,Z$2,FALSE),-100)</f>
        <v>-100</v>
      </c>
      <c r="BS125">
        <f>IF(Table2912[[#This Row],[CH4 '[% GP']]]&lt;AA$10,_xlfn.NORM.DIST(Table2912[[#This Row],[CH4 '[% GP']]],AA$6,AA$2,FALSE),-100)</f>
        <v>-100</v>
      </c>
      <c r="BT125">
        <f>IF(Table2912[[#This Row],[CH4 '[g/g DDM']]]&lt;AB$10,_xlfn.NORM.DIST(Table2912[[#This Row],[CH4 '[g/g DDM']]],AB$6,AB$2,FALSE),-100)</f>
        <v>-100</v>
      </c>
      <c r="CJ125" t="str">
        <v>Trifolium semipilosum</v>
      </c>
      <c r="CL125" t="str">
        <v>Trifolium semipilosum</v>
      </c>
    </row>
    <row r="126" spans="1:90" x14ac:dyDescent="0.25">
      <c r="A126" s="12" t="s">
        <v>70</v>
      </c>
      <c r="B126" s="13">
        <v>1021</v>
      </c>
      <c r="C126" s="96" t="s">
        <v>167</v>
      </c>
      <c r="D126" s="96"/>
      <c r="E126" s="96"/>
      <c r="F126" s="96" t="s">
        <v>168</v>
      </c>
      <c r="G126" t="s">
        <v>73</v>
      </c>
      <c r="H126" t="s">
        <v>74</v>
      </c>
      <c r="I126" t="s">
        <v>75</v>
      </c>
      <c r="J126" s="100">
        <v>1</v>
      </c>
      <c r="K126" s="100"/>
      <c r="L126" s="100"/>
      <c r="M126" t="s">
        <v>168</v>
      </c>
      <c r="N126" t="s">
        <v>80</v>
      </c>
      <c r="O126" s="18">
        <v>267.20828924162134</v>
      </c>
      <c r="P126" s="18">
        <v>5.865084572761738</v>
      </c>
      <c r="Q126" s="97">
        <v>0.66535476511274183</v>
      </c>
      <c r="R126" s="97">
        <v>0.16092991923165256</v>
      </c>
      <c r="S126" s="97">
        <v>0.10968993192761387</v>
      </c>
      <c r="T126" s="97">
        <v>2.2219762439088693E-2</v>
      </c>
      <c r="U126" s="97">
        <v>1.2372565668644733E-3</v>
      </c>
      <c r="V126" s="97">
        <v>1.4393277875075376E-2</v>
      </c>
      <c r="W126" s="97">
        <v>2.617508684696316E-2</v>
      </c>
      <c r="X126" s="51">
        <f t="shared" si="8"/>
        <v>6.0961553158804804</v>
      </c>
      <c r="Y126" s="18">
        <v>670.13671902123349</v>
      </c>
      <c r="Z126" s="18">
        <v>35.754466496330068</v>
      </c>
      <c r="AA126" s="18">
        <f t="shared" si="9"/>
        <v>13.380747505179125</v>
      </c>
      <c r="AB126" s="18">
        <f t="shared" si="10"/>
        <v>53.353988046724503</v>
      </c>
      <c r="AC126" s="18">
        <f>$CP$15*Table2912[[#This Row],[DMD '[mg/g']]]+$CS$15*Table2912[[#This Row],[CH4 '[ml/g']]]+$CR$15*Table2912[[#This Row],[CH4 '[% GP']]]+$CQ$15*Table2912[[#This Row],[CH4 '[g/g DDM']]]</f>
        <v>5.8581712810555615</v>
      </c>
      <c r="AD126" s="18">
        <f>_xlfn.RANK.AVG(Table2912[[#This Row],[Index]],Table2912[Index])</f>
        <v>399</v>
      </c>
      <c r="AE12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5.4895702823935437</v>
      </c>
      <c r="AF126" s="18">
        <f>Table2912[[#This Row],[CH4 '[ml/g']]]/Table2912[[#This Row],[APB]]</f>
        <v>6.5131630814535315</v>
      </c>
      <c r="AG126" s="18">
        <f>Table2912[[#This Row],[Propionate '[%']]]/Table2912[[#This Row],[Acetate '[%']]]</f>
        <v>0.24187084495349426</v>
      </c>
      <c r="AH126" s="51"/>
      <c r="AI126" s="18"/>
      <c r="AJ126" s="18"/>
      <c r="AK126" s="18">
        <f>(Table2912[[#This Row],[DMD '[mg/g']]]-$AK$15)/$AK$15*100</f>
        <v>36.681947720491856</v>
      </c>
      <c r="AL126" s="18">
        <f>(Table2912[[#This Row],[CH4 '[ml/g']]]-AL$15)/AL$15*100</f>
        <v>-9.0962130414724705</v>
      </c>
      <c r="AM126" s="18">
        <f>(Table2912[[#This Row],[CH4 '[% GP']]]-AM$15)/AM$15*100</f>
        <v>-13.796917083838107</v>
      </c>
      <c r="AN126" s="18">
        <f>(Table2912[[#This Row],[CH4 '[g/g DDM']]]-AN$15)/AN$15*100</f>
        <v>4.1754192230345311</v>
      </c>
      <c r="AO126" s="18"/>
      <c r="AP126" s="18"/>
      <c r="AR126">
        <f>_xlfn.NORM.DIST(Table2912[[#This Row],[GP '[ml/g']]],O$6,O$2,FALSE)</f>
        <v>7.3014844651950028E-3</v>
      </c>
      <c r="AS126">
        <f>_xlfn.NORM.DIST(Table2912[[#This Row],[SCFA '[mmol/g']]],P$6,P$2,FALSE)</f>
        <v>0.28432411453049566</v>
      </c>
      <c r="AT126">
        <f>_xlfn.NORM.DIST(Table2912[[#This Row],[Acetate '[%']]],Q$6,Q$2,FALSE)</f>
        <v>13.513069911585019</v>
      </c>
      <c r="AU126">
        <f>_xlfn.NORM.DIST(Table2912[[#This Row],[Propionate '[%']]],R$6,R$2,FALSE)</f>
        <v>15.102892196974596</v>
      </c>
      <c r="AV126">
        <f>_xlfn.NORM.DIST(Table2912[[#This Row],[Butyrate '[%']]],S$6,S$2,FALSE)</f>
        <v>14.415464989429829</v>
      </c>
      <c r="AW126">
        <f>_xlfn.NORM.DIST(Table2912[[#This Row],[Valerate '[%']]],T$6,T$2,FALSE)</f>
        <v>52.326557933306077</v>
      </c>
      <c r="AX126">
        <f>_xlfn.NORM.DIST(Table2912[[#This Row],[Caproate '[%']]],U$6,U$2,FALSE)</f>
        <v>404.97605592939021</v>
      </c>
      <c r="AY126">
        <f>_xlfn.NORM.DIST(Table2912[[#This Row],[Isobutyrate '[%']]],V$6,V$2,FALSE)</f>
        <v>88.212445404823995</v>
      </c>
      <c r="AZ126">
        <f>_xlfn.NORM.DIST(Table2912[[#This Row],[Isovalerate '[%']]],W$6,W$2,FALSE)</f>
        <v>44.566758565229513</v>
      </c>
      <c r="BA126">
        <f>_xlfn.NORM.DIST(Table2912[[#This Row],[CH4 '[g/mmol SCFA']]],X$6,X$2,FALSE)</f>
        <v>0.29454396168278385</v>
      </c>
      <c r="BB126">
        <f>_xlfn.NORM.DIST(Table2912[[#This Row],[DMD '[mg/g']]],Y$6,Y$2,FALSE)</f>
        <v>2.1616321096708546E-3</v>
      </c>
      <c r="BC126">
        <f>_xlfn.NORM.DIST(Table2912[[#This Row],[CH4 '[ml/g']]],Z$6,Z$2,FALSE)</f>
        <v>2.9945861804890572E-2</v>
      </c>
      <c r="BD126">
        <f>_xlfn.NORM.DIST(Table2912[[#This Row],[CH4 '[% GP']]],AA$6,AA$2,FALSE)</f>
        <v>8.9243052098468958E-2</v>
      </c>
      <c r="BE126">
        <f>_xlfn.NORM.DIST(Table2912[[#This Row],[CH4 '[g/g DDM']]],AB$6,AB$2,FALSE)</f>
        <v>3.2852132125800751E-2</v>
      </c>
      <c r="BG126">
        <f>IF(Table2912[[#This Row],[GP '[ml/g']]]&lt;O$10,_xlfn.NORM.DIST(Table2912[[#This Row],[GP '[ml/g']]],O$6,O$2,FALSE),-100)</f>
        <v>-100</v>
      </c>
      <c r="BH126">
        <f>IF(Table2912[[#This Row],[SCFA '[mmol/g']]]&lt;P$10,_xlfn.NORM.DIST(Table2912[[#This Row],[SCFA '[mmol/g']]],P$6,P$2,FALSE),-100)</f>
        <v>-100</v>
      </c>
      <c r="BI126">
        <f>IF(Table2912[[#This Row],[Acetate '[%']]]&lt;Q$10,_xlfn.NORM.DIST(Table2912[[#This Row],[Acetate '[%']]],Q$6,Q$2,FALSE),-100)</f>
        <v>-100</v>
      </c>
      <c r="BJ126">
        <f>IF(Table2912[[#This Row],[Propionate '[%']]]&lt;R$10,_xlfn.NORM.DIST(Table2912[[#This Row],[Propionate '[%']]],R$6,R$2,FALSE),-100)</f>
        <v>-100</v>
      </c>
      <c r="BK126">
        <f>IF(Table2912[[#This Row],[Butyrate '[%']]]&lt;S$10,_xlfn.NORM.DIST(Table2912[[#This Row],[Butyrate '[%']]],S$6,S$2,FALSE),-100)</f>
        <v>-100</v>
      </c>
      <c r="BL126">
        <f>IF(Table2912[[#This Row],[Valerate '[%']]]&lt;T$10,_xlfn.NORM.DIST(Table2912[[#This Row],[Valerate '[%']]],T$6,T$2,FALSE),-100)</f>
        <v>-100</v>
      </c>
      <c r="BM126">
        <f>IF(Table2912[[#This Row],[Caproate '[%']]]&lt;U$10,_xlfn.NORM.DIST(Table2912[[#This Row],[Caproate '[%']]],U$6,U$2,FALSE),-100)</f>
        <v>-100</v>
      </c>
      <c r="BN126">
        <f>IF(Table2912[[#This Row],[Isobutyrate '[%']]]&lt;V$10,_xlfn.NORM.DIST(Table2912[[#This Row],[Isobutyrate '[%']]],V$6,V$2,FALSE),-100)</f>
        <v>-100</v>
      </c>
      <c r="BO126">
        <f>IF(Table2912[[#This Row],[Isovalerate '[%']]]&lt;W$10,_xlfn.NORM.DIST(Table2912[[#This Row],[Isovalerate '[%']]],W$6,W$2,FALSE),-100)</f>
        <v>-100</v>
      </c>
      <c r="BP126">
        <f>IF(Table2912[[#This Row],[CH4 '[g/mmol SCFA']]]&lt;X$10,_xlfn.NORM.DIST(Table2912[[#This Row],[CH4 '[g/mmol SCFA']]],X$6,X$2,FALSE),-100)</f>
        <v>-100</v>
      </c>
      <c r="BQ126">
        <f>IF(Table2912[[#This Row],[DMD '[mg/g']]]&gt;Y$10,_xlfn.NORM.DIST(Table2912[[#This Row],[DMD '[mg/g']]],Y$6,Y$2,FALSE),-100)</f>
        <v>-100</v>
      </c>
      <c r="BR126">
        <f>IF(Table2912[[#This Row],[CH4 '[ml/g']]]&lt;Z$10,_xlfn.NORM.DIST(Table2912[[#This Row],[CH4 '[ml/g']]],Z$6,Z$2,FALSE),-100)</f>
        <v>-100</v>
      </c>
      <c r="BS126">
        <f>IF(Table2912[[#This Row],[CH4 '[% GP']]]&lt;AA$10,_xlfn.NORM.DIST(Table2912[[#This Row],[CH4 '[% GP']]],AA$6,AA$2,FALSE),-100)</f>
        <v>-100</v>
      </c>
      <c r="BT126">
        <f>IF(Table2912[[#This Row],[CH4 '[g/g DDM']]]&lt;AB$10,_xlfn.NORM.DIST(Table2912[[#This Row],[CH4 '[g/g DDM']]],AB$6,AB$2,FALSE),-100)</f>
        <v>-100</v>
      </c>
      <c r="CJ126" t="str">
        <v>Cirsium</v>
      </c>
      <c r="CL126" t="str">
        <v>Cirsium</v>
      </c>
    </row>
    <row r="127" spans="1:90" x14ac:dyDescent="0.25">
      <c r="A127" s="12" t="s">
        <v>86</v>
      </c>
      <c r="B127" s="13">
        <v>1075</v>
      </c>
      <c r="C127" s="104" t="s">
        <v>192</v>
      </c>
      <c r="D127" s="104" t="s">
        <v>193</v>
      </c>
      <c r="E127" s="104" t="s">
        <v>194</v>
      </c>
      <c r="F127" s="104" t="s">
        <v>195</v>
      </c>
      <c r="G127" s="32" t="s">
        <v>73</v>
      </c>
      <c r="H127" s="32" t="s">
        <v>74</v>
      </c>
      <c r="I127" s="105" t="s">
        <v>44</v>
      </c>
      <c r="J127" s="107">
        <v>2</v>
      </c>
      <c r="K127" s="107"/>
      <c r="L127" s="107"/>
      <c r="M127" t="s">
        <v>195</v>
      </c>
      <c r="N127" t="s">
        <v>124</v>
      </c>
      <c r="O127" s="18">
        <v>203.09744268077625</v>
      </c>
      <c r="P127" s="18">
        <v>5.5331375116816695</v>
      </c>
      <c r="Q127" s="97">
        <v>0.64758515038050313</v>
      </c>
      <c r="R127" s="97">
        <v>0.1847556998692414</v>
      </c>
      <c r="S127" s="97">
        <v>8.0098724555311751E-2</v>
      </c>
      <c r="T127" s="97">
        <v>2.168852489967988E-2</v>
      </c>
      <c r="U127" s="97">
        <v>2.0849706868164989E-3</v>
      </c>
      <c r="V127" s="97">
        <v>2.1898439936747074E-2</v>
      </c>
      <c r="W127" s="97">
        <v>4.1888489671700252E-2</v>
      </c>
      <c r="X127" s="51">
        <f t="shared" si="8"/>
        <v>6.8952066960223464</v>
      </c>
      <c r="Y127" s="18">
        <v>670.88743790271042</v>
      </c>
      <c r="Z127" s="18">
        <v>38.152126820559872</v>
      </c>
      <c r="AA127" s="18">
        <f t="shared" si="9"/>
        <v>18.785134030725576</v>
      </c>
      <c r="AB127" s="18">
        <f t="shared" si="10"/>
        <v>56.868149059145971</v>
      </c>
      <c r="AC127" s="18">
        <f>$CP$15*Table2912[[#This Row],[DMD '[mg/g']]]+$CS$15*Table2912[[#This Row],[CH4 '[ml/g']]]+$CR$15*Table2912[[#This Row],[CH4 '[% GP']]]+$CQ$15*Table2912[[#This Row],[CH4 '[g/g DDM']]]</f>
        <v>2.5865233065730493</v>
      </c>
      <c r="AD127" s="18">
        <f>_xlfn.RANK.AVG(Table2912[[#This Row],[Index]],Table2912[Index])</f>
        <v>429</v>
      </c>
      <c r="AE12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5.04865363849673</v>
      </c>
      <c r="AF127" s="18">
        <f>Table2912[[#This Row],[CH4 '[ml/g']]]/Table2912[[#This Row],[APB]]</f>
        <v>7.5568913124965169</v>
      </c>
      <c r="AG127" s="18">
        <f>Table2912[[#This Row],[Propionate '[%']]]/Table2912[[#This Row],[Acetate '[%']]]</f>
        <v>0.28529946951483376</v>
      </c>
      <c r="AH127" s="51"/>
      <c r="AI127" s="18"/>
      <c r="AJ127" s="18"/>
      <c r="AK127" s="18">
        <f>(Table2912[[#This Row],[DMD '[mg/g']]]-$AK$15)/$AK$15*100</f>
        <v>36.835065309781221</v>
      </c>
      <c r="AL127" s="18">
        <f>(Table2912[[#This Row],[CH4 '[ml/g']]]-AL$15)/AL$15*100</f>
        <v>-3.0002920371674069</v>
      </c>
      <c r="AM127" s="18">
        <f>(Table2912[[#This Row],[CH4 '[% GP']]]-AM$15)/AM$15*100</f>
        <v>21.019880676701678</v>
      </c>
      <c r="AN127" s="18">
        <f>(Table2912[[#This Row],[CH4 '[g/g DDM']]]-AN$15)/AN$15*100</f>
        <v>11.036934361615156</v>
      </c>
      <c r="AO127" s="18"/>
      <c r="AP127" s="18"/>
      <c r="AR127">
        <f>_xlfn.NORM.DIST(Table2912[[#This Row],[GP '[ml/g']]],O$6,O$2,FALSE)</f>
        <v>4.6169868330851191E-3</v>
      </c>
      <c r="AS127">
        <f>_xlfn.NORM.DIST(Table2912[[#This Row],[SCFA '[mmol/g']]],P$6,P$2,FALSE)</f>
        <v>0.23428001568950763</v>
      </c>
      <c r="AT127">
        <f>_xlfn.NORM.DIST(Table2912[[#This Row],[Acetate '[%']]],Q$6,Q$2,FALSE)</f>
        <v>9.3725786390179291</v>
      </c>
      <c r="AU127">
        <f>_xlfn.NORM.DIST(Table2912[[#This Row],[Propionate '[%']]],R$6,R$2,FALSE)</f>
        <v>14.493797028760016</v>
      </c>
      <c r="AV127">
        <f>_xlfn.NORM.DIST(Table2912[[#This Row],[Butyrate '[%']]],S$6,S$2,FALSE)</f>
        <v>17.510765206612614</v>
      </c>
      <c r="AW127">
        <f>_xlfn.NORM.DIST(Table2912[[#This Row],[Valerate '[%']]],T$6,T$2,FALSE)</f>
        <v>57.018725617536376</v>
      </c>
      <c r="AX127">
        <f>_xlfn.NORM.DIST(Table2912[[#This Row],[Caproate '[%']]],U$6,U$2,FALSE)</f>
        <v>303.23516224322032</v>
      </c>
      <c r="AY127">
        <f>_xlfn.NORM.DIST(Table2912[[#This Row],[Isobutyrate '[%']]],V$6,V$2,FALSE)</f>
        <v>29.834352715927011</v>
      </c>
      <c r="AZ127">
        <f>_xlfn.NORM.DIST(Table2912[[#This Row],[Isovalerate '[%']]],W$6,W$2,FALSE)</f>
        <v>12.762796405525503</v>
      </c>
      <c r="BA127">
        <f>_xlfn.NORM.DIST(Table2912[[#This Row],[CH4 '[g/mmol SCFA']]],X$6,X$2,FALSE)</f>
        <v>0.26796742127088485</v>
      </c>
      <c r="BB127">
        <f>_xlfn.NORM.DIST(Table2912[[#This Row],[DMD '[mg/g']]],Y$6,Y$2,FALSE)</f>
        <v>2.1707972502367011E-3</v>
      </c>
      <c r="BC127">
        <f>_xlfn.NORM.DIST(Table2912[[#This Row],[CH4 '[ml/g']]],Z$6,Z$2,FALSE)</f>
        <v>3.2283771561563403E-2</v>
      </c>
      <c r="BD127">
        <f>_xlfn.NORM.DIST(Table2912[[#This Row],[CH4 '[% GP']]],AA$6,AA$2,FALSE)</f>
        <v>8.8439939237483431E-2</v>
      </c>
      <c r="BE127">
        <f>_xlfn.NORM.DIST(Table2912[[#This Row],[CH4 '[g/g DDM']]],AB$6,AB$2,FALSE)</f>
        <v>3.1505101468758533E-2</v>
      </c>
      <c r="BG127">
        <f>IF(Table2912[[#This Row],[GP '[ml/g']]]&lt;O$10,_xlfn.NORM.DIST(Table2912[[#This Row],[GP '[ml/g']]],O$6,O$2,FALSE),-100)</f>
        <v>-100</v>
      </c>
      <c r="BH127">
        <f>IF(Table2912[[#This Row],[SCFA '[mmol/g']]]&lt;P$10,_xlfn.NORM.DIST(Table2912[[#This Row],[SCFA '[mmol/g']]],P$6,P$2,FALSE),-100)</f>
        <v>-100</v>
      </c>
      <c r="BI127">
        <f>IF(Table2912[[#This Row],[Acetate '[%']]]&lt;Q$10,_xlfn.NORM.DIST(Table2912[[#This Row],[Acetate '[%']]],Q$6,Q$2,FALSE),-100)</f>
        <v>-100</v>
      </c>
      <c r="BJ127">
        <f>IF(Table2912[[#This Row],[Propionate '[%']]]&lt;R$10,_xlfn.NORM.DIST(Table2912[[#This Row],[Propionate '[%']]],R$6,R$2,FALSE),-100)</f>
        <v>-100</v>
      </c>
      <c r="BK127">
        <f>IF(Table2912[[#This Row],[Butyrate '[%']]]&lt;S$10,_xlfn.NORM.DIST(Table2912[[#This Row],[Butyrate '[%']]],S$6,S$2,FALSE),-100)</f>
        <v>-100</v>
      </c>
      <c r="BL127">
        <f>IF(Table2912[[#This Row],[Valerate '[%']]]&lt;T$10,_xlfn.NORM.DIST(Table2912[[#This Row],[Valerate '[%']]],T$6,T$2,FALSE),-100)</f>
        <v>-100</v>
      </c>
      <c r="BM127">
        <f>IF(Table2912[[#This Row],[Caproate '[%']]]&lt;U$10,_xlfn.NORM.DIST(Table2912[[#This Row],[Caproate '[%']]],U$6,U$2,FALSE),-100)</f>
        <v>-100</v>
      </c>
      <c r="BN127">
        <f>IF(Table2912[[#This Row],[Isobutyrate '[%']]]&lt;V$10,_xlfn.NORM.DIST(Table2912[[#This Row],[Isobutyrate '[%']]],V$6,V$2,FALSE),-100)</f>
        <v>-100</v>
      </c>
      <c r="BO127">
        <f>IF(Table2912[[#This Row],[Isovalerate '[%']]]&lt;W$10,_xlfn.NORM.DIST(Table2912[[#This Row],[Isovalerate '[%']]],W$6,W$2,FALSE),-100)</f>
        <v>-100</v>
      </c>
      <c r="BP127">
        <f>IF(Table2912[[#This Row],[CH4 '[g/mmol SCFA']]]&lt;X$10,_xlfn.NORM.DIST(Table2912[[#This Row],[CH4 '[g/mmol SCFA']]],X$6,X$2,FALSE),-100)</f>
        <v>-100</v>
      </c>
      <c r="BQ127">
        <f>IF(Table2912[[#This Row],[DMD '[mg/g']]]&gt;Y$10,_xlfn.NORM.DIST(Table2912[[#This Row],[DMD '[mg/g']]],Y$6,Y$2,FALSE),-100)</f>
        <v>-100</v>
      </c>
      <c r="BR127">
        <f>IF(Table2912[[#This Row],[CH4 '[ml/g']]]&lt;Z$10,_xlfn.NORM.DIST(Table2912[[#This Row],[CH4 '[ml/g']]],Z$6,Z$2,FALSE),-100)</f>
        <v>-100</v>
      </c>
      <c r="BS127">
        <f>IF(Table2912[[#This Row],[CH4 '[% GP']]]&lt;AA$10,_xlfn.NORM.DIST(Table2912[[#This Row],[CH4 '[% GP']]],AA$6,AA$2,FALSE),-100)</f>
        <v>-100</v>
      </c>
      <c r="BT127">
        <f>IF(Table2912[[#This Row],[CH4 '[g/g DDM']]]&lt;AB$10,_xlfn.NORM.DIST(Table2912[[#This Row],[CH4 '[g/g DDM']]],AB$6,AB$2,FALSE),-100)</f>
        <v>-100</v>
      </c>
      <c r="CJ127" t="str">
        <v>Senna silvestris</v>
      </c>
      <c r="CL127" t="str">
        <v>Senna silvestris</v>
      </c>
    </row>
    <row r="128" spans="1:90" x14ac:dyDescent="0.25">
      <c r="A128" s="12" t="s">
        <v>70</v>
      </c>
      <c r="B128" s="13">
        <v>1039</v>
      </c>
      <c r="C128" s="96" t="s">
        <v>198</v>
      </c>
      <c r="D128" s="96"/>
      <c r="E128" s="96"/>
      <c r="F128" s="96" t="s">
        <v>199</v>
      </c>
      <c r="G128" s="15" t="s">
        <v>143</v>
      </c>
      <c r="H128" s="15" t="s">
        <v>144</v>
      </c>
      <c r="I128" t="s">
        <v>52</v>
      </c>
      <c r="J128" s="100">
        <v>2</v>
      </c>
      <c r="K128" s="100"/>
      <c r="L128" s="100"/>
      <c r="M128" t="s">
        <v>199</v>
      </c>
      <c r="N128" t="s">
        <v>80</v>
      </c>
      <c r="O128" s="18">
        <v>279.57366909653183</v>
      </c>
      <c r="P128" s="18">
        <v>6.2221479325107536</v>
      </c>
      <c r="Q128" s="97">
        <v>0.67269733591127578</v>
      </c>
      <c r="R128" s="97">
        <v>0.16911825103674458</v>
      </c>
      <c r="S128" s="97">
        <v>0.10588231453608385</v>
      </c>
      <c r="T128" s="97">
        <v>1.4337376604830598E-2</v>
      </c>
      <c r="U128" s="97">
        <v>1.5724513581409465E-3</v>
      </c>
      <c r="V128" s="97">
        <v>1.3010102247701265E-2</v>
      </c>
      <c r="W128" s="97">
        <v>2.3382168305223189E-2</v>
      </c>
      <c r="X128" s="51">
        <f t="shared" si="8"/>
        <v>6.0031003971581658</v>
      </c>
      <c r="Y128" s="18">
        <v>673.60234536344535</v>
      </c>
      <c r="Z128" s="18">
        <v>37.352178724832164</v>
      </c>
      <c r="AA128" s="18">
        <f t="shared" si="9"/>
        <v>13.360406523811482</v>
      </c>
      <c r="AB128" s="18">
        <f t="shared" si="10"/>
        <v>55.451378668639613</v>
      </c>
      <c r="AC128" s="18">
        <f>$CP$15*Table2912[[#This Row],[DMD '[mg/g']]]+$CS$15*Table2912[[#This Row],[CH4 '[ml/g']]]+$CR$15*Table2912[[#This Row],[CH4 '[% GP']]]+$CQ$15*Table2912[[#This Row],[CH4 '[g/g DDM']]]</f>
        <v>5.1409280227677101</v>
      </c>
      <c r="AD128" s="18">
        <f>_xlfn.RANK.AVG(Table2912[[#This Row],[Index]],Table2912[Index])</f>
        <v>407</v>
      </c>
      <c r="AE12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5.8967165383640987</v>
      </c>
      <c r="AF128" s="18">
        <f>Table2912[[#This Row],[CH4 '[ml/g']]]/Table2912[[#This Row],[APB]]</f>
        <v>6.3344029650770057</v>
      </c>
      <c r="AG128" s="18">
        <f>Table2912[[#This Row],[Propionate '[%']]]/Table2912[[#This Row],[Acetate '[%']]]</f>
        <v>0.25140318239501713</v>
      </c>
      <c r="AH128" s="51"/>
      <c r="AI128" s="18"/>
      <c r="AJ128" s="18"/>
      <c r="AK128" s="18">
        <f>(Table2912[[#This Row],[DMD '[mg/g']]]-$AK$15)/$AK$15*100</f>
        <v>37.388801329732679</v>
      </c>
      <c r="AL128" s="18">
        <f>(Table2912[[#This Row],[CH4 '[ml/g']]]-AL$15)/AL$15*100</f>
        <v>-5.0341165742885323</v>
      </c>
      <c r="AM128" s="18">
        <f>(Table2912[[#This Row],[CH4 '[% GP']]]-AM$15)/AM$15*100</f>
        <v>-13.927960233912664</v>
      </c>
      <c r="AN128" s="18">
        <f>(Table2912[[#This Row],[CH4 '[g/g DDM']]]-AN$15)/AN$15*100</f>
        <v>8.2706435035722947</v>
      </c>
      <c r="AO128" s="18"/>
      <c r="AP128" s="18"/>
      <c r="AR128">
        <f>_xlfn.NORM.DIST(Table2912[[#This Row],[GP '[ml/g']]],O$6,O$2,FALSE)</f>
        <v>6.7548698946211473E-3</v>
      </c>
      <c r="AS128">
        <f>_xlfn.NORM.DIST(Table2912[[#This Row],[SCFA '[mmol/g']]],P$6,P$2,FALSE)</f>
        <v>0.32143237864151597</v>
      </c>
      <c r="AT128">
        <f>_xlfn.NORM.DIST(Table2912[[#This Row],[Acetate '[%']]],Q$6,Q$2,FALSE)</f>
        <v>14.025314262867047</v>
      </c>
      <c r="AU128">
        <f>_xlfn.NORM.DIST(Table2912[[#This Row],[Propionate '[%']]],R$6,R$2,FALSE)</f>
        <v>16.679045808146608</v>
      </c>
      <c r="AV128">
        <f>_xlfn.NORM.DIST(Table2912[[#This Row],[Butyrate '[%']]],S$6,S$2,FALSE)</f>
        <v>17.407703369391118</v>
      </c>
      <c r="AW128">
        <f>_xlfn.NORM.DIST(Table2912[[#This Row],[Valerate '[%']]],T$6,T$2,FALSE)</f>
        <v>62.88419026463967</v>
      </c>
      <c r="AX128">
        <f>_xlfn.NORM.DIST(Table2912[[#This Row],[Caproate '[%']]],U$6,U$2,FALSE)</f>
        <v>394.96306958718219</v>
      </c>
      <c r="AY128">
        <f>_xlfn.NORM.DIST(Table2912[[#This Row],[Isobutyrate '[%']]],V$6,V$2,FALSE)</f>
        <v>78.695980720420053</v>
      </c>
      <c r="AZ128">
        <f>_xlfn.NORM.DIST(Table2912[[#This Row],[Isovalerate '[%']]],W$6,W$2,FALSE)</f>
        <v>39.809939000496023</v>
      </c>
      <c r="BA128">
        <f>_xlfn.NORM.DIST(Table2912[[#This Row],[CH4 '[g/mmol SCFA']]],X$6,X$2,FALSE)</f>
        <v>0.29101442069299333</v>
      </c>
      <c r="BB128">
        <f>_xlfn.NORM.DIST(Table2912[[#This Row],[DMD '[mg/g']]],Y$6,Y$2,FALSE)</f>
        <v>2.2037137637927577E-3</v>
      </c>
      <c r="BC128">
        <f>_xlfn.NORM.DIST(Table2912[[#This Row],[CH4 '[ml/g']]],Z$6,Z$2,FALSE)</f>
        <v>3.1626384305329748E-2</v>
      </c>
      <c r="BD128">
        <f>_xlfn.NORM.DIST(Table2912[[#This Row],[CH4 '[% GP']]],AA$6,AA$2,FALSE)</f>
        <v>8.8686373120854367E-2</v>
      </c>
      <c r="BE128">
        <f>_xlfn.NORM.DIST(Table2912[[#This Row],[CH4 '[g/g DDM']]],AB$6,AB$2,FALSE)</f>
        <v>3.236585190738666E-2</v>
      </c>
      <c r="BG128">
        <f>IF(Table2912[[#This Row],[GP '[ml/g']]]&lt;O$10,_xlfn.NORM.DIST(Table2912[[#This Row],[GP '[ml/g']]],O$6,O$2,FALSE),-100)</f>
        <v>-100</v>
      </c>
      <c r="BH128">
        <f>IF(Table2912[[#This Row],[SCFA '[mmol/g']]]&lt;P$10,_xlfn.NORM.DIST(Table2912[[#This Row],[SCFA '[mmol/g']]],P$6,P$2,FALSE),-100)</f>
        <v>-100</v>
      </c>
      <c r="BI128">
        <f>IF(Table2912[[#This Row],[Acetate '[%']]]&lt;Q$10,_xlfn.NORM.DIST(Table2912[[#This Row],[Acetate '[%']]],Q$6,Q$2,FALSE),-100)</f>
        <v>-100</v>
      </c>
      <c r="BJ128">
        <f>IF(Table2912[[#This Row],[Propionate '[%']]]&lt;R$10,_xlfn.NORM.DIST(Table2912[[#This Row],[Propionate '[%']]],R$6,R$2,FALSE),-100)</f>
        <v>-100</v>
      </c>
      <c r="BK128">
        <f>IF(Table2912[[#This Row],[Butyrate '[%']]]&lt;S$10,_xlfn.NORM.DIST(Table2912[[#This Row],[Butyrate '[%']]],S$6,S$2,FALSE),-100)</f>
        <v>-100</v>
      </c>
      <c r="BL128">
        <f>IF(Table2912[[#This Row],[Valerate '[%']]]&lt;T$10,_xlfn.NORM.DIST(Table2912[[#This Row],[Valerate '[%']]],T$6,T$2,FALSE),-100)</f>
        <v>-100</v>
      </c>
      <c r="BM128">
        <f>IF(Table2912[[#This Row],[Caproate '[%']]]&lt;U$10,_xlfn.NORM.DIST(Table2912[[#This Row],[Caproate '[%']]],U$6,U$2,FALSE),-100)</f>
        <v>-100</v>
      </c>
      <c r="BN128">
        <f>IF(Table2912[[#This Row],[Isobutyrate '[%']]]&lt;V$10,_xlfn.NORM.DIST(Table2912[[#This Row],[Isobutyrate '[%']]],V$6,V$2,FALSE),-100)</f>
        <v>-100</v>
      </c>
      <c r="BO128">
        <f>IF(Table2912[[#This Row],[Isovalerate '[%']]]&lt;W$10,_xlfn.NORM.DIST(Table2912[[#This Row],[Isovalerate '[%']]],W$6,W$2,FALSE),-100)</f>
        <v>-100</v>
      </c>
      <c r="BP128">
        <f>IF(Table2912[[#This Row],[CH4 '[g/mmol SCFA']]]&lt;X$10,_xlfn.NORM.DIST(Table2912[[#This Row],[CH4 '[g/mmol SCFA']]],X$6,X$2,FALSE),-100)</f>
        <v>-100</v>
      </c>
      <c r="BQ128">
        <f>IF(Table2912[[#This Row],[DMD '[mg/g']]]&gt;Y$10,_xlfn.NORM.DIST(Table2912[[#This Row],[DMD '[mg/g']]],Y$6,Y$2,FALSE),-100)</f>
        <v>-100</v>
      </c>
      <c r="BR128">
        <f>IF(Table2912[[#This Row],[CH4 '[ml/g']]]&lt;Z$10,_xlfn.NORM.DIST(Table2912[[#This Row],[CH4 '[ml/g']]],Z$6,Z$2,FALSE),-100)</f>
        <v>-100</v>
      </c>
      <c r="BS128">
        <f>IF(Table2912[[#This Row],[CH4 '[% GP']]]&lt;AA$10,_xlfn.NORM.DIST(Table2912[[#This Row],[CH4 '[% GP']]],AA$6,AA$2,FALSE),-100)</f>
        <v>-100</v>
      </c>
      <c r="BT128">
        <f>IF(Table2912[[#This Row],[CH4 '[g/g DDM']]]&lt;AB$10,_xlfn.NORM.DIST(Table2912[[#This Row],[CH4 '[g/g DDM']]],AB$6,AB$2,FALSE),-100)</f>
        <v>-100</v>
      </c>
      <c r="CJ128" t="str">
        <v>Panicum maximum</v>
      </c>
      <c r="CL128" t="str">
        <v>Panicum maximum</v>
      </c>
    </row>
    <row r="129" spans="1:90" x14ac:dyDescent="0.25">
      <c r="A129" s="12" t="s">
        <v>70</v>
      </c>
      <c r="B129" s="13">
        <v>996</v>
      </c>
      <c r="C129" s="96" t="s">
        <v>172</v>
      </c>
      <c r="D129" s="96"/>
      <c r="E129" s="96"/>
      <c r="F129" s="96" t="s">
        <v>173</v>
      </c>
      <c r="G129" t="s">
        <v>73</v>
      </c>
      <c r="H129" t="s">
        <v>74</v>
      </c>
      <c r="I129" t="s">
        <v>75</v>
      </c>
      <c r="J129" s="70">
        <v>1</v>
      </c>
      <c r="K129" s="70"/>
      <c r="L129" s="70"/>
      <c r="M129" t="s">
        <v>173</v>
      </c>
      <c r="N129" t="s">
        <v>180</v>
      </c>
      <c r="O129" s="18">
        <v>235.12557108006155</v>
      </c>
      <c r="P129" s="18">
        <v>5.8767233867793625</v>
      </c>
      <c r="Q129" s="97">
        <v>0.70832481536000902</v>
      </c>
      <c r="R129" s="97">
        <v>0.13859833777337524</v>
      </c>
      <c r="S129" s="97">
        <v>0.10395429546149124</v>
      </c>
      <c r="T129" s="97">
        <v>1.2963856128276725E-2</v>
      </c>
      <c r="U129" s="97">
        <v>1.4738701254460099E-3</v>
      </c>
      <c r="V129" s="97">
        <v>1.1292335390301013E-2</v>
      </c>
      <c r="W129" s="97">
        <v>2.339248976110073E-2</v>
      </c>
      <c r="X129" s="51">
        <f t="shared" si="8"/>
        <v>5.4913740192179734</v>
      </c>
      <c r="Y129" s="18">
        <v>673.62157547005245</v>
      </c>
      <c r="Z129" s="18">
        <v>32.271286124290846</v>
      </c>
      <c r="AA129" s="18">
        <f t="shared" si="9"/>
        <v>13.72512822661143</v>
      </c>
      <c r="AB129" s="18">
        <f t="shared" si="10"/>
        <v>47.907144455359784</v>
      </c>
      <c r="AC129" s="18">
        <f>$CP$15*Table2912[[#This Row],[DMD '[mg/g']]]+$CS$15*Table2912[[#This Row],[CH4 '[ml/g']]]+$CR$15*Table2912[[#This Row],[CH4 '[% GP']]]+$CQ$15*Table2912[[#This Row],[CH4 '[g/g DDM']]]</f>
        <v>8.6944998025150966</v>
      </c>
      <c r="AD129" s="18">
        <f>_xlfn.RANK.AVG(Table2912[[#This Row],[Index]],Table2912[Index])</f>
        <v>367</v>
      </c>
      <c r="AE12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5.5880437401185965</v>
      </c>
      <c r="AF129" s="18">
        <f>Table2912[[#This Row],[CH4 '[ml/g']]]/Table2912[[#This Row],[APB]]</f>
        <v>5.7750596854859166</v>
      </c>
      <c r="AG129" s="18">
        <f>Table2912[[#This Row],[Propionate '[%']]]/Table2912[[#This Row],[Acetate '[%']]]</f>
        <v>0.19567059457451319</v>
      </c>
      <c r="AH129" s="51"/>
      <c r="AI129" s="18"/>
      <c r="AJ129" s="18"/>
      <c r="AK129" s="18">
        <f>(Table2912[[#This Row],[DMD '[mg/g']]]-$AK$15)/$AK$15*100</f>
        <v>37.392723527026646</v>
      </c>
      <c r="AL129" s="18">
        <f>(Table2912[[#This Row],[CH4 '[ml/g']]]-AL$15)/AL$15*100</f>
        <v>-17.952009743416777</v>
      </c>
      <c r="AM129" s="18">
        <f>(Table2912[[#This Row],[CH4 '[% GP']]]-AM$15)/AM$15*100</f>
        <v>-11.578305614421604</v>
      </c>
      <c r="AN129" s="18">
        <f>(Table2912[[#This Row],[CH4 '[g/g DDM']]]-AN$15)/AN$15*100</f>
        <v>-6.4597223164469559</v>
      </c>
      <c r="AO129" s="18"/>
      <c r="AP129" s="18"/>
      <c r="AR129">
        <f>_xlfn.NORM.DIST(Table2912[[#This Row],[GP '[ml/g']]],O$6,O$2,FALSE)</f>
        <v>6.9540494274017732E-3</v>
      </c>
      <c r="AS129">
        <f>_xlfn.NORM.DIST(Table2912[[#This Row],[SCFA '[mmol/g']]],P$6,P$2,FALSE)</f>
        <v>0.28586276573056413</v>
      </c>
      <c r="AT129">
        <f>_xlfn.NORM.DIST(Table2912[[#This Row],[Acetate '[%']]],Q$6,Q$2,FALSE)</f>
        <v>6.5215143180022119</v>
      </c>
      <c r="AU129">
        <f>_xlfn.NORM.DIST(Table2912[[#This Row],[Propionate '[%']]],R$6,R$2,FALSE)</f>
        <v>6.2995402103055493</v>
      </c>
      <c r="AV129">
        <f>_xlfn.NORM.DIST(Table2912[[#This Row],[Butyrate '[%']]],S$6,S$2,FALSE)</f>
        <v>18.802534083750679</v>
      </c>
      <c r="AW129">
        <f>_xlfn.NORM.DIST(Table2912[[#This Row],[Valerate '[%']]],T$6,T$2,FALSE)</f>
        <v>51.115170347425966</v>
      </c>
      <c r="AX129">
        <f>_xlfn.NORM.DIST(Table2912[[#This Row],[Caproate '[%']]],U$6,U$2,FALSE)</f>
        <v>402.73907252538646</v>
      </c>
      <c r="AY129">
        <f>_xlfn.NORM.DIST(Table2912[[#This Row],[Isobutyrate '[%']]],V$6,V$2,FALSE)</f>
        <v>59.608388013647478</v>
      </c>
      <c r="AZ129">
        <f>_xlfn.NORM.DIST(Table2912[[#This Row],[Isovalerate '[%']]],W$6,W$2,FALSE)</f>
        <v>39.833965398657902</v>
      </c>
      <c r="BA129">
        <f>_xlfn.NORM.DIST(Table2912[[#This Row],[CH4 '[g/mmol SCFA']]],X$6,X$2,FALSE)</f>
        <v>0.24990468436083277</v>
      </c>
      <c r="BB129">
        <f>_xlfn.NORM.DIST(Table2912[[#This Row],[DMD '[mg/g']]],Y$6,Y$2,FALSE)</f>
        <v>2.2039455922554007E-3</v>
      </c>
      <c r="BC129">
        <f>_xlfn.NORM.DIST(Table2912[[#This Row],[CH4 '[ml/g']]],Z$6,Z$2,FALSE)</f>
        <v>2.4976562839244473E-2</v>
      </c>
      <c r="BD129">
        <f>_xlfn.NORM.DIST(Table2912[[#This Row],[CH4 '[% GP']]],AA$6,AA$2,FALSE)</f>
        <v>9.8508330161320865E-2</v>
      </c>
      <c r="BE129">
        <f>_xlfn.NORM.DIST(Table2912[[#This Row],[CH4 '[g/g DDM']]],AB$6,AB$2,FALSE)</f>
        <v>2.970801518590109E-2</v>
      </c>
      <c r="BG129">
        <f>IF(Table2912[[#This Row],[GP '[ml/g']]]&lt;O$10,_xlfn.NORM.DIST(Table2912[[#This Row],[GP '[ml/g']]],O$6,O$2,FALSE),-100)</f>
        <v>-100</v>
      </c>
      <c r="BH129">
        <f>IF(Table2912[[#This Row],[SCFA '[mmol/g']]]&lt;P$10,_xlfn.NORM.DIST(Table2912[[#This Row],[SCFA '[mmol/g']]],P$6,P$2,FALSE),-100)</f>
        <v>-100</v>
      </c>
      <c r="BI129">
        <f>IF(Table2912[[#This Row],[Acetate '[%']]]&lt;Q$10,_xlfn.NORM.DIST(Table2912[[#This Row],[Acetate '[%']]],Q$6,Q$2,FALSE),-100)</f>
        <v>-100</v>
      </c>
      <c r="BJ129">
        <f>IF(Table2912[[#This Row],[Propionate '[%']]]&lt;R$10,_xlfn.NORM.DIST(Table2912[[#This Row],[Propionate '[%']]],R$6,R$2,FALSE),-100)</f>
        <v>6.2995402103055493</v>
      </c>
      <c r="BK129">
        <f>IF(Table2912[[#This Row],[Butyrate '[%']]]&lt;S$10,_xlfn.NORM.DIST(Table2912[[#This Row],[Butyrate '[%']]],S$6,S$2,FALSE),-100)</f>
        <v>-100</v>
      </c>
      <c r="BL129">
        <f>IF(Table2912[[#This Row],[Valerate '[%']]]&lt;T$10,_xlfn.NORM.DIST(Table2912[[#This Row],[Valerate '[%']]],T$6,T$2,FALSE),-100)</f>
        <v>-100</v>
      </c>
      <c r="BM129">
        <f>IF(Table2912[[#This Row],[Caproate '[%']]]&lt;U$10,_xlfn.NORM.DIST(Table2912[[#This Row],[Caproate '[%']]],U$6,U$2,FALSE),-100)</f>
        <v>-100</v>
      </c>
      <c r="BN129">
        <f>IF(Table2912[[#This Row],[Isobutyrate '[%']]]&lt;V$10,_xlfn.NORM.DIST(Table2912[[#This Row],[Isobutyrate '[%']]],V$6,V$2,FALSE),-100)</f>
        <v>-100</v>
      </c>
      <c r="BO129">
        <f>IF(Table2912[[#This Row],[Isovalerate '[%']]]&lt;W$10,_xlfn.NORM.DIST(Table2912[[#This Row],[Isovalerate '[%']]],W$6,W$2,FALSE),-100)</f>
        <v>-100</v>
      </c>
      <c r="BP129">
        <f>IF(Table2912[[#This Row],[CH4 '[g/mmol SCFA']]]&lt;X$10,_xlfn.NORM.DIST(Table2912[[#This Row],[CH4 '[g/mmol SCFA']]],X$6,X$2,FALSE),-100)</f>
        <v>-100</v>
      </c>
      <c r="BQ129">
        <f>IF(Table2912[[#This Row],[DMD '[mg/g']]]&gt;Y$10,_xlfn.NORM.DIST(Table2912[[#This Row],[DMD '[mg/g']]],Y$6,Y$2,FALSE),-100)</f>
        <v>-100</v>
      </c>
      <c r="BR129">
        <f>IF(Table2912[[#This Row],[CH4 '[ml/g']]]&lt;Z$10,_xlfn.NORM.DIST(Table2912[[#This Row],[CH4 '[ml/g']]],Z$6,Z$2,FALSE),-100)</f>
        <v>-100</v>
      </c>
      <c r="BS129">
        <f>IF(Table2912[[#This Row],[CH4 '[% GP']]]&lt;AA$10,_xlfn.NORM.DIST(Table2912[[#This Row],[CH4 '[% GP']]],AA$6,AA$2,FALSE),-100)</f>
        <v>-100</v>
      </c>
      <c r="BT129">
        <f>IF(Table2912[[#This Row],[CH4 '[g/g DDM']]]&lt;AB$10,_xlfn.NORM.DIST(Table2912[[#This Row],[CH4 '[g/g DDM']]],AB$6,AB$2,FALSE),-100)</f>
        <v>-100</v>
      </c>
      <c r="CJ129" t="str">
        <v>Hordeum vulgare(ICB-65)</v>
      </c>
      <c r="CL129" t="str">
        <v>Hordeum vulgare(ICB-65)</v>
      </c>
    </row>
    <row r="130" spans="1:90" x14ac:dyDescent="0.25">
      <c r="A130" s="12" t="s">
        <v>200</v>
      </c>
      <c r="B130" s="13">
        <v>1254</v>
      </c>
      <c r="C130" s="113" t="s">
        <v>201</v>
      </c>
      <c r="D130" s="113" t="s">
        <v>202</v>
      </c>
      <c r="E130" s="113" t="s">
        <v>203</v>
      </c>
      <c r="F130" s="114" t="s">
        <v>204</v>
      </c>
      <c r="G130" t="s">
        <v>205</v>
      </c>
      <c r="H130" t="s">
        <v>206</v>
      </c>
      <c r="I130" s="115" t="s">
        <v>48</v>
      </c>
      <c r="J130" s="107">
        <v>3</v>
      </c>
      <c r="K130" s="107"/>
      <c r="L130" s="107"/>
      <c r="M130" s="103" t="s">
        <v>207</v>
      </c>
      <c r="N130" t="s">
        <v>208</v>
      </c>
      <c r="O130" s="18">
        <v>178.24755030621165</v>
      </c>
      <c r="P130" s="18">
        <v>4.2561980479328758</v>
      </c>
      <c r="Q130" s="97">
        <v>0.73955817391291212</v>
      </c>
      <c r="R130" s="97">
        <v>0.17758896830227477</v>
      </c>
      <c r="S130" s="97">
        <v>4.7858219463093224E-2</v>
      </c>
      <c r="T130" s="97">
        <v>2.0573387337842426E-2</v>
      </c>
      <c r="U130" s="97">
        <v>1.4808687071842697E-3</v>
      </c>
      <c r="V130" s="97">
        <v>5.2089722910749342E-3</v>
      </c>
      <c r="W130" s="97">
        <v>7.7314099856183194E-3</v>
      </c>
      <c r="X130" s="51">
        <f t="shared" si="8"/>
        <v>6.3323436177964911</v>
      </c>
      <c r="Y130" s="18">
        <v>674.28456383309936</v>
      </c>
      <c r="Z130" s="18">
        <v>26.951708544905632</v>
      </c>
      <c r="AA130" s="18">
        <f t="shared" si="9"/>
        <v>15.120380896458471</v>
      </c>
      <c r="AB130" s="18">
        <f t="shared" si="10"/>
        <v>39.970822395360052</v>
      </c>
      <c r="AC130" s="18">
        <f>$CP$15*Table2912[[#This Row],[DMD '[mg/g']]]+$CS$15*Table2912[[#This Row],[CH4 '[ml/g']]]+$CR$15*Table2912[[#This Row],[CH4 '[% GP']]]+$CQ$15*Table2912[[#This Row],[CH4 '[g/g DDM']]]</f>
        <v>12.178122463884762</v>
      </c>
      <c r="AD130" s="18">
        <f>_xlfn.RANK.AVG(Table2912[[#This Row],[Index]],Table2912[Index])</f>
        <v>319</v>
      </c>
      <c r="AE13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4.1072539366198546</v>
      </c>
      <c r="AF130" s="18">
        <f>Table2912[[#This Row],[CH4 '[ml/g']]]/Table2912[[#This Row],[APB]]</f>
        <v>6.5619776524180704</v>
      </c>
      <c r="AG130" s="18">
        <f>Table2912[[#This Row],[Propionate '[%']]]/Table2912[[#This Row],[Acetate '[%']]]</f>
        <v>0.24012846394851292</v>
      </c>
      <c r="AH130" s="51"/>
      <c r="AI130" s="18"/>
      <c r="AJ130" s="18"/>
      <c r="AK130" s="18">
        <f>(Table2912[[#This Row],[DMD '[mg/g']]]-$AK$15)/$AK$15*100</f>
        <v>37.527947486862224</v>
      </c>
      <c r="AL130" s="18">
        <f>(Table2912[[#This Row],[CH4 '[ml/g']]]-AL$15)/AL$15*100</f>
        <v>-31.476746493031765</v>
      </c>
      <c r="AM130" s="18">
        <f>(Table2912[[#This Row],[CH4 '[% GP']]]-AM$15)/AM$15*100</f>
        <v>-2.5896387599527246</v>
      </c>
      <c r="AN130" s="18">
        <f>(Table2912[[#This Row],[CH4 '[g/g DDM']]]-AN$15)/AN$15*100</f>
        <v>-21.955652573158964</v>
      </c>
      <c r="AO130" s="18"/>
      <c r="AP130" s="18"/>
      <c r="AR130">
        <f>_xlfn.NORM.DIST(Table2912[[#This Row],[GP '[ml/g']]],O$6,O$2,FALSE)</f>
        <v>2.6209209822547317E-3</v>
      </c>
      <c r="AS130">
        <f>_xlfn.NORM.DIST(Table2912[[#This Row],[SCFA '[mmol/g']]],P$6,P$2,FALSE)</f>
        <v>5.4444313102004073E-2</v>
      </c>
      <c r="AT130">
        <f>_xlfn.NORM.DIST(Table2912[[#This Row],[Acetate '[%']]],Q$6,Q$2,FALSE)</f>
        <v>0.91665866890107028</v>
      </c>
      <c r="AU130">
        <f>_xlfn.NORM.DIST(Table2912[[#This Row],[Propionate '[%']]],R$6,R$2,FALSE)</f>
        <v>16.311213169079892</v>
      </c>
      <c r="AV130">
        <f>_xlfn.NORM.DIST(Table2912[[#This Row],[Butyrate '[%']]],S$6,S$2,FALSE)</f>
        <v>0.78122123992515036</v>
      </c>
      <c r="AW130">
        <f>_xlfn.NORM.DIST(Table2912[[#This Row],[Valerate '[%']]],T$6,T$2,FALSE)</f>
        <v>65.963073948783077</v>
      </c>
      <c r="AX130">
        <f>_xlfn.NORM.DIST(Table2912[[#This Row],[Caproate '[%']]],U$6,U$2,FALSE)</f>
        <v>402.31613101924876</v>
      </c>
      <c r="AY130">
        <f>_xlfn.NORM.DIST(Table2912[[#This Row],[Isobutyrate '[%']]],V$6,V$2,FALSE)</f>
        <v>6.6333487801627236</v>
      </c>
      <c r="AZ130">
        <f>_xlfn.NORM.DIST(Table2912[[#This Row],[Isovalerate '[%']]],W$6,W$2,FALSE)</f>
        <v>3.2543762869882897</v>
      </c>
      <c r="BA130">
        <f>_xlfn.NORM.DIST(Table2912[[#This Row],[CH4 '[g/mmol SCFA']]],X$6,X$2,FALSE)</f>
        <v>0.29720384805488648</v>
      </c>
      <c r="BB130">
        <f>_xlfn.NORM.DIST(Table2912[[#This Row],[DMD '[mg/g']]],Y$6,Y$2,FALSE)</f>
        <v>2.2119264510394067E-3</v>
      </c>
      <c r="BC130">
        <f>_xlfn.NORM.DIST(Table2912[[#This Row],[CH4 '[ml/g']]],Z$6,Z$2,FALSE)</f>
        <v>1.6049283119412464E-2</v>
      </c>
      <c r="BD130">
        <f>_xlfn.NORM.DIST(Table2912[[#This Row],[CH4 '[% GP']]],AA$6,AA$2,FALSE)</f>
        <v>0.12798931625711682</v>
      </c>
      <c r="BE130">
        <f>_xlfn.NORM.DIST(Table2912[[#This Row],[CH4 '[g/g DDM']]],AB$6,AB$2,FALSE)</f>
        <v>1.7898402699723988E-2</v>
      </c>
      <c r="BG130">
        <f>IF(Table2912[[#This Row],[GP '[ml/g']]]&lt;O$10,_xlfn.NORM.DIST(Table2912[[#This Row],[GP '[ml/g']]],O$6,O$2,FALSE),-100)</f>
        <v>2.6209209822547317E-3</v>
      </c>
      <c r="BH130">
        <f>IF(Table2912[[#This Row],[SCFA '[mmol/g']]]&lt;P$10,_xlfn.NORM.DIST(Table2912[[#This Row],[SCFA '[mmol/g']]],P$6,P$2,FALSE),-100)</f>
        <v>5.4444313102004073E-2</v>
      </c>
      <c r="BI130">
        <f>IF(Table2912[[#This Row],[Acetate '[%']]]&lt;Q$10,_xlfn.NORM.DIST(Table2912[[#This Row],[Acetate '[%']]],Q$6,Q$2,FALSE),-100)</f>
        <v>-100</v>
      </c>
      <c r="BJ130">
        <f>IF(Table2912[[#This Row],[Propionate '[%']]]&lt;R$10,_xlfn.NORM.DIST(Table2912[[#This Row],[Propionate '[%']]],R$6,R$2,FALSE),-100)</f>
        <v>-100</v>
      </c>
      <c r="BK130">
        <f>IF(Table2912[[#This Row],[Butyrate '[%']]]&lt;S$10,_xlfn.NORM.DIST(Table2912[[#This Row],[Butyrate '[%']]],S$6,S$2,FALSE),-100)</f>
        <v>0.78122123992515036</v>
      </c>
      <c r="BL130">
        <f>IF(Table2912[[#This Row],[Valerate '[%']]]&lt;T$10,_xlfn.NORM.DIST(Table2912[[#This Row],[Valerate '[%']]],T$6,T$2,FALSE),-100)</f>
        <v>-100</v>
      </c>
      <c r="BM130">
        <f>IF(Table2912[[#This Row],[Caproate '[%']]]&lt;U$10,_xlfn.NORM.DIST(Table2912[[#This Row],[Caproate '[%']]],U$6,U$2,FALSE),-100)</f>
        <v>-100</v>
      </c>
      <c r="BN130">
        <f>IF(Table2912[[#This Row],[Isobutyrate '[%']]]&lt;V$10,_xlfn.NORM.DIST(Table2912[[#This Row],[Isobutyrate '[%']]],V$6,V$2,FALSE),-100)</f>
        <v>6.6333487801627236</v>
      </c>
      <c r="BO130">
        <f>IF(Table2912[[#This Row],[Isovalerate '[%']]]&lt;W$10,_xlfn.NORM.DIST(Table2912[[#This Row],[Isovalerate '[%']]],W$6,W$2,FALSE),-100)</f>
        <v>3.2543762869882897</v>
      </c>
      <c r="BP130">
        <f>IF(Table2912[[#This Row],[CH4 '[g/mmol SCFA']]]&lt;X$10,_xlfn.NORM.DIST(Table2912[[#This Row],[CH4 '[g/mmol SCFA']]],X$6,X$2,FALSE),-100)</f>
        <v>-100</v>
      </c>
      <c r="BQ130">
        <f>IF(Table2912[[#This Row],[DMD '[mg/g']]]&gt;Y$10,_xlfn.NORM.DIST(Table2912[[#This Row],[DMD '[mg/g']]],Y$6,Y$2,FALSE),-100)</f>
        <v>-100</v>
      </c>
      <c r="BR130">
        <f>IF(Table2912[[#This Row],[CH4 '[ml/g']]]&lt;Z$10,_xlfn.NORM.DIST(Table2912[[#This Row],[CH4 '[ml/g']]],Z$6,Z$2,FALSE),-100)</f>
        <v>1.6049283119412464E-2</v>
      </c>
      <c r="BS130">
        <f>IF(Table2912[[#This Row],[CH4 '[% GP']]]&lt;AA$10,_xlfn.NORM.DIST(Table2912[[#This Row],[CH4 '[% GP']]],AA$6,AA$2,FALSE),-100)</f>
        <v>-100</v>
      </c>
      <c r="BT130">
        <f>IF(Table2912[[#This Row],[CH4 '[g/g DDM']]]&lt;AB$10,_xlfn.NORM.DIST(Table2912[[#This Row],[CH4 '[g/g DDM']]],AB$6,AB$2,FALSE),-100)</f>
        <v>-100</v>
      </c>
      <c r="CJ130" t="str">
        <v>Hordeum vulgare(ICB-74)</v>
      </c>
      <c r="CL130" t="str">
        <v>Hordeum vulgare(ICB-74)</v>
      </c>
    </row>
    <row r="131" spans="1:90" x14ac:dyDescent="0.25">
      <c r="A131" s="12" t="s">
        <v>86</v>
      </c>
      <c r="B131" s="13">
        <v>1059</v>
      </c>
      <c r="C131" s="104" t="s">
        <v>120</v>
      </c>
      <c r="D131" s="104" t="s">
        <v>121</v>
      </c>
      <c r="E131" s="104" t="s">
        <v>122</v>
      </c>
      <c r="F131" s="104" t="s">
        <v>123</v>
      </c>
      <c r="G131" s="32" t="s">
        <v>73</v>
      </c>
      <c r="H131" s="32" t="s">
        <v>74</v>
      </c>
      <c r="I131" s="105" t="s">
        <v>44</v>
      </c>
      <c r="J131" s="70">
        <v>1</v>
      </c>
      <c r="K131" s="70"/>
      <c r="L131" s="70"/>
      <c r="M131" t="s">
        <v>123</v>
      </c>
      <c r="N131" t="s">
        <v>145</v>
      </c>
      <c r="O131" s="18">
        <v>184.87826375082923</v>
      </c>
      <c r="P131" s="18">
        <v>4.8232825270598623</v>
      </c>
      <c r="Q131" s="97">
        <v>0.58316922372337987</v>
      </c>
      <c r="R131" s="97">
        <v>0.21188458896267465</v>
      </c>
      <c r="S131" s="97">
        <v>0.10416762079230593</v>
      </c>
      <c r="T131" s="97">
        <v>2.477673460041218E-2</v>
      </c>
      <c r="U131" s="97">
        <v>1.3968399358827569E-3</v>
      </c>
      <c r="V131" s="97">
        <v>2.468513853904282E-2</v>
      </c>
      <c r="W131" s="97">
        <v>4.9919853446301808E-2</v>
      </c>
      <c r="X131" s="51">
        <f t="shared" si="8"/>
        <v>6.9350488848278635</v>
      </c>
      <c r="Y131" s="18">
        <v>674.39805610779729</v>
      </c>
      <c r="Z131" s="18">
        <v>33.449700110496217</v>
      </c>
      <c r="AA131" s="18">
        <f t="shared" si="9"/>
        <v>18.092824668441416</v>
      </c>
      <c r="AB131" s="18">
        <f t="shared" si="10"/>
        <v>49.599342417365364</v>
      </c>
      <c r="AC131" s="18">
        <f>$CP$15*Table2912[[#This Row],[DMD '[mg/g']]]+$CS$15*Table2912[[#This Row],[CH4 '[ml/g']]]+$CR$15*Table2912[[#This Row],[CH4 '[% GP']]]+$CQ$15*Table2912[[#This Row],[CH4 '[g/g DDM']]]</f>
        <v>6.6248291191587256</v>
      </c>
      <c r="AD131" s="18">
        <f>_xlfn.RANK.AVG(Table2912[[#This Row],[Index]],Table2912[Index])</f>
        <v>390</v>
      </c>
      <c r="AE13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4.3371990280538988</v>
      </c>
      <c r="AF131" s="18">
        <f>Table2912[[#This Row],[CH4 '[ml/g']]]/Table2912[[#This Row],[APB]]</f>
        <v>7.7122815656225709</v>
      </c>
      <c r="AG131" s="18">
        <f>Table2912[[#This Row],[Propionate '[%']]]/Table2912[[#This Row],[Acetate '[%']]]</f>
        <v>0.36333294066831595</v>
      </c>
      <c r="AH131" s="51"/>
      <c r="AI131" s="18"/>
      <c r="AJ131" s="18"/>
      <c r="AK131" s="18">
        <f>(Table2912[[#This Row],[DMD '[mg/g']]]-$AK$15)/$AK$15*100</f>
        <v>37.551095517281446</v>
      </c>
      <c r="AL131" s="18">
        <f>(Table2912[[#This Row],[CH4 '[ml/g']]]-AL$15)/AL$15*100</f>
        <v>-14.955956258407918</v>
      </c>
      <c r="AM131" s="18">
        <f>(Table2912[[#This Row],[CH4 '[% GP']]]-AM$15)/AM$15*100</f>
        <v>16.559800898832968</v>
      </c>
      <c r="AN131" s="18">
        <f>(Table2912[[#This Row],[CH4 '[g/g DDM']]]-AN$15)/AN$15*100</f>
        <v>-3.1556500520472501</v>
      </c>
      <c r="AO131" s="18"/>
      <c r="AP131" s="18"/>
      <c r="AR131">
        <f>_xlfn.NORM.DIST(Table2912[[#This Row],[GP '[ml/g']]],O$6,O$2,FALSE)</f>
        <v>3.113798754492201E-3</v>
      </c>
      <c r="AS131">
        <f>_xlfn.NORM.DIST(Table2912[[#This Row],[SCFA '[mmol/g']]],P$6,P$2,FALSE)</f>
        <v>0.11973544453168514</v>
      </c>
      <c r="AT131">
        <f>_xlfn.NORM.DIST(Table2912[[#This Row],[Acetate '[%']]],Q$6,Q$2,FALSE)</f>
        <v>9.4337571509214305E-2</v>
      </c>
      <c r="AU131">
        <f>_xlfn.NORM.DIST(Table2912[[#This Row],[Propionate '[%']]],R$6,R$2,FALSE)</f>
        <v>4.0651415254585199</v>
      </c>
      <c r="AV131">
        <f>_xlfn.NORM.DIST(Table2912[[#This Row],[Butyrate '[%']]],S$6,S$2,FALSE)</f>
        <v>18.654227065705637</v>
      </c>
      <c r="AW131">
        <f>_xlfn.NORM.DIST(Table2912[[#This Row],[Valerate '[%']]],T$6,T$2,FALSE)</f>
        <v>29.831550186989592</v>
      </c>
      <c r="AX131">
        <f>_xlfn.NORM.DIST(Table2912[[#This Row],[Caproate '[%']]],U$6,U$2,FALSE)</f>
        <v>406.05418459057978</v>
      </c>
      <c r="AY131">
        <f>_xlfn.NORM.DIST(Table2912[[#This Row],[Isobutyrate '[%']]],V$6,V$2,FALSE)</f>
        <v>9.5901661476873059</v>
      </c>
      <c r="AZ131">
        <f>_xlfn.NORM.DIST(Table2912[[#This Row],[Isovalerate '[%']]],W$6,W$2,FALSE)</f>
        <v>1.9560325406731505</v>
      </c>
      <c r="BA131">
        <f>_xlfn.NORM.DIST(Table2912[[#This Row],[CH4 '[g/mmol SCFA']]],X$6,X$2,FALSE)</f>
        <v>0.26424131240660303</v>
      </c>
      <c r="BB131">
        <f>_xlfn.NORM.DIST(Table2912[[#This Row],[DMD '[mg/g']]],Y$6,Y$2,FALSE)</f>
        <v>2.2132903213049212E-3</v>
      </c>
      <c r="BC131">
        <f>_xlfn.NORM.DIST(Table2912[[#This Row],[CH4 '[ml/g']]],Z$6,Z$2,FALSE)</f>
        <v>2.6813496346800809E-2</v>
      </c>
      <c r="BD131">
        <f>_xlfn.NORM.DIST(Table2912[[#This Row],[CH4 '[% GP']]],AA$6,AA$2,FALSE)</f>
        <v>0.10664215170468248</v>
      </c>
      <c r="BE131">
        <f>_xlfn.NORM.DIST(Table2912[[#This Row],[CH4 '[g/g DDM']]],AB$6,AB$2,FALSE)</f>
        <v>3.1318634150300825E-2</v>
      </c>
      <c r="BG131">
        <f>IF(Table2912[[#This Row],[GP '[ml/g']]]&lt;O$10,_xlfn.NORM.DIST(Table2912[[#This Row],[GP '[ml/g']]],O$6,O$2,FALSE),-100)</f>
        <v>3.113798754492201E-3</v>
      </c>
      <c r="BH131">
        <f>IF(Table2912[[#This Row],[SCFA '[mmol/g']]]&lt;P$10,_xlfn.NORM.DIST(Table2912[[#This Row],[SCFA '[mmol/g']]],P$6,P$2,FALSE),-100)</f>
        <v>0.11973544453168514</v>
      </c>
      <c r="BI131">
        <f>IF(Table2912[[#This Row],[Acetate '[%']]]&lt;Q$10,_xlfn.NORM.DIST(Table2912[[#This Row],[Acetate '[%']]],Q$6,Q$2,FALSE),-100)</f>
        <v>9.4337571509214305E-2</v>
      </c>
      <c r="BJ131">
        <f>IF(Table2912[[#This Row],[Propionate '[%']]]&lt;R$10,_xlfn.NORM.DIST(Table2912[[#This Row],[Propionate '[%']]],R$6,R$2,FALSE),-100)</f>
        <v>-100</v>
      </c>
      <c r="BK131">
        <f>IF(Table2912[[#This Row],[Butyrate '[%']]]&lt;S$10,_xlfn.NORM.DIST(Table2912[[#This Row],[Butyrate '[%']]],S$6,S$2,FALSE),-100)</f>
        <v>-100</v>
      </c>
      <c r="BL131">
        <f>IF(Table2912[[#This Row],[Valerate '[%']]]&lt;T$10,_xlfn.NORM.DIST(Table2912[[#This Row],[Valerate '[%']]],T$6,T$2,FALSE),-100)</f>
        <v>-100</v>
      </c>
      <c r="BM131">
        <f>IF(Table2912[[#This Row],[Caproate '[%']]]&lt;U$10,_xlfn.NORM.DIST(Table2912[[#This Row],[Caproate '[%']]],U$6,U$2,FALSE),-100)</f>
        <v>-100</v>
      </c>
      <c r="BN131">
        <f>IF(Table2912[[#This Row],[Isobutyrate '[%']]]&lt;V$10,_xlfn.NORM.DIST(Table2912[[#This Row],[Isobutyrate '[%']]],V$6,V$2,FALSE),-100)</f>
        <v>-100</v>
      </c>
      <c r="BO131">
        <f>IF(Table2912[[#This Row],[Isovalerate '[%']]]&lt;W$10,_xlfn.NORM.DIST(Table2912[[#This Row],[Isovalerate '[%']]],W$6,W$2,FALSE),-100)</f>
        <v>-100</v>
      </c>
      <c r="BP131">
        <f>IF(Table2912[[#This Row],[CH4 '[g/mmol SCFA']]]&lt;X$10,_xlfn.NORM.DIST(Table2912[[#This Row],[CH4 '[g/mmol SCFA']]],X$6,X$2,FALSE),-100)</f>
        <v>-100</v>
      </c>
      <c r="BQ131">
        <f>IF(Table2912[[#This Row],[DMD '[mg/g']]]&gt;Y$10,_xlfn.NORM.DIST(Table2912[[#This Row],[DMD '[mg/g']]],Y$6,Y$2,FALSE),-100)</f>
        <v>-100</v>
      </c>
      <c r="BR131">
        <f>IF(Table2912[[#This Row],[CH4 '[ml/g']]]&lt;Z$10,_xlfn.NORM.DIST(Table2912[[#This Row],[CH4 '[ml/g']]],Z$6,Z$2,FALSE),-100)</f>
        <v>-100</v>
      </c>
      <c r="BS131">
        <f>IF(Table2912[[#This Row],[CH4 '[% GP']]]&lt;AA$10,_xlfn.NORM.DIST(Table2912[[#This Row],[CH4 '[% GP']]],AA$6,AA$2,FALSE),-100)</f>
        <v>-100</v>
      </c>
      <c r="BT131">
        <f>IF(Table2912[[#This Row],[CH4 '[g/g DDM']]]&lt;AB$10,_xlfn.NORM.DIST(Table2912[[#This Row],[CH4 '[g/g DDM']]],AB$6,AB$2,FALSE),-100)</f>
        <v>-100</v>
      </c>
      <c r="CJ131" t="str">
        <v>Lathyrus sativus (IFLA-32)</v>
      </c>
      <c r="CL131" t="str">
        <v>Lathyrus sativus (IFLA-32)</v>
      </c>
    </row>
    <row r="132" spans="1:90" x14ac:dyDescent="0.25">
      <c r="A132" s="12" t="s">
        <v>70</v>
      </c>
      <c r="B132" s="13">
        <v>1039</v>
      </c>
      <c r="C132" s="96" t="s">
        <v>198</v>
      </c>
      <c r="D132" s="96"/>
      <c r="E132" s="96"/>
      <c r="F132" s="96" t="s">
        <v>199</v>
      </c>
      <c r="G132" t="s">
        <v>143</v>
      </c>
      <c r="H132" t="s">
        <v>144</v>
      </c>
      <c r="I132" t="s">
        <v>52</v>
      </c>
      <c r="J132" s="100">
        <v>3</v>
      </c>
      <c r="K132" s="100"/>
      <c r="L132" s="100"/>
      <c r="M132" t="s">
        <v>199</v>
      </c>
      <c r="N132" t="s">
        <v>84</v>
      </c>
      <c r="O132" s="18">
        <v>292.32993333333241</v>
      </c>
      <c r="P132" s="18">
        <v>8.7970000000000006</v>
      </c>
      <c r="Q132" s="97">
        <v>0.66688138633119876</v>
      </c>
      <c r="R132" s="97">
        <v>0.17320925467429346</v>
      </c>
      <c r="S132" s="97">
        <v>0.11185861862887388</v>
      </c>
      <c r="T132" s="97">
        <v>1.5521215743191321E-2</v>
      </c>
      <c r="U132" s="97">
        <v>1.2806283616494491E-3</v>
      </c>
      <c r="V132" s="97">
        <v>1.6482891894964189E-2</v>
      </c>
      <c r="W132" s="97">
        <v>2.8987154711833572E-2</v>
      </c>
      <c r="X132" s="51">
        <f t="shared" si="8"/>
        <v>4.4361082194429224</v>
      </c>
      <c r="Y132" s="18">
        <v>677.47691628009738</v>
      </c>
      <c r="Z132" s="18">
        <v>39.024444006439388</v>
      </c>
      <c r="AA132" s="18">
        <f t="shared" si="9"/>
        <v>13.349451957060223</v>
      </c>
      <c r="AB132" s="18">
        <f t="shared" si="10"/>
        <v>57.602617991348723</v>
      </c>
      <c r="AC132" s="18">
        <f>$CP$15*Table2912[[#This Row],[DMD '[mg/g']]]+$CS$15*Table2912[[#This Row],[CH4 '[ml/g']]]+$CR$15*Table2912[[#This Row],[CH4 '[% GP']]]+$CQ$15*Table2912[[#This Row],[CH4 '[g/g DDM']]]</f>
        <v>4.4392007208375404</v>
      </c>
      <c r="AD132" s="18">
        <f>_xlfn.RANK.AVG(Table2912[[#This Row],[Index]],Table2912[Index])</f>
        <v>414</v>
      </c>
      <c r="AE13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8.3742976370035187</v>
      </c>
      <c r="AF132" s="18">
        <f>Table2912[[#This Row],[CH4 '[ml/g']]]/Table2912[[#This Row],[APB]]</f>
        <v>4.6600259147706948</v>
      </c>
      <c r="AG132" s="18">
        <f>Table2912[[#This Row],[Propionate '[%']]]/Table2912[[#This Row],[Acetate '[%']]]</f>
        <v>0.25973022823022851</v>
      </c>
      <c r="AH132" s="51"/>
      <c r="AI132" s="18"/>
      <c r="AJ132" s="18"/>
      <c r="AK132" s="18">
        <f>(Table2912[[#This Row],[DMD '[mg/g']]]-$AK$15)/$AK$15*100</f>
        <v>38.179063800714211</v>
      </c>
      <c r="AL132" s="18">
        <f>(Table2912[[#This Row],[CH4 '[ml/g']]]-AL$15)/AL$15*100</f>
        <v>-0.78247302332215463</v>
      </c>
      <c r="AM132" s="18">
        <f>(Table2912[[#This Row],[CH4 '[% GP']]]-AM$15)/AM$15*100</f>
        <v>-13.998533079383661</v>
      </c>
      <c r="AN132" s="18">
        <f>(Table2912[[#This Row],[CH4 '[g/g DDM']]]-AN$15)/AN$15*100</f>
        <v>12.471009146268738</v>
      </c>
      <c r="AO132" s="18"/>
      <c r="AP132" s="18"/>
      <c r="AR132">
        <f>_xlfn.NORM.DIST(Table2912[[#This Row],[GP '[ml/g']]],O$6,O$2,FALSE)</f>
        <v>5.8924033128886092E-3</v>
      </c>
      <c r="AS132">
        <f>_xlfn.NORM.DIST(Table2912[[#This Row],[SCFA '[mmol/g']]],P$6,P$2,FALSE)</f>
        <v>5.6347146915937354E-2</v>
      </c>
      <c r="AT132">
        <f>_xlfn.NORM.DIST(Table2912[[#This Row],[Acetate '[%']]],Q$6,Q$2,FALSE)</f>
        <v>13.692951897991572</v>
      </c>
      <c r="AU132">
        <f>_xlfn.NORM.DIST(Table2912[[#This Row],[Propionate '[%']]],R$6,R$2,FALSE)</f>
        <v>16.764327110272593</v>
      </c>
      <c r="AV132">
        <f>_xlfn.NORM.DIST(Table2912[[#This Row],[Butyrate '[%']]],S$6,S$2,FALSE)</f>
        <v>12.67053698667649</v>
      </c>
      <c r="AW132">
        <f>_xlfn.NORM.DIST(Table2912[[#This Row],[Valerate '[%']]],T$6,T$2,FALSE)</f>
        <v>71.017060669187302</v>
      </c>
      <c r="AX132">
        <f>_xlfn.NORM.DIST(Table2912[[#This Row],[Caproate '[%']]],U$6,U$2,FALSE)</f>
        <v>406.33274719827006</v>
      </c>
      <c r="AY132">
        <f>_xlfn.NORM.DIST(Table2912[[#This Row],[Isobutyrate '[%']]],V$6,V$2,FALSE)</f>
        <v>87.085845246937353</v>
      </c>
      <c r="AZ132">
        <f>_xlfn.NORM.DIST(Table2912[[#This Row],[Isovalerate '[%']]],W$6,W$2,FALSE)</f>
        <v>45.079961923265493</v>
      </c>
      <c r="BA132">
        <f>_xlfn.NORM.DIST(Table2912[[#This Row],[CH4 '[g/mmol SCFA']]],X$6,X$2,FALSE)</f>
        <v>0.11529911424529042</v>
      </c>
      <c r="BB132">
        <f>_xlfn.NORM.DIST(Table2912[[#This Row],[DMD '[mg/g']]],Y$6,Y$2,FALSE)</f>
        <v>2.2500216220402974E-3</v>
      </c>
      <c r="BC132">
        <f>_xlfn.NORM.DIST(Table2912[[#This Row],[CH4 '[ml/g']]],Z$6,Z$2,FALSE)</f>
        <v>3.2846786945006257E-2</v>
      </c>
      <c r="BD132">
        <f>_xlfn.NORM.DIST(Table2912[[#This Row],[CH4 '[% GP']]],AA$6,AA$2,FALSE)</f>
        <v>8.8386287850647755E-2</v>
      </c>
      <c r="BE132">
        <f>_xlfn.NORM.DIST(Table2912[[#This Row],[CH4 '[g/g DDM']]],AB$6,AB$2,FALSE)</f>
        <v>3.0901935006248517E-2</v>
      </c>
      <c r="BG132">
        <f>IF(Table2912[[#This Row],[GP '[ml/g']]]&lt;O$10,_xlfn.NORM.DIST(Table2912[[#This Row],[GP '[ml/g']]],O$6,O$2,FALSE),-100)</f>
        <v>-100</v>
      </c>
      <c r="BH132">
        <f>IF(Table2912[[#This Row],[SCFA '[mmol/g']]]&lt;P$10,_xlfn.NORM.DIST(Table2912[[#This Row],[SCFA '[mmol/g']]],P$6,P$2,FALSE),-100)</f>
        <v>-100</v>
      </c>
      <c r="BI132">
        <f>IF(Table2912[[#This Row],[Acetate '[%']]]&lt;Q$10,_xlfn.NORM.DIST(Table2912[[#This Row],[Acetate '[%']]],Q$6,Q$2,FALSE),-100)</f>
        <v>-100</v>
      </c>
      <c r="BJ132">
        <f>IF(Table2912[[#This Row],[Propionate '[%']]]&lt;R$10,_xlfn.NORM.DIST(Table2912[[#This Row],[Propionate '[%']]],R$6,R$2,FALSE),-100)</f>
        <v>-100</v>
      </c>
      <c r="BK132">
        <f>IF(Table2912[[#This Row],[Butyrate '[%']]]&lt;S$10,_xlfn.NORM.DIST(Table2912[[#This Row],[Butyrate '[%']]],S$6,S$2,FALSE),-100)</f>
        <v>-100</v>
      </c>
      <c r="BL132">
        <f>IF(Table2912[[#This Row],[Valerate '[%']]]&lt;T$10,_xlfn.NORM.DIST(Table2912[[#This Row],[Valerate '[%']]],T$6,T$2,FALSE),-100)</f>
        <v>-100</v>
      </c>
      <c r="BM132">
        <f>IF(Table2912[[#This Row],[Caproate '[%']]]&lt;U$10,_xlfn.NORM.DIST(Table2912[[#This Row],[Caproate '[%']]],U$6,U$2,FALSE),-100)</f>
        <v>-100</v>
      </c>
      <c r="BN132">
        <f>IF(Table2912[[#This Row],[Isobutyrate '[%']]]&lt;V$10,_xlfn.NORM.DIST(Table2912[[#This Row],[Isobutyrate '[%']]],V$6,V$2,FALSE),-100)</f>
        <v>-100</v>
      </c>
      <c r="BO132">
        <f>IF(Table2912[[#This Row],[Isovalerate '[%']]]&lt;W$10,_xlfn.NORM.DIST(Table2912[[#This Row],[Isovalerate '[%']]],W$6,W$2,FALSE),-100)</f>
        <v>-100</v>
      </c>
      <c r="BP132">
        <f>IF(Table2912[[#This Row],[CH4 '[g/mmol SCFA']]]&lt;X$10,_xlfn.NORM.DIST(Table2912[[#This Row],[CH4 '[g/mmol SCFA']]],X$6,X$2,FALSE),-100)</f>
        <v>0.11529911424529042</v>
      </c>
      <c r="BQ132">
        <f>IF(Table2912[[#This Row],[DMD '[mg/g']]]&gt;Y$10,_xlfn.NORM.DIST(Table2912[[#This Row],[DMD '[mg/g']]],Y$6,Y$2,FALSE),-100)</f>
        <v>-100</v>
      </c>
      <c r="BR132">
        <f>IF(Table2912[[#This Row],[CH4 '[ml/g']]]&lt;Z$10,_xlfn.NORM.DIST(Table2912[[#This Row],[CH4 '[ml/g']]],Z$6,Z$2,FALSE),-100)</f>
        <v>-100</v>
      </c>
      <c r="BS132">
        <f>IF(Table2912[[#This Row],[CH4 '[% GP']]]&lt;AA$10,_xlfn.NORM.DIST(Table2912[[#This Row],[CH4 '[% GP']]],AA$6,AA$2,FALSE),-100)</f>
        <v>-100</v>
      </c>
      <c r="BT132">
        <f>IF(Table2912[[#This Row],[CH4 '[g/g DDM']]]&lt;AB$10,_xlfn.NORM.DIST(Table2912[[#This Row],[CH4 '[g/g DDM']]],AB$6,AB$2,FALSE),-100)</f>
        <v>-100</v>
      </c>
      <c r="CJ132" t="str">
        <v>Lathyrus sativus (IFLA-27)</v>
      </c>
      <c r="CL132" t="str">
        <v>Lathyrus sativus (IFLA-27)</v>
      </c>
    </row>
    <row r="133" spans="1:90" x14ac:dyDescent="0.25">
      <c r="A133" s="12" t="s">
        <v>86</v>
      </c>
      <c r="B133" s="13">
        <v>1047</v>
      </c>
      <c r="C133" s="104" t="s">
        <v>183</v>
      </c>
      <c r="D133" s="104" t="s">
        <v>184</v>
      </c>
      <c r="E133" s="104" t="s">
        <v>185</v>
      </c>
      <c r="F133" s="104" t="s">
        <v>186</v>
      </c>
      <c r="G133" s="32" t="s">
        <v>73</v>
      </c>
      <c r="H133" s="32" t="s">
        <v>74</v>
      </c>
      <c r="I133" s="104" t="s">
        <v>44</v>
      </c>
      <c r="J133" s="100">
        <v>1</v>
      </c>
      <c r="K133" s="100"/>
      <c r="L133" s="100"/>
      <c r="M133" t="s">
        <v>186</v>
      </c>
      <c r="N133" t="s">
        <v>84</v>
      </c>
      <c r="O133" s="18">
        <v>212.06515151515052</v>
      </c>
      <c r="P133" s="18">
        <v>6.435792580028286</v>
      </c>
      <c r="Q133" s="97">
        <v>0.65542017334892799</v>
      </c>
      <c r="R133" s="97">
        <v>0.16878321571912402</v>
      </c>
      <c r="S133" s="97">
        <v>9.1451900207258296E-2</v>
      </c>
      <c r="T133" s="97">
        <v>2.3120948321854452E-2</v>
      </c>
      <c r="U133" s="97">
        <v>1.1105061986051725E-3</v>
      </c>
      <c r="V133" s="97">
        <v>2.0721941434788324E-2</v>
      </c>
      <c r="W133" s="97">
        <v>3.9391314769441785E-2</v>
      </c>
      <c r="X133" s="51">
        <f t="shared" si="8"/>
        <v>5.0461000134963445</v>
      </c>
      <c r="Y133" s="18">
        <v>678.8178775083943</v>
      </c>
      <c r="Z133" s="18">
        <v>32.475653024940407</v>
      </c>
      <c r="AA133" s="18">
        <f t="shared" si="9"/>
        <v>15.313997982653108</v>
      </c>
      <c r="AB133" s="18">
        <f t="shared" si="10"/>
        <v>47.841481641795461</v>
      </c>
      <c r="AC133" s="18">
        <f>$CP$15*Table2912[[#This Row],[DMD '[mg/g']]]+$CS$15*Table2912[[#This Row],[CH4 '[ml/g']]]+$CR$15*Table2912[[#This Row],[CH4 '[% GP']]]+$CQ$15*Table2912[[#This Row],[CH4 '[g/g DDM']]]</f>
        <v>8.6737013028867622</v>
      </c>
      <c r="AD133" s="18">
        <f>_xlfn.RANK.AVG(Table2912[[#This Row],[Index]],Table2912[Index])</f>
        <v>368</v>
      </c>
      <c r="AE13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5.8929675165816962</v>
      </c>
      <c r="AF133" s="18">
        <f>Table2912[[#This Row],[CH4 '[ml/g']]]/Table2912[[#This Row],[APB]]</f>
        <v>5.5109166873158664</v>
      </c>
      <c r="AG133" s="18">
        <f>Table2912[[#This Row],[Propionate '[%']]]/Table2912[[#This Row],[Acetate '[%']]]</f>
        <v>0.25751910390049654</v>
      </c>
      <c r="AH133" s="51"/>
      <c r="AI133" s="18"/>
      <c r="AJ133" s="18"/>
      <c r="AK133" s="18">
        <f>(Table2912[[#This Row],[DMD '[mg/g']]]-$AK$15)/$AK$15*100</f>
        <v>38.452567978740717</v>
      </c>
      <c r="AL133" s="18">
        <f>(Table2912[[#This Row],[CH4 '[ml/g']]]-AL$15)/AL$15*100</f>
        <v>-17.432418010732722</v>
      </c>
      <c r="AM133" s="18">
        <f>(Table2912[[#This Row],[CH4 '[% GP']]]-AM$15)/AM$15*100</f>
        <v>-1.3422951620885692</v>
      </c>
      <c r="AN133" s="18">
        <f>(Table2912[[#This Row],[CH4 '[g/g DDM']]]-AN$15)/AN$15*100</f>
        <v>-6.5879311229646031</v>
      </c>
      <c r="AO133" s="18"/>
      <c r="AP133" s="18"/>
      <c r="AR133">
        <f>_xlfn.NORM.DIST(Table2912[[#This Row],[GP '[ml/g']]],O$6,O$2,FALSE)</f>
        <v>5.3696972945633994E-3</v>
      </c>
      <c r="AS133">
        <f>_xlfn.NORM.DIST(Table2912[[#This Row],[SCFA '[mmol/g']]],P$6,P$2,FALSE)</f>
        <v>0.33154914627916732</v>
      </c>
      <c r="AT133">
        <f>_xlfn.NORM.DIST(Table2912[[#This Row],[Acetate '[%']]],Q$6,Q$2,FALSE)</f>
        <v>11.556190888980844</v>
      </c>
      <c r="AU133">
        <f>_xlfn.NORM.DIST(Table2912[[#This Row],[Propionate '[%']]],R$6,R$2,FALSE)</f>
        <v>16.65019734717686</v>
      </c>
      <c r="AV133">
        <f>_xlfn.NORM.DIST(Table2912[[#This Row],[Butyrate '[%']]],S$6,S$2,FALSE)</f>
        <v>22.947287824342748</v>
      </c>
      <c r="AW133">
        <f>_xlfn.NORM.DIST(Table2912[[#This Row],[Valerate '[%']]],T$6,T$2,FALSE)</f>
        <v>44.147369645896759</v>
      </c>
      <c r="AX133">
        <f>_xlfn.NORM.DIST(Table2912[[#This Row],[Caproate '[%']]],U$6,U$2,FALSE)</f>
        <v>396.56396158812498</v>
      </c>
      <c r="AY133">
        <f>_xlfn.NORM.DIST(Table2912[[#This Row],[Isobutyrate '[%']]],V$6,V$2,FALSE)</f>
        <v>42.765726459464894</v>
      </c>
      <c r="AZ133">
        <f>_xlfn.NORM.DIST(Table2912[[#This Row],[Isovalerate '[%']]],W$6,W$2,FALSE)</f>
        <v>19.283403664632647</v>
      </c>
      <c r="BA133">
        <f>_xlfn.NORM.DIST(Table2912[[#This Row],[CH4 '[g/mmol SCFA']]],X$6,X$2,FALSE)</f>
        <v>0.19444551695980178</v>
      </c>
      <c r="BB133">
        <f>_xlfn.NORM.DIST(Table2912[[#This Row],[DMD '[mg/g']]],Y$6,Y$2,FALSE)</f>
        <v>2.2658507016269981E-3</v>
      </c>
      <c r="BC133">
        <f>_xlfn.NORM.DIST(Table2912[[#This Row],[CH4 '[ml/g']]],Z$6,Z$2,FALSE)</f>
        <v>2.5303621726873199E-2</v>
      </c>
      <c r="BD133">
        <f>_xlfn.NORM.DIST(Table2912[[#This Row],[CH4 '[% GP']]],AA$6,AA$2,FALSE)</f>
        <v>0.13041704133217949</v>
      </c>
      <c r="BE133">
        <f>_xlfn.NORM.DIST(Table2912[[#This Row],[CH4 '[g/g DDM']]],AB$6,AB$2,FALSE)</f>
        <v>2.9635614918238816E-2</v>
      </c>
      <c r="BG133">
        <f>IF(Table2912[[#This Row],[GP '[ml/g']]]&lt;O$10,_xlfn.NORM.DIST(Table2912[[#This Row],[GP '[ml/g']]],O$6,O$2,FALSE),-100)</f>
        <v>-100</v>
      </c>
      <c r="BH133">
        <f>IF(Table2912[[#This Row],[SCFA '[mmol/g']]]&lt;P$10,_xlfn.NORM.DIST(Table2912[[#This Row],[SCFA '[mmol/g']]],P$6,P$2,FALSE),-100)</f>
        <v>-100</v>
      </c>
      <c r="BI133">
        <f>IF(Table2912[[#This Row],[Acetate '[%']]]&lt;Q$10,_xlfn.NORM.DIST(Table2912[[#This Row],[Acetate '[%']]],Q$6,Q$2,FALSE),-100)</f>
        <v>-100</v>
      </c>
      <c r="BJ133">
        <f>IF(Table2912[[#This Row],[Propionate '[%']]]&lt;R$10,_xlfn.NORM.DIST(Table2912[[#This Row],[Propionate '[%']]],R$6,R$2,FALSE),-100)</f>
        <v>-100</v>
      </c>
      <c r="BK133">
        <f>IF(Table2912[[#This Row],[Butyrate '[%']]]&lt;S$10,_xlfn.NORM.DIST(Table2912[[#This Row],[Butyrate '[%']]],S$6,S$2,FALSE),-100)</f>
        <v>-100</v>
      </c>
      <c r="BL133">
        <f>IF(Table2912[[#This Row],[Valerate '[%']]]&lt;T$10,_xlfn.NORM.DIST(Table2912[[#This Row],[Valerate '[%']]],T$6,T$2,FALSE),-100)</f>
        <v>-100</v>
      </c>
      <c r="BM133">
        <f>IF(Table2912[[#This Row],[Caproate '[%']]]&lt;U$10,_xlfn.NORM.DIST(Table2912[[#This Row],[Caproate '[%']]],U$6,U$2,FALSE),-100)</f>
        <v>-100</v>
      </c>
      <c r="BN133">
        <f>IF(Table2912[[#This Row],[Isobutyrate '[%']]]&lt;V$10,_xlfn.NORM.DIST(Table2912[[#This Row],[Isobutyrate '[%']]],V$6,V$2,FALSE),-100)</f>
        <v>-100</v>
      </c>
      <c r="BO133">
        <f>IF(Table2912[[#This Row],[Isovalerate '[%']]]&lt;W$10,_xlfn.NORM.DIST(Table2912[[#This Row],[Isovalerate '[%']]],W$6,W$2,FALSE),-100)</f>
        <v>-100</v>
      </c>
      <c r="BP133">
        <f>IF(Table2912[[#This Row],[CH4 '[g/mmol SCFA']]]&lt;X$10,_xlfn.NORM.DIST(Table2912[[#This Row],[CH4 '[g/mmol SCFA']]],X$6,X$2,FALSE),-100)</f>
        <v>-100</v>
      </c>
      <c r="BQ133">
        <f>IF(Table2912[[#This Row],[DMD '[mg/g']]]&gt;Y$10,_xlfn.NORM.DIST(Table2912[[#This Row],[DMD '[mg/g']]],Y$6,Y$2,FALSE),-100)</f>
        <v>-100</v>
      </c>
      <c r="BR133">
        <f>IF(Table2912[[#This Row],[CH4 '[ml/g']]]&lt;Z$10,_xlfn.NORM.DIST(Table2912[[#This Row],[CH4 '[ml/g']]],Z$6,Z$2,FALSE),-100)</f>
        <v>-100</v>
      </c>
      <c r="BS133">
        <f>IF(Table2912[[#This Row],[CH4 '[% GP']]]&lt;AA$10,_xlfn.NORM.DIST(Table2912[[#This Row],[CH4 '[% GP']]],AA$6,AA$2,FALSE),-100)</f>
        <v>-100</v>
      </c>
      <c r="BT133">
        <f>IF(Table2912[[#This Row],[CH4 '[g/g DDM']]]&lt;AB$10,_xlfn.NORM.DIST(Table2912[[#This Row],[CH4 '[g/g DDM']]],AB$6,AB$2,FALSE),-100)</f>
        <v>-100</v>
      </c>
      <c r="CJ133" t="str">
        <v>Lathyrus sativus (IFLA-3)</v>
      </c>
      <c r="CL133" t="str">
        <v>Lathyrus sativus (IFLA-3)</v>
      </c>
    </row>
    <row r="134" spans="1:90" x14ac:dyDescent="0.25">
      <c r="A134" s="12" t="s">
        <v>70</v>
      </c>
      <c r="B134" s="13">
        <v>1031</v>
      </c>
      <c r="C134" s="96" t="s">
        <v>209</v>
      </c>
      <c r="D134" s="116"/>
      <c r="E134" s="116"/>
      <c r="F134" s="96" t="s">
        <v>210</v>
      </c>
      <c r="G134" t="s">
        <v>73</v>
      </c>
      <c r="H134" t="s">
        <v>74</v>
      </c>
      <c r="I134" t="s">
        <v>75</v>
      </c>
      <c r="J134" s="70">
        <v>2</v>
      </c>
      <c r="K134" s="70"/>
      <c r="L134" s="70"/>
      <c r="M134" t="s">
        <v>210</v>
      </c>
      <c r="N134" t="s">
        <v>81</v>
      </c>
      <c r="O134" s="18">
        <v>244.05890441339494</v>
      </c>
      <c r="P134" s="18">
        <v>7.5783056902068884</v>
      </c>
      <c r="Q134" s="97">
        <v>0.65024534138882806</v>
      </c>
      <c r="R134" s="97">
        <v>0.17572238663849044</v>
      </c>
      <c r="S134" s="97">
        <v>9.6511555044073133E-2</v>
      </c>
      <c r="T134" s="97">
        <v>1.9427680499186896E-2</v>
      </c>
      <c r="U134" s="97">
        <v>1.1417767677539461E-3</v>
      </c>
      <c r="V134" s="97">
        <v>2.0782793698770209E-2</v>
      </c>
      <c r="W134" s="97">
        <v>3.6168465962897203E-2</v>
      </c>
      <c r="X134" s="51">
        <f t="shared" si="8"/>
        <v>4.1843013717776527</v>
      </c>
      <c r="Y134" s="18">
        <v>681.03079555175361</v>
      </c>
      <c r="Z134" s="18">
        <v>31.709914895283074</v>
      </c>
      <c r="AA134" s="18">
        <f t="shared" si="9"/>
        <v>12.992730165489796</v>
      </c>
      <c r="AB134" s="18">
        <f t="shared" si="10"/>
        <v>46.561646114097556</v>
      </c>
      <c r="AC134" s="18">
        <f>$CP$15*Table2912[[#This Row],[DMD '[mg/g']]]+$CS$15*Table2912[[#This Row],[CH4 '[ml/g']]]+$CR$15*Table2912[[#This Row],[CH4 '[% GP']]]+$CQ$15*Table2912[[#This Row],[CH4 '[g/g DDM']]]</f>
        <v>10.167829051316865</v>
      </c>
      <c r="AD134" s="18">
        <f>_xlfn.RANK.AVG(Table2912[[#This Row],[Index]],Table2912[Index])</f>
        <v>357</v>
      </c>
      <c r="AE13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6.9908299999978984</v>
      </c>
      <c r="AF134" s="18">
        <f>Table2912[[#This Row],[CH4 '[ml/g']]]/Table2912[[#This Row],[APB]]</f>
        <v>4.5359299103672388</v>
      </c>
      <c r="AG134" s="18">
        <f>Table2912[[#This Row],[Propionate '[%']]]/Table2912[[#This Row],[Acetate '[%']]]</f>
        <v>0.27024013161428173</v>
      </c>
      <c r="AH134" s="51"/>
      <c r="AI134" s="18"/>
      <c r="AJ134" s="18"/>
      <c r="AK134" s="18">
        <f>(Table2912[[#This Row],[DMD '[mg/g']]]-$AK$15)/$AK$15*100</f>
        <v>38.903917591031679</v>
      </c>
      <c r="AL134" s="18">
        <f>(Table2912[[#This Row],[CH4 '[ml/g']]]-AL$15)/AL$15*100</f>
        <v>-19.37926556924786</v>
      </c>
      <c r="AM134" s="18">
        <f>(Table2912[[#This Row],[CH4 '[% GP']]]-AM$15)/AM$15*100</f>
        <v>-16.296649695428105</v>
      </c>
      <c r="AN134" s="18">
        <f>(Table2912[[#This Row],[CH4 '[g/g DDM']]]-AN$15)/AN$15*100</f>
        <v>-9.0868521505305644</v>
      </c>
      <c r="AO134" s="18"/>
      <c r="AP134" s="18"/>
      <c r="AR134">
        <f>_xlfn.NORM.DIST(Table2912[[#This Row],[GP '[ml/g']]],O$6,O$2,FALSE)</f>
        <v>7.3100362770807314E-3</v>
      </c>
      <c r="AS134">
        <f>_xlfn.NORM.DIST(Table2912[[#This Row],[SCFA '[mmol/g']]],P$6,P$2,FALSE)</f>
        <v>0.22827602544910799</v>
      </c>
      <c r="AT134">
        <f>_xlfn.NORM.DIST(Table2912[[#This Row],[Acetate '[%']]],Q$6,Q$2,FALSE)</f>
        <v>10.149304864806343</v>
      </c>
      <c r="AU134">
        <f>_xlfn.NORM.DIST(Table2912[[#This Row],[Propionate '[%']]],R$6,R$2,FALSE)</f>
        <v>16.571519423465805</v>
      </c>
      <c r="AV134">
        <f>_xlfn.NORM.DIST(Table2912[[#This Row],[Butyrate '[%']]],S$6,S$2,FALSE)</f>
        <v>22.54083002537342</v>
      </c>
      <c r="AW134">
        <f>_xlfn.NORM.DIST(Table2912[[#This Row],[Valerate '[%']]],T$6,T$2,FALSE)</f>
        <v>72.970904471760079</v>
      </c>
      <c r="AX134">
        <f>_xlfn.NORM.DIST(Table2912[[#This Row],[Caproate '[%']]],U$6,U$2,FALSE)</f>
        <v>399.24251731515477</v>
      </c>
      <c r="AY134">
        <f>_xlfn.NORM.DIST(Table2912[[#This Row],[Isobutyrate '[%']]],V$6,V$2,FALSE)</f>
        <v>42.049452080764908</v>
      </c>
      <c r="AZ134">
        <f>_xlfn.NORM.DIST(Table2912[[#This Row],[Isovalerate '[%']]],W$6,W$2,FALSE)</f>
        <v>29.147222082687108</v>
      </c>
      <c r="BA134">
        <f>_xlfn.NORM.DIST(Table2912[[#This Row],[CH4 '[g/mmol SCFA']]],X$6,X$2,FALSE)</f>
        <v>8.7486820241964081E-2</v>
      </c>
      <c r="BB134">
        <f>_xlfn.NORM.DIST(Table2912[[#This Row],[DMD '[mg/g']]],Y$6,Y$2,FALSE)</f>
        <v>2.2917349651058331E-3</v>
      </c>
      <c r="BC134">
        <f>_xlfn.NORM.DIST(Table2912[[#This Row],[CH4 '[ml/g']]],Z$6,Z$2,FALSE)</f>
        <v>2.4063252831239064E-2</v>
      </c>
      <c r="BD134">
        <f>_xlfn.NORM.DIST(Table2912[[#This Row],[CH4 '[% GP']]],AA$6,AA$2,FALSE)</f>
        <v>7.8560341415613702E-2</v>
      </c>
      <c r="BE134">
        <f>_xlfn.NORM.DIST(Table2912[[#This Row],[CH4 '[g/g DDM']]],AB$6,AB$2,FALSE)</f>
        <v>2.8094655510479318E-2</v>
      </c>
      <c r="BG134">
        <f>IF(Table2912[[#This Row],[GP '[ml/g']]]&lt;O$10,_xlfn.NORM.DIST(Table2912[[#This Row],[GP '[ml/g']]],O$6,O$2,FALSE),-100)</f>
        <v>-100</v>
      </c>
      <c r="BH134">
        <f>IF(Table2912[[#This Row],[SCFA '[mmol/g']]]&lt;P$10,_xlfn.NORM.DIST(Table2912[[#This Row],[SCFA '[mmol/g']]],P$6,P$2,FALSE),-100)</f>
        <v>-100</v>
      </c>
      <c r="BI134">
        <f>IF(Table2912[[#This Row],[Acetate '[%']]]&lt;Q$10,_xlfn.NORM.DIST(Table2912[[#This Row],[Acetate '[%']]],Q$6,Q$2,FALSE),-100)</f>
        <v>-100</v>
      </c>
      <c r="BJ134">
        <f>IF(Table2912[[#This Row],[Propionate '[%']]]&lt;R$10,_xlfn.NORM.DIST(Table2912[[#This Row],[Propionate '[%']]],R$6,R$2,FALSE),-100)</f>
        <v>-100</v>
      </c>
      <c r="BK134">
        <f>IF(Table2912[[#This Row],[Butyrate '[%']]]&lt;S$10,_xlfn.NORM.DIST(Table2912[[#This Row],[Butyrate '[%']]],S$6,S$2,FALSE),-100)</f>
        <v>-100</v>
      </c>
      <c r="BL134">
        <f>IF(Table2912[[#This Row],[Valerate '[%']]]&lt;T$10,_xlfn.NORM.DIST(Table2912[[#This Row],[Valerate '[%']]],T$6,T$2,FALSE),-100)</f>
        <v>-100</v>
      </c>
      <c r="BM134">
        <f>IF(Table2912[[#This Row],[Caproate '[%']]]&lt;U$10,_xlfn.NORM.DIST(Table2912[[#This Row],[Caproate '[%']]],U$6,U$2,FALSE),-100)</f>
        <v>-100</v>
      </c>
      <c r="BN134">
        <f>IF(Table2912[[#This Row],[Isobutyrate '[%']]]&lt;V$10,_xlfn.NORM.DIST(Table2912[[#This Row],[Isobutyrate '[%']]],V$6,V$2,FALSE),-100)</f>
        <v>-100</v>
      </c>
      <c r="BO134">
        <f>IF(Table2912[[#This Row],[Isovalerate '[%']]]&lt;W$10,_xlfn.NORM.DIST(Table2912[[#This Row],[Isovalerate '[%']]],W$6,W$2,FALSE),-100)</f>
        <v>-100</v>
      </c>
      <c r="BP134">
        <f>IF(Table2912[[#This Row],[CH4 '[g/mmol SCFA']]]&lt;X$10,_xlfn.NORM.DIST(Table2912[[#This Row],[CH4 '[g/mmol SCFA']]],X$6,X$2,FALSE),-100)</f>
        <v>8.7486820241964081E-2</v>
      </c>
      <c r="BQ134">
        <f>IF(Table2912[[#This Row],[DMD '[mg/g']]]&gt;Y$10,_xlfn.NORM.DIST(Table2912[[#This Row],[DMD '[mg/g']]],Y$6,Y$2,FALSE),-100)</f>
        <v>-100</v>
      </c>
      <c r="BR134">
        <f>IF(Table2912[[#This Row],[CH4 '[ml/g']]]&lt;Z$10,_xlfn.NORM.DIST(Table2912[[#This Row],[CH4 '[ml/g']]],Z$6,Z$2,FALSE),-100)</f>
        <v>-100</v>
      </c>
      <c r="BS134">
        <f>IF(Table2912[[#This Row],[CH4 '[% GP']]]&lt;AA$10,_xlfn.NORM.DIST(Table2912[[#This Row],[CH4 '[% GP']]],AA$6,AA$2,FALSE),-100)</f>
        <v>-100</v>
      </c>
      <c r="BT134">
        <f>IF(Table2912[[#This Row],[CH4 '[g/g DDM']]]&lt;AB$10,_xlfn.NORM.DIST(Table2912[[#This Row],[CH4 '[g/g DDM']]],AB$6,AB$2,FALSE),-100)</f>
        <v>-100</v>
      </c>
      <c r="CJ134" t="str">
        <v>Fumaria</v>
      </c>
      <c r="CL134" t="str">
        <v>Fumaria</v>
      </c>
    </row>
    <row r="135" spans="1:90" x14ac:dyDescent="0.25">
      <c r="A135" s="12" t="s">
        <v>70</v>
      </c>
      <c r="B135" s="13">
        <v>1020</v>
      </c>
      <c r="C135" s="96" t="s">
        <v>155</v>
      </c>
      <c r="D135" s="96"/>
      <c r="E135" s="96"/>
      <c r="F135" s="96" t="s">
        <v>156</v>
      </c>
      <c r="G135" t="s">
        <v>73</v>
      </c>
      <c r="H135" t="s">
        <v>74</v>
      </c>
      <c r="I135" t="s">
        <v>75</v>
      </c>
      <c r="J135" s="100">
        <v>2</v>
      </c>
      <c r="K135" s="100"/>
      <c r="L135" s="100"/>
      <c r="M135" t="s">
        <v>156</v>
      </c>
      <c r="N135" t="s">
        <v>76</v>
      </c>
      <c r="O135" s="18">
        <v>253.49226666666706</v>
      </c>
      <c r="P135" s="18">
        <v>4.2228888888888889</v>
      </c>
      <c r="Q135" s="97">
        <v>0.6709927135986844</v>
      </c>
      <c r="R135" s="97">
        <v>0.16510903421302736</v>
      </c>
      <c r="S135" s="97">
        <v>0.10000463182929666</v>
      </c>
      <c r="T135" s="97">
        <v>1.7931962391730769E-2</v>
      </c>
      <c r="U135" s="97">
        <v>9.9188096174042026E-4</v>
      </c>
      <c r="V135" s="97">
        <v>1.4612972166458606E-2</v>
      </c>
      <c r="W135" s="97">
        <v>3.0356804839061814E-2</v>
      </c>
      <c r="X135" s="51">
        <f t="shared" si="8"/>
        <v>8.833470704447187</v>
      </c>
      <c r="Y135" s="18">
        <v>681.77777777777783</v>
      </c>
      <c r="Z135" s="18">
        <v>37.302765288135532</v>
      </c>
      <c r="AA135" s="18">
        <f t="shared" si="9"/>
        <v>14.715543704213779</v>
      </c>
      <c r="AB135" s="18">
        <f t="shared" si="10"/>
        <v>54.71396473161991</v>
      </c>
      <c r="AC135" s="18">
        <f>$CP$15*Table2912[[#This Row],[DMD '[mg/g']]]+$CS$15*Table2912[[#This Row],[CH4 '[ml/g']]]+$CR$15*Table2912[[#This Row],[CH4 '[% GP']]]+$CQ$15*Table2912[[#This Row],[CH4 '[g/g DDM']]]</f>
        <v>5.7931206491355596</v>
      </c>
      <c r="AD135" s="18">
        <f>_xlfn.RANK.AVG(Table2912[[#This Row],[Index]],Table2912[Index])</f>
        <v>400</v>
      </c>
      <c r="AE13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3.9530732294040183</v>
      </c>
      <c r="AF135" s="18">
        <f>Table2912[[#This Row],[CH4 '[ml/g']]]/Table2912[[#This Row],[APB]]</f>
        <v>9.4363962222271933</v>
      </c>
      <c r="AG135" s="18">
        <f>Table2912[[#This Row],[Propionate '[%']]]/Table2912[[#This Row],[Acetate '[%']]]</f>
        <v>0.24606680648961235</v>
      </c>
      <c r="AH135" s="51"/>
      <c r="AI135" s="18"/>
      <c r="AJ135" s="18"/>
      <c r="AK135" s="18">
        <f>(Table2912[[#This Row],[DMD '[mg/g']]]-$AK$15)/$AK$15*100</f>
        <v>39.056273047265591</v>
      </c>
      <c r="AL135" s="18">
        <f>(Table2912[[#This Row],[CH4 '[ml/g']]]-AL$15)/AL$15*100</f>
        <v>-5.1597475502903807</v>
      </c>
      <c r="AM135" s="18">
        <f>(Table2912[[#This Row],[CH4 '[% GP']]]-AM$15)/AM$15*100</f>
        <v>-5.1977302762979596</v>
      </c>
      <c r="AN135" s="18">
        <f>(Table2912[[#This Row],[CH4 '[g/g DDM']]]-AN$15)/AN$15*100</f>
        <v>6.8308185000006612</v>
      </c>
      <c r="AO135" s="18"/>
      <c r="AP135" s="18"/>
      <c r="AR135">
        <f>_xlfn.NORM.DIST(Table2912[[#This Row],[GP '[ml/g']]],O$6,O$2,FALSE)</f>
        <v>7.4746209858193796E-3</v>
      </c>
      <c r="AS135">
        <f>_xlfn.NORM.DIST(Table2912[[#This Row],[SCFA '[mmol/g']]],P$6,P$2,FALSE)</f>
        <v>5.1621115692776727E-2</v>
      </c>
      <c r="AT135">
        <f>_xlfn.NORM.DIST(Table2912[[#This Row],[Acetate '[%']]],Q$6,Q$2,FALSE)</f>
        <v>13.987535862174965</v>
      </c>
      <c r="AU135">
        <f>_xlfn.NORM.DIST(Table2912[[#This Row],[Propionate '[%']]],R$6,R$2,FALSE)</f>
        <v>16.125310978276296</v>
      </c>
      <c r="AV135">
        <f>_xlfn.NORM.DIST(Table2912[[#This Row],[Butyrate '[%']]],S$6,S$2,FALSE)</f>
        <v>21.183245110667137</v>
      </c>
      <c r="AW135">
        <f>_xlfn.NORM.DIST(Table2912[[#This Row],[Valerate '[%']]],T$6,T$2,FALSE)</f>
        <v>77.286847056268243</v>
      </c>
      <c r="AX135">
        <f>_xlfn.NORM.DIST(Table2912[[#This Row],[Caproate '[%']]],U$6,U$2,FALSE)</f>
        <v>383.0061231332179</v>
      </c>
      <c r="AY135">
        <f>_xlfn.NORM.DIST(Table2912[[#This Row],[Isobutyrate '[%']]],V$6,V$2,FALSE)</f>
        <v>89.022340102084257</v>
      </c>
      <c r="AZ135">
        <f>_xlfn.NORM.DIST(Table2912[[#This Row],[Isovalerate '[%']]],W$6,W$2,FALSE)</f>
        <v>43.679473357077377</v>
      </c>
      <c r="BA135">
        <f>_xlfn.NORM.DIST(Table2912[[#This Row],[CH4 '[g/mmol SCFA']]],X$6,X$2,FALSE)</f>
        <v>4.8772578132985828E-2</v>
      </c>
      <c r="BB135">
        <f>_xlfn.NORM.DIST(Table2912[[#This Row],[DMD '[mg/g']]],Y$6,Y$2,FALSE)</f>
        <v>2.3004030435327658E-3</v>
      </c>
      <c r="BC135">
        <f>_xlfn.NORM.DIST(Table2912[[#This Row],[CH4 '[ml/g']]],Z$6,Z$2,FALSE)</f>
        <v>3.1581543581747334E-2</v>
      </c>
      <c r="BD135">
        <f>_xlfn.NORM.DIST(Table2912[[#This Row],[CH4 '[% GP']]],AA$6,AA$2,FALSE)</f>
        <v>0.12137000995561265</v>
      </c>
      <c r="BE135">
        <f>_xlfn.NORM.DIST(Table2912[[#This Row],[CH4 '[g/g DDM']]],AB$6,AB$2,FALSE)</f>
        <v>3.264681651327684E-2</v>
      </c>
      <c r="BG135">
        <f>IF(Table2912[[#This Row],[GP '[ml/g']]]&lt;O$10,_xlfn.NORM.DIST(Table2912[[#This Row],[GP '[ml/g']]],O$6,O$2,FALSE),-100)</f>
        <v>-100</v>
      </c>
      <c r="BH135">
        <f>IF(Table2912[[#This Row],[SCFA '[mmol/g']]]&lt;P$10,_xlfn.NORM.DIST(Table2912[[#This Row],[SCFA '[mmol/g']]],P$6,P$2,FALSE),-100)</f>
        <v>5.1621115692776727E-2</v>
      </c>
      <c r="BI135">
        <f>IF(Table2912[[#This Row],[Acetate '[%']]]&lt;Q$10,_xlfn.NORM.DIST(Table2912[[#This Row],[Acetate '[%']]],Q$6,Q$2,FALSE),-100)</f>
        <v>-100</v>
      </c>
      <c r="BJ135">
        <f>IF(Table2912[[#This Row],[Propionate '[%']]]&lt;R$10,_xlfn.NORM.DIST(Table2912[[#This Row],[Propionate '[%']]],R$6,R$2,FALSE),-100)</f>
        <v>-100</v>
      </c>
      <c r="BK135">
        <f>IF(Table2912[[#This Row],[Butyrate '[%']]]&lt;S$10,_xlfn.NORM.DIST(Table2912[[#This Row],[Butyrate '[%']]],S$6,S$2,FALSE),-100)</f>
        <v>-100</v>
      </c>
      <c r="BL135">
        <f>IF(Table2912[[#This Row],[Valerate '[%']]]&lt;T$10,_xlfn.NORM.DIST(Table2912[[#This Row],[Valerate '[%']]],T$6,T$2,FALSE),-100)</f>
        <v>-100</v>
      </c>
      <c r="BM135">
        <f>IF(Table2912[[#This Row],[Caproate '[%']]]&lt;U$10,_xlfn.NORM.DIST(Table2912[[#This Row],[Caproate '[%']]],U$6,U$2,FALSE),-100)</f>
        <v>-100</v>
      </c>
      <c r="BN135">
        <f>IF(Table2912[[#This Row],[Isobutyrate '[%']]]&lt;V$10,_xlfn.NORM.DIST(Table2912[[#This Row],[Isobutyrate '[%']]],V$6,V$2,FALSE),-100)</f>
        <v>-100</v>
      </c>
      <c r="BO135">
        <f>IF(Table2912[[#This Row],[Isovalerate '[%']]]&lt;W$10,_xlfn.NORM.DIST(Table2912[[#This Row],[Isovalerate '[%']]],W$6,W$2,FALSE),-100)</f>
        <v>-100</v>
      </c>
      <c r="BP135">
        <f>IF(Table2912[[#This Row],[CH4 '[g/mmol SCFA']]]&lt;X$10,_xlfn.NORM.DIST(Table2912[[#This Row],[CH4 '[g/mmol SCFA']]],X$6,X$2,FALSE),-100)</f>
        <v>-100</v>
      </c>
      <c r="BQ135">
        <f>IF(Table2912[[#This Row],[DMD '[mg/g']]]&gt;Y$10,_xlfn.NORM.DIST(Table2912[[#This Row],[DMD '[mg/g']]],Y$6,Y$2,FALSE),-100)</f>
        <v>-100</v>
      </c>
      <c r="BR135">
        <f>IF(Table2912[[#This Row],[CH4 '[ml/g']]]&lt;Z$10,_xlfn.NORM.DIST(Table2912[[#This Row],[CH4 '[ml/g']]],Z$6,Z$2,FALSE),-100)</f>
        <v>-100</v>
      </c>
      <c r="BS135">
        <f>IF(Table2912[[#This Row],[CH4 '[% GP']]]&lt;AA$10,_xlfn.NORM.DIST(Table2912[[#This Row],[CH4 '[% GP']]],AA$6,AA$2,FALSE),-100)</f>
        <v>-100</v>
      </c>
      <c r="BT135">
        <f>IF(Table2912[[#This Row],[CH4 '[g/g DDM']]]&lt;AB$10,_xlfn.NORM.DIST(Table2912[[#This Row],[CH4 '[g/g DDM']]],AB$6,AB$2,FALSE),-100)</f>
        <v>-100</v>
      </c>
      <c r="CJ135" t="str">
        <v>Stylosanthes guianensis</v>
      </c>
      <c r="CL135" t="str">
        <v>Stylosanthes guianensis</v>
      </c>
    </row>
    <row r="136" spans="1:90" x14ac:dyDescent="0.25">
      <c r="A136" s="12" t="s">
        <v>70</v>
      </c>
      <c r="B136" s="13">
        <v>1023</v>
      </c>
      <c r="C136" s="96" t="s">
        <v>181</v>
      </c>
      <c r="D136" s="96"/>
      <c r="E136" s="96"/>
      <c r="F136" s="96" t="s">
        <v>182</v>
      </c>
      <c r="G136" t="s">
        <v>73</v>
      </c>
      <c r="H136" t="s">
        <v>74</v>
      </c>
      <c r="I136" t="s">
        <v>75</v>
      </c>
      <c r="J136" s="100">
        <v>1</v>
      </c>
      <c r="K136" s="100"/>
      <c r="L136" s="100"/>
      <c r="M136" t="s">
        <v>182</v>
      </c>
      <c r="N136" t="s">
        <v>80</v>
      </c>
      <c r="O136" s="18">
        <v>238.23856730982459</v>
      </c>
      <c r="P136" s="18">
        <v>6.3740142070356658</v>
      </c>
      <c r="Q136" s="97">
        <v>0.65819129896088047</v>
      </c>
      <c r="R136" s="97">
        <v>0.16578491178473209</v>
      </c>
      <c r="S136" s="97">
        <v>0.10549918854528795</v>
      </c>
      <c r="T136" s="97">
        <v>2.6005882435941992E-2</v>
      </c>
      <c r="U136" s="97">
        <v>1.7850830732382057E-3</v>
      </c>
      <c r="V136" s="97">
        <v>1.497435091769991E-2</v>
      </c>
      <c r="W136" s="97">
        <v>2.7759284282219202E-2</v>
      </c>
      <c r="X136" s="51">
        <f t="shared" si="8"/>
        <v>4.9400539476317551</v>
      </c>
      <c r="Y136" s="18">
        <v>682.50073926221614</v>
      </c>
      <c r="Z136" s="18">
        <v>31.487974045727434</v>
      </c>
      <c r="AA136" s="18">
        <f t="shared" si="9"/>
        <v>13.216992698238458</v>
      </c>
      <c r="AB136" s="18">
        <f t="shared" si="10"/>
        <v>46.136175734792545</v>
      </c>
      <c r="AC136" s="18">
        <f>$CP$15*Table2912[[#This Row],[DMD '[mg/g']]]+$CS$15*Table2912[[#This Row],[CH4 '[ml/g']]]+$CR$15*Table2912[[#This Row],[CH4 '[% GP']]]+$CQ$15*Table2912[[#This Row],[CH4 '[g/g DDM']]]</f>
        <v>10.423773325385817</v>
      </c>
      <c r="AD136" s="18">
        <f>_xlfn.RANK.AVG(Table2912[[#This Row],[Index]],Table2912[Index])</f>
        <v>353</v>
      </c>
      <c r="AE13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5.9244894001703479</v>
      </c>
      <c r="AF136" s="18">
        <f>Table2912[[#This Row],[CH4 '[ml/g']]]/Table2912[[#This Row],[APB]]</f>
        <v>5.3148840210300747</v>
      </c>
      <c r="AG136" s="18">
        <f>Table2912[[#This Row],[Propionate '[%']]]/Table2912[[#This Row],[Acetate '[%']]]</f>
        <v>0.25187952506583577</v>
      </c>
      <c r="AH136" s="51"/>
      <c r="AI136" s="18"/>
      <c r="AJ136" s="18"/>
      <c r="AK136" s="18">
        <f>(Table2912[[#This Row],[DMD '[mg/g']]]-$AK$15)/$AK$15*100</f>
        <v>39.203729202129409</v>
      </c>
      <c r="AL136" s="18">
        <f>(Table2912[[#This Row],[CH4 '[ml/g']]]-AL$15)/AL$15*100</f>
        <v>-19.943538111462171</v>
      </c>
      <c r="AM136" s="18">
        <f>(Table2912[[#This Row],[CH4 '[% GP']]]-AM$15)/AM$15*100</f>
        <v>-14.851878265577955</v>
      </c>
      <c r="AN136" s="18">
        <f>(Table2912[[#This Row],[CH4 '[g/g DDM']]]-AN$15)/AN$15*100</f>
        <v>-9.9175970817673242</v>
      </c>
      <c r="AO136" s="18"/>
      <c r="AP136" s="18"/>
      <c r="AR136">
        <f>_xlfn.NORM.DIST(Table2912[[#This Row],[GP '[ml/g']]],O$6,O$2,FALSE)</f>
        <v>7.0986586571359185E-3</v>
      </c>
      <c r="AS136">
        <f>_xlfn.NORM.DIST(Table2912[[#This Row],[SCFA '[mmol/g']]],P$6,P$2,FALSE)</f>
        <v>0.32966551895431168</v>
      </c>
      <c r="AT136">
        <f>_xlfn.NORM.DIST(Table2912[[#This Row],[Acetate '[%']]],Q$6,Q$2,FALSE)</f>
        <v>12.220652409388691</v>
      </c>
      <c r="AU136">
        <f>_xlfn.NORM.DIST(Table2912[[#This Row],[Propionate '[%']]],R$6,R$2,FALSE)</f>
        <v>16.249749080388007</v>
      </c>
      <c r="AV136">
        <f>_xlfn.NORM.DIST(Table2912[[#This Row],[Butyrate '[%']]],S$6,S$2,FALSE)</f>
        <v>17.693826074640704</v>
      </c>
      <c r="AW136">
        <f>_xlfn.NORM.DIST(Table2912[[#This Row],[Valerate '[%']]],T$6,T$2,FALSE)</f>
        <v>20.860686667538062</v>
      </c>
      <c r="AX136">
        <f>_xlfn.NORM.DIST(Table2912[[#This Row],[Caproate '[%']]],U$6,U$2,FALSE)</f>
        <v>365.88431725118278</v>
      </c>
      <c r="AY136">
        <f>_xlfn.NORM.DIST(Table2912[[#This Row],[Isobutyrate '[%']]],V$6,V$2,FALSE)</f>
        <v>89.887453521091942</v>
      </c>
      <c r="AZ136">
        <f>_xlfn.NORM.DIST(Table2912[[#This Row],[Isovalerate '[%']]],W$6,W$2,FALSE)</f>
        <v>45.424462707737824</v>
      </c>
      <c r="BA136">
        <f>_xlfn.NORM.DIST(Table2912[[#This Row],[CH4 '[g/mmol SCFA']]],X$6,X$2,FALSE)</f>
        <v>0.18021401977377277</v>
      </c>
      <c r="BB136">
        <f>_xlfn.NORM.DIST(Table2912[[#This Row],[DMD '[mg/g']]],Y$6,Y$2,FALSE)</f>
        <v>2.3087580565370898E-3</v>
      </c>
      <c r="BC136">
        <f>_xlfn.NORM.DIST(Table2912[[#This Row],[CH4 '[ml/g']]],Z$6,Z$2,FALSE)</f>
        <v>2.3696917743807742E-2</v>
      </c>
      <c r="BD136">
        <f>_xlfn.NORM.DIST(Table2912[[#This Row],[CH4 '[% GP']]],AA$6,AA$2,FALSE)</f>
        <v>8.4745283364011256E-2</v>
      </c>
      <c r="BE136">
        <f>_xlfn.NORM.DIST(Table2912[[#This Row],[CH4 '[g/g DDM']]],AB$6,AB$2,FALSE)</f>
        <v>2.7532517206724727E-2</v>
      </c>
      <c r="BG136">
        <f>IF(Table2912[[#This Row],[GP '[ml/g']]]&lt;O$10,_xlfn.NORM.DIST(Table2912[[#This Row],[GP '[ml/g']]],O$6,O$2,FALSE),-100)</f>
        <v>-100</v>
      </c>
      <c r="BH136">
        <f>IF(Table2912[[#This Row],[SCFA '[mmol/g']]]&lt;P$10,_xlfn.NORM.DIST(Table2912[[#This Row],[SCFA '[mmol/g']]],P$6,P$2,FALSE),-100)</f>
        <v>-100</v>
      </c>
      <c r="BI136">
        <f>IF(Table2912[[#This Row],[Acetate '[%']]]&lt;Q$10,_xlfn.NORM.DIST(Table2912[[#This Row],[Acetate '[%']]],Q$6,Q$2,FALSE),-100)</f>
        <v>-100</v>
      </c>
      <c r="BJ136">
        <f>IF(Table2912[[#This Row],[Propionate '[%']]]&lt;R$10,_xlfn.NORM.DIST(Table2912[[#This Row],[Propionate '[%']]],R$6,R$2,FALSE),-100)</f>
        <v>-100</v>
      </c>
      <c r="BK136">
        <f>IF(Table2912[[#This Row],[Butyrate '[%']]]&lt;S$10,_xlfn.NORM.DIST(Table2912[[#This Row],[Butyrate '[%']]],S$6,S$2,FALSE),-100)</f>
        <v>-100</v>
      </c>
      <c r="BL136">
        <f>IF(Table2912[[#This Row],[Valerate '[%']]]&lt;T$10,_xlfn.NORM.DIST(Table2912[[#This Row],[Valerate '[%']]],T$6,T$2,FALSE),-100)</f>
        <v>-100</v>
      </c>
      <c r="BM136">
        <f>IF(Table2912[[#This Row],[Caproate '[%']]]&lt;U$10,_xlfn.NORM.DIST(Table2912[[#This Row],[Caproate '[%']]],U$6,U$2,FALSE),-100)</f>
        <v>-100</v>
      </c>
      <c r="BN136">
        <f>IF(Table2912[[#This Row],[Isobutyrate '[%']]]&lt;V$10,_xlfn.NORM.DIST(Table2912[[#This Row],[Isobutyrate '[%']]],V$6,V$2,FALSE),-100)</f>
        <v>-100</v>
      </c>
      <c r="BO136">
        <f>IF(Table2912[[#This Row],[Isovalerate '[%']]]&lt;W$10,_xlfn.NORM.DIST(Table2912[[#This Row],[Isovalerate '[%']]],W$6,W$2,FALSE),-100)</f>
        <v>-100</v>
      </c>
      <c r="BP136">
        <f>IF(Table2912[[#This Row],[CH4 '[g/mmol SCFA']]]&lt;X$10,_xlfn.NORM.DIST(Table2912[[#This Row],[CH4 '[g/mmol SCFA']]],X$6,X$2,FALSE),-100)</f>
        <v>0.18021401977377277</v>
      </c>
      <c r="BQ136">
        <f>IF(Table2912[[#This Row],[DMD '[mg/g']]]&gt;Y$10,_xlfn.NORM.DIST(Table2912[[#This Row],[DMD '[mg/g']]],Y$6,Y$2,FALSE),-100)</f>
        <v>-100</v>
      </c>
      <c r="BR136">
        <f>IF(Table2912[[#This Row],[CH4 '[ml/g']]]&lt;Z$10,_xlfn.NORM.DIST(Table2912[[#This Row],[CH4 '[ml/g']]],Z$6,Z$2,FALSE),-100)</f>
        <v>-100</v>
      </c>
      <c r="BS136">
        <f>IF(Table2912[[#This Row],[CH4 '[% GP']]]&lt;AA$10,_xlfn.NORM.DIST(Table2912[[#This Row],[CH4 '[% GP']]],AA$6,AA$2,FALSE),-100)</f>
        <v>-100</v>
      </c>
      <c r="BT136">
        <f>IF(Table2912[[#This Row],[CH4 '[g/g DDM']]]&lt;AB$10,_xlfn.NORM.DIST(Table2912[[#This Row],[CH4 '[g/g DDM']]],AB$6,AB$2,FALSE),-100)</f>
        <v>-100</v>
      </c>
      <c r="CJ136" t="str">
        <v>Trifolium pratense-563</v>
      </c>
      <c r="CL136" t="str">
        <v>Trifolium pratense-563</v>
      </c>
    </row>
    <row r="137" spans="1:90" x14ac:dyDescent="0.25">
      <c r="A137" s="12" t="s">
        <v>200</v>
      </c>
      <c r="B137" s="13">
        <v>1147</v>
      </c>
      <c r="C137" s="117" t="s">
        <v>211</v>
      </c>
      <c r="D137" s="117" t="s">
        <v>212</v>
      </c>
      <c r="E137" s="117" t="s">
        <v>213</v>
      </c>
      <c r="F137" s="117" t="s">
        <v>214</v>
      </c>
      <c r="G137" t="s">
        <v>73</v>
      </c>
      <c r="H137" t="s">
        <v>74</v>
      </c>
      <c r="I137" t="s">
        <v>75</v>
      </c>
      <c r="J137" s="70">
        <v>2</v>
      </c>
      <c r="K137" s="70"/>
      <c r="L137" s="70"/>
      <c r="M137" t="s">
        <v>215</v>
      </c>
      <c r="N137" t="s">
        <v>171</v>
      </c>
      <c r="O137" s="18">
        <v>299.57832892416053</v>
      </c>
      <c r="P137" s="18">
        <v>6.805169753086421</v>
      </c>
      <c r="Q137" s="97">
        <v>0.70628247241075148</v>
      </c>
      <c r="R137" s="97">
        <v>0.17263287165386992</v>
      </c>
      <c r="S137" s="97">
        <v>6.7616818139872914E-2</v>
      </c>
      <c r="T137" s="97">
        <v>1.461866019015812E-2</v>
      </c>
      <c r="U137" s="97">
        <v>5.8938926160434523E-4</v>
      </c>
      <c r="V137" s="97">
        <v>1.347926979160894E-2</v>
      </c>
      <c r="W137" s="97">
        <v>2.4780518552134159E-2</v>
      </c>
      <c r="X137" s="51">
        <f t="shared" si="8"/>
        <v>6.4216151914794839</v>
      </c>
      <c r="Y137" s="18">
        <v>683.8624338624337</v>
      </c>
      <c r="Z137" s="18">
        <v>43.700181467016449</v>
      </c>
      <c r="AA137" s="18">
        <f t="shared" si="9"/>
        <v>14.587230532980017</v>
      </c>
      <c r="AB137" s="18">
        <f t="shared" si="10"/>
        <v>63.902006168403176</v>
      </c>
      <c r="AC137" s="18">
        <f>$CP$15*Table2912[[#This Row],[DMD '[mg/g']]]+$CS$15*Table2912[[#This Row],[CH4 '[ml/g']]]+$CR$15*Table2912[[#This Row],[CH4 '[% GP']]]+$CQ$15*Table2912[[#This Row],[CH4 '[g/g DDM']]]</f>
        <v>1.6067294359348097</v>
      </c>
      <c r="AD137" s="18">
        <f>_xlfn.RANK.AVG(Table2912[[#This Row],[Index]],Table2912[Index])</f>
        <v>436</v>
      </c>
      <c r="AE13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6.4413120405575146</v>
      </c>
      <c r="AF137" s="18">
        <f>Table2912[[#This Row],[CH4 '[ml/g']]]/Table2912[[#This Row],[APB]]</f>
        <v>6.7843602657128947</v>
      </c>
      <c r="AG137" s="18">
        <f>Table2912[[#This Row],[Propionate '[%']]]/Table2912[[#This Row],[Acetate '[%']]]</f>
        <v>0.24442468615230215</v>
      </c>
      <c r="AH137" s="51"/>
      <c r="AI137" s="18"/>
      <c r="AJ137" s="18"/>
      <c r="AK137" s="18">
        <f>(Table2912[[#This Row],[DMD '[mg/g']]]-$AK$15)/$AK$15*100</f>
        <v>39.481462185378035</v>
      </c>
      <c r="AL137" s="18">
        <f>(Table2912[[#This Row],[CH4 '[ml/g']]]-AL$15)/AL$15*100</f>
        <v>11.105335232296234</v>
      </c>
      <c r="AM137" s="18">
        <f>(Table2912[[#This Row],[CH4 '[% GP']]]-AM$15)/AM$15*100</f>
        <v>-6.0243650315549733</v>
      </c>
      <c r="AN137" s="18">
        <f>(Table2912[[#This Row],[CH4 '[g/g DDM']]]-AN$15)/AN$15*100</f>
        <v>24.770772073429399</v>
      </c>
      <c r="AO137" s="18"/>
      <c r="AP137" s="18"/>
      <c r="AR137">
        <f>_xlfn.NORM.DIST(Table2912[[#This Row],[GP '[ml/g']]],O$6,O$2,FALSE)</f>
        <v>5.3151348492686355E-3</v>
      </c>
      <c r="AS137">
        <f>_xlfn.NORM.DIST(Table2912[[#This Row],[SCFA '[mmol/g']]],P$6,P$2,FALSE)</f>
        <v>0.32455219933702772</v>
      </c>
      <c r="AT137">
        <f>_xlfn.NORM.DIST(Table2912[[#This Row],[Acetate '[%']]],Q$6,Q$2,FALSE)</f>
        <v>7.1092869402142922</v>
      </c>
      <c r="AU137">
        <f>_xlfn.NORM.DIST(Table2912[[#This Row],[Propionate '[%']]],R$6,R$2,FALSE)</f>
        <v>16.782371190238603</v>
      </c>
      <c r="AV137">
        <f>_xlfn.NORM.DIST(Table2912[[#This Row],[Butyrate '[%']]],S$6,S$2,FALSE)</f>
        <v>7.923471895327781</v>
      </c>
      <c r="AW137">
        <f>_xlfn.NORM.DIST(Table2912[[#This Row],[Valerate '[%']]],T$6,T$2,FALSE)</f>
        <v>65.037939003497399</v>
      </c>
      <c r="AX137">
        <f>_xlfn.NORM.DIST(Table2912[[#This Row],[Caproate '[%']]],U$6,U$2,FALSE)</f>
        <v>305.18438280249262</v>
      </c>
      <c r="AY137">
        <f>_xlfn.NORM.DIST(Table2912[[#This Row],[Isobutyrate '[%']]],V$6,V$2,FALSE)</f>
        <v>82.703670043815393</v>
      </c>
      <c r="AZ137">
        <f>_xlfn.NORM.DIST(Table2912[[#This Row],[Isovalerate '[%']]],W$6,W$2,FALSE)</f>
        <v>42.660480930538007</v>
      </c>
      <c r="BA137">
        <f>_xlfn.NORM.DIST(Table2912[[#This Row],[CH4 '[g/mmol SCFA']]],X$6,X$2,FALSE)</f>
        <v>0.29581748560744753</v>
      </c>
      <c r="BB137">
        <f>_xlfn.NORM.DIST(Table2912[[#This Row],[DMD '[mg/g']]],Y$6,Y$2,FALSE)</f>
        <v>2.3244009042011717E-3</v>
      </c>
      <c r="BC137">
        <f>_xlfn.NORM.DIST(Table2912[[#This Row],[CH4 '[ml/g']]],Z$6,Z$2,FALSE)</f>
        <v>3.2885569286670087E-2</v>
      </c>
      <c r="BD137">
        <f>_xlfn.NORM.DIST(Table2912[[#This Row],[CH4 '[% GP']]],AA$6,AA$2,FALSE)</f>
        <v>0.11887973726575798</v>
      </c>
      <c r="BE137">
        <f>_xlfn.NORM.DIST(Table2912[[#This Row],[CH4 '[g/g DDM']]],AB$6,AB$2,FALSE)</f>
        <v>2.2528683480701854E-2</v>
      </c>
      <c r="BG137">
        <f>IF(Table2912[[#This Row],[GP '[ml/g']]]&lt;O$10,_xlfn.NORM.DIST(Table2912[[#This Row],[GP '[ml/g']]],O$6,O$2,FALSE),-100)</f>
        <v>-100</v>
      </c>
      <c r="BH137">
        <f>IF(Table2912[[#This Row],[SCFA '[mmol/g']]]&lt;P$10,_xlfn.NORM.DIST(Table2912[[#This Row],[SCFA '[mmol/g']]],P$6,P$2,FALSE),-100)</f>
        <v>-100</v>
      </c>
      <c r="BI137">
        <f>IF(Table2912[[#This Row],[Acetate '[%']]]&lt;Q$10,_xlfn.NORM.DIST(Table2912[[#This Row],[Acetate '[%']]],Q$6,Q$2,FALSE),-100)</f>
        <v>-100</v>
      </c>
      <c r="BJ137">
        <f>IF(Table2912[[#This Row],[Propionate '[%']]]&lt;R$10,_xlfn.NORM.DIST(Table2912[[#This Row],[Propionate '[%']]],R$6,R$2,FALSE),-100)</f>
        <v>-100</v>
      </c>
      <c r="BK137">
        <f>IF(Table2912[[#This Row],[Butyrate '[%']]]&lt;S$10,_xlfn.NORM.DIST(Table2912[[#This Row],[Butyrate '[%']]],S$6,S$2,FALSE),-100)</f>
        <v>7.923471895327781</v>
      </c>
      <c r="BL137">
        <f>IF(Table2912[[#This Row],[Valerate '[%']]]&lt;T$10,_xlfn.NORM.DIST(Table2912[[#This Row],[Valerate '[%']]],T$6,T$2,FALSE),-100)</f>
        <v>-100</v>
      </c>
      <c r="BM137">
        <f>IF(Table2912[[#This Row],[Caproate '[%']]]&lt;U$10,_xlfn.NORM.DIST(Table2912[[#This Row],[Caproate '[%']]],U$6,U$2,FALSE),-100)</f>
        <v>-100</v>
      </c>
      <c r="BN137">
        <f>IF(Table2912[[#This Row],[Isobutyrate '[%']]]&lt;V$10,_xlfn.NORM.DIST(Table2912[[#This Row],[Isobutyrate '[%']]],V$6,V$2,FALSE),-100)</f>
        <v>-100</v>
      </c>
      <c r="BO137">
        <f>IF(Table2912[[#This Row],[Isovalerate '[%']]]&lt;W$10,_xlfn.NORM.DIST(Table2912[[#This Row],[Isovalerate '[%']]],W$6,W$2,FALSE),-100)</f>
        <v>-100</v>
      </c>
      <c r="BP137">
        <f>IF(Table2912[[#This Row],[CH4 '[g/mmol SCFA']]]&lt;X$10,_xlfn.NORM.DIST(Table2912[[#This Row],[CH4 '[g/mmol SCFA']]],X$6,X$2,FALSE),-100)</f>
        <v>-100</v>
      </c>
      <c r="BQ137">
        <f>IF(Table2912[[#This Row],[DMD '[mg/g']]]&gt;Y$10,_xlfn.NORM.DIST(Table2912[[#This Row],[DMD '[mg/g']]],Y$6,Y$2,FALSE),-100)</f>
        <v>-100</v>
      </c>
      <c r="BR137">
        <f>IF(Table2912[[#This Row],[CH4 '[ml/g']]]&lt;Z$10,_xlfn.NORM.DIST(Table2912[[#This Row],[CH4 '[ml/g']]],Z$6,Z$2,FALSE),-100)</f>
        <v>-100</v>
      </c>
      <c r="BS137">
        <f>IF(Table2912[[#This Row],[CH4 '[% GP']]]&lt;AA$10,_xlfn.NORM.DIST(Table2912[[#This Row],[CH4 '[% GP']]],AA$6,AA$2,FALSE),-100)</f>
        <v>-100</v>
      </c>
      <c r="BT137">
        <f>IF(Table2912[[#This Row],[CH4 '[g/g DDM']]]&lt;AB$10,_xlfn.NORM.DIST(Table2912[[#This Row],[CH4 '[g/g DDM']]],AB$6,AB$2,FALSE),-100)</f>
        <v>-100</v>
      </c>
      <c r="CJ137" t="str">
        <v xml:space="preserve">Trifolium repens  </v>
      </c>
      <c r="CL137" t="str">
        <v xml:space="preserve">Trifolium repens  </v>
      </c>
    </row>
    <row r="138" spans="1:90" x14ac:dyDescent="0.25">
      <c r="A138" s="12" t="s">
        <v>86</v>
      </c>
      <c r="B138" s="13">
        <v>1075</v>
      </c>
      <c r="C138" s="104" t="s">
        <v>192</v>
      </c>
      <c r="D138" s="104" t="s">
        <v>193</v>
      </c>
      <c r="E138" s="104" t="s">
        <v>194</v>
      </c>
      <c r="F138" s="104" t="s">
        <v>195</v>
      </c>
      <c r="G138" s="32" t="s">
        <v>73</v>
      </c>
      <c r="H138" s="32" t="s">
        <v>74</v>
      </c>
      <c r="I138" s="105" t="s">
        <v>44</v>
      </c>
      <c r="J138" s="107">
        <v>1</v>
      </c>
      <c r="K138" s="107"/>
      <c r="L138" s="107"/>
      <c r="M138" t="s">
        <v>195</v>
      </c>
      <c r="N138" t="s">
        <v>145</v>
      </c>
      <c r="O138" s="18">
        <v>221.66419510061212</v>
      </c>
      <c r="P138" s="18">
        <v>4.9860884093580129</v>
      </c>
      <c r="Q138" s="97">
        <v>0.61705798928499611</v>
      </c>
      <c r="R138" s="97">
        <v>0.18512237250176788</v>
      </c>
      <c r="S138" s="97">
        <v>9.3001911925843644E-2</v>
      </c>
      <c r="T138" s="97">
        <v>2.6396533906122982E-2</v>
      </c>
      <c r="U138" s="97">
        <v>2.548170903992353E-3</v>
      </c>
      <c r="V138" s="97">
        <v>2.4867603699445753E-2</v>
      </c>
      <c r="W138" s="97">
        <v>5.1005417777831172E-2</v>
      </c>
      <c r="X138" s="51">
        <f t="shared" si="8"/>
        <v>7.0887885462394227</v>
      </c>
      <c r="Y138" s="18">
        <v>685.69772091861785</v>
      </c>
      <c r="Z138" s="18">
        <v>35.345326406794221</v>
      </c>
      <c r="AA138" s="18">
        <f t="shared" si="9"/>
        <v>15.945437823529046</v>
      </c>
      <c r="AB138" s="18">
        <f t="shared" si="10"/>
        <v>51.546512885361025</v>
      </c>
      <c r="AC138" s="18">
        <f>$CP$15*Table2912[[#This Row],[DMD '[mg/g']]]+$CS$15*Table2912[[#This Row],[CH4 '[ml/g']]]+$CR$15*Table2912[[#This Row],[CH4 '[% GP']]]+$CQ$15*Table2912[[#This Row],[CH4 '[g/g DDM']]]</f>
        <v>7.274608525682126</v>
      </c>
      <c r="AD138" s="18">
        <f>_xlfn.RANK.AVG(Table2912[[#This Row],[Index]],Table2912[Index])</f>
        <v>382</v>
      </c>
      <c r="AE13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4.4634579592211852</v>
      </c>
      <c r="AF138" s="18">
        <f>Table2912[[#This Row],[CH4 '[ml/g']]]/Table2912[[#This Row],[APB]]</f>
        <v>7.9188214002942052</v>
      </c>
      <c r="AG138" s="18">
        <f>Table2912[[#This Row],[Propionate '[%']]]/Table2912[[#This Row],[Acetate '[%']]]</f>
        <v>0.30000806361210042</v>
      </c>
      <c r="AH138" s="51"/>
      <c r="AI138" s="18"/>
      <c r="AJ138" s="18"/>
      <c r="AK138" s="18">
        <f>(Table2912[[#This Row],[DMD '[mg/g']]]-$AK$15)/$AK$15*100</f>
        <v>39.855789695489463</v>
      </c>
      <c r="AL138" s="18">
        <f>(Table2912[[#This Row],[CH4 '[ml/g']]]-AL$15)/AL$15*100</f>
        <v>-10.136429472590999</v>
      </c>
      <c r="AM138" s="18">
        <f>(Table2912[[#This Row],[CH4 '[% GP']]]-AM$15)/AM$15*100</f>
        <v>2.7256435639450998</v>
      </c>
      <c r="AN138" s="18">
        <f>(Table2912[[#This Row],[CH4 '[g/g DDM']]]-AN$15)/AN$15*100</f>
        <v>0.64626442948162499</v>
      </c>
      <c r="AO138" s="18"/>
      <c r="AP138" s="18"/>
      <c r="AR138">
        <f>_xlfn.NORM.DIST(Table2912[[#This Row],[GP '[ml/g']]],O$6,O$2,FALSE)</f>
        <v>6.1172193673143162E-3</v>
      </c>
      <c r="AS138">
        <f>_xlfn.NORM.DIST(Table2912[[#This Row],[SCFA '[mmol/g']]],P$6,P$2,FALSE)</f>
        <v>0.1440573258246732</v>
      </c>
      <c r="AT138">
        <f>_xlfn.NORM.DIST(Table2912[[#This Row],[Acetate '[%']]],Q$6,Q$2,FALSE)</f>
        <v>2.0095523997638556</v>
      </c>
      <c r="AU138">
        <f>_xlfn.NORM.DIST(Table2912[[#This Row],[Propionate '[%']]],R$6,R$2,FALSE)</f>
        <v>14.371255703915473</v>
      </c>
      <c r="AV138">
        <f>_xlfn.NORM.DIST(Table2912[[#This Row],[Butyrate '[%']]],S$6,S$2,FALSE)</f>
        <v>23.029805320591514</v>
      </c>
      <c r="AW138">
        <f>_xlfn.NORM.DIST(Table2912[[#This Row],[Valerate '[%']]],T$6,T$2,FALSE)</f>
        <v>18.398576114889813</v>
      </c>
      <c r="AX138">
        <f>_xlfn.NORM.DIST(Table2912[[#This Row],[Caproate '[%']]],U$6,U$2,FALSE)</f>
        <v>188.77547995997057</v>
      </c>
      <c r="AY138">
        <f>_xlfn.NORM.DIST(Table2912[[#This Row],[Isobutyrate '[%']]],V$6,V$2,FALSE)</f>
        <v>8.7810132106094319</v>
      </c>
      <c r="AZ138">
        <f>_xlfn.NORM.DIST(Table2912[[#This Row],[Isovalerate '[%']]],W$6,W$2,FALSE)</f>
        <v>1.4236565057966464</v>
      </c>
      <c r="BA138">
        <f>_xlfn.NORM.DIST(Table2912[[#This Row],[CH4 '[g/mmol SCFA']]],X$6,X$2,FALSE)</f>
        <v>0.24828083453834479</v>
      </c>
      <c r="BB138">
        <f>_xlfn.NORM.DIST(Table2912[[#This Row],[DMD '[mg/g']]],Y$6,Y$2,FALSE)</f>
        <v>2.3452844660129019E-3</v>
      </c>
      <c r="BC138">
        <f>_xlfn.NORM.DIST(Table2912[[#This Row],[CH4 '[ml/g']]],Z$6,Z$2,FALSE)</f>
        <v>2.9444678656951332E-2</v>
      </c>
      <c r="BD138">
        <f>_xlfn.NORM.DIST(Table2912[[#This Row],[CH4 '[% GP']]],AA$6,AA$2,FALSE)</f>
        <v>0.13460100821263446</v>
      </c>
      <c r="BE138">
        <f>_xlfn.NORM.DIST(Table2912[[#This Row],[CH4 '[g/g DDM']]],AB$6,AB$2,FALSE)</f>
        <v>3.249016217101159E-2</v>
      </c>
      <c r="BG138">
        <f>IF(Table2912[[#This Row],[GP '[ml/g']]]&lt;O$10,_xlfn.NORM.DIST(Table2912[[#This Row],[GP '[ml/g']]],O$6,O$2,FALSE),-100)</f>
        <v>-100</v>
      </c>
      <c r="BH138">
        <f>IF(Table2912[[#This Row],[SCFA '[mmol/g']]]&lt;P$10,_xlfn.NORM.DIST(Table2912[[#This Row],[SCFA '[mmol/g']]],P$6,P$2,FALSE),-100)</f>
        <v>0.1440573258246732</v>
      </c>
      <c r="BI138">
        <f>IF(Table2912[[#This Row],[Acetate '[%']]]&lt;Q$10,_xlfn.NORM.DIST(Table2912[[#This Row],[Acetate '[%']]],Q$6,Q$2,FALSE),-100)</f>
        <v>2.0095523997638556</v>
      </c>
      <c r="BJ138">
        <f>IF(Table2912[[#This Row],[Propionate '[%']]]&lt;R$10,_xlfn.NORM.DIST(Table2912[[#This Row],[Propionate '[%']]],R$6,R$2,FALSE),-100)</f>
        <v>-100</v>
      </c>
      <c r="BK138">
        <f>IF(Table2912[[#This Row],[Butyrate '[%']]]&lt;S$10,_xlfn.NORM.DIST(Table2912[[#This Row],[Butyrate '[%']]],S$6,S$2,FALSE),-100)</f>
        <v>-100</v>
      </c>
      <c r="BL138">
        <f>IF(Table2912[[#This Row],[Valerate '[%']]]&lt;T$10,_xlfn.NORM.DIST(Table2912[[#This Row],[Valerate '[%']]],T$6,T$2,FALSE),-100)</f>
        <v>-100</v>
      </c>
      <c r="BM138">
        <f>IF(Table2912[[#This Row],[Caproate '[%']]]&lt;U$10,_xlfn.NORM.DIST(Table2912[[#This Row],[Caproate '[%']]],U$6,U$2,FALSE),-100)</f>
        <v>-100</v>
      </c>
      <c r="BN138">
        <f>IF(Table2912[[#This Row],[Isobutyrate '[%']]]&lt;V$10,_xlfn.NORM.DIST(Table2912[[#This Row],[Isobutyrate '[%']]],V$6,V$2,FALSE),-100)</f>
        <v>-100</v>
      </c>
      <c r="BO138">
        <f>IF(Table2912[[#This Row],[Isovalerate '[%']]]&lt;W$10,_xlfn.NORM.DIST(Table2912[[#This Row],[Isovalerate '[%']]],W$6,W$2,FALSE),-100)</f>
        <v>-100</v>
      </c>
      <c r="BP138">
        <f>IF(Table2912[[#This Row],[CH4 '[g/mmol SCFA']]]&lt;X$10,_xlfn.NORM.DIST(Table2912[[#This Row],[CH4 '[g/mmol SCFA']]],X$6,X$2,FALSE),-100)</f>
        <v>-100</v>
      </c>
      <c r="BQ138">
        <f>IF(Table2912[[#This Row],[DMD '[mg/g']]]&gt;Y$10,_xlfn.NORM.DIST(Table2912[[#This Row],[DMD '[mg/g']]],Y$6,Y$2,FALSE),-100)</f>
        <v>-100</v>
      </c>
      <c r="BR138">
        <f>IF(Table2912[[#This Row],[CH4 '[ml/g']]]&lt;Z$10,_xlfn.NORM.DIST(Table2912[[#This Row],[CH4 '[ml/g']]],Z$6,Z$2,FALSE),-100)</f>
        <v>-100</v>
      </c>
      <c r="BS138">
        <f>IF(Table2912[[#This Row],[CH4 '[% GP']]]&lt;AA$10,_xlfn.NORM.DIST(Table2912[[#This Row],[CH4 '[% GP']]],AA$6,AA$2,FALSE),-100)</f>
        <v>-100</v>
      </c>
      <c r="BT138">
        <f>IF(Table2912[[#This Row],[CH4 '[g/g DDM']]]&lt;AB$10,_xlfn.NORM.DIST(Table2912[[#This Row],[CH4 '[g/g DDM']]],AB$6,AB$2,FALSE),-100)</f>
        <v>-100</v>
      </c>
      <c r="CJ138" t="str">
        <v xml:space="preserve">Vicia narbonensis </v>
      </c>
      <c r="CL138" t="str">
        <v xml:space="preserve">Vicia narbonensis </v>
      </c>
    </row>
    <row r="139" spans="1:90" x14ac:dyDescent="0.25">
      <c r="A139" s="12" t="s">
        <v>70</v>
      </c>
      <c r="B139" s="13">
        <v>1007</v>
      </c>
      <c r="C139" s="96" t="s">
        <v>216</v>
      </c>
      <c r="D139" s="96"/>
      <c r="E139" s="96"/>
      <c r="F139" s="96" t="s">
        <v>217</v>
      </c>
      <c r="G139" t="s">
        <v>73</v>
      </c>
      <c r="H139" t="s">
        <v>74</v>
      </c>
      <c r="I139" t="s">
        <v>75</v>
      </c>
      <c r="J139" s="107">
        <v>3</v>
      </c>
      <c r="K139" s="107"/>
      <c r="L139" s="107"/>
      <c r="M139" t="s">
        <v>217</v>
      </c>
      <c r="N139" t="s">
        <v>76</v>
      </c>
      <c r="O139" s="18">
        <v>281.03728443571316</v>
      </c>
      <c r="P139" s="18">
        <v>7.3547113954561212</v>
      </c>
      <c r="Q139" s="97">
        <v>0.70751025038738158</v>
      </c>
      <c r="R139" s="97">
        <v>0.14238375058186403</v>
      </c>
      <c r="S139" s="97">
        <v>0.10503422127026202</v>
      </c>
      <c r="T139" s="97">
        <v>1.1671337838616496E-2</v>
      </c>
      <c r="U139" s="97">
        <v>8.3743128792344184E-4</v>
      </c>
      <c r="V139" s="97">
        <v>1.1213072605052121E-2</v>
      </c>
      <c r="W139" s="97">
        <v>2.1349936028900188E-2</v>
      </c>
      <c r="X139" s="51">
        <f t="shared" si="8"/>
        <v>5.8845406203736301</v>
      </c>
      <c r="Y139" s="18">
        <v>688.92408482959468</v>
      </c>
      <c r="Z139" s="18">
        <v>43.279097957686368</v>
      </c>
      <c r="AA139" s="18">
        <f t="shared" si="9"/>
        <v>15.399770903915917</v>
      </c>
      <c r="AB139" s="18">
        <f t="shared" si="10"/>
        <v>62.821287440388232</v>
      </c>
      <c r="AC139" s="18">
        <f>$CP$15*Table2912[[#This Row],[DMD '[mg/g']]]+$CS$15*Table2912[[#This Row],[CH4 '[ml/g']]]+$CR$15*Table2912[[#This Row],[CH4 '[% GP']]]+$CQ$15*Table2912[[#This Row],[CH4 '[g/g DDM']]]</f>
        <v>2.3390753132921205</v>
      </c>
      <c r="AD139" s="18">
        <f>_xlfn.RANK.AVG(Table2912[[#This Row],[Index]],Table2912[Index])</f>
        <v>430</v>
      </c>
      <c r="AE13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7.0232214779475619</v>
      </c>
      <c r="AF139" s="18">
        <f>Table2912[[#This Row],[CH4 '[ml/g']]]/Table2912[[#This Row],[APB]]</f>
        <v>6.1622857962802104</v>
      </c>
      <c r="AG139" s="18">
        <f>Table2912[[#This Row],[Propionate '[%']]]/Table2912[[#This Row],[Acetate '[%']]]</f>
        <v>0.20124620173899241</v>
      </c>
      <c r="AH139" s="51"/>
      <c r="AI139" s="18"/>
      <c r="AJ139" s="18"/>
      <c r="AK139" s="18">
        <f>(Table2912[[#This Row],[DMD '[mg/g']]]-$AK$15)/$AK$15*100</f>
        <v>40.513843031309491</v>
      </c>
      <c r="AL139" s="18">
        <f>(Table2912[[#This Row],[CH4 '[ml/g']]]-AL$15)/AL$15*100</f>
        <v>10.034753305760709</v>
      </c>
      <c r="AM139" s="18">
        <f>(Table2912[[#This Row],[CH4 '[% GP']]]-AM$15)/AM$15*100</f>
        <v>-0.7897183915667837</v>
      </c>
      <c r="AN139" s="18">
        <f>(Table2912[[#This Row],[CH4 '[g/g DDM']]]-AN$15)/AN$15*100</f>
        <v>22.660633156455727</v>
      </c>
      <c r="AO139" s="18"/>
      <c r="AP139" s="18"/>
      <c r="AR139">
        <f>_xlfn.NORM.DIST(Table2912[[#This Row],[GP '[ml/g']]],O$6,O$2,FALSE)</f>
        <v>6.6691722974494489E-3</v>
      </c>
      <c r="AS139">
        <f>_xlfn.NORM.DIST(Table2912[[#This Row],[SCFA '[mmol/g']]],P$6,P$2,FALSE)</f>
        <v>0.26376631314450716</v>
      </c>
      <c r="AT139">
        <f>_xlfn.NORM.DIST(Table2912[[#This Row],[Acetate '[%']]],Q$6,Q$2,FALSE)</f>
        <v>6.7540525047726794</v>
      </c>
      <c r="AU139">
        <f>_xlfn.NORM.DIST(Table2912[[#This Row],[Propionate '[%']]],R$6,R$2,FALSE)</f>
        <v>7.7747454612104505</v>
      </c>
      <c r="AV139">
        <f>_xlfn.NORM.DIST(Table2912[[#This Row],[Butyrate '[%']]],S$6,S$2,FALSE)</f>
        <v>18.035538851283235</v>
      </c>
      <c r="AW139">
        <f>_xlfn.NORM.DIST(Table2912[[#This Row],[Valerate '[%']]],T$6,T$2,FALSE)</f>
        <v>39.418779375958451</v>
      </c>
      <c r="AX139">
        <f>_xlfn.NORM.DIST(Table2912[[#This Row],[Caproate '[%']]],U$6,U$2,FALSE)</f>
        <v>358.10271227301337</v>
      </c>
      <c r="AY139">
        <f>_xlfn.NORM.DIST(Table2912[[#This Row],[Isobutyrate '[%']]],V$6,V$2,FALSE)</f>
        <v>58.635518477119511</v>
      </c>
      <c r="AZ139">
        <f>_xlfn.NORM.DIST(Table2912[[#This Row],[Isovalerate '[%']]],W$6,W$2,FALSE)</f>
        <v>34.412070392603816</v>
      </c>
      <c r="BA139">
        <f>_xlfn.NORM.DIST(Table2912[[#This Row],[CH4 '[g/mmol SCFA']]],X$6,X$2,FALSE)</f>
        <v>0.28458771451974579</v>
      </c>
      <c r="BB139">
        <f>_xlfn.NORM.DIST(Table2912[[#This Row],[DMD '[mg/g']]],Y$6,Y$2,FALSE)</f>
        <v>2.3814136960989985E-3</v>
      </c>
      <c r="BC139">
        <f>_xlfn.NORM.DIST(Table2912[[#This Row],[CH4 '[ml/g']]],Z$6,Z$2,FALSE)</f>
        <v>3.3090504774952671E-2</v>
      </c>
      <c r="BD139">
        <f>_xlfn.NORM.DIST(Table2912[[#This Row],[CH4 '[% GP']]],AA$6,AA$2,FALSE)</f>
        <v>0.13132763849657997</v>
      </c>
      <c r="BE139">
        <f>_xlfn.NORM.DIST(Table2912[[#This Row],[CH4 '[g/g DDM']]],AB$6,AB$2,FALSE)</f>
        <v>2.4243046451129034E-2</v>
      </c>
      <c r="BG139">
        <f>IF(Table2912[[#This Row],[GP '[ml/g']]]&lt;O$10,_xlfn.NORM.DIST(Table2912[[#This Row],[GP '[ml/g']]],O$6,O$2,FALSE),-100)</f>
        <v>-100</v>
      </c>
      <c r="BH139">
        <f>IF(Table2912[[#This Row],[SCFA '[mmol/g']]]&lt;P$10,_xlfn.NORM.DIST(Table2912[[#This Row],[SCFA '[mmol/g']]],P$6,P$2,FALSE),-100)</f>
        <v>-100</v>
      </c>
      <c r="BI139">
        <f>IF(Table2912[[#This Row],[Acetate '[%']]]&lt;Q$10,_xlfn.NORM.DIST(Table2912[[#This Row],[Acetate '[%']]],Q$6,Q$2,FALSE),-100)</f>
        <v>-100</v>
      </c>
      <c r="BJ139">
        <f>IF(Table2912[[#This Row],[Propionate '[%']]]&lt;R$10,_xlfn.NORM.DIST(Table2912[[#This Row],[Propionate '[%']]],R$6,R$2,FALSE),-100)</f>
        <v>7.7747454612104505</v>
      </c>
      <c r="BK139">
        <f>IF(Table2912[[#This Row],[Butyrate '[%']]]&lt;S$10,_xlfn.NORM.DIST(Table2912[[#This Row],[Butyrate '[%']]],S$6,S$2,FALSE),-100)</f>
        <v>-100</v>
      </c>
      <c r="BL139">
        <f>IF(Table2912[[#This Row],[Valerate '[%']]]&lt;T$10,_xlfn.NORM.DIST(Table2912[[#This Row],[Valerate '[%']]],T$6,T$2,FALSE),-100)</f>
        <v>39.418779375958451</v>
      </c>
      <c r="BM139">
        <f>IF(Table2912[[#This Row],[Caproate '[%']]]&lt;U$10,_xlfn.NORM.DIST(Table2912[[#This Row],[Caproate '[%']]],U$6,U$2,FALSE),-100)</f>
        <v>-100</v>
      </c>
      <c r="BN139">
        <f>IF(Table2912[[#This Row],[Isobutyrate '[%']]]&lt;V$10,_xlfn.NORM.DIST(Table2912[[#This Row],[Isobutyrate '[%']]],V$6,V$2,FALSE),-100)</f>
        <v>-100</v>
      </c>
      <c r="BO139">
        <f>IF(Table2912[[#This Row],[Isovalerate '[%']]]&lt;W$10,_xlfn.NORM.DIST(Table2912[[#This Row],[Isovalerate '[%']]],W$6,W$2,FALSE),-100)</f>
        <v>-100</v>
      </c>
      <c r="BP139">
        <f>IF(Table2912[[#This Row],[CH4 '[g/mmol SCFA']]]&lt;X$10,_xlfn.NORM.DIST(Table2912[[#This Row],[CH4 '[g/mmol SCFA']]],X$6,X$2,FALSE),-100)</f>
        <v>-100</v>
      </c>
      <c r="BQ139">
        <f>IF(Table2912[[#This Row],[DMD '[mg/g']]]&gt;Y$10,_xlfn.NORM.DIST(Table2912[[#This Row],[DMD '[mg/g']]],Y$6,Y$2,FALSE),-100)</f>
        <v>-100</v>
      </c>
      <c r="BR139">
        <f>IF(Table2912[[#This Row],[CH4 '[ml/g']]]&lt;Z$10,_xlfn.NORM.DIST(Table2912[[#This Row],[CH4 '[ml/g']]],Z$6,Z$2,FALSE),-100)</f>
        <v>-100</v>
      </c>
      <c r="BS139">
        <f>IF(Table2912[[#This Row],[CH4 '[% GP']]]&lt;AA$10,_xlfn.NORM.DIST(Table2912[[#This Row],[CH4 '[% GP']]],AA$6,AA$2,FALSE),-100)</f>
        <v>-100</v>
      </c>
      <c r="BT139">
        <f>IF(Table2912[[#This Row],[CH4 '[g/g DDM']]]&lt;AB$10,_xlfn.NORM.DIST(Table2912[[#This Row],[CH4 '[g/g DDM']]],AB$6,AB$2,FALSE),-100)</f>
        <v>-100</v>
      </c>
      <c r="CJ139" t="str">
        <v>Lablab purpureus</v>
      </c>
      <c r="CL139" t="str">
        <v>Lablab purpureus</v>
      </c>
    </row>
    <row r="140" spans="1:90" x14ac:dyDescent="0.25">
      <c r="A140" s="12" t="s">
        <v>70</v>
      </c>
      <c r="B140" s="13">
        <v>1014</v>
      </c>
      <c r="C140" s="96" t="s">
        <v>137</v>
      </c>
      <c r="D140" s="96"/>
      <c r="E140" s="96"/>
      <c r="F140" s="96" t="s">
        <v>138</v>
      </c>
      <c r="G140" s="108" t="s">
        <v>73</v>
      </c>
      <c r="H140" s="108" t="s">
        <v>74</v>
      </c>
      <c r="I140" s="109" t="s">
        <v>44</v>
      </c>
      <c r="J140" s="100">
        <v>1</v>
      </c>
      <c r="K140" s="100"/>
      <c r="L140" s="100"/>
      <c r="M140" t="s">
        <v>138</v>
      </c>
      <c r="N140" t="s">
        <v>80</v>
      </c>
      <c r="O140" s="18">
        <v>204.26500437445361</v>
      </c>
      <c r="P140" s="18">
        <v>5.3016185476815405</v>
      </c>
      <c r="Q140" s="97">
        <v>0.70263831705570823</v>
      </c>
      <c r="R140" s="97">
        <v>0.14855194754191256</v>
      </c>
      <c r="S140" s="97">
        <v>9.6507674466619203E-2</v>
      </c>
      <c r="T140" s="97">
        <v>1.8379469831581115E-2</v>
      </c>
      <c r="U140" s="97">
        <v>7.0134949136476494E-4</v>
      </c>
      <c r="V140" s="97">
        <v>1.1943557778110354E-2</v>
      </c>
      <c r="W140" s="97">
        <v>2.127768383470378E-2</v>
      </c>
      <c r="X140" s="51">
        <f t="shared" si="8"/>
        <v>5.4970106626514132</v>
      </c>
      <c r="Y140" s="18">
        <v>689.08573928258966</v>
      </c>
      <c r="Z140" s="18">
        <v>29.143053685915927</v>
      </c>
      <c r="AA140" s="18">
        <f t="shared" si="9"/>
        <v>14.267276852030705</v>
      </c>
      <c r="AB140" s="18">
        <f t="shared" si="10"/>
        <v>42.292347707350459</v>
      </c>
      <c r="AC140" s="18">
        <f>$CP$15*Table2912[[#This Row],[DMD '[mg/g']]]+$CS$15*Table2912[[#This Row],[CH4 '[ml/g']]]+$CR$15*Table2912[[#This Row],[CH4 '[% GP']]]+$CQ$15*Table2912[[#This Row],[CH4 '[g/g DDM']]]</f>
        <v>12.470404788913747</v>
      </c>
      <c r="AD140" s="18">
        <f>_xlfn.RANK.AVG(Table2912[[#This Row],[Index]],Table2912[Index])</f>
        <v>314</v>
      </c>
      <c r="AE14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5.0243329713425453</v>
      </c>
      <c r="AF140" s="18">
        <f>Table2912[[#This Row],[CH4 '[ml/g']]]/Table2912[[#This Row],[APB]]</f>
        <v>5.8003826283290003</v>
      </c>
      <c r="AG140" s="18">
        <f>Table2912[[#This Row],[Propionate '[%']]]/Table2912[[#This Row],[Acetate '[%']]]</f>
        <v>0.21142021995668464</v>
      </c>
      <c r="AH140" s="51"/>
      <c r="AI140" s="18"/>
      <c r="AJ140" s="18"/>
      <c r="AK140" s="18">
        <f>(Table2912[[#This Row],[DMD '[mg/g']]]-$AK$15)/$AK$15*100</f>
        <v>40.546814281601996</v>
      </c>
      <c r="AL140" s="18">
        <f>(Table2912[[#This Row],[CH4 '[ml/g']]]-AL$15)/AL$15*100</f>
        <v>-25.905370623909207</v>
      </c>
      <c r="AM140" s="18">
        <f>(Table2912[[#This Row],[CH4 '[% GP']]]-AM$15)/AM$15*100</f>
        <v>-8.0856096427046396</v>
      </c>
      <c r="AN140" s="18">
        <f>(Table2912[[#This Row],[CH4 '[g/g DDM']]]-AN$15)/AN$15*100</f>
        <v>-17.422797926910381</v>
      </c>
      <c r="AO140" s="18"/>
      <c r="AP140" s="18"/>
      <c r="AR140">
        <f>_xlfn.NORM.DIST(Table2912[[#This Row],[GP '[ml/g']]],O$6,O$2,FALSE)</f>
        <v>4.7162144946605996E-3</v>
      </c>
      <c r="AS140">
        <f>_xlfn.NORM.DIST(Table2912[[#This Row],[SCFA '[mmol/g']]],P$6,P$2,FALSE)</f>
        <v>0.19560847471869885</v>
      </c>
      <c r="AT140">
        <f>_xlfn.NORM.DIST(Table2912[[#This Row],[Acetate '[%']]],Q$6,Q$2,FALSE)</f>
        <v>8.1871827658828291</v>
      </c>
      <c r="AU140">
        <f>_xlfn.NORM.DIST(Table2912[[#This Row],[Propionate '[%']]],R$6,R$2,FALSE)</f>
        <v>10.374448323429926</v>
      </c>
      <c r="AV140">
        <f>_xlfn.NORM.DIST(Table2912[[#This Row],[Butyrate '[%']]],S$6,S$2,FALSE)</f>
        <v>22.541875885838156</v>
      </c>
      <c r="AW140">
        <f>_xlfn.NORM.DIST(Table2912[[#This Row],[Valerate '[%']]],T$6,T$2,FALSE)</f>
        <v>76.643023713290276</v>
      </c>
      <c r="AX140">
        <f>_xlfn.NORM.DIST(Table2912[[#This Row],[Caproate '[%']]],U$6,U$2,FALSE)</f>
        <v>330.63604490568838</v>
      </c>
      <c r="AY140">
        <f>_xlfn.NORM.DIST(Table2912[[#This Row],[Isobutyrate '[%']]],V$6,V$2,FALSE)</f>
        <v>67.413684165466719</v>
      </c>
      <c r="AZ140">
        <f>_xlfn.NORM.DIST(Table2912[[#This Row],[Isovalerate '[%']]],W$6,W$2,FALSE)</f>
        <v>34.200527759693713</v>
      </c>
      <c r="BA140">
        <f>_xlfn.NORM.DIST(Table2912[[#This Row],[CH4 '[g/mmol SCFA']]],X$6,X$2,FALSE)</f>
        <v>0.25052275909868554</v>
      </c>
      <c r="BB140">
        <f>_xlfn.NORM.DIST(Table2912[[#This Row],[DMD '[mg/g']]],Y$6,Y$2,FALSE)</f>
        <v>2.3832036251332065E-3</v>
      </c>
      <c r="BC140">
        <f>_xlfn.NORM.DIST(Table2912[[#This Row],[CH4 '[ml/g']]],Z$6,Z$2,FALSE)</f>
        <v>1.9727852169602652E-2</v>
      </c>
      <c r="BD140">
        <f>_xlfn.NORM.DIST(Table2912[[#This Row],[CH4 '[% GP']]],AA$6,AA$2,FALSE)</f>
        <v>0.11197104424513192</v>
      </c>
      <c r="BE140">
        <f>_xlfn.NORM.DIST(Table2912[[#This Row],[CH4 '[g/g DDM']]],AB$6,AB$2,FALSE)</f>
        <v>2.1696015048440171E-2</v>
      </c>
      <c r="BG140">
        <f>IF(Table2912[[#This Row],[GP '[ml/g']]]&lt;O$10,_xlfn.NORM.DIST(Table2912[[#This Row],[GP '[ml/g']]],O$6,O$2,FALSE),-100)</f>
        <v>-100</v>
      </c>
      <c r="BH140">
        <f>IF(Table2912[[#This Row],[SCFA '[mmol/g']]]&lt;P$10,_xlfn.NORM.DIST(Table2912[[#This Row],[SCFA '[mmol/g']]],P$6,P$2,FALSE),-100)</f>
        <v>0.19560847471869885</v>
      </c>
      <c r="BI140">
        <f>IF(Table2912[[#This Row],[Acetate '[%']]]&lt;Q$10,_xlfn.NORM.DIST(Table2912[[#This Row],[Acetate '[%']]],Q$6,Q$2,FALSE),-100)</f>
        <v>-100</v>
      </c>
      <c r="BJ140">
        <f>IF(Table2912[[#This Row],[Propionate '[%']]]&lt;R$10,_xlfn.NORM.DIST(Table2912[[#This Row],[Propionate '[%']]],R$6,R$2,FALSE),-100)</f>
        <v>-100</v>
      </c>
      <c r="BK140">
        <f>IF(Table2912[[#This Row],[Butyrate '[%']]]&lt;S$10,_xlfn.NORM.DIST(Table2912[[#This Row],[Butyrate '[%']]],S$6,S$2,FALSE),-100)</f>
        <v>-100</v>
      </c>
      <c r="BL140">
        <f>IF(Table2912[[#This Row],[Valerate '[%']]]&lt;T$10,_xlfn.NORM.DIST(Table2912[[#This Row],[Valerate '[%']]],T$6,T$2,FALSE),-100)</f>
        <v>-100</v>
      </c>
      <c r="BM140">
        <f>IF(Table2912[[#This Row],[Caproate '[%']]]&lt;U$10,_xlfn.NORM.DIST(Table2912[[#This Row],[Caproate '[%']]],U$6,U$2,FALSE),-100)</f>
        <v>-100</v>
      </c>
      <c r="BN140">
        <f>IF(Table2912[[#This Row],[Isobutyrate '[%']]]&lt;V$10,_xlfn.NORM.DIST(Table2912[[#This Row],[Isobutyrate '[%']]],V$6,V$2,FALSE),-100)</f>
        <v>-100</v>
      </c>
      <c r="BO140">
        <f>IF(Table2912[[#This Row],[Isovalerate '[%']]]&lt;W$10,_xlfn.NORM.DIST(Table2912[[#This Row],[Isovalerate '[%']]],W$6,W$2,FALSE),-100)</f>
        <v>-100</v>
      </c>
      <c r="BP140">
        <f>IF(Table2912[[#This Row],[CH4 '[g/mmol SCFA']]]&lt;X$10,_xlfn.NORM.DIST(Table2912[[#This Row],[CH4 '[g/mmol SCFA']]],X$6,X$2,FALSE),-100)</f>
        <v>-100</v>
      </c>
      <c r="BQ140">
        <f>IF(Table2912[[#This Row],[DMD '[mg/g']]]&gt;Y$10,_xlfn.NORM.DIST(Table2912[[#This Row],[DMD '[mg/g']]],Y$6,Y$2,FALSE),-100)</f>
        <v>-100</v>
      </c>
      <c r="BR140">
        <f>IF(Table2912[[#This Row],[CH4 '[ml/g']]]&lt;Z$10,_xlfn.NORM.DIST(Table2912[[#This Row],[CH4 '[ml/g']]],Z$6,Z$2,FALSE),-100)</f>
        <v>1.9727852169602652E-2</v>
      </c>
      <c r="BS140">
        <f>IF(Table2912[[#This Row],[CH4 '[% GP']]]&lt;AA$10,_xlfn.NORM.DIST(Table2912[[#This Row],[CH4 '[% GP']]],AA$6,AA$2,FALSE),-100)</f>
        <v>-100</v>
      </c>
      <c r="BT140">
        <f>IF(Table2912[[#This Row],[CH4 '[g/g DDM']]]&lt;AB$10,_xlfn.NORM.DIST(Table2912[[#This Row],[CH4 '[g/g DDM']]],AB$6,AB$2,FALSE),-100)</f>
        <v>-100</v>
      </c>
      <c r="CJ140" t="str">
        <v>Hedysarum coronarium</v>
      </c>
      <c r="CL140" t="str">
        <v>Hedysarum coronarium</v>
      </c>
    </row>
    <row r="141" spans="1:90" x14ac:dyDescent="0.25">
      <c r="A141" s="12" t="s">
        <v>86</v>
      </c>
      <c r="B141" s="13">
        <v>1050</v>
      </c>
      <c r="C141" s="104" t="s">
        <v>218</v>
      </c>
      <c r="D141" s="104" t="s">
        <v>219</v>
      </c>
      <c r="E141" s="104" t="s">
        <v>220</v>
      </c>
      <c r="F141" s="104" t="s">
        <v>221</v>
      </c>
      <c r="G141" s="32" t="s">
        <v>73</v>
      </c>
      <c r="H141" s="32" t="s">
        <v>74</v>
      </c>
      <c r="I141" s="104" t="s">
        <v>106</v>
      </c>
      <c r="J141" s="100">
        <v>3</v>
      </c>
      <c r="K141" s="100"/>
      <c r="L141" s="100"/>
      <c r="M141" t="s">
        <v>221</v>
      </c>
      <c r="N141" t="s">
        <v>98</v>
      </c>
      <c r="O141" s="18">
        <v>237.15152722443599</v>
      </c>
      <c r="P141" s="18">
        <v>7.1251490188859519</v>
      </c>
      <c r="Q141" s="97">
        <v>0.70093669272549342</v>
      </c>
      <c r="R141" s="97">
        <v>0.1454657199935307</v>
      </c>
      <c r="S141" s="97">
        <v>7.0334332011137604E-2</v>
      </c>
      <c r="T141" s="97">
        <v>2.9640137526142293E-2</v>
      </c>
      <c r="U141" s="97">
        <v>1.2925611284882311E-3</v>
      </c>
      <c r="V141" s="97">
        <v>1.8980454518239494E-2</v>
      </c>
      <c r="W141" s="97">
        <v>3.3350102096968211E-2</v>
      </c>
      <c r="X141" s="51">
        <f t="shared" si="8"/>
        <v>6.3812559890587712</v>
      </c>
      <c r="Y141" s="18">
        <v>689.26735303012379</v>
      </c>
      <c r="Z141" s="18">
        <v>45.467399849702211</v>
      </c>
      <c r="AA141" s="18">
        <f t="shared" si="9"/>
        <v>19.172298986155241</v>
      </c>
      <c r="AB141" s="18">
        <f t="shared" si="10"/>
        <v>65.964824316458092</v>
      </c>
      <c r="AC141" s="18">
        <f>$CP$15*Table2912[[#This Row],[DMD '[mg/g']]]+$CS$15*Table2912[[#This Row],[CH4 '[ml/g']]]+$CR$15*Table2912[[#This Row],[CH4 '[% GP']]]+$CQ$15*Table2912[[#This Row],[CH4 '[g/g DDM']]]</f>
        <v>-0.26030594162141796</v>
      </c>
      <c r="AD141" s="18">
        <f>_xlfn.RANK.AVG(Table2912[[#This Row],[Index]],Table2912[Index])</f>
        <v>448</v>
      </c>
      <c r="AE14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6.531885917290813</v>
      </c>
      <c r="AF141" s="18">
        <f>Table2912[[#This Row],[CH4 '[ml/g']]]/Table2912[[#This Row],[APB]]</f>
        <v>6.9608380221925898</v>
      </c>
      <c r="AG141" s="18">
        <f>Table2912[[#This Row],[Propionate '[%']]]/Table2912[[#This Row],[Acetate '[%']]]</f>
        <v>0.20753046816240675</v>
      </c>
      <c r="AH141" s="51"/>
      <c r="AI141" s="18"/>
      <c r="AJ141" s="18"/>
      <c r="AK141" s="18">
        <f>(Table2912[[#This Row],[DMD '[mg/g']]]-$AK$15)/$AK$15*100</f>
        <v>40.583856455297592</v>
      </c>
      <c r="AL141" s="18">
        <f>(Table2912[[#This Row],[CH4 '[ml/g']]]-AL$15)/AL$15*100</f>
        <v>15.598391879788073</v>
      </c>
      <c r="AM141" s="18">
        <f>(Table2912[[#This Row],[CH4 '[% GP']]]-AM$15)/AM$15*100</f>
        <v>23.514121954494083</v>
      </c>
      <c r="AN141" s="18">
        <f>(Table2912[[#This Row],[CH4 '[g/g DDM']]]-AN$15)/AN$15*100</f>
        <v>28.798492459885072</v>
      </c>
      <c r="AO141" s="18"/>
      <c r="AP141" s="18"/>
      <c r="AR141">
        <f>_xlfn.NORM.DIST(Table2912[[#This Row],[GP '[ml/g']]],O$6,O$2,FALSE)</f>
        <v>7.0505520948506411E-3</v>
      </c>
      <c r="AS141">
        <f>_xlfn.NORM.DIST(Table2912[[#This Row],[SCFA '[mmol/g']]],P$6,P$2,FALSE)</f>
        <v>0.295079413473402</v>
      </c>
      <c r="AT141">
        <f>_xlfn.NORM.DIST(Table2912[[#This Row],[Acetate '[%']]],Q$6,Q$2,FALSE)</f>
        <v>8.6960154334218842</v>
      </c>
      <c r="AU141">
        <f>_xlfn.NORM.DIST(Table2912[[#This Row],[Propionate '[%']]],R$6,R$2,FALSE)</f>
        <v>9.0561004308778816</v>
      </c>
      <c r="AV141">
        <f>_xlfn.NORM.DIST(Table2912[[#This Row],[Butyrate '[%']]],S$6,S$2,FALSE)</f>
        <v>9.8422976211771349</v>
      </c>
      <c r="AW141">
        <f>_xlfn.NORM.DIST(Table2912[[#This Row],[Valerate '[%']]],T$6,T$2,FALSE)</f>
        <v>5.1946812418597883</v>
      </c>
      <c r="AX141">
        <f>_xlfn.NORM.DIST(Table2912[[#This Row],[Caproate '[%']]],U$6,U$2,FALSE)</f>
        <v>406.56721331814646</v>
      </c>
      <c r="AY141">
        <f>_xlfn.NORM.DIST(Table2912[[#This Row],[Isobutyrate '[%']]],V$6,V$2,FALSE)</f>
        <v>64.005258495448601</v>
      </c>
      <c r="AZ141">
        <f>_xlfn.NORM.DIST(Table2912[[#This Row],[Isovalerate '[%']]],W$6,W$2,FALSE)</f>
        <v>37.458361801444312</v>
      </c>
      <c r="BA141">
        <f>_xlfn.NORM.DIST(Table2912[[#This Row],[CH4 '[g/mmol SCFA']]],X$6,X$2,FALSE)</f>
        <v>0.29660610772612395</v>
      </c>
      <c r="BB141">
        <f>_xlfn.NORM.DIST(Table2912[[#This Row],[DMD '[mg/g']]],Y$6,Y$2,FALSE)</f>
        <v>2.3852121871438519E-3</v>
      </c>
      <c r="BC141">
        <f>_xlfn.NORM.DIST(Table2912[[#This Row],[CH4 '[ml/g']]],Z$6,Z$2,FALSE)</f>
        <v>3.1605211243285865E-2</v>
      </c>
      <c r="BD141">
        <f>_xlfn.NORM.DIST(Table2912[[#This Row],[CH4 '[% GP']]],AA$6,AA$2,FALSE)</f>
        <v>7.777583555268662E-2</v>
      </c>
      <c r="BE141">
        <f>_xlfn.NORM.DIST(Table2912[[#This Row],[CH4 '[g/g DDM']]],AB$6,AB$2,FALSE)</f>
        <v>1.9159800238706684E-2</v>
      </c>
      <c r="BG141">
        <f>IF(Table2912[[#This Row],[GP '[ml/g']]]&lt;O$10,_xlfn.NORM.DIST(Table2912[[#This Row],[GP '[ml/g']]],O$6,O$2,FALSE),-100)</f>
        <v>-100</v>
      </c>
      <c r="BH141">
        <f>IF(Table2912[[#This Row],[SCFA '[mmol/g']]]&lt;P$10,_xlfn.NORM.DIST(Table2912[[#This Row],[SCFA '[mmol/g']]],P$6,P$2,FALSE),-100)</f>
        <v>-100</v>
      </c>
      <c r="BI141">
        <f>IF(Table2912[[#This Row],[Acetate '[%']]]&lt;Q$10,_xlfn.NORM.DIST(Table2912[[#This Row],[Acetate '[%']]],Q$6,Q$2,FALSE),-100)</f>
        <v>-100</v>
      </c>
      <c r="BJ141">
        <f>IF(Table2912[[#This Row],[Propionate '[%']]]&lt;R$10,_xlfn.NORM.DIST(Table2912[[#This Row],[Propionate '[%']]],R$6,R$2,FALSE),-100)</f>
        <v>9.0561004308778816</v>
      </c>
      <c r="BK141">
        <f>IF(Table2912[[#This Row],[Butyrate '[%']]]&lt;S$10,_xlfn.NORM.DIST(Table2912[[#This Row],[Butyrate '[%']]],S$6,S$2,FALSE),-100)</f>
        <v>9.8422976211771349</v>
      </c>
      <c r="BL141">
        <f>IF(Table2912[[#This Row],[Valerate '[%']]]&lt;T$10,_xlfn.NORM.DIST(Table2912[[#This Row],[Valerate '[%']]],T$6,T$2,FALSE),-100)</f>
        <v>-100</v>
      </c>
      <c r="BM141">
        <f>IF(Table2912[[#This Row],[Caproate '[%']]]&lt;U$10,_xlfn.NORM.DIST(Table2912[[#This Row],[Caproate '[%']]],U$6,U$2,FALSE),-100)</f>
        <v>-100</v>
      </c>
      <c r="BN141">
        <f>IF(Table2912[[#This Row],[Isobutyrate '[%']]]&lt;V$10,_xlfn.NORM.DIST(Table2912[[#This Row],[Isobutyrate '[%']]],V$6,V$2,FALSE),-100)</f>
        <v>-100</v>
      </c>
      <c r="BO141">
        <f>IF(Table2912[[#This Row],[Isovalerate '[%']]]&lt;W$10,_xlfn.NORM.DIST(Table2912[[#This Row],[Isovalerate '[%']]],W$6,W$2,FALSE),-100)</f>
        <v>-100</v>
      </c>
      <c r="BP141">
        <f>IF(Table2912[[#This Row],[CH4 '[g/mmol SCFA']]]&lt;X$10,_xlfn.NORM.DIST(Table2912[[#This Row],[CH4 '[g/mmol SCFA']]],X$6,X$2,FALSE),-100)</f>
        <v>-100</v>
      </c>
      <c r="BQ141">
        <f>IF(Table2912[[#This Row],[DMD '[mg/g']]]&gt;Y$10,_xlfn.NORM.DIST(Table2912[[#This Row],[DMD '[mg/g']]],Y$6,Y$2,FALSE),-100)</f>
        <v>-100</v>
      </c>
      <c r="BR141">
        <f>IF(Table2912[[#This Row],[CH4 '[ml/g']]]&lt;Z$10,_xlfn.NORM.DIST(Table2912[[#This Row],[CH4 '[ml/g']]],Z$6,Z$2,FALSE),-100)</f>
        <v>-100</v>
      </c>
      <c r="BS141">
        <f>IF(Table2912[[#This Row],[CH4 '[% GP']]]&lt;AA$10,_xlfn.NORM.DIST(Table2912[[#This Row],[CH4 '[% GP']]],AA$6,AA$2,FALSE),-100)</f>
        <v>-100</v>
      </c>
      <c r="BT141">
        <f>IF(Table2912[[#This Row],[CH4 '[g/g DDM']]]&lt;AB$10,_xlfn.NORM.DIST(Table2912[[#This Row],[CH4 '[g/g DDM']]],AB$6,AB$2,FALSE),-100)</f>
        <v>-100</v>
      </c>
      <c r="CJ141" t="str">
        <v>Lathyrus sativus (IFLA-29)</v>
      </c>
      <c r="CL141" t="str">
        <v>Lathyrus sativus (IFLA-29)</v>
      </c>
    </row>
    <row r="142" spans="1:90" x14ac:dyDescent="0.25">
      <c r="A142" s="12" t="s">
        <v>70</v>
      </c>
      <c r="B142" s="13">
        <v>1011</v>
      </c>
      <c r="C142" s="96" t="s">
        <v>222</v>
      </c>
      <c r="D142" s="96"/>
      <c r="E142" s="96"/>
      <c r="F142" s="96" t="s">
        <v>223</v>
      </c>
      <c r="G142" s="15" t="s">
        <v>73</v>
      </c>
      <c r="H142" s="15" t="s">
        <v>74</v>
      </c>
      <c r="I142" t="s">
        <v>75</v>
      </c>
      <c r="J142" s="70">
        <v>3</v>
      </c>
      <c r="K142" s="70"/>
      <c r="L142" s="70"/>
      <c r="M142" t="s">
        <v>223</v>
      </c>
      <c r="N142" t="s">
        <v>81</v>
      </c>
      <c r="O142" s="18">
        <v>283.15413385826741</v>
      </c>
      <c r="P142" s="18">
        <v>8.0928828512772562</v>
      </c>
      <c r="Q142" s="97">
        <v>0.68661731325227615</v>
      </c>
      <c r="R142" s="97">
        <v>0.17033405944390873</v>
      </c>
      <c r="S142" s="97">
        <v>9.7480679743623094E-2</v>
      </c>
      <c r="T142" s="97">
        <v>1.2447977743507831E-2</v>
      </c>
      <c r="U142" s="97">
        <v>2.1659731493806986E-3</v>
      </c>
      <c r="V142" s="97">
        <v>1.1720018276630618E-2</v>
      </c>
      <c r="W142" s="97">
        <v>1.9233978390672857E-2</v>
      </c>
      <c r="X142" s="51">
        <f t="shared" si="8"/>
        <v>4.8809718002633256</v>
      </c>
      <c r="Y142" s="18">
        <v>691.94234384068341</v>
      </c>
      <c r="Z142" s="18">
        <v>39.501132979918943</v>
      </c>
      <c r="AA142" s="18">
        <f t="shared" si="9"/>
        <v>13.950399537409265</v>
      </c>
      <c r="AB142" s="18">
        <f t="shared" si="10"/>
        <v>57.087318519437076</v>
      </c>
      <c r="AC142" s="18">
        <f>$CP$15*Table2912[[#This Row],[DMD '[mg/g']]]+$CS$15*Table2912[[#This Row],[CH4 '[ml/g']]]+$CR$15*Table2912[[#This Row],[CH4 '[% GP']]]+$CQ$15*Table2912[[#This Row],[CH4 '[g/g DDM']]]</f>
        <v>5.7690868369254531</v>
      </c>
      <c r="AD142" s="18">
        <f>_xlfn.RANK.AVG(Table2912[[#This Row],[Index]],Table2912[Index])</f>
        <v>401</v>
      </c>
      <c r="AE14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7.7241067898994764</v>
      </c>
      <c r="AF142" s="18">
        <f>Table2912[[#This Row],[CH4 '[ml/g']]]/Table2912[[#This Row],[APB]]</f>
        <v>5.1140065841105518</v>
      </c>
      <c r="AG142" s="18">
        <f>Table2912[[#This Row],[Propionate '[%']]]/Table2912[[#This Row],[Acetate '[%']]]</f>
        <v>0.24807714014243737</v>
      </c>
      <c r="AH142" s="51"/>
      <c r="AI142" s="18"/>
      <c r="AJ142" s="18"/>
      <c r="AK142" s="18">
        <f>(Table2912[[#This Row],[DMD '[mg/g']]]-$AK$15)/$AK$15*100</f>
        <v>41.129451023904004</v>
      </c>
      <c r="AL142" s="18">
        <f>(Table2912[[#This Row],[CH4 '[ml/g']]]-AL$15)/AL$15*100</f>
        <v>0.4294827723296239</v>
      </c>
      <c r="AM142" s="18">
        <f>(Table2912[[#This Row],[CH4 '[% GP']]]-AM$15)/AM$15*100</f>
        <v>-10.12703531163606</v>
      </c>
      <c r="AN142" s="18">
        <f>(Table2912[[#This Row],[CH4 '[g/g DDM']]]-AN$15)/AN$15*100</f>
        <v>11.464869952610099</v>
      </c>
      <c r="AO142" s="18"/>
      <c r="AP142" s="18"/>
      <c r="AR142">
        <f>_xlfn.NORM.DIST(Table2912[[#This Row],[GP '[ml/g']]],O$6,O$2,FALSE)</f>
        <v>6.5384300410960177E-3</v>
      </c>
      <c r="AS142">
        <f>_xlfn.NORM.DIST(Table2912[[#This Row],[SCFA '[mmol/g']]],P$6,P$2,FALSE)</f>
        <v>0.14343242109393664</v>
      </c>
      <c r="AT142">
        <f>_xlfn.NORM.DIST(Table2912[[#This Row],[Acetate '[%']]],Q$6,Q$2,FALSE)</f>
        <v>12.534086315803192</v>
      </c>
      <c r="AU142">
        <f>_xlfn.NORM.DIST(Table2912[[#This Row],[Propionate '[%']]],R$6,R$2,FALSE)</f>
        <v>16.756146635649689</v>
      </c>
      <c r="AV142">
        <f>_xlfn.NORM.DIST(Table2912[[#This Row],[Butyrate '[%']]],S$6,S$2,FALSE)</f>
        <v>22.246172236521815</v>
      </c>
      <c r="AW142">
        <f>_xlfn.NORM.DIST(Table2912[[#This Row],[Valerate '[%']]],T$6,T$2,FALSE)</f>
        <v>46.428441573905602</v>
      </c>
      <c r="AX142">
        <f>_xlfn.NORM.DIST(Table2912[[#This Row],[Caproate '[%']]],U$6,U$2,FALSE)</f>
        <v>283.64701045646279</v>
      </c>
      <c r="AY142">
        <f>_xlfn.NORM.DIST(Table2912[[#This Row],[Isobutyrate '[%']]],V$6,V$2,FALSE)</f>
        <v>64.783472489585549</v>
      </c>
      <c r="AZ142">
        <f>_xlfn.NORM.DIST(Table2912[[#This Row],[Isovalerate '[%']]],W$6,W$2,FALSE)</f>
        <v>27.932301426711888</v>
      </c>
      <c r="BA142">
        <f>_xlfn.NORM.DIST(Table2912[[#This Row],[CH4 '[g/mmol SCFA']]],X$6,X$2,FALSE)</f>
        <v>0.17227429283617465</v>
      </c>
      <c r="BB142">
        <f>_xlfn.NORM.DIST(Table2912[[#This Row],[DMD '[mg/g']]],Y$6,Y$2,FALSE)</f>
        <v>2.4145002358949806E-3</v>
      </c>
      <c r="BC142">
        <f>_xlfn.NORM.DIST(Table2912[[#This Row],[CH4 '[ml/g']]],Z$6,Z$2,FALSE)</f>
        <v>3.3083473165734678E-2</v>
      </c>
      <c r="BD142">
        <f>_xlfn.NORM.DIST(Table2912[[#This Row],[CH4 '[% GP']]],AA$6,AA$2,FALSE)</f>
        <v>0.10431741471178145</v>
      </c>
      <c r="BE142">
        <f>_xlfn.NORM.DIST(Table2912[[#This Row],[CH4 '[g/g DDM']]],AB$6,AB$2,FALSE)</f>
        <v>3.1335888345221372E-2</v>
      </c>
      <c r="BG142">
        <f>IF(Table2912[[#This Row],[GP '[ml/g']]]&lt;O$10,_xlfn.NORM.DIST(Table2912[[#This Row],[GP '[ml/g']]],O$6,O$2,FALSE),-100)</f>
        <v>-100</v>
      </c>
      <c r="BH142">
        <f>IF(Table2912[[#This Row],[SCFA '[mmol/g']]]&lt;P$10,_xlfn.NORM.DIST(Table2912[[#This Row],[SCFA '[mmol/g']]],P$6,P$2,FALSE),-100)</f>
        <v>-100</v>
      </c>
      <c r="BI142">
        <f>IF(Table2912[[#This Row],[Acetate '[%']]]&lt;Q$10,_xlfn.NORM.DIST(Table2912[[#This Row],[Acetate '[%']]],Q$6,Q$2,FALSE),-100)</f>
        <v>-100</v>
      </c>
      <c r="BJ142">
        <f>IF(Table2912[[#This Row],[Propionate '[%']]]&lt;R$10,_xlfn.NORM.DIST(Table2912[[#This Row],[Propionate '[%']]],R$6,R$2,FALSE),-100)</f>
        <v>-100</v>
      </c>
      <c r="BK142">
        <f>IF(Table2912[[#This Row],[Butyrate '[%']]]&lt;S$10,_xlfn.NORM.DIST(Table2912[[#This Row],[Butyrate '[%']]],S$6,S$2,FALSE),-100)</f>
        <v>-100</v>
      </c>
      <c r="BL142">
        <f>IF(Table2912[[#This Row],[Valerate '[%']]]&lt;T$10,_xlfn.NORM.DIST(Table2912[[#This Row],[Valerate '[%']]],T$6,T$2,FALSE),-100)</f>
        <v>46.428441573905602</v>
      </c>
      <c r="BM142">
        <f>IF(Table2912[[#This Row],[Caproate '[%']]]&lt;U$10,_xlfn.NORM.DIST(Table2912[[#This Row],[Caproate '[%']]],U$6,U$2,FALSE),-100)</f>
        <v>-100</v>
      </c>
      <c r="BN142">
        <f>IF(Table2912[[#This Row],[Isobutyrate '[%']]]&lt;V$10,_xlfn.NORM.DIST(Table2912[[#This Row],[Isobutyrate '[%']]],V$6,V$2,FALSE),-100)</f>
        <v>-100</v>
      </c>
      <c r="BO142">
        <f>IF(Table2912[[#This Row],[Isovalerate '[%']]]&lt;W$10,_xlfn.NORM.DIST(Table2912[[#This Row],[Isovalerate '[%']]],W$6,W$2,FALSE),-100)</f>
        <v>-100</v>
      </c>
      <c r="BP142">
        <f>IF(Table2912[[#This Row],[CH4 '[g/mmol SCFA']]]&lt;X$10,_xlfn.NORM.DIST(Table2912[[#This Row],[CH4 '[g/mmol SCFA']]],X$6,X$2,FALSE),-100)</f>
        <v>0.17227429283617465</v>
      </c>
      <c r="BQ142">
        <f>IF(Table2912[[#This Row],[DMD '[mg/g']]]&gt;Y$10,_xlfn.NORM.DIST(Table2912[[#This Row],[DMD '[mg/g']]],Y$6,Y$2,FALSE),-100)</f>
        <v>-100</v>
      </c>
      <c r="BR142">
        <f>IF(Table2912[[#This Row],[CH4 '[ml/g']]]&lt;Z$10,_xlfn.NORM.DIST(Table2912[[#This Row],[CH4 '[ml/g']]],Z$6,Z$2,FALSE),-100)</f>
        <v>-100</v>
      </c>
      <c r="BS142">
        <f>IF(Table2912[[#This Row],[CH4 '[% GP']]]&lt;AA$10,_xlfn.NORM.DIST(Table2912[[#This Row],[CH4 '[% GP']]],AA$6,AA$2,FALSE),-100)</f>
        <v>-100</v>
      </c>
      <c r="BT142">
        <f>IF(Table2912[[#This Row],[CH4 '[g/g DDM']]]&lt;AB$10,_xlfn.NORM.DIST(Table2912[[#This Row],[CH4 '[g/g DDM']]],AB$6,AB$2,FALSE),-100)</f>
        <v>-100</v>
      </c>
      <c r="CJ142" t="str">
        <v>Stylosanthes scabra</v>
      </c>
      <c r="CL142" t="str">
        <v>Stylosanthes scabra</v>
      </c>
    </row>
    <row r="143" spans="1:90" x14ac:dyDescent="0.25">
      <c r="A143" s="12" t="s">
        <v>70</v>
      </c>
      <c r="B143" s="13">
        <v>1030</v>
      </c>
      <c r="C143" s="96" t="s">
        <v>224</v>
      </c>
      <c r="D143" s="96"/>
      <c r="E143" s="96"/>
      <c r="F143" s="96" t="s">
        <v>225</v>
      </c>
      <c r="G143" s="15" t="s">
        <v>73</v>
      </c>
      <c r="H143" s="15" t="s">
        <v>74</v>
      </c>
      <c r="I143" t="s">
        <v>75</v>
      </c>
      <c r="J143" s="107">
        <v>3</v>
      </c>
      <c r="K143" s="107"/>
      <c r="L143" s="107"/>
      <c r="M143" t="s">
        <v>225</v>
      </c>
      <c r="N143" t="s">
        <v>81</v>
      </c>
      <c r="O143" s="18">
        <v>300.21627296587781</v>
      </c>
      <c r="P143" s="18">
        <v>7.5199009523513123</v>
      </c>
      <c r="Q143" s="97">
        <v>0.69065544393939071</v>
      </c>
      <c r="R143" s="97">
        <v>0.15332932135842381</v>
      </c>
      <c r="S143" s="97">
        <v>0.10452824566169902</v>
      </c>
      <c r="T143" s="97">
        <v>1.3830057041651174E-2</v>
      </c>
      <c r="U143" s="97">
        <v>1.8417189929495741E-3</v>
      </c>
      <c r="V143" s="97">
        <v>1.3612327626603297E-2</v>
      </c>
      <c r="W143" s="97">
        <v>2.2202885379282375E-2</v>
      </c>
      <c r="X143" s="51">
        <f t="shared" si="8"/>
        <v>6.1922482144775355</v>
      </c>
      <c r="Y143" s="18">
        <v>693.57603767908449</v>
      </c>
      <c r="Z143" s="18">
        <v>46.565093245245329</v>
      </c>
      <c r="AA143" s="18">
        <f t="shared" si="9"/>
        <v>15.510516064043555</v>
      </c>
      <c r="AB143" s="18">
        <f t="shared" si="10"/>
        <v>67.137690340436549</v>
      </c>
      <c r="AC143" s="18">
        <f>$CP$15*Table2912[[#This Row],[DMD '[mg/g']]]+$CS$15*Table2912[[#This Row],[CH4 '[ml/g']]]+$CR$15*Table2912[[#This Row],[CH4 '[% GP']]]+$CQ$15*Table2912[[#This Row],[CH4 '[g/g DDM']]]</f>
        <v>0.6830974920934807</v>
      </c>
      <c r="AD143" s="18">
        <f>_xlfn.RANK.AVG(Table2912[[#This Row],[Index]],Table2912[Index])</f>
        <v>440</v>
      </c>
      <c r="AE14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7.1327238944320568</v>
      </c>
      <c r="AF143" s="18">
        <f>Table2912[[#This Row],[CH4 '[ml/g']]]/Table2912[[#This Row],[APB]]</f>
        <v>6.5283745641121689</v>
      </c>
      <c r="AG143" s="18">
        <f>Table2912[[#This Row],[Propionate '[%']]]/Table2912[[#This Row],[Acetate '[%']]]</f>
        <v>0.22200552055864112</v>
      </c>
      <c r="AH143" s="51"/>
      <c r="AI143" s="18"/>
      <c r="AJ143" s="18"/>
      <c r="AK143" s="18">
        <f>(Table2912[[#This Row],[DMD '[mg/g']]]-$AK$15)/$AK$15*100</f>
        <v>41.462661321852998</v>
      </c>
      <c r="AL143" s="18">
        <f>(Table2912[[#This Row],[CH4 '[ml/g']]]-AL$15)/AL$15*100</f>
        <v>18.38921765212833</v>
      </c>
      <c r="AM143" s="18">
        <f>(Table2912[[#This Row],[CH4 '[% GP']]]-AM$15)/AM$15*100</f>
        <v>-7.6262419293829847E-2</v>
      </c>
      <c r="AN143" s="18">
        <f>(Table2912[[#This Row],[CH4 '[g/g DDM']]]-AN$15)/AN$15*100</f>
        <v>31.088552007700081</v>
      </c>
      <c r="AO143" s="18"/>
      <c r="AP143" s="18"/>
      <c r="AR143">
        <f>_xlfn.NORM.DIST(Table2912[[#This Row],[GP '[ml/g']]],O$6,O$2,FALSE)</f>
        <v>5.2624652173155814E-3</v>
      </c>
      <c r="AS143">
        <f>_xlfn.NORM.DIST(Table2912[[#This Row],[SCFA '[mmol/g']]],P$6,P$2,FALSE)</f>
        <v>0.23785424926096357</v>
      </c>
      <c r="AT143">
        <f>_xlfn.NORM.DIST(Table2912[[#This Row],[Acetate '[%']]],Q$6,Q$2,FALSE)</f>
        <v>11.600140184211698</v>
      </c>
      <c r="AU143">
        <f>_xlfn.NORM.DIST(Table2912[[#This Row],[Propionate '[%']]],R$6,R$2,FALSE)</f>
        <v>12.384561836221886</v>
      </c>
      <c r="AV143">
        <f>_xlfn.NORM.DIST(Table2912[[#This Row],[Butyrate '[%']]],S$6,S$2,FALSE)</f>
        <v>18.399823732285423</v>
      </c>
      <c r="AW143">
        <f>_xlfn.NORM.DIST(Table2912[[#This Row],[Valerate '[%']]],T$6,T$2,FALSE)</f>
        <v>58.734571787454009</v>
      </c>
      <c r="AX143">
        <f>_xlfn.NORM.DIST(Table2912[[#This Row],[Caproate '[%']]],U$6,U$2,FALSE)</f>
        <v>355.67402674795585</v>
      </c>
      <c r="AY143">
        <f>_xlfn.NORM.DIST(Table2912[[#This Row],[Isobutyrate '[%']]],V$6,V$2,FALSE)</f>
        <v>83.705515231772438</v>
      </c>
      <c r="AZ143">
        <f>_xlfn.NORM.DIST(Table2912[[#This Row],[Isovalerate '[%']]],W$6,W$2,FALSE)</f>
        <v>36.821613323635077</v>
      </c>
      <c r="BA143">
        <f>_xlfn.NORM.DIST(Table2912[[#This Row],[CH4 '[g/mmol SCFA']]],X$6,X$2,FALSE)</f>
        <v>0.29673119542703813</v>
      </c>
      <c r="BB143">
        <f>_xlfn.NORM.DIST(Table2912[[#This Row],[DMD '[mg/g']]],Y$6,Y$2,FALSE)</f>
        <v>2.4321065124086813E-3</v>
      </c>
      <c r="BC143">
        <f>_xlfn.NORM.DIST(Table2912[[#This Row],[CH4 '[ml/g']]],Z$6,Z$2,FALSE)</f>
        <v>3.0495033709840132E-2</v>
      </c>
      <c r="BD143">
        <f>_xlfn.NORM.DIST(Table2912[[#This Row],[CH4 '[% GP']]],AA$6,AA$2,FALSE)</f>
        <v>0.13234843350606462</v>
      </c>
      <c r="BE143">
        <f>_xlfn.NORM.DIST(Table2912[[#This Row],[CH4 '[g/g DDM']]],AB$6,AB$2,FALSE)</f>
        <v>1.7250688720463866E-2</v>
      </c>
      <c r="BG143">
        <f>IF(Table2912[[#This Row],[GP '[ml/g']]]&lt;O$10,_xlfn.NORM.DIST(Table2912[[#This Row],[GP '[ml/g']]],O$6,O$2,FALSE),-100)</f>
        <v>-100</v>
      </c>
      <c r="BH143">
        <f>IF(Table2912[[#This Row],[SCFA '[mmol/g']]]&lt;P$10,_xlfn.NORM.DIST(Table2912[[#This Row],[SCFA '[mmol/g']]],P$6,P$2,FALSE),-100)</f>
        <v>-100</v>
      </c>
      <c r="BI143">
        <f>IF(Table2912[[#This Row],[Acetate '[%']]]&lt;Q$10,_xlfn.NORM.DIST(Table2912[[#This Row],[Acetate '[%']]],Q$6,Q$2,FALSE),-100)</f>
        <v>-100</v>
      </c>
      <c r="BJ143">
        <f>IF(Table2912[[#This Row],[Propionate '[%']]]&lt;R$10,_xlfn.NORM.DIST(Table2912[[#This Row],[Propionate '[%']]],R$6,R$2,FALSE),-100)</f>
        <v>-100</v>
      </c>
      <c r="BK143">
        <f>IF(Table2912[[#This Row],[Butyrate '[%']]]&lt;S$10,_xlfn.NORM.DIST(Table2912[[#This Row],[Butyrate '[%']]],S$6,S$2,FALSE),-100)</f>
        <v>-100</v>
      </c>
      <c r="BL143">
        <f>IF(Table2912[[#This Row],[Valerate '[%']]]&lt;T$10,_xlfn.NORM.DIST(Table2912[[#This Row],[Valerate '[%']]],T$6,T$2,FALSE),-100)</f>
        <v>-100</v>
      </c>
      <c r="BM143">
        <f>IF(Table2912[[#This Row],[Caproate '[%']]]&lt;U$10,_xlfn.NORM.DIST(Table2912[[#This Row],[Caproate '[%']]],U$6,U$2,FALSE),-100)</f>
        <v>-100</v>
      </c>
      <c r="BN143">
        <f>IF(Table2912[[#This Row],[Isobutyrate '[%']]]&lt;V$10,_xlfn.NORM.DIST(Table2912[[#This Row],[Isobutyrate '[%']]],V$6,V$2,FALSE),-100)</f>
        <v>-100</v>
      </c>
      <c r="BO143">
        <f>IF(Table2912[[#This Row],[Isovalerate '[%']]]&lt;W$10,_xlfn.NORM.DIST(Table2912[[#This Row],[Isovalerate '[%']]],W$6,W$2,FALSE),-100)</f>
        <v>-100</v>
      </c>
      <c r="BP143">
        <f>IF(Table2912[[#This Row],[CH4 '[g/mmol SCFA']]]&lt;X$10,_xlfn.NORM.DIST(Table2912[[#This Row],[CH4 '[g/mmol SCFA']]],X$6,X$2,FALSE),-100)</f>
        <v>-100</v>
      </c>
      <c r="BQ143">
        <f>IF(Table2912[[#This Row],[DMD '[mg/g']]]&gt;Y$10,_xlfn.NORM.DIST(Table2912[[#This Row],[DMD '[mg/g']]],Y$6,Y$2,FALSE),-100)</f>
        <v>-100</v>
      </c>
      <c r="BR143">
        <f>IF(Table2912[[#This Row],[CH4 '[ml/g']]]&lt;Z$10,_xlfn.NORM.DIST(Table2912[[#This Row],[CH4 '[ml/g']]],Z$6,Z$2,FALSE),-100)</f>
        <v>-100</v>
      </c>
      <c r="BS143">
        <f>IF(Table2912[[#This Row],[CH4 '[% GP']]]&lt;AA$10,_xlfn.NORM.DIST(Table2912[[#This Row],[CH4 '[% GP']]],AA$6,AA$2,FALSE),-100)</f>
        <v>-100</v>
      </c>
      <c r="BT143">
        <f>IF(Table2912[[#This Row],[CH4 '[g/g DDM']]]&lt;AB$10,_xlfn.NORM.DIST(Table2912[[#This Row],[CH4 '[g/g DDM']]],AB$6,AB$2,FALSE),-100)</f>
        <v>-100</v>
      </c>
      <c r="CJ143" t="str">
        <v>Hordeum vulgare(ICB-87)</v>
      </c>
      <c r="CL143" t="str">
        <v>Hordeum vulgare(ICB-87)</v>
      </c>
    </row>
    <row r="144" spans="1:90" ht="15" customHeight="1" x14ac:dyDescent="0.25">
      <c r="A144" s="12" t="s">
        <v>70</v>
      </c>
      <c r="B144" s="13">
        <v>995</v>
      </c>
      <c r="C144" s="96" t="s">
        <v>226</v>
      </c>
      <c r="D144" s="96"/>
      <c r="E144" s="96"/>
      <c r="F144" s="96" t="s">
        <v>227</v>
      </c>
      <c r="G144" s="15" t="s">
        <v>73</v>
      </c>
      <c r="H144" s="15" t="s">
        <v>74</v>
      </c>
      <c r="I144" t="s">
        <v>75</v>
      </c>
      <c r="J144" s="100">
        <v>2</v>
      </c>
      <c r="K144" s="100"/>
      <c r="L144" s="100"/>
      <c r="M144" t="s">
        <v>227</v>
      </c>
      <c r="N144" t="s">
        <v>180</v>
      </c>
      <c r="O144" s="18">
        <v>261.98388447971814</v>
      </c>
      <c r="P144" s="18">
        <v>6.5465574917567686</v>
      </c>
      <c r="Q144" s="97">
        <v>0.67756443723043924</v>
      </c>
      <c r="R144" s="97">
        <v>0.16137297583900412</v>
      </c>
      <c r="S144" s="97">
        <v>9.4021250132986942E-2</v>
      </c>
      <c r="T144" s="97">
        <v>1.7241518325110908E-2</v>
      </c>
      <c r="U144" s="97">
        <v>1.680691706226392E-3</v>
      </c>
      <c r="V144" s="97">
        <v>1.6182335856680937E-2</v>
      </c>
      <c r="W144" s="97">
        <v>3.1936790909551538E-2</v>
      </c>
      <c r="X144" s="51">
        <f t="shared" si="8"/>
        <v>5.6808102218569401</v>
      </c>
      <c r="Y144" s="18">
        <v>693.96736516301735</v>
      </c>
      <c r="Z144" s="18">
        <v>37.189750717145984</v>
      </c>
      <c r="AA144" s="18">
        <f t="shared" si="9"/>
        <v>14.195434498195281</v>
      </c>
      <c r="AB144" s="18">
        <f t="shared" si="10"/>
        <v>53.5900570892262</v>
      </c>
      <c r="AC144" s="18">
        <f>$CP$15*Table2912[[#This Row],[DMD '[mg/g']]]+$CS$15*Table2912[[#This Row],[CH4 '[ml/g']]]+$CR$15*Table2912[[#This Row],[CH4 '[% GP']]]+$CQ$15*Table2912[[#This Row],[CH4 '[g/g DDM']]]</f>
        <v>7.5274554411847063</v>
      </c>
      <c r="AD144" s="18">
        <f>_xlfn.RANK.AVG(Table2912[[#This Row],[Index]],Table2912[Index])</f>
        <v>377</v>
      </c>
      <c r="AE14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6.1076675260872504</v>
      </c>
      <c r="AF144" s="18">
        <f>Table2912[[#This Row],[CH4 '[ml/g']]]/Table2912[[#This Row],[APB]]</f>
        <v>6.0890267124561088</v>
      </c>
      <c r="AG144" s="18">
        <f>Table2912[[#This Row],[Propionate '[%']]]/Table2912[[#This Row],[Acetate '[%']]]</f>
        <v>0.23816624216380067</v>
      </c>
      <c r="AH144" s="51"/>
      <c r="AI144" s="18"/>
      <c r="AJ144" s="18"/>
      <c r="AK144" s="18">
        <f>(Table2912[[#This Row],[DMD '[mg/g']]]-$AK$15)/$AK$15*100</f>
        <v>41.542476979139508</v>
      </c>
      <c r="AL144" s="18">
        <f>(Table2912[[#This Row],[CH4 '[ml/g']]]-AL$15)/AL$15*100</f>
        <v>-5.4470809519927332</v>
      </c>
      <c r="AM144" s="18">
        <f>(Table2912[[#This Row],[CH4 '[% GP']]]-AM$15)/AM$15*100</f>
        <v>-8.5484412133751277</v>
      </c>
      <c r="AN144" s="18">
        <f>(Table2912[[#This Row],[CH4 '[g/g DDM']]]-AN$15)/AN$15*100</f>
        <v>4.6363518049936863</v>
      </c>
      <c r="AO144" s="18"/>
      <c r="AP144" s="18"/>
      <c r="AR144">
        <f>_xlfn.NORM.DIST(Table2912[[#This Row],[GP '[ml/g']]],O$6,O$2,FALSE)</f>
        <v>7.4246234378871952E-3</v>
      </c>
      <c r="AS144">
        <f>_xlfn.NORM.DIST(Table2912[[#This Row],[SCFA '[mmol/g']]],P$6,P$2,FALSE)</f>
        <v>0.33273408899169254</v>
      </c>
      <c r="AT144">
        <f>_xlfn.NORM.DIST(Table2912[[#This Row],[Acetate '[%']]],Q$6,Q$2,FALSE)</f>
        <v>13.857052717814458</v>
      </c>
      <c r="AU144">
        <f>_xlfn.NORM.DIST(Table2912[[#This Row],[Propionate '[%']]],R$6,R$2,FALSE)</f>
        <v>15.230453345502532</v>
      </c>
      <c r="AV144">
        <f>_xlfn.NORM.DIST(Table2912[[#This Row],[Butyrate '[%']]],S$6,S$2,FALSE)</f>
        <v>22.983713890158995</v>
      </c>
      <c r="AW144">
        <f>_xlfn.NORM.DIST(Table2912[[#This Row],[Valerate '[%']]],T$6,T$2,FALSE)</f>
        <v>77.141766283038223</v>
      </c>
      <c r="AX144">
        <f>_xlfn.NORM.DIST(Table2912[[#This Row],[Caproate '[%']]],U$6,U$2,FALSE)</f>
        <v>382.12214329084344</v>
      </c>
      <c r="AY144">
        <f>_xlfn.NORM.DIST(Table2912[[#This Row],[Isobutyrate '[%']]],V$6,V$2,FALSE)</f>
        <v>88.453275943395809</v>
      </c>
      <c r="AZ144">
        <f>_xlfn.NORM.DIST(Table2912[[#This Row],[Isovalerate '[%']]],W$6,W$2,FALSE)</f>
        <v>40.864220289896899</v>
      </c>
      <c r="BA144">
        <f>_xlfn.NORM.DIST(Table2912[[#This Row],[CH4 '[g/mmol SCFA']]],X$6,X$2,FALSE)</f>
        <v>0.2689222826074586</v>
      </c>
      <c r="BB144">
        <f>_xlfn.NORM.DIST(Table2912[[#This Row],[DMD '[mg/g']]],Y$6,Y$2,FALSE)</f>
        <v>2.4362912870990894E-3</v>
      </c>
      <c r="BC144">
        <f>_xlfn.NORM.DIST(Table2912[[#This Row],[CH4 '[ml/g']]],Z$6,Z$2,FALSE)</f>
        <v>3.1477188219166299E-2</v>
      </c>
      <c r="BD144">
        <f>_xlfn.NORM.DIST(Table2912[[#This Row],[CH4 '[% GP']]],AA$6,AA$2,FALSE)</f>
        <v>0.1102986613341492</v>
      </c>
      <c r="BE144">
        <f>_xlfn.NORM.DIST(Table2912[[#This Row],[CH4 '[g/g DDM']]],AB$6,AB$2,FALSE)</f>
        <v>3.2845935133414009E-2</v>
      </c>
      <c r="BG144">
        <f>IF(Table2912[[#This Row],[GP '[ml/g']]]&lt;O$10,_xlfn.NORM.DIST(Table2912[[#This Row],[GP '[ml/g']]],O$6,O$2,FALSE),-100)</f>
        <v>-100</v>
      </c>
      <c r="BH144">
        <f>IF(Table2912[[#This Row],[SCFA '[mmol/g']]]&lt;P$10,_xlfn.NORM.DIST(Table2912[[#This Row],[SCFA '[mmol/g']]],P$6,P$2,FALSE),-100)</f>
        <v>-100</v>
      </c>
      <c r="BI144">
        <f>IF(Table2912[[#This Row],[Acetate '[%']]]&lt;Q$10,_xlfn.NORM.DIST(Table2912[[#This Row],[Acetate '[%']]],Q$6,Q$2,FALSE),-100)</f>
        <v>-100</v>
      </c>
      <c r="BJ144">
        <f>IF(Table2912[[#This Row],[Propionate '[%']]]&lt;R$10,_xlfn.NORM.DIST(Table2912[[#This Row],[Propionate '[%']]],R$6,R$2,FALSE),-100)</f>
        <v>-100</v>
      </c>
      <c r="BK144">
        <f>IF(Table2912[[#This Row],[Butyrate '[%']]]&lt;S$10,_xlfn.NORM.DIST(Table2912[[#This Row],[Butyrate '[%']]],S$6,S$2,FALSE),-100)</f>
        <v>-100</v>
      </c>
      <c r="BL144">
        <f>IF(Table2912[[#This Row],[Valerate '[%']]]&lt;T$10,_xlfn.NORM.DIST(Table2912[[#This Row],[Valerate '[%']]],T$6,T$2,FALSE),-100)</f>
        <v>-100</v>
      </c>
      <c r="BM144">
        <f>IF(Table2912[[#This Row],[Caproate '[%']]]&lt;U$10,_xlfn.NORM.DIST(Table2912[[#This Row],[Caproate '[%']]],U$6,U$2,FALSE),-100)</f>
        <v>-100</v>
      </c>
      <c r="BN144">
        <f>IF(Table2912[[#This Row],[Isobutyrate '[%']]]&lt;V$10,_xlfn.NORM.DIST(Table2912[[#This Row],[Isobutyrate '[%']]],V$6,V$2,FALSE),-100)</f>
        <v>-100</v>
      </c>
      <c r="BO144">
        <f>IF(Table2912[[#This Row],[Isovalerate '[%']]]&lt;W$10,_xlfn.NORM.DIST(Table2912[[#This Row],[Isovalerate '[%']]],W$6,W$2,FALSE),-100)</f>
        <v>-100</v>
      </c>
      <c r="BP144">
        <f>IF(Table2912[[#This Row],[CH4 '[g/mmol SCFA']]]&lt;X$10,_xlfn.NORM.DIST(Table2912[[#This Row],[CH4 '[g/mmol SCFA']]],X$6,X$2,FALSE),-100)</f>
        <v>-100</v>
      </c>
      <c r="BQ144">
        <f>IF(Table2912[[#This Row],[DMD '[mg/g']]]&gt;Y$10,_xlfn.NORM.DIST(Table2912[[#This Row],[DMD '[mg/g']]],Y$6,Y$2,FALSE),-100)</f>
        <v>-100</v>
      </c>
      <c r="BR144">
        <f>IF(Table2912[[#This Row],[CH4 '[ml/g']]]&lt;Z$10,_xlfn.NORM.DIST(Table2912[[#This Row],[CH4 '[ml/g']]],Z$6,Z$2,FALSE),-100)</f>
        <v>-100</v>
      </c>
      <c r="BS144">
        <f>IF(Table2912[[#This Row],[CH4 '[% GP']]]&lt;AA$10,_xlfn.NORM.DIST(Table2912[[#This Row],[CH4 '[% GP']]],AA$6,AA$2,FALSE),-100)</f>
        <v>-100</v>
      </c>
      <c r="BT144">
        <f>IF(Table2912[[#This Row],[CH4 '[g/g DDM']]]&lt;AB$10,_xlfn.NORM.DIST(Table2912[[#This Row],[CH4 '[g/g DDM']]],AB$6,AB$2,FALSE),-100)</f>
        <v>-100</v>
      </c>
      <c r="CJ144" t="str">
        <v>Trifolium repens-302</v>
      </c>
      <c r="CL144" t="str">
        <v>Trifolium repens-302</v>
      </c>
    </row>
    <row r="145" spans="1:90" x14ac:dyDescent="0.25">
      <c r="A145" s="12" t="s">
        <v>70</v>
      </c>
      <c r="B145" s="13">
        <v>1017</v>
      </c>
      <c r="C145" s="96" t="s">
        <v>196</v>
      </c>
      <c r="D145" s="96"/>
      <c r="E145" s="96"/>
      <c r="F145" s="96" t="s">
        <v>197</v>
      </c>
      <c r="G145" t="s">
        <v>73</v>
      </c>
      <c r="H145" t="s">
        <v>74</v>
      </c>
      <c r="I145" s="99" t="s">
        <v>79</v>
      </c>
      <c r="J145" s="100">
        <v>3</v>
      </c>
      <c r="K145" s="100"/>
      <c r="L145" s="100"/>
      <c r="M145" t="s">
        <v>197</v>
      </c>
      <c r="N145" t="s">
        <v>76</v>
      </c>
      <c r="O145" s="18">
        <v>248.64444444444467</v>
      </c>
      <c r="P145" s="18">
        <v>6.6342222222222214</v>
      </c>
      <c r="Q145" s="97">
        <v>0.68098398722047815</v>
      </c>
      <c r="R145" s="97">
        <v>0.16211191852354701</v>
      </c>
      <c r="S145" s="97">
        <v>9.2869878557296656E-2</v>
      </c>
      <c r="T145" s="97">
        <v>1.5802714121697987E-2</v>
      </c>
      <c r="U145" s="97">
        <v>1.1727546003181724E-3</v>
      </c>
      <c r="V145" s="97">
        <v>1.5754914155707199E-2</v>
      </c>
      <c r="W145" s="97">
        <v>3.1303832820954766E-2</v>
      </c>
      <c r="X145" s="51">
        <f t="shared" si="8"/>
        <v>6.0445248472146353</v>
      </c>
      <c r="Y145" s="18">
        <v>698.33333333333348</v>
      </c>
      <c r="Z145" s="18">
        <v>40.100721064165711</v>
      </c>
      <c r="AA145" s="18">
        <f t="shared" si="9"/>
        <v>16.12773659743905</v>
      </c>
      <c r="AB145" s="18">
        <f t="shared" si="10"/>
        <v>57.423466917659717</v>
      </c>
      <c r="AC145" s="18">
        <f>$CP$15*Table2912[[#This Row],[DMD '[mg/g']]]+$CS$15*Table2912[[#This Row],[CH4 '[ml/g']]]+$CR$15*Table2912[[#This Row],[CH4 '[% GP']]]+$CQ$15*Table2912[[#This Row],[CH4 '[g/g DDM']]]</f>
        <v>5.513837959026084</v>
      </c>
      <c r="AD145" s="18">
        <f>_xlfn.RANK.AVG(Table2912[[#This Row],[Index]],Table2912[Index])</f>
        <v>404</v>
      </c>
      <c r="AE14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6.2094050054514796</v>
      </c>
      <c r="AF145" s="18">
        <f>Table2912[[#This Row],[CH4 '[ml/g']]]/Table2912[[#This Row],[APB]]</f>
        <v>6.4580617674253364</v>
      </c>
      <c r="AG145" s="18">
        <f>Table2912[[#This Row],[Propionate '[%']]]/Table2912[[#This Row],[Acetate '[%']]]</f>
        <v>0.23805540448201609</v>
      </c>
      <c r="AH145" s="51"/>
      <c r="AI145" s="18"/>
      <c r="AJ145" s="18"/>
      <c r="AK145" s="18">
        <f>(Table2912[[#This Row],[DMD '[mg/g']]]-$AK$15)/$AK$15*100</f>
        <v>42.432965466438134</v>
      </c>
      <c r="AL145" s="18">
        <f>(Table2912[[#This Row],[CH4 '[ml/g']]]-AL$15)/AL$15*100</f>
        <v>1.9539028746078781</v>
      </c>
      <c r="AM145" s="18">
        <f>(Table2912[[#This Row],[CH4 '[% GP']]]-AM$15)/AM$15*100</f>
        <v>3.9000709505164566</v>
      </c>
      <c r="AN145" s="18">
        <f>(Table2912[[#This Row],[CH4 '[g/g DDM']]]-AN$15)/AN$15*100</f>
        <v>12.121210773381133</v>
      </c>
      <c r="AO145" s="18"/>
      <c r="AP145" s="18"/>
      <c r="AR145">
        <f>_xlfn.NORM.DIST(Table2912[[#This Row],[GP '[ml/g']]],O$6,O$2,FALSE)</f>
        <v>7.4185125952248056E-3</v>
      </c>
      <c r="AS145">
        <f>_xlfn.NORM.DIST(Table2912[[#This Row],[SCFA '[mmol/g']]],P$6,P$2,FALSE)</f>
        <v>0.33166206274416643</v>
      </c>
      <c r="AT145">
        <f>_xlfn.NORM.DIST(Table2912[[#This Row],[Acetate '[%']]],Q$6,Q$2,FALSE)</f>
        <v>13.501475936622297</v>
      </c>
      <c r="AU145">
        <f>_xlfn.NORM.DIST(Table2912[[#This Row],[Propionate '[%']]],R$6,R$2,FALSE)</f>
        <v>15.433660360227327</v>
      </c>
      <c r="AV145">
        <f>_xlfn.NORM.DIST(Table2912[[#This Row],[Butyrate '[%']]],S$6,S$2,FALSE)</f>
        <v>23.029947958537704</v>
      </c>
      <c r="AW145">
        <f>_xlfn.NORM.DIST(Table2912[[#This Row],[Valerate '[%']]],T$6,T$2,FALSE)</f>
        <v>72.535667866183658</v>
      </c>
      <c r="AX145">
        <f>_xlfn.NORM.DIST(Table2912[[#This Row],[Caproate '[%']]],U$6,U$2,FALSE)</f>
        <v>401.51088739598788</v>
      </c>
      <c r="AY145">
        <f>_xlfn.NORM.DIST(Table2912[[#This Row],[Isobutyrate '[%']]],V$6,V$2,FALSE)</f>
        <v>89.719234808626666</v>
      </c>
      <c r="AZ145">
        <f>_xlfn.NORM.DIST(Table2912[[#This Row],[Isovalerate '[%']]],W$6,W$2,FALSE)</f>
        <v>42.13300828826128</v>
      </c>
      <c r="BA145">
        <f>_xlfn.NORM.DIST(Table2912[[#This Row],[CH4 '[g/mmol SCFA']]],X$6,X$2,FALSE)</f>
        <v>0.29275431828479875</v>
      </c>
      <c r="BB145">
        <f>_xlfn.NORM.DIST(Table2912[[#This Row],[DMD '[mg/g']]],Y$6,Y$2,FALSE)</f>
        <v>2.4820936110189237E-3</v>
      </c>
      <c r="BC145">
        <f>_xlfn.NORM.DIST(Table2912[[#This Row],[CH4 '[ml/g']]],Z$6,Z$2,FALSE)</f>
        <v>3.3307709886808402E-2</v>
      </c>
      <c r="BD145">
        <f>_xlfn.NORM.DIST(Table2912[[#This Row],[CH4 '[% GP']]],AA$6,AA$2,FALSE)</f>
        <v>0.13468969310955475</v>
      </c>
      <c r="BE145">
        <f>_xlfn.NORM.DIST(Table2912[[#This Row],[CH4 '[g/g DDM']]],AB$6,AB$2,FALSE)</f>
        <v>3.1058460293801105E-2</v>
      </c>
      <c r="BG145">
        <f>IF(Table2912[[#This Row],[GP '[ml/g']]]&lt;O$10,_xlfn.NORM.DIST(Table2912[[#This Row],[GP '[ml/g']]],O$6,O$2,FALSE),-100)</f>
        <v>-100</v>
      </c>
      <c r="BH145">
        <f>IF(Table2912[[#This Row],[SCFA '[mmol/g']]]&lt;P$10,_xlfn.NORM.DIST(Table2912[[#This Row],[SCFA '[mmol/g']]],P$6,P$2,FALSE),-100)</f>
        <v>-100</v>
      </c>
      <c r="BI145">
        <f>IF(Table2912[[#This Row],[Acetate '[%']]]&lt;Q$10,_xlfn.NORM.DIST(Table2912[[#This Row],[Acetate '[%']]],Q$6,Q$2,FALSE),-100)</f>
        <v>-100</v>
      </c>
      <c r="BJ145">
        <f>IF(Table2912[[#This Row],[Propionate '[%']]]&lt;R$10,_xlfn.NORM.DIST(Table2912[[#This Row],[Propionate '[%']]],R$6,R$2,FALSE),-100)</f>
        <v>-100</v>
      </c>
      <c r="BK145">
        <f>IF(Table2912[[#This Row],[Butyrate '[%']]]&lt;S$10,_xlfn.NORM.DIST(Table2912[[#This Row],[Butyrate '[%']]],S$6,S$2,FALSE),-100)</f>
        <v>-100</v>
      </c>
      <c r="BL145">
        <f>IF(Table2912[[#This Row],[Valerate '[%']]]&lt;T$10,_xlfn.NORM.DIST(Table2912[[#This Row],[Valerate '[%']]],T$6,T$2,FALSE),-100)</f>
        <v>-100</v>
      </c>
      <c r="BM145">
        <f>IF(Table2912[[#This Row],[Caproate '[%']]]&lt;U$10,_xlfn.NORM.DIST(Table2912[[#This Row],[Caproate '[%']]],U$6,U$2,FALSE),-100)</f>
        <v>-100</v>
      </c>
      <c r="BN145">
        <f>IF(Table2912[[#This Row],[Isobutyrate '[%']]]&lt;V$10,_xlfn.NORM.DIST(Table2912[[#This Row],[Isobutyrate '[%']]],V$6,V$2,FALSE),-100)</f>
        <v>-100</v>
      </c>
      <c r="BO145">
        <f>IF(Table2912[[#This Row],[Isovalerate '[%']]]&lt;W$10,_xlfn.NORM.DIST(Table2912[[#This Row],[Isovalerate '[%']]],W$6,W$2,FALSE),-100)</f>
        <v>-100</v>
      </c>
      <c r="BP145">
        <f>IF(Table2912[[#This Row],[CH4 '[g/mmol SCFA']]]&lt;X$10,_xlfn.NORM.DIST(Table2912[[#This Row],[CH4 '[g/mmol SCFA']]],X$6,X$2,FALSE),-100)</f>
        <v>-100</v>
      </c>
      <c r="BQ145">
        <f>IF(Table2912[[#This Row],[DMD '[mg/g']]]&gt;Y$10,_xlfn.NORM.DIST(Table2912[[#This Row],[DMD '[mg/g']]],Y$6,Y$2,FALSE),-100)</f>
        <v>-100</v>
      </c>
      <c r="BR145">
        <f>IF(Table2912[[#This Row],[CH4 '[ml/g']]]&lt;Z$10,_xlfn.NORM.DIST(Table2912[[#This Row],[CH4 '[ml/g']]],Z$6,Z$2,FALSE),-100)</f>
        <v>-100</v>
      </c>
      <c r="BS145">
        <f>IF(Table2912[[#This Row],[CH4 '[% GP']]]&lt;AA$10,_xlfn.NORM.DIST(Table2912[[#This Row],[CH4 '[% GP']]],AA$6,AA$2,FALSE),-100)</f>
        <v>-100</v>
      </c>
      <c r="BT145">
        <f>IF(Table2912[[#This Row],[CH4 '[g/g DDM']]]&lt;AB$10,_xlfn.NORM.DIST(Table2912[[#This Row],[CH4 '[g/g DDM']]],AB$6,AB$2,FALSE),-100)</f>
        <v>-100</v>
      </c>
      <c r="CJ145" t="str">
        <v>Lathyrus sativus (IFLA-33)</v>
      </c>
      <c r="CL145" t="str">
        <v>Lathyrus sativus (IFLA-33)</v>
      </c>
    </row>
    <row r="146" spans="1:90" x14ac:dyDescent="0.25">
      <c r="A146" s="12" t="s">
        <v>70</v>
      </c>
      <c r="B146" s="13">
        <v>1026</v>
      </c>
      <c r="C146" s="96" t="s">
        <v>187</v>
      </c>
      <c r="D146" s="96"/>
      <c r="E146" s="96"/>
      <c r="F146" s="96" t="s">
        <v>188</v>
      </c>
      <c r="G146" t="s">
        <v>73</v>
      </c>
      <c r="H146" t="s">
        <v>74</v>
      </c>
      <c r="I146" t="s">
        <v>75</v>
      </c>
      <c r="J146" s="70">
        <v>3</v>
      </c>
      <c r="K146" s="70"/>
      <c r="L146" s="70"/>
      <c r="M146" t="s">
        <v>188</v>
      </c>
      <c r="N146" t="s">
        <v>84</v>
      </c>
      <c r="O146" s="18">
        <v>239.57189413823238</v>
      </c>
      <c r="P146" s="18">
        <v>6.6548188993771387</v>
      </c>
      <c r="Q146" s="97">
        <v>0.66791766736355951</v>
      </c>
      <c r="R146" s="97">
        <v>0.1399644889178312</v>
      </c>
      <c r="S146" s="97">
        <v>0.12773163569901211</v>
      </c>
      <c r="T146" s="97">
        <v>1.9043656397889821E-2</v>
      </c>
      <c r="U146" s="97">
        <v>1.5772325485622373E-3</v>
      </c>
      <c r="V146" s="97">
        <v>1.5711784481585132E-2</v>
      </c>
      <c r="W146" s="97">
        <v>2.8053534591560167E-2</v>
      </c>
      <c r="X146" s="51">
        <f t="shared" si="8"/>
        <v>5.8593867665153185</v>
      </c>
      <c r="Y146" s="18">
        <v>698.33405516159394</v>
      </c>
      <c r="Z146" s="18">
        <v>38.993157792566443</v>
      </c>
      <c r="AA146" s="18">
        <f t="shared" si="9"/>
        <v>16.276182117618308</v>
      </c>
      <c r="AB146" s="18">
        <f t="shared" si="10"/>
        <v>55.837399743513096</v>
      </c>
      <c r="AC146" s="18">
        <f>$CP$15*Table2912[[#This Row],[DMD '[mg/g']]]+$CS$15*Table2912[[#This Row],[CH4 '[ml/g']]]+$CR$15*Table2912[[#This Row],[CH4 '[% GP']]]+$CQ$15*Table2912[[#This Row],[CH4 '[g/g DDM']]]</f>
        <v>6.2159564682264019</v>
      </c>
      <c r="AD146" s="18">
        <f>_xlfn.RANK.AVG(Table2912[[#This Row],[Index]],Table2912[Index])</f>
        <v>394</v>
      </c>
      <c r="AE14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6.2263403453890955</v>
      </c>
      <c r="AF146" s="18">
        <f>Table2912[[#This Row],[CH4 '[ml/g']]]/Table2912[[#This Row],[APB]]</f>
        <v>6.2626126471616272</v>
      </c>
      <c r="AG146" s="18">
        <f>Table2912[[#This Row],[Propionate '[%']]]/Table2912[[#This Row],[Acetate '[%']]]</f>
        <v>0.20955350600367639</v>
      </c>
      <c r="AH146" s="51"/>
      <c r="AI146" s="18"/>
      <c r="AJ146" s="18"/>
      <c r="AK146" s="18">
        <f>(Table2912[[#This Row],[DMD '[mg/g']]]-$AK$15)/$AK$15*100</f>
        <v>42.433112691459172</v>
      </c>
      <c r="AL146" s="18">
        <f>(Table2912[[#This Row],[CH4 '[ml/g']]]-AL$15)/AL$15*100</f>
        <v>-0.86201652094187453</v>
      </c>
      <c r="AM146" s="18">
        <f>(Table2912[[#This Row],[CH4 '[% GP']]]-AM$15)/AM$15*100</f>
        <v>4.8564047786222799</v>
      </c>
      <c r="AN146" s="18">
        <f>(Table2912[[#This Row],[CH4 '[g/g DDM']]]-AN$15)/AN$15*100</f>
        <v>9.0243623683861927</v>
      </c>
      <c r="AO146" s="18"/>
      <c r="AP146" s="18"/>
      <c r="AR146">
        <f>_xlfn.NORM.DIST(Table2912[[#This Row],[GP '[ml/g']]],O$6,O$2,FALSE)</f>
        <v>7.1540538829934445E-3</v>
      </c>
      <c r="AS146">
        <f>_xlfn.NORM.DIST(Table2912[[#This Row],[SCFA '[mmol/g']]],P$6,P$2,FALSE)</f>
        <v>0.33115374960375676</v>
      </c>
      <c r="AT146">
        <f>_xlfn.NORM.DIST(Table2912[[#This Row],[Acetate '[%']]],Q$6,Q$2,FALSE)</f>
        <v>13.793756250904309</v>
      </c>
      <c r="AU146">
        <f>_xlfn.NORM.DIST(Table2912[[#This Row],[Propionate '[%']]],R$6,R$2,FALSE)</f>
        <v>6.8164491367069493</v>
      </c>
      <c r="AV146">
        <f>_xlfn.NORM.DIST(Table2912[[#This Row],[Butyrate '[%']]],S$6,S$2,FALSE)</f>
        <v>3.0580214394873857</v>
      </c>
      <c r="AW146">
        <f>_xlfn.NORM.DIST(Table2912[[#This Row],[Valerate '[%']]],T$6,T$2,FALSE)</f>
        <v>74.652811130404359</v>
      </c>
      <c r="AX146">
        <f>_xlfn.NORM.DIST(Table2912[[#This Row],[Caproate '[%']]],U$6,U$2,FALSE)</f>
        <v>394.48834954314424</v>
      </c>
      <c r="AY146">
        <f>_xlfn.NORM.DIST(Table2912[[#This Row],[Isobutyrate '[%']]],V$6,V$2,FALSE)</f>
        <v>89.80142823294625</v>
      </c>
      <c r="AZ146">
        <f>_xlfn.NORM.DIST(Table2912[[#This Row],[Isovalerate '[%']]],W$6,W$2,FALSE)</f>
        <v>45.422502472829173</v>
      </c>
      <c r="BA146">
        <f>_xlfn.NORM.DIST(Table2912[[#This Row],[CH4 '[g/mmol SCFA']]],X$6,X$2,FALSE)</f>
        <v>0.28295819213494733</v>
      </c>
      <c r="BB146">
        <f>_xlfn.NORM.DIST(Table2912[[#This Row],[DMD '[mg/g']]],Y$6,Y$2,FALSE)</f>
        <v>2.4821010452971666E-3</v>
      </c>
      <c r="BC146">
        <f>_xlfn.NORM.DIST(Table2912[[#This Row],[CH4 '[ml/g']]],Z$6,Z$2,FALSE)</f>
        <v>3.282947181157881E-2</v>
      </c>
      <c r="BD146">
        <f>_xlfn.NORM.DIST(Table2912[[#This Row],[CH4 '[% GP']]],AA$6,AA$2,FALSE)</f>
        <v>0.13438523735071337</v>
      </c>
      <c r="BE146">
        <f>_xlfn.NORM.DIST(Table2912[[#This Row],[CH4 '[g/g DDM']]],AB$6,AB$2,FALSE)</f>
        <v>3.2172397082645313E-2</v>
      </c>
      <c r="BG146">
        <f>IF(Table2912[[#This Row],[GP '[ml/g']]]&lt;O$10,_xlfn.NORM.DIST(Table2912[[#This Row],[GP '[ml/g']]],O$6,O$2,FALSE),-100)</f>
        <v>-100</v>
      </c>
      <c r="BH146">
        <f>IF(Table2912[[#This Row],[SCFA '[mmol/g']]]&lt;P$10,_xlfn.NORM.DIST(Table2912[[#This Row],[SCFA '[mmol/g']]],P$6,P$2,FALSE),-100)</f>
        <v>-100</v>
      </c>
      <c r="BI146">
        <f>IF(Table2912[[#This Row],[Acetate '[%']]]&lt;Q$10,_xlfn.NORM.DIST(Table2912[[#This Row],[Acetate '[%']]],Q$6,Q$2,FALSE),-100)</f>
        <v>-100</v>
      </c>
      <c r="BJ146">
        <f>IF(Table2912[[#This Row],[Propionate '[%']]]&lt;R$10,_xlfn.NORM.DIST(Table2912[[#This Row],[Propionate '[%']]],R$6,R$2,FALSE),-100)</f>
        <v>6.8164491367069493</v>
      </c>
      <c r="BK146">
        <f>IF(Table2912[[#This Row],[Butyrate '[%']]]&lt;S$10,_xlfn.NORM.DIST(Table2912[[#This Row],[Butyrate '[%']]],S$6,S$2,FALSE),-100)</f>
        <v>-100</v>
      </c>
      <c r="BL146">
        <f>IF(Table2912[[#This Row],[Valerate '[%']]]&lt;T$10,_xlfn.NORM.DIST(Table2912[[#This Row],[Valerate '[%']]],T$6,T$2,FALSE),-100)</f>
        <v>-100</v>
      </c>
      <c r="BM146">
        <f>IF(Table2912[[#This Row],[Caproate '[%']]]&lt;U$10,_xlfn.NORM.DIST(Table2912[[#This Row],[Caproate '[%']]],U$6,U$2,FALSE),-100)</f>
        <v>-100</v>
      </c>
      <c r="BN146">
        <f>IF(Table2912[[#This Row],[Isobutyrate '[%']]]&lt;V$10,_xlfn.NORM.DIST(Table2912[[#This Row],[Isobutyrate '[%']]],V$6,V$2,FALSE),-100)</f>
        <v>-100</v>
      </c>
      <c r="BO146">
        <f>IF(Table2912[[#This Row],[Isovalerate '[%']]]&lt;W$10,_xlfn.NORM.DIST(Table2912[[#This Row],[Isovalerate '[%']]],W$6,W$2,FALSE),-100)</f>
        <v>-100</v>
      </c>
      <c r="BP146">
        <f>IF(Table2912[[#This Row],[CH4 '[g/mmol SCFA']]]&lt;X$10,_xlfn.NORM.DIST(Table2912[[#This Row],[CH4 '[g/mmol SCFA']]],X$6,X$2,FALSE),-100)</f>
        <v>-100</v>
      </c>
      <c r="BQ146">
        <f>IF(Table2912[[#This Row],[DMD '[mg/g']]]&gt;Y$10,_xlfn.NORM.DIST(Table2912[[#This Row],[DMD '[mg/g']]],Y$6,Y$2,FALSE),-100)</f>
        <v>-100</v>
      </c>
      <c r="BR146">
        <f>IF(Table2912[[#This Row],[CH4 '[ml/g']]]&lt;Z$10,_xlfn.NORM.DIST(Table2912[[#This Row],[CH4 '[ml/g']]],Z$6,Z$2,FALSE),-100)</f>
        <v>-100</v>
      </c>
      <c r="BS146">
        <f>IF(Table2912[[#This Row],[CH4 '[% GP']]]&lt;AA$10,_xlfn.NORM.DIST(Table2912[[#This Row],[CH4 '[% GP']]],AA$6,AA$2,FALSE),-100)</f>
        <v>-100</v>
      </c>
      <c r="BT146">
        <f>IF(Table2912[[#This Row],[CH4 '[g/g DDM']]]&lt;AB$10,_xlfn.NORM.DIST(Table2912[[#This Row],[CH4 '[g/g DDM']]],AB$6,AB$2,FALSE),-100)</f>
        <v>-100</v>
      </c>
      <c r="CJ146" t="str">
        <v>Erodium</v>
      </c>
      <c r="CL146" t="str">
        <v>Erodium</v>
      </c>
    </row>
    <row r="147" spans="1:90" x14ac:dyDescent="0.25">
      <c r="A147" s="12" t="s">
        <v>70</v>
      </c>
      <c r="B147" s="13">
        <v>993</v>
      </c>
      <c r="C147" s="96" t="s">
        <v>228</v>
      </c>
      <c r="D147" s="96"/>
      <c r="E147" s="96"/>
      <c r="F147" s="96" t="s">
        <v>229</v>
      </c>
      <c r="G147" s="15" t="s">
        <v>73</v>
      </c>
      <c r="H147" s="15" t="s">
        <v>74</v>
      </c>
      <c r="I147" t="s">
        <v>75</v>
      </c>
      <c r="J147" s="70">
        <v>1</v>
      </c>
      <c r="K147" s="70"/>
      <c r="L147" s="70"/>
      <c r="M147" t="s">
        <v>229</v>
      </c>
      <c r="N147" t="s">
        <v>76</v>
      </c>
      <c r="O147" s="18">
        <v>217.99544554455434</v>
      </c>
      <c r="P147" s="18">
        <v>6.0586332546298109</v>
      </c>
      <c r="Q147" s="97">
        <v>0.71893405607469352</v>
      </c>
      <c r="R147" s="97">
        <v>0.13552766315435852</v>
      </c>
      <c r="S147" s="97">
        <v>9.1087429164518313E-2</v>
      </c>
      <c r="T147" s="97">
        <v>1.3526280692126292E-2</v>
      </c>
      <c r="U147" s="97">
        <v>9.1552459485060283E-4</v>
      </c>
      <c r="V147" s="97">
        <v>1.3148927671700403E-2</v>
      </c>
      <c r="W147" s="97">
        <v>2.6860118647752403E-2</v>
      </c>
      <c r="X147" s="51">
        <f t="shared" si="8"/>
        <v>4.3704043915974031</v>
      </c>
      <c r="Y147" s="18">
        <v>700.77007700770059</v>
      </c>
      <c r="Z147" s="18">
        <v>26.478677383112196</v>
      </c>
      <c r="AA147" s="18">
        <f t="shared" si="9"/>
        <v>12.146436049142334</v>
      </c>
      <c r="AB147" s="18">
        <f t="shared" si="10"/>
        <v>37.785114193483501</v>
      </c>
      <c r="AC147" s="18">
        <f>$CP$15*Table2912[[#This Row],[DMD '[mg/g']]]+$CS$15*Table2912[[#This Row],[CH4 '[ml/g']]]+$CR$15*Table2912[[#This Row],[CH4 '[% GP']]]+$CQ$15*Table2912[[#This Row],[CH4 '[g/g DDM']]]</f>
        <v>16.140267616687424</v>
      </c>
      <c r="AD147" s="18">
        <f>_xlfn.RANK.AVG(Table2912[[#This Row],[Index]],Table2912[Index])</f>
        <v>252</v>
      </c>
      <c r="AE14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5.7287355143441836</v>
      </c>
      <c r="AF147" s="18">
        <f>Table2912[[#This Row],[CH4 '[ml/g']]]/Table2912[[#This Row],[APB]]</f>
        <v>4.6220806174088898</v>
      </c>
      <c r="AG147" s="18">
        <f>Table2912[[#This Row],[Propionate '[%']]]/Table2912[[#This Row],[Acetate '[%']]]</f>
        <v>0.188511953230211</v>
      </c>
      <c r="AH147" s="51"/>
      <c r="AI147" s="18"/>
      <c r="AJ147" s="18"/>
      <c r="AK147" s="18">
        <f>(Table2912[[#This Row],[DMD '[mg/g']]]-$AK$15)/$AK$15*100</f>
        <v>42.929966842507376</v>
      </c>
      <c r="AL147" s="18">
        <f>(Table2912[[#This Row],[CH4 '[ml/g']]]-AL$15)/AL$15*100</f>
        <v>-32.679402501360933</v>
      </c>
      <c r="AM147" s="18">
        <f>(Table2912[[#This Row],[CH4 '[% GP']]]-AM$15)/AM$15*100</f>
        <v>-21.748748829256247</v>
      </c>
      <c r="AN147" s="18">
        <f>(Table2912[[#This Row],[CH4 '[g/g DDM']]]-AN$15)/AN$15*100</f>
        <v>-26.223319837887331</v>
      </c>
      <c r="AO147" s="18"/>
      <c r="AP147" s="18"/>
      <c r="AR147">
        <f>_xlfn.NORM.DIST(Table2912[[#This Row],[GP '[ml/g']]],O$6,O$2,FALSE)</f>
        <v>5.8422580256280547E-3</v>
      </c>
      <c r="AS147">
        <f>_xlfn.NORM.DIST(Table2912[[#This Row],[SCFA '[mmol/g']]],P$6,P$2,FALSE)</f>
        <v>0.30723669425116007</v>
      </c>
      <c r="AT147">
        <f>_xlfn.NORM.DIST(Table2912[[#This Row],[Acetate '[%']]],Q$6,Q$2,FALSE)</f>
        <v>3.8338393642332096</v>
      </c>
      <c r="AU147">
        <f>_xlfn.NORM.DIST(Table2912[[#This Row],[Propionate '[%']]],R$6,R$2,FALSE)</f>
        <v>5.2129838606878174</v>
      </c>
      <c r="AV147">
        <f>_xlfn.NORM.DIST(Table2912[[#This Row],[Butyrate '[%']]],S$6,S$2,FALSE)</f>
        <v>22.901285584177501</v>
      </c>
      <c r="AW147">
        <f>_xlfn.NORM.DIST(Table2912[[#This Row],[Valerate '[%']]],T$6,T$2,FALSE)</f>
        <v>56.121270869357993</v>
      </c>
      <c r="AX147">
        <f>_xlfn.NORM.DIST(Table2912[[#This Row],[Caproate '[%']]],U$6,U$2,FALSE)</f>
        <v>371.63614143035306</v>
      </c>
      <c r="AY147">
        <f>_xlfn.NORM.DIST(Table2912[[#This Row],[Isobutyrate '[%']]],V$6,V$2,FALSE)</f>
        <v>79.954759409307556</v>
      </c>
      <c r="AZ147">
        <f>_xlfn.NORM.DIST(Table2912[[#This Row],[Isovalerate '[%']]],W$6,W$2,FALSE)</f>
        <v>45.115459496869335</v>
      </c>
      <c r="BA147">
        <f>_xlfn.NORM.DIST(Table2912[[#This Row],[CH4 '[g/mmol SCFA']]],X$6,X$2,FALSE)</f>
        <v>0.10765160688253113</v>
      </c>
      <c r="BB147">
        <f>_xlfn.NORM.DIST(Table2912[[#This Row],[DMD '[mg/g']]],Y$6,Y$2,FALSE)</f>
        <v>2.5069199076199105E-3</v>
      </c>
      <c r="BC147">
        <f>_xlfn.NORM.DIST(Table2912[[#This Row],[CH4 '[ml/g']]],Z$6,Z$2,FALSE)</f>
        <v>1.5281943264859965E-2</v>
      </c>
      <c r="BD147">
        <f>_xlfn.NORM.DIST(Table2912[[#This Row],[CH4 '[% GP']]],AA$6,AA$2,FALSE)</f>
        <v>5.6049193273638567E-2</v>
      </c>
      <c r="BE147">
        <f>_xlfn.NORM.DIST(Table2912[[#This Row],[CH4 '[g/g DDM']]],AB$6,AB$2,FALSE)</f>
        <v>1.4442119148159826E-2</v>
      </c>
      <c r="BG147">
        <f>IF(Table2912[[#This Row],[GP '[ml/g']]]&lt;O$10,_xlfn.NORM.DIST(Table2912[[#This Row],[GP '[ml/g']]],O$6,O$2,FALSE),-100)</f>
        <v>-100</v>
      </c>
      <c r="BH147">
        <f>IF(Table2912[[#This Row],[SCFA '[mmol/g']]]&lt;P$10,_xlfn.NORM.DIST(Table2912[[#This Row],[SCFA '[mmol/g']]],P$6,P$2,FALSE),-100)</f>
        <v>-100</v>
      </c>
      <c r="BI147">
        <f>IF(Table2912[[#This Row],[Acetate '[%']]]&lt;Q$10,_xlfn.NORM.DIST(Table2912[[#This Row],[Acetate '[%']]],Q$6,Q$2,FALSE),-100)</f>
        <v>-100</v>
      </c>
      <c r="BJ147">
        <f>IF(Table2912[[#This Row],[Propionate '[%']]]&lt;R$10,_xlfn.NORM.DIST(Table2912[[#This Row],[Propionate '[%']]],R$6,R$2,FALSE),-100)</f>
        <v>5.2129838606878174</v>
      </c>
      <c r="BK147">
        <f>IF(Table2912[[#This Row],[Butyrate '[%']]]&lt;S$10,_xlfn.NORM.DIST(Table2912[[#This Row],[Butyrate '[%']]],S$6,S$2,FALSE),-100)</f>
        <v>-100</v>
      </c>
      <c r="BL147">
        <f>IF(Table2912[[#This Row],[Valerate '[%']]]&lt;T$10,_xlfn.NORM.DIST(Table2912[[#This Row],[Valerate '[%']]],T$6,T$2,FALSE),-100)</f>
        <v>-100</v>
      </c>
      <c r="BM147">
        <f>IF(Table2912[[#This Row],[Caproate '[%']]]&lt;U$10,_xlfn.NORM.DIST(Table2912[[#This Row],[Caproate '[%']]],U$6,U$2,FALSE),-100)</f>
        <v>-100</v>
      </c>
      <c r="BN147">
        <f>IF(Table2912[[#This Row],[Isobutyrate '[%']]]&lt;V$10,_xlfn.NORM.DIST(Table2912[[#This Row],[Isobutyrate '[%']]],V$6,V$2,FALSE),-100)</f>
        <v>-100</v>
      </c>
      <c r="BO147">
        <f>IF(Table2912[[#This Row],[Isovalerate '[%']]]&lt;W$10,_xlfn.NORM.DIST(Table2912[[#This Row],[Isovalerate '[%']]],W$6,W$2,FALSE),-100)</f>
        <v>-100</v>
      </c>
      <c r="BP147">
        <f>IF(Table2912[[#This Row],[CH4 '[g/mmol SCFA']]]&lt;X$10,_xlfn.NORM.DIST(Table2912[[#This Row],[CH4 '[g/mmol SCFA']]],X$6,X$2,FALSE),-100)</f>
        <v>0.10765160688253113</v>
      </c>
      <c r="BQ147">
        <f>IF(Table2912[[#This Row],[DMD '[mg/g']]]&gt;Y$10,_xlfn.NORM.DIST(Table2912[[#This Row],[DMD '[mg/g']]],Y$6,Y$2,FALSE),-100)</f>
        <v>-100</v>
      </c>
      <c r="BR147">
        <f>IF(Table2912[[#This Row],[CH4 '[ml/g']]]&lt;Z$10,_xlfn.NORM.DIST(Table2912[[#This Row],[CH4 '[ml/g']]],Z$6,Z$2,FALSE),-100)</f>
        <v>1.5281943264859965E-2</v>
      </c>
      <c r="BS147">
        <f>IF(Table2912[[#This Row],[CH4 '[% GP']]]&lt;AA$10,_xlfn.NORM.DIST(Table2912[[#This Row],[CH4 '[% GP']]],AA$6,AA$2,FALSE),-100)</f>
        <v>-100</v>
      </c>
      <c r="BT147">
        <f>IF(Table2912[[#This Row],[CH4 '[g/g DDM']]]&lt;AB$10,_xlfn.NORM.DIST(Table2912[[#This Row],[CH4 '[g/g DDM']]],AB$6,AB$2,FALSE),-100)</f>
        <v>-100</v>
      </c>
      <c r="CJ147" t="str">
        <v>Hordeum vulgare(ICB-29)</v>
      </c>
      <c r="CL147" t="str">
        <v>Hordeum vulgare(ICB-29)</v>
      </c>
    </row>
    <row r="148" spans="1:90" x14ac:dyDescent="0.25">
      <c r="A148" s="12" t="s">
        <v>70</v>
      </c>
      <c r="B148" s="13">
        <v>1000</v>
      </c>
      <c r="C148" s="96" t="s">
        <v>178</v>
      </c>
      <c r="D148" s="96"/>
      <c r="E148" s="96"/>
      <c r="F148" s="96" t="s">
        <v>179</v>
      </c>
      <c r="G148" t="s">
        <v>73</v>
      </c>
      <c r="H148" t="s">
        <v>74</v>
      </c>
      <c r="I148" t="s">
        <v>75</v>
      </c>
      <c r="J148" s="107">
        <v>3</v>
      </c>
      <c r="K148" s="107"/>
      <c r="L148" s="107"/>
      <c r="M148" t="s">
        <v>179</v>
      </c>
      <c r="N148" t="s">
        <v>85</v>
      </c>
      <c r="O148" s="18">
        <v>241.84676386127714</v>
      </c>
      <c r="P148" s="18">
        <v>5.9856103501236628</v>
      </c>
      <c r="Q148" s="97">
        <v>0.6756113944922485</v>
      </c>
      <c r="R148" s="97">
        <v>0.17155758633746609</v>
      </c>
      <c r="S148" s="97">
        <v>9.1072063439101611E-2</v>
      </c>
      <c r="T148" s="97">
        <v>1.5835203512022004E-2</v>
      </c>
      <c r="U148" s="97">
        <v>1.1075876215166543E-3</v>
      </c>
      <c r="V148" s="97">
        <v>1.5323921888090569E-2</v>
      </c>
      <c r="W148" s="97">
        <v>2.9492242709554563E-2</v>
      </c>
      <c r="X148" s="51">
        <f t="shared" ref="X148:X211" si="11">Z148/P148</f>
        <v>7.2963799358326629</v>
      </c>
      <c r="Y148" s="18">
        <v>700.89200661562165</v>
      </c>
      <c r="Z148" s="18">
        <v>43.673287262354613</v>
      </c>
      <c r="AA148" s="18">
        <f t="shared" ref="AA148:AA211" si="12">Z148/O148*100</f>
        <v>18.058247530409599</v>
      </c>
      <c r="AB148" s="18">
        <f t="shared" ref="AB148:AB211" si="13">Z148/Y148*1000</f>
        <v>62.311007758868072</v>
      </c>
      <c r="AC148" s="18">
        <f>$CP$15*Table2912[[#This Row],[DMD '[mg/g']]]+$CS$15*Table2912[[#This Row],[CH4 '[ml/g']]]+$CR$15*Table2912[[#This Row],[CH4 '[% GP']]]+$CQ$15*Table2912[[#This Row],[CH4 '[g/g DDM']]]</f>
        <v>2.8637745324564321</v>
      </c>
      <c r="AD148" s="18">
        <f>_xlfn.RANK.AVG(Table2912[[#This Row],[Index]],Table2912[Index])</f>
        <v>426</v>
      </c>
      <c r="AE14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5.6159453054862603</v>
      </c>
      <c r="AF148" s="18">
        <f>Table2912[[#This Row],[CH4 '[ml/g']]]/Table2912[[#This Row],[APB]]</f>
        <v>7.7766582270111932</v>
      </c>
      <c r="AG148" s="18">
        <f>Table2912[[#This Row],[Propionate '[%']]]/Table2912[[#This Row],[Acetate '[%']]]</f>
        <v>0.25392938564394568</v>
      </c>
      <c r="AH148" s="51"/>
      <c r="AI148" s="18"/>
      <c r="AJ148" s="18"/>
      <c r="AK148" s="18">
        <f>(Table2912[[#This Row],[DMD '[mg/g']]]-$AK$15)/$AK$15*100</f>
        <v>42.954835762270186</v>
      </c>
      <c r="AL148" s="18">
        <f>(Table2912[[#This Row],[CH4 '[ml/g']]]-AL$15)/AL$15*100</f>
        <v>11.036958179285261</v>
      </c>
      <c r="AM148" s="18">
        <f>(Table2912[[#This Row],[CH4 '[% GP']]]-AM$15)/AM$15*100</f>
        <v>16.337043844669392</v>
      </c>
      <c r="AN148" s="18">
        <f>(Table2912[[#This Row],[CH4 '[g/g DDM']]]-AN$15)/AN$15*100</f>
        <v>21.664295268896023</v>
      </c>
      <c r="AO148" s="18"/>
      <c r="AP148" s="18"/>
      <c r="AR148">
        <f>_xlfn.NORM.DIST(Table2912[[#This Row],[GP '[ml/g']]],O$6,O$2,FALSE)</f>
        <v>7.2391152220144415E-3</v>
      </c>
      <c r="AS148">
        <f>_xlfn.NORM.DIST(Table2912[[#This Row],[SCFA '[mmol/g']]],P$6,P$2,FALSE)</f>
        <v>0.29929773753290179</v>
      </c>
      <c r="AT148">
        <f>_xlfn.NORM.DIST(Table2912[[#This Row],[Acetate '[%']]],Q$6,Q$2,FALSE)</f>
        <v>13.973398524407246</v>
      </c>
      <c r="AU148">
        <f>_xlfn.NORM.DIST(Table2912[[#This Row],[Propionate '[%']]],R$6,R$2,FALSE)</f>
        <v>16.789653257601788</v>
      </c>
      <c r="AV148">
        <f>_xlfn.NORM.DIST(Table2912[[#This Row],[Butyrate '[%']]],S$6,S$2,FALSE)</f>
        <v>22.899125508959443</v>
      </c>
      <c r="AW148">
        <f>_xlfn.NORM.DIST(Table2912[[#This Row],[Valerate '[%']]],T$6,T$2,FALSE)</f>
        <v>72.699059145162437</v>
      </c>
      <c r="AX148">
        <f>_xlfn.NORM.DIST(Table2912[[#This Row],[Caproate '[%']]],U$6,U$2,FALSE)</f>
        <v>396.29431215035572</v>
      </c>
      <c r="AY148">
        <f>_xlfn.NORM.DIST(Table2912[[#This Row],[Isobutyrate '[%']]],V$6,V$2,FALSE)</f>
        <v>90.158286935633768</v>
      </c>
      <c r="AZ148">
        <f>_xlfn.NORM.DIST(Table2912[[#This Row],[Isovalerate '[%']]],W$6,W$2,FALSE)</f>
        <v>44.684690249379649</v>
      </c>
      <c r="BA148">
        <f>_xlfn.NORM.DIST(Table2912[[#This Row],[CH4 '[g/mmol SCFA']]],X$6,X$2,FALSE)</f>
        <v>0.22354031337200744</v>
      </c>
      <c r="BB148">
        <f>_xlfn.NORM.DIST(Table2912[[#This Row],[DMD '[mg/g']]],Y$6,Y$2,FALSE)</f>
        <v>2.5081477634602669E-3</v>
      </c>
      <c r="BC148">
        <f>_xlfn.NORM.DIST(Table2912[[#This Row],[CH4 '[ml/g']]],Z$6,Z$2,FALSE)</f>
        <v>3.2899850408925672E-2</v>
      </c>
      <c r="BD148">
        <f>_xlfn.NORM.DIST(Table2912[[#This Row],[CH4 '[% GP']]],AA$6,AA$2,FALSE)</f>
        <v>0.10748950766948413</v>
      </c>
      <c r="BE148">
        <f>_xlfn.NORM.DIST(Table2912[[#This Row],[CH4 '[g/g DDM']]],AB$6,AB$2,FALSE)</f>
        <v>2.502827345522516E-2</v>
      </c>
      <c r="BG148">
        <f>IF(Table2912[[#This Row],[GP '[ml/g']]]&lt;O$10,_xlfn.NORM.DIST(Table2912[[#This Row],[GP '[ml/g']]],O$6,O$2,FALSE),-100)</f>
        <v>-100</v>
      </c>
      <c r="BH148">
        <f>IF(Table2912[[#This Row],[SCFA '[mmol/g']]]&lt;P$10,_xlfn.NORM.DIST(Table2912[[#This Row],[SCFA '[mmol/g']]],P$6,P$2,FALSE),-100)</f>
        <v>-100</v>
      </c>
      <c r="BI148">
        <f>IF(Table2912[[#This Row],[Acetate '[%']]]&lt;Q$10,_xlfn.NORM.DIST(Table2912[[#This Row],[Acetate '[%']]],Q$6,Q$2,FALSE),-100)</f>
        <v>-100</v>
      </c>
      <c r="BJ148">
        <f>IF(Table2912[[#This Row],[Propionate '[%']]]&lt;R$10,_xlfn.NORM.DIST(Table2912[[#This Row],[Propionate '[%']]],R$6,R$2,FALSE),-100)</f>
        <v>-100</v>
      </c>
      <c r="BK148">
        <f>IF(Table2912[[#This Row],[Butyrate '[%']]]&lt;S$10,_xlfn.NORM.DIST(Table2912[[#This Row],[Butyrate '[%']]],S$6,S$2,FALSE),-100)</f>
        <v>-100</v>
      </c>
      <c r="BL148">
        <f>IF(Table2912[[#This Row],[Valerate '[%']]]&lt;T$10,_xlfn.NORM.DIST(Table2912[[#This Row],[Valerate '[%']]],T$6,T$2,FALSE),-100)</f>
        <v>-100</v>
      </c>
      <c r="BM148">
        <f>IF(Table2912[[#This Row],[Caproate '[%']]]&lt;U$10,_xlfn.NORM.DIST(Table2912[[#This Row],[Caproate '[%']]],U$6,U$2,FALSE),-100)</f>
        <v>-100</v>
      </c>
      <c r="BN148">
        <f>IF(Table2912[[#This Row],[Isobutyrate '[%']]]&lt;V$10,_xlfn.NORM.DIST(Table2912[[#This Row],[Isobutyrate '[%']]],V$6,V$2,FALSE),-100)</f>
        <v>-100</v>
      </c>
      <c r="BO148">
        <f>IF(Table2912[[#This Row],[Isovalerate '[%']]]&lt;W$10,_xlfn.NORM.DIST(Table2912[[#This Row],[Isovalerate '[%']]],W$6,W$2,FALSE),-100)</f>
        <v>-100</v>
      </c>
      <c r="BP148">
        <f>IF(Table2912[[#This Row],[CH4 '[g/mmol SCFA']]]&lt;X$10,_xlfn.NORM.DIST(Table2912[[#This Row],[CH4 '[g/mmol SCFA']]],X$6,X$2,FALSE),-100)</f>
        <v>-100</v>
      </c>
      <c r="BQ148">
        <f>IF(Table2912[[#This Row],[DMD '[mg/g']]]&gt;Y$10,_xlfn.NORM.DIST(Table2912[[#This Row],[DMD '[mg/g']]],Y$6,Y$2,FALSE),-100)</f>
        <v>-100</v>
      </c>
      <c r="BR148">
        <f>IF(Table2912[[#This Row],[CH4 '[ml/g']]]&lt;Z$10,_xlfn.NORM.DIST(Table2912[[#This Row],[CH4 '[ml/g']]],Z$6,Z$2,FALSE),-100)</f>
        <v>-100</v>
      </c>
      <c r="BS148">
        <f>IF(Table2912[[#This Row],[CH4 '[% GP']]]&lt;AA$10,_xlfn.NORM.DIST(Table2912[[#This Row],[CH4 '[% GP']]],AA$6,AA$2,FALSE),-100)</f>
        <v>-100</v>
      </c>
      <c r="BT148">
        <f>IF(Table2912[[#This Row],[CH4 '[g/g DDM']]]&lt;AB$10,_xlfn.NORM.DIST(Table2912[[#This Row],[CH4 '[g/g DDM']]],AB$6,AB$2,FALSE),-100)</f>
        <v>-100</v>
      </c>
      <c r="CJ148" t="str">
        <v>Cardaria</v>
      </c>
      <c r="CL148" t="str">
        <v>Cardaria</v>
      </c>
    </row>
    <row r="149" spans="1:90" x14ac:dyDescent="0.25">
      <c r="A149" s="12" t="s">
        <v>86</v>
      </c>
      <c r="B149" s="13">
        <v>1047</v>
      </c>
      <c r="C149" s="104" t="s">
        <v>183</v>
      </c>
      <c r="D149" s="104" t="s">
        <v>184</v>
      </c>
      <c r="E149" s="104" t="s">
        <v>185</v>
      </c>
      <c r="F149" s="104" t="s">
        <v>186</v>
      </c>
      <c r="G149" s="32" t="s">
        <v>73</v>
      </c>
      <c r="H149" s="32" t="s">
        <v>74</v>
      </c>
      <c r="I149" s="104" t="s">
        <v>44</v>
      </c>
      <c r="J149" s="100">
        <v>3</v>
      </c>
      <c r="K149" s="100"/>
      <c r="L149" s="100"/>
      <c r="M149" t="s">
        <v>186</v>
      </c>
      <c r="N149" t="s">
        <v>98</v>
      </c>
      <c r="O149" s="18">
        <v>198.13640991589168</v>
      </c>
      <c r="P149" s="18">
        <v>5.6411632671592837</v>
      </c>
      <c r="Q149" s="97">
        <v>0.64928741834895598</v>
      </c>
      <c r="R149" s="97">
        <v>0.17082594494857239</v>
      </c>
      <c r="S149" s="97">
        <v>8.4957179030922758E-2</v>
      </c>
      <c r="T149" s="97">
        <v>2.4706593827109567E-2</v>
      </c>
      <c r="U149" s="97">
        <v>1.1777872481292398E-3</v>
      </c>
      <c r="V149" s="97">
        <v>2.3874035235227319E-2</v>
      </c>
      <c r="W149" s="97">
        <v>4.5171041361082777E-2</v>
      </c>
      <c r="X149" s="51">
        <f t="shared" si="11"/>
        <v>7.376562314453615</v>
      </c>
      <c r="Y149" s="18">
        <v>701.28122181447338</v>
      </c>
      <c r="Z149" s="18">
        <v>41.612392366207203</v>
      </c>
      <c r="AA149" s="18">
        <f t="shared" si="12"/>
        <v>21.001890759942377</v>
      </c>
      <c r="AB149" s="18">
        <f t="shared" si="13"/>
        <v>59.337668073502073</v>
      </c>
      <c r="AC149" s="18">
        <f>$CP$15*Table2912[[#This Row],[DMD '[mg/g']]]+$CS$15*Table2912[[#This Row],[CH4 '[ml/g']]]+$CR$15*Table2912[[#This Row],[CH4 '[% GP']]]+$CQ$15*Table2912[[#This Row],[CH4 '[g/g DDM']]]</f>
        <v>3.4088200411394212</v>
      </c>
      <c r="AD149" s="18">
        <f>_xlfn.RANK.AVG(Table2912[[#This Row],[Index]],Table2912[Index])</f>
        <v>423</v>
      </c>
      <c r="AE14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5.1056506975711908</v>
      </c>
      <c r="AF149" s="18">
        <f>Table2912[[#This Row],[CH4 '[ml/g']]]/Table2912[[#This Row],[APB]]</f>
        <v>8.1502622938938298</v>
      </c>
      <c r="AG149" s="18">
        <f>Table2912[[#This Row],[Propionate '[%']]]/Table2912[[#This Row],[Acetate '[%']]]</f>
        <v>0.26309757454250088</v>
      </c>
      <c r="AH149" s="51"/>
      <c r="AI149" s="18"/>
      <c r="AJ149" s="18"/>
      <c r="AK149" s="18">
        <f>(Table2912[[#This Row],[DMD '[mg/g']]]-$AK$15)/$AK$15*100</f>
        <v>43.034220595172897</v>
      </c>
      <c r="AL149" s="18">
        <f>(Table2912[[#This Row],[CH4 '[ml/g']]]-AL$15)/AL$15*100</f>
        <v>5.7972449646431059</v>
      </c>
      <c r="AM149" s="18">
        <f>(Table2912[[#This Row],[CH4 '[% GP']]]-AM$15)/AM$15*100</f>
        <v>35.300941137611829</v>
      </c>
      <c r="AN149" s="18">
        <f>(Table2912[[#This Row],[CH4 '[g/g DDM']]]-AN$15)/AN$15*100</f>
        <v>15.858751586871215</v>
      </c>
      <c r="AO149" s="18"/>
      <c r="AP149" s="18"/>
      <c r="AR149">
        <f>_xlfn.NORM.DIST(Table2912[[#This Row],[GP '[ml/g']]],O$6,O$2,FALSE)</f>
        <v>4.1956388886081591E-3</v>
      </c>
      <c r="AS149">
        <f>_xlfn.NORM.DIST(Table2912[[#This Row],[SCFA '[mmol/g']]],P$6,P$2,FALSE)</f>
        <v>0.25162339497989178</v>
      </c>
      <c r="AT149">
        <f>_xlfn.NORM.DIST(Table2912[[#This Row],[Acetate '[%']]],Q$6,Q$2,FALSE)</f>
        <v>9.8724044473543877</v>
      </c>
      <c r="AU149">
        <f>_xlfn.NORM.DIST(Table2912[[#This Row],[Propionate '[%']]],R$6,R$2,FALSE)</f>
        <v>16.774955413606307</v>
      </c>
      <c r="AV149">
        <f>_xlfn.NORM.DIST(Table2912[[#This Row],[Butyrate '[%']]],S$6,S$2,FALSE)</f>
        <v>20.720026205991374</v>
      </c>
      <c r="AW149">
        <f>_xlfn.NORM.DIST(Table2912[[#This Row],[Valerate '[%']]],T$6,T$2,FALSE)</f>
        <v>30.394558757892341</v>
      </c>
      <c r="AX149">
        <f>_xlfn.NORM.DIST(Table2912[[#This Row],[Caproate '[%']]],U$6,U$2,FALSE)</f>
        <v>401.84273689236585</v>
      </c>
      <c r="AY149">
        <f>_xlfn.NORM.DIST(Table2912[[#This Row],[Isobutyrate '[%']]],V$6,V$2,FALSE)</f>
        <v>13.901427370567616</v>
      </c>
      <c r="AZ149">
        <f>_xlfn.NORM.DIST(Table2912[[#This Row],[Isovalerate '[%']]],W$6,W$2,FALSE)</f>
        <v>6.5601319210541558</v>
      </c>
      <c r="BA149">
        <f>_xlfn.NORM.DIST(Table2912[[#This Row],[CH4 '[g/mmol SCFA']]],X$6,X$2,FALSE)</f>
        <v>0.21328635512700606</v>
      </c>
      <c r="BB149">
        <f>_xlfn.NORM.DIST(Table2912[[#This Row],[DMD '[mg/g']]],Y$6,Y$2,FALSE)</f>
        <v>2.5120579138333357E-3</v>
      </c>
      <c r="BC149">
        <f>_xlfn.NORM.DIST(Table2912[[#This Row],[CH4 '[ml/g']]],Z$6,Z$2,FALSE)</f>
        <v>3.3500598961530813E-2</v>
      </c>
      <c r="BD149">
        <f>_xlfn.NORM.DIST(Table2912[[#This Row],[CH4 '[% GP']]],AA$6,AA$2,FALSE)</f>
        <v>3.3628756431590349E-2</v>
      </c>
      <c r="BE149">
        <f>_xlfn.NORM.DIST(Table2912[[#This Row],[CH4 '[g/g DDM']]],AB$6,AB$2,FALSE)</f>
        <v>2.9096727585748584E-2</v>
      </c>
      <c r="BG149">
        <f>IF(Table2912[[#This Row],[GP '[ml/g']]]&lt;O$10,_xlfn.NORM.DIST(Table2912[[#This Row],[GP '[ml/g']]],O$6,O$2,FALSE),-100)</f>
        <v>4.1956388886081591E-3</v>
      </c>
      <c r="BH149">
        <f>IF(Table2912[[#This Row],[SCFA '[mmol/g']]]&lt;P$10,_xlfn.NORM.DIST(Table2912[[#This Row],[SCFA '[mmol/g']]],P$6,P$2,FALSE),-100)</f>
        <v>-100</v>
      </c>
      <c r="BI149">
        <f>IF(Table2912[[#This Row],[Acetate '[%']]]&lt;Q$10,_xlfn.NORM.DIST(Table2912[[#This Row],[Acetate '[%']]],Q$6,Q$2,FALSE),-100)</f>
        <v>-100</v>
      </c>
      <c r="BJ149">
        <f>IF(Table2912[[#This Row],[Propionate '[%']]]&lt;R$10,_xlfn.NORM.DIST(Table2912[[#This Row],[Propionate '[%']]],R$6,R$2,FALSE),-100)</f>
        <v>-100</v>
      </c>
      <c r="BK149">
        <f>IF(Table2912[[#This Row],[Butyrate '[%']]]&lt;S$10,_xlfn.NORM.DIST(Table2912[[#This Row],[Butyrate '[%']]],S$6,S$2,FALSE),-100)</f>
        <v>-100</v>
      </c>
      <c r="BL149">
        <f>IF(Table2912[[#This Row],[Valerate '[%']]]&lt;T$10,_xlfn.NORM.DIST(Table2912[[#This Row],[Valerate '[%']]],T$6,T$2,FALSE),-100)</f>
        <v>-100</v>
      </c>
      <c r="BM149">
        <f>IF(Table2912[[#This Row],[Caproate '[%']]]&lt;U$10,_xlfn.NORM.DIST(Table2912[[#This Row],[Caproate '[%']]],U$6,U$2,FALSE),-100)</f>
        <v>-100</v>
      </c>
      <c r="BN149">
        <f>IF(Table2912[[#This Row],[Isobutyrate '[%']]]&lt;V$10,_xlfn.NORM.DIST(Table2912[[#This Row],[Isobutyrate '[%']]],V$6,V$2,FALSE),-100)</f>
        <v>-100</v>
      </c>
      <c r="BO149">
        <f>IF(Table2912[[#This Row],[Isovalerate '[%']]]&lt;W$10,_xlfn.NORM.DIST(Table2912[[#This Row],[Isovalerate '[%']]],W$6,W$2,FALSE),-100)</f>
        <v>-100</v>
      </c>
      <c r="BP149">
        <f>IF(Table2912[[#This Row],[CH4 '[g/mmol SCFA']]]&lt;X$10,_xlfn.NORM.DIST(Table2912[[#This Row],[CH4 '[g/mmol SCFA']]],X$6,X$2,FALSE),-100)</f>
        <v>-100</v>
      </c>
      <c r="BQ149">
        <f>IF(Table2912[[#This Row],[DMD '[mg/g']]]&gt;Y$10,_xlfn.NORM.DIST(Table2912[[#This Row],[DMD '[mg/g']]],Y$6,Y$2,FALSE),-100)</f>
        <v>-100</v>
      </c>
      <c r="BR149">
        <f>IF(Table2912[[#This Row],[CH4 '[ml/g']]]&lt;Z$10,_xlfn.NORM.DIST(Table2912[[#This Row],[CH4 '[ml/g']]],Z$6,Z$2,FALSE),-100)</f>
        <v>-100</v>
      </c>
      <c r="BS149">
        <f>IF(Table2912[[#This Row],[CH4 '[% GP']]]&lt;AA$10,_xlfn.NORM.DIST(Table2912[[#This Row],[CH4 '[% GP']]],AA$6,AA$2,FALSE),-100)</f>
        <v>-100</v>
      </c>
      <c r="BT149">
        <f>IF(Table2912[[#This Row],[CH4 '[g/g DDM']]]&lt;AB$10,_xlfn.NORM.DIST(Table2912[[#This Row],[CH4 '[g/g DDM']]],AB$6,AB$2,FALSE),-100)</f>
        <v>-100</v>
      </c>
      <c r="CJ149" t="str">
        <v xml:space="preserve">Viciasativa </v>
      </c>
      <c r="CL149" t="str">
        <v xml:space="preserve">Viciasativa </v>
      </c>
    </row>
    <row r="150" spans="1:90" x14ac:dyDescent="0.25">
      <c r="A150" s="12" t="s">
        <v>70</v>
      </c>
      <c r="B150" s="13">
        <v>1030</v>
      </c>
      <c r="C150" s="96" t="s">
        <v>224</v>
      </c>
      <c r="D150" s="96"/>
      <c r="E150" s="96"/>
      <c r="F150" s="96" t="s">
        <v>225</v>
      </c>
      <c r="G150" s="15" t="s">
        <v>73</v>
      </c>
      <c r="H150" s="15" t="s">
        <v>74</v>
      </c>
      <c r="I150" t="s">
        <v>75</v>
      </c>
      <c r="J150" s="107">
        <v>2</v>
      </c>
      <c r="K150" s="107"/>
      <c r="L150" s="107"/>
      <c r="M150" t="s">
        <v>225</v>
      </c>
      <c r="N150" t="s">
        <v>80</v>
      </c>
      <c r="O150" s="18">
        <v>290.83403462634163</v>
      </c>
      <c r="P150" s="18">
        <v>6.3475977040002824</v>
      </c>
      <c r="Q150" s="97">
        <v>0.67402551019939727</v>
      </c>
      <c r="R150" s="97">
        <v>0.1471014931999936</v>
      </c>
      <c r="S150" s="97">
        <v>0.11610185895504782</v>
      </c>
      <c r="T150" s="97">
        <v>1.8171155077888294E-2</v>
      </c>
      <c r="U150" s="97">
        <v>2.843862220161811E-3</v>
      </c>
      <c r="V150" s="97">
        <v>1.4072165062434609E-2</v>
      </c>
      <c r="W150" s="97">
        <v>2.7683955285076868E-2</v>
      </c>
      <c r="X150" s="51">
        <f t="shared" si="11"/>
        <v>6.7239981028394897</v>
      </c>
      <c r="Y150" s="18">
        <v>705.14395272571232</v>
      </c>
      <c r="Z150" s="18">
        <v>42.681234919286197</v>
      </c>
      <c r="AA150" s="18">
        <f t="shared" si="12"/>
        <v>14.67546086004765</v>
      </c>
      <c r="AB150" s="18">
        <f t="shared" si="13"/>
        <v>60.52839956196631</v>
      </c>
      <c r="AC150" s="18">
        <f>$CP$15*Table2912[[#This Row],[DMD '[mg/g']]]+$CS$15*Table2912[[#This Row],[CH4 '[ml/g']]]+$CR$15*Table2912[[#This Row],[CH4 '[% GP']]]+$CQ$15*Table2912[[#This Row],[CH4 '[g/g DDM']]]</f>
        <v>5.0963953414777379</v>
      </c>
      <c r="AD150" s="18">
        <f>_xlfn.RANK.AVG(Table2912[[#This Row],[Index]],Table2912[Index])</f>
        <v>408</v>
      </c>
      <c r="AE15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5.9491517748038323</v>
      </c>
      <c r="AF150" s="18">
        <f>Table2912[[#This Row],[CH4 '[ml/g']]]/Table2912[[#This Row],[APB]]</f>
        <v>7.1743395588009804</v>
      </c>
      <c r="AG150" s="18">
        <f>Table2912[[#This Row],[Propionate '[%']]]/Table2912[[#This Row],[Acetate '[%']]]</f>
        <v>0.21824321331172836</v>
      </c>
      <c r="AH150" s="51"/>
      <c r="AI150" s="18"/>
      <c r="AJ150" s="18"/>
      <c r="AK150" s="18">
        <f>(Table2912[[#This Row],[DMD '[mg/g']]]-$AK$15)/$AK$15*100</f>
        <v>43.822068163411522</v>
      </c>
      <c r="AL150" s="18">
        <f>(Table2912[[#This Row],[CH4 '[ml/g']]]-AL$15)/AL$15*100</f>
        <v>8.5147190387500284</v>
      </c>
      <c r="AM150" s="18">
        <f>(Table2912[[#This Row],[CH4 '[% GP']]]-AM$15)/AM$15*100</f>
        <v>-5.4559568617582279</v>
      </c>
      <c r="AN150" s="18">
        <f>(Table2912[[#This Row],[CH4 '[g/g DDM']]]-AN$15)/AN$15*100</f>
        <v>18.18369404261038</v>
      </c>
      <c r="AO150" s="18"/>
      <c r="AP150" s="18"/>
      <c r="AR150">
        <f>_xlfn.NORM.DIST(Table2912[[#This Row],[GP '[ml/g']]],O$6,O$2,FALSE)</f>
        <v>6.0053058166641355E-3</v>
      </c>
      <c r="AS150">
        <f>_xlfn.NORM.DIST(Table2912[[#This Row],[SCFA '[mmol/g']]],P$6,P$2,FALSE)</f>
        <v>0.32859695168328362</v>
      </c>
      <c r="AT150">
        <f>_xlfn.NORM.DIST(Table2912[[#This Row],[Acetate '[%']]],Q$6,Q$2,FALSE)</f>
        <v>14.019869668892719</v>
      </c>
      <c r="AU150">
        <f>_xlfn.NORM.DIST(Table2912[[#This Row],[Propionate '[%']]],R$6,R$2,FALSE)</f>
        <v>9.752992792499283</v>
      </c>
      <c r="AV150">
        <f>_xlfn.NORM.DIST(Table2912[[#This Row],[Butyrate '[%']]],S$6,S$2,FALSE)</f>
        <v>9.4074416519586492</v>
      </c>
      <c r="AW150">
        <f>_xlfn.NORM.DIST(Table2912[[#This Row],[Valerate '[%']]],T$6,T$2,FALSE)</f>
        <v>77.014233087351101</v>
      </c>
      <c r="AX150">
        <f>_xlfn.NORM.DIST(Table2912[[#This Row],[Caproate '[%']]],U$6,U$2,FALSE)</f>
        <v>124.12348113064745</v>
      </c>
      <c r="AY150">
        <f>_xlfn.NORM.DIST(Table2912[[#This Row],[Isobutyrate '[%']]],V$6,V$2,FALSE)</f>
        <v>86.656763717243379</v>
      </c>
      <c r="AZ150">
        <f>_xlfn.NORM.DIST(Table2912[[#This Row],[Isovalerate '[%']]],W$6,W$2,FALSE)</f>
        <v>45.416765591011334</v>
      </c>
      <c r="BA150">
        <f>_xlfn.NORM.DIST(Table2912[[#This Row],[CH4 '[g/mmol SCFA']]],X$6,X$2,FALSE)</f>
        <v>0.2817433311934609</v>
      </c>
      <c r="BB150">
        <f>_xlfn.NORM.DIST(Table2912[[#This Row],[DMD '[mg/g']]],Y$6,Y$2,FALSE)</f>
        <v>2.5500767256375618E-3</v>
      </c>
      <c r="BC150">
        <f>_xlfn.NORM.DIST(Table2912[[#This Row],[CH4 '[ml/g']]],Z$6,Z$2,FALSE)</f>
        <v>3.3312022165102755E-2</v>
      </c>
      <c r="BD150">
        <f>_xlfn.NORM.DIST(Table2912[[#This Row],[CH4 '[% GP']]],AA$6,AA$2,FALSE)</f>
        <v>0.1206108565592469</v>
      </c>
      <c r="BE150">
        <f>_xlfn.NORM.DIST(Table2912[[#This Row],[CH4 '[g/g DDM']]],AB$6,AB$2,FALSE)</f>
        <v>2.7591399217261607E-2</v>
      </c>
      <c r="BG150">
        <f>IF(Table2912[[#This Row],[GP '[ml/g']]]&lt;O$10,_xlfn.NORM.DIST(Table2912[[#This Row],[GP '[ml/g']]],O$6,O$2,FALSE),-100)</f>
        <v>-100</v>
      </c>
      <c r="BH150">
        <f>IF(Table2912[[#This Row],[SCFA '[mmol/g']]]&lt;P$10,_xlfn.NORM.DIST(Table2912[[#This Row],[SCFA '[mmol/g']]],P$6,P$2,FALSE),-100)</f>
        <v>-100</v>
      </c>
      <c r="BI150">
        <f>IF(Table2912[[#This Row],[Acetate '[%']]]&lt;Q$10,_xlfn.NORM.DIST(Table2912[[#This Row],[Acetate '[%']]],Q$6,Q$2,FALSE),-100)</f>
        <v>-100</v>
      </c>
      <c r="BJ150">
        <f>IF(Table2912[[#This Row],[Propionate '[%']]]&lt;R$10,_xlfn.NORM.DIST(Table2912[[#This Row],[Propionate '[%']]],R$6,R$2,FALSE),-100)</f>
        <v>9.752992792499283</v>
      </c>
      <c r="BK150">
        <f>IF(Table2912[[#This Row],[Butyrate '[%']]]&lt;S$10,_xlfn.NORM.DIST(Table2912[[#This Row],[Butyrate '[%']]],S$6,S$2,FALSE),-100)</f>
        <v>-100</v>
      </c>
      <c r="BL150">
        <f>IF(Table2912[[#This Row],[Valerate '[%']]]&lt;T$10,_xlfn.NORM.DIST(Table2912[[#This Row],[Valerate '[%']]],T$6,T$2,FALSE),-100)</f>
        <v>-100</v>
      </c>
      <c r="BM150">
        <f>IF(Table2912[[#This Row],[Caproate '[%']]]&lt;U$10,_xlfn.NORM.DIST(Table2912[[#This Row],[Caproate '[%']]],U$6,U$2,FALSE),-100)</f>
        <v>-100</v>
      </c>
      <c r="BN150">
        <f>IF(Table2912[[#This Row],[Isobutyrate '[%']]]&lt;V$10,_xlfn.NORM.DIST(Table2912[[#This Row],[Isobutyrate '[%']]],V$6,V$2,FALSE),-100)</f>
        <v>-100</v>
      </c>
      <c r="BO150">
        <f>IF(Table2912[[#This Row],[Isovalerate '[%']]]&lt;W$10,_xlfn.NORM.DIST(Table2912[[#This Row],[Isovalerate '[%']]],W$6,W$2,FALSE),-100)</f>
        <v>-100</v>
      </c>
      <c r="BP150">
        <f>IF(Table2912[[#This Row],[CH4 '[g/mmol SCFA']]]&lt;X$10,_xlfn.NORM.DIST(Table2912[[#This Row],[CH4 '[g/mmol SCFA']]],X$6,X$2,FALSE),-100)</f>
        <v>-100</v>
      </c>
      <c r="BQ150">
        <f>IF(Table2912[[#This Row],[DMD '[mg/g']]]&gt;Y$10,_xlfn.NORM.DIST(Table2912[[#This Row],[DMD '[mg/g']]],Y$6,Y$2,FALSE),-100)</f>
        <v>-100</v>
      </c>
      <c r="BR150">
        <f>IF(Table2912[[#This Row],[CH4 '[ml/g']]]&lt;Z$10,_xlfn.NORM.DIST(Table2912[[#This Row],[CH4 '[ml/g']]],Z$6,Z$2,FALSE),-100)</f>
        <v>-100</v>
      </c>
      <c r="BS150">
        <f>IF(Table2912[[#This Row],[CH4 '[% GP']]]&lt;AA$10,_xlfn.NORM.DIST(Table2912[[#This Row],[CH4 '[% GP']]],AA$6,AA$2,FALSE),-100)</f>
        <v>-100</v>
      </c>
      <c r="BT150">
        <f>IF(Table2912[[#This Row],[CH4 '[g/g DDM']]]&lt;AB$10,_xlfn.NORM.DIST(Table2912[[#This Row],[CH4 '[g/g DDM']]],AB$6,AB$2,FALSE),-100)</f>
        <v>-100</v>
      </c>
      <c r="CJ150" t="str">
        <v xml:space="preserve">Hedysarum carnosum </v>
      </c>
      <c r="CL150" t="str">
        <v xml:space="preserve">Hedysarum carnosum </v>
      </c>
    </row>
    <row r="151" spans="1:90" x14ac:dyDescent="0.25">
      <c r="A151" s="12" t="s">
        <v>70</v>
      </c>
      <c r="B151" s="13">
        <v>1043</v>
      </c>
      <c r="C151" s="96" t="s">
        <v>230</v>
      </c>
      <c r="D151" s="96"/>
      <c r="E151" s="96"/>
      <c r="F151" s="96" t="s">
        <v>231</v>
      </c>
      <c r="G151" t="s">
        <v>143</v>
      </c>
      <c r="H151" t="s">
        <v>144</v>
      </c>
      <c r="I151" t="s">
        <v>52</v>
      </c>
      <c r="J151" s="100">
        <v>1</v>
      </c>
      <c r="K151" s="100"/>
      <c r="L151" s="100"/>
      <c r="M151" t="s">
        <v>231</v>
      </c>
      <c r="N151" t="s">
        <v>80</v>
      </c>
      <c r="O151" s="18">
        <v>245.70063932980565</v>
      </c>
      <c r="P151" s="18">
        <v>5.8402777777777759</v>
      </c>
      <c r="Q151" s="97">
        <v>0.65149198799614982</v>
      </c>
      <c r="R151" s="97">
        <v>0.23467455163883735</v>
      </c>
      <c r="S151" s="97">
        <v>8.5207946815089683E-2</v>
      </c>
      <c r="T151" s="97">
        <v>1.0493970315398888E-2</v>
      </c>
      <c r="U151" s="97">
        <v>0</v>
      </c>
      <c r="V151" s="97">
        <v>7.8656462585033997E-3</v>
      </c>
      <c r="W151" s="97">
        <v>1.3006338899196038E-2</v>
      </c>
      <c r="X151" s="51">
        <f t="shared" si="11"/>
        <v>5.0084360805686474</v>
      </c>
      <c r="Y151" s="18">
        <v>705.6878306878308</v>
      </c>
      <c r="Z151" s="18">
        <v>29.250657942765493</v>
      </c>
      <c r="AA151" s="18">
        <f t="shared" si="12"/>
        <v>11.904998710036784</v>
      </c>
      <c r="AB151" s="18">
        <f t="shared" si="13"/>
        <v>41.449854554321853</v>
      </c>
      <c r="AC151" s="18">
        <f>$CP$15*Table2912[[#This Row],[DMD '[mg/g']]]+$CS$15*Table2912[[#This Row],[CH4 '[ml/g']]]+$CR$15*Table2912[[#This Row],[CH4 '[% GP']]]+$CQ$15*Table2912[[#This Row],[CH4 '[g/g DDM']]]</f>
        <v>14.876393574131143</v>
      </c>
      <c r="AD151" s="18">
        <f>_xlfn.RANK.AVG(Table2912[[#This Row],[Index]],Table2912[Index])</f>
        <v>272</v>
      </c>
      <c r="AE15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5.6730968271146835</v>
      </c>
      <c r="AF151" s="18">
        <f>Table2912[[#This Row],[CH4 '[ml/g']]]/Table2912[[#This Row],[APB]]</f>
        <v>5.1560300897670857</v>
      </c>
      <c r="AG151" s="18">
        <f>Table2912[[#This Row],[Propionate '[%']]]/Table2912[[#This Row],[Acetate '[%']]]</f>
        <v>0.36021095571819101</v>
      </c>
      <c r="AH151" s="51"/>
      <c r="AI151" s="18"/>
      <c r="AJ151" s="18"/>
      <c r="AK151" s="18">
        <f>(Table2912[[#This Row],[DMD '[mg/g']]]-$AK$15)/$AK$15*100</f>
        <v>43.932998212571015</v>
      </c>
      <c r="AL151" s="18">
        <f>(Table2912[[#This Row],[CH4 '[ml/g']]]-AL$15)/AL$15*100</f>
        <v>-25.631792651728091</v>
      </c>
      <c r="AM151" s="18">
        <f>(Table2912[[#This Row],[CH4 '[% GP']]]-AM$15)/AM$15*100</f>
        <v>-23.304165890516654</v>
      </c>
      <c r="AN151" s="18">
        <f>(Table2912[[#This Row],[CH4 '[g/g DDM']]]-AN$15)/AN$15*100</f>
        <v>-19.067793561209161</v>
      </c>
      <c r="AO151" s="18"/>
      <c r="AP151" s="18"/>
      <c r="AR151">
        <f>_xlfn.NORM.DIST(Table2912[[#This Row],[GP '[ml/g']]],O$6,O$2,FALSE)</f>
        <v>7.3549350993392347E-3</v>
      </c>
      <c r="AS151">
        <f>_xlfn.NORM.DIST(Table2912[[#This Row],[SCFA '[mmol/g']]],P$6,P$2,FALSE)</f>
        <v>0.28098386107012663</v>
      </c>
      <c r="AT151">
        <f>_xlfn.NORM.DIST(Table2912[[#This Row],[Acetate '[%']]],Q$6,Q$2,FALSE)</f>
        <v>10.503469457069089</v>
      </c>
      <c r="AU151">
        <f>_xlfn.NORM.DIST(Table2912[[#This Row],[Propionate '[%']]],R$6,R$2,FALSE)</f>
        <v>0.51009270188962386</v>
      </c>
      <c r="AV151">
        <f>_xlfn.NORM.DIST(Table2912[[#This Row],[Butyrate '[%']]],S$6,S$2,FALSE)</f>
        <v>20.856211405285155</v>
      </c>
      <c r="AW151">
        <f>_xlfn.NORM.DIST(Table2912[[#This Row],[Valerate '[%']]],T$6,T$2,FALSE)</f>
        <v>29.454001466931885</v>
      </c>
      <c r="AX151">
        <f>_xlfn.NORM.DIST(Table2912[[#This Row],[Caproate '[%']]],U$6,U$2,FALSE)</f>
        <v>161.45236743807925</v>
      </c>
      <c r="AY151">
        <f>_xlfn.NORM.DIST(Table2912[[#This Row],[Isobutyrate '[%']]],V$6,V$2,FALSE)</f>
        <v>21.83393540498091</v>
      </c>
      <c r="AZ151">
        <f>_xlfn.NORM.DIST(Table2912[[#This Row],[Isovalerate '[%']]],W$6,W$2,FALSE)</f>
        <v>10.792595737917186</v>
      </c>
      <c r="BA151">
        <f>_xlfn.NORM.DIST(Table2912[[#This Row],[CH4 '[g/mmol SCFA']]],X$6,X$2,FALSE)</f>
        <v>0.18940217283733177</v>
      </c>
      <c r="BB151">
        <f>_xlfn.NORM.DIST(Table2912[[#This Row],[DMD '[mg/g']]],Y$6,Y$2,FALSE)</f>
        <v>2.5553122327633447E-3</v>
      </c>
      <c r="BC151">
        <f>_xlfn.NORM.DIST(Table2912[[#This Row],[CH4 '[ml/g']]],Z$6,Z$2,FALSE)</f>
        <v>1.9911400858021382E-2</v>
      </c>
      <c r="BD151">
        <f>_xlfn.NORM.DIST(Table2912[[#This Row],[CH4 '[% GP']]],AA$6,AA$2,FALSE)</f>
        <v>5.0145691897915207E-2</v>
      </c>
      <c r="BE151">
        <f>_xlfn.NORM.DIST(Table2912[[#This Row],[CH4 '[g/g DDM']]],AB$6,AB$2,FALSE)</f>
        <v>2.0318349823044909E-2</v>
      </c>
      <c r="BG151">
        <f>IF(Table2912[[#This Row],[GP '[ml/g']]]&lt;O$10,_xlfn.NORM.DIST(Table2912[[#This Row],[GP '[ml/g']]],O$6,O$2,FALSE),-100)</f>
        <v>-100</v>
      </c>
      <c r="BH151">
        <f>IF(Table2912[[#This Row],[SCFA '[mmol/g']]]&lt;P$10,_xlfn.NORM.DIST(Table2912[[#This Row],[SCFA '[mmol/g']]],P$6,P$2,FALSE),-100)</f>
        <v>-100</v>
      </c>
      <c r="BI151">
        <f>IF(Table2912[[#This Row],[Acetate '[%']]]&lt;Q$10,_xlfn.NORM.DIST(Table2912[[#This Row],[Acetate '[%']]],Q$6,Q$2,FALSE),-100)</f>
        <v>-100</v>
      </c>
      <c r="BJ151">
        <f>IF(Table2912[[#This Row],[Propionate '[%']]]&lt;R$10,_xlfn.NORM.DIST(Table2912[[#This Row],[Propionate '[%']]],R$6,R$2,FALSE),-100)</f>
        <v>-100</v>
      </c>
      <c r="BK151">
        <f>IF(Table2912[[#This Row],[Butyrate '[%']]]&lt;S$10,_xlfn.NORM.DIST(Table2912[[#This Row],[Butyrate '[%']]],S$6,S$2,FALSE),-100)</f>
        <v>-100</v>
      </c>
      <c r="BL151">
        <f>IF(Table2912[[#This Row],[Valerate '[%']]]&lt;T$10,_xlfn.NORM.DIST(Table2912[[#This Row],[Valerate '[%']]],T$6,T$2,FALSE),-100)</f>
        <v>29.454001466931885</v>
      </c>
      <c r="BM151">
        <f>IF(Table2912[[#This Row],[Caproate '[%']]]&lt;U$10,_xlfn.NORM.DIST(Table2912[[#This Row],[Caproate '[%']]],U$6,U$2,FALSE),-100)</f>
        <v>161.45236743807925</v>
      </c>
      <c r="BN151">
        <f>IF(Table2912[[#This Row],[Isobutyrate '[%']]]&lt;V$10,_xlfn.NORM.DIST(Table2912[[#This Row],[Isobutyrate '[%']]],V$6,V$2,FALSE),-100)</f>
        <v>21.83393540498091</v>
      </c>
      <c r="BO151">
        <f>IF(Table2912[[#This Row],[Isovalerate '[%']]]&lt;W$10,_xlfn.NORM.DIST(Table2912[[#This Row],[Isovalerate '[%']]],W$6,W$2,FALSE),-100)</f>
        <v>10.792595737917186</v>
      </c>
      <c r="BP151">
        <f>IF(Table2912[[#This Row],[CH4 '[g/mmol SCFA']]]&lt;X$10,_xlfn.NORM.DIST(Table2912[[#This Row],[CH4 '[g/mmol SCFA']]],X$6,X$2,FALSE),-100)</f>
        <v>-100</v>
      </c>
      <c r="BQ151">
        <f>IF(Table2912[[#This Row],[DMD '[mg/g']]]&gt;Y$10,_xlfn.NORM.DIST(Table2912[[#This Row],[DMD '[mg/g']]],Y$6,Y$2,FALSE),-100)</f>
        <v>-100</v>
      </c>
      <c r="BR151">
        <f>IF(Table2912[[#This Row],[CH4 '[ml/g']]]&lt;Z$10,_xlfn.NORM.DIST(Table2912[[#This Row],[CH4 '[ml/g']]],Z$6,Z$2,FALSE),-100)</f>
        <v>1.9911400858021382E-2</v>
      </c>
      <c r="BS151">
        <f>IF(Table2912[[#This Row],[CH4 '[% GP']]]&lt;AA$10,_xlfn.NORM.DIST(Table2912[[#This Row],[CH4 '[% GP']]],AA$6,AA$2,FALSE),-100)</f>
        <v>-100</v>
      </c>
      <c r="BT151">
        <f>IF(Table2912[[#This Row],[CH4 '[g/g DDM']]]&lt;AB$10,_xlfn.NORM.DIST(Table2912[[#This Row],[CH4 '[g/g DDM']]],AB$6,AB$2,FALSE),-100)</f>
        <v>-100</v>
      </c>
      <c r="CJ151" t="str">
        <v xml:space="preserve">Vicia sativa </v>
      </c>
      <c r="CL151" t="str">
        <v xml:space="preserve">Vicia sativa </v>
      </c>
    </row>
    <row r="152" spans="1:90" x14ac:dyDescent="0.25">
      <c r="A152" s="12" t="s">
        <v>200</v>
      </c>
      <c r="B152" s="13">
        <v>1142</v>
      </c>
      <c r="C152" s="117" t="s">
        <v>232</v>
      </c>
      <c r="D152" s="117" t="s">
        <v>233</v>
      </c>
      <c r="E152" s="117" t="s">
        <v>234</v>
      </c>
      <c r="F152" s="117" t="s">
        <v>235</v>
      </c>
      <c r="G152" t="s">
        <v>73</v>
      </c>
      <c r="H152" t="s">
        <v>74</v>
      </c>
      <c r="I152" t="s">
        <v>75</v>
      </c>
      <c r="J152" s="70">
        <v>1</v>
      </c>
      <c r="K152" s="70"/>
      <c r="L152" s="70"/>
      <c r="M152" t="s">
        <v>236</v>
      </c>
      <c r="N152" t="s">
        <v>171</v>
      </c>
      <c r="O152" s="18">
        <v>266.94537037037014</v>
      </c>
      <c r="P152" s="18">
        <v>6.4683800388640709</v>
      </c>
      <c r="Q152" s="97">
        <v>0.68371490217664488</v>
      </c>
      <c r="R152" s="97">
        <v>0.16448750153560288</v>
      </c>
      <c r="S152" s="97">
        <v>9.0215321561196576E-2</v>
      </c>
      <c r="T152" s="97">
        <v>1.6625299089333738E-2</v>
      </c>
      <c r="U152" s="97">
        <v>1.3394430051237413E-3</v>
      </c>
      <c r="V152" s="97">
        <v>1.5205354267985458E-2</v>
      </c>
      <c r="W152" s="97">
        <v>2.8412178364112695E-2</v>
      </c>
      <c r="X152" s="51">
        <f t="shared" si="11"/>
        <v>7.4747340388517962</v>
      </c>
      <c r="Y152" s="18">
        <v>706.06802268478941</v>
      </c>
      <c r="Z152" s="18">
        <v>48.349420452726775</v>
      </c>
      <c r="AA152" s="18">
        <f t="shared" si="12"/>
        <v>18.112103006560837</v>
      </c>
      <c r="AB152" s="18">
        <f t="shared" si="13"/>
        <v>68.477000656226366</v>
      </c>
      <c r="AC152" s="18">
        <f>$CP$15*Table2912[[#This Row],[DMD '[mg/g']]]+$CS$15*Table2912[[#This Row],[CH4 '[ml/g']]]+$CR$15*Table2912[[#This Row],[CH4 '[% GP']]]+$CQ$15*Table2912[[#This Row],[CH4 '[g/g DDM']]]</f>
        <v>0.44032002022503747</v>
      </c>
      <c r="AD152" s="18">
        <f>_xlfn.RANK.AVG(Table2912[[#This Row],[Index]],Table2912[Index])</f>
        <v>441</v>
      </c>
      <c r="AE15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6.0700424822749746</v>
      </c>
      <c r="AF152" s="18">
        <f>Table2912[[#This Row],[CH4 '[ml/g']]]/Table2912[[#This Row],[APB]]</f>
        <v>7.9652524004421839</v>
      </c>
      <c r="AG152" s="18">
        <f>Table2912[[#This Row],[Propionate '[%']]]/Table2912[[#This Row],[Acetate '[%']]]</f>
        <v>0.24057907910438642</v>
      </c>
      <c r="AH152" s="51"/>
      <c r="AI152" s="18"/>
      <c r="AJ152" s="18"/>
      <c r="AK152" s="18">
        <f>(Table2912[[#This Row],[DMD '[mg/g']]]-$AK$15)/$AK$15*100</f>
        <v>44.010542661602166</v>
      </c>
      <c r="AL152" s="18">
        <f>(Table2912[[#This Row],[CH4 '[ml/g']]]-AL$15)/AL$15*100</f>
        <v>22.925772556390339</v>
      </c>
      <c r="AM152" s="18">
        <f>(Table2912[[#This Row],[CH4 '[% GP']]]-AM$15)/AM$15*100</f>
        <v>16.68399815901974</v>
      </c>
      <c r="AN152" s="18">
        <f>(Table2912[[#This Row],[CH4 '[g/g DDM']]]-AN$15)/AN$15*100</f>
        <v>33.703599518205799</v>
      </c>
      <c r="AO152" s="18"/>
      <c r="AP152" s="18"/>
      <c r="AR152">
        <f>_xlfn.NORM.DIST(Table2912[[#This Row],[GP '[ml/g']]],O$6,O$2,FALSE)</f>
        <v>7.3093080659561611E-3</v>
      </c>
      <c r="AS152">
        <f>_xlfn.NORM.DIST(Table2912[[#This Row],[SCFA '[mmol/g']]],P$6,P$2,FALSE)</f>
        <v>0.33219155934937356</v>
      </c>
      <c r="AT152">
        <f>_xlfn.NORM.DIST(Table2912[[#This Row],[Acetate '[%']]],Q$6,Q$2,FALSE)</f>
        <v>13.087485588032212</v>
      </c>
      <c r="AU152">
        <f>_xlfn.NORM.DIST(Table2912[[#This Row],[Propionate '[%']]],R$6,R$2,FALSE)</f>
        <v>16.000287505644803</v>
      </c>
      <c r="AV152">
        <f>_xlfn.NORM.DIST(Table2912[[#This Row],[Butyrate '[%']]],S$6,S$2,FALSE)</f>
        <v>22.75066710774426</v>
      </c>
      <c r="AW152">
        <f>_xlfn.NORM.DIST(Table2912[[#This Row],[Valerate '[%']]],T$6,T$2,FALSE)</f>
        <v>75.854394658432014</v>
      </c>
      <c r="AX152">
        <f>_xlfn.NORM.DIST(Table2912[[#This Row],[Caproate '[%']]],U$6,U$2,FALSE)</f>
        <v>406.90565097437263</v>
      </c>
      <c r="AY152">
        <f>_xlfn.NORM.DIST(Table2912[[#This Row],[Isobutyrate '[%']]],V$6,V$2,FALSE)</f>
        <v>90.129351669757995</v>
      </c>
      <c r="AZ152">
        <f>_xlfn.NORM.DIST(Table2912[[#This Row],[Isovalerate '[%']]],W$6,W$2,FALSE)</f>
        <v>45.351207231060997</v>
      </c>
      <c r="BA152">
        <f>_xlfn.NORM.DIST(Table2912[[#This Row],[CH4 '[g/mmol SCFA']]],X$6,X$2,FALSE)</f>
        <v>0.20039275953168906</v>
      </c>
      <c r="BB152">
        <f>_xlfn.NORM.DIST(Table2912[[#This Row],[DMD '[mg/g']]],Y$6,Y$2,FALSE)</f>
        <v>2.5589544224659581E-3</v>
      </c>
      <c r="BC152">
        <f>_xlfn.NORM.DIST(Table2912[[#This Row],[CH4 '[ml/g']]],Z$6,Z$2,FALSE)</f>
        <v>2.825586308983797E-2</v>
      </c>
      <c r="BD152">
        <f>_xlfn.NORM.DIST(Table2912[[#This Row],[CH4 '[% GP']]],AA$6,AA$2,FALSE)</f>
        <v>0.10616633090097077</v>
      </c>
      <c r="BE152">
        <f>_xlfn.NORM.DIST(Table2912[[#This Row],[CH4 '[g/g DDM']]],AB$6,AB$2,FALSE)</f>
        <v>1.5128590549506389E-2</v>
      </c>
      <c r="BG152">
        <f>IF(Table2912[[#This Row],[GP '[ml/g']]]&lt;O$10,_xlfn.NORM.DIST(Table2912[[#This Row],[GP '[ml/g']]],O$6,O$2,FALSE),-100)</f>
        <v>-100</v>
      </c>
      <c r="BH152">
        <f>IF(Table2912[[#This Row],[SCFA '[mmol/g']]]&lt;P$10,_xlfn.NORM.DIST(Table2912[[#This Row],[SCFA '[mmol/g']]],P$6,P$2,FALSE),-100)</f>
        <v>-100</v>
      </c>
      <c r="BI152">
        <f>IF(Table2912[[#This Row],[Acetate '[%']]]&lt;Q$10,_xlfn.NORM.DIST(Table2912[[#This Row],[Acetate '[%']]],Q$6,Q$2,FALSE),-100)</f>
        <v>-100</v>
      </c>
      <c r="BJ152">
        <f>IF(Table2912[[#This Row],[Propionate '[%']]]&lt;R$10,_xlfn.NORM.DIST(Table2912[[#This Row],[Propionate '[%']]],R$6,R$2,FALSE),-100)</f>
        <v>-100</v>
      </c>
      <c r="BK152">
        <f>IF(Table2912[[#This Row],[Butyrate '[%']]]&lt;S$10,_xlfn.NORM.DIST(Table2912[[#This Row],[Butyrate '[%']]],S$6,S$2,FALSE),-100)</f>
        <v>-100</v>
      </c>
      <c r="BL152">
        <f>IF(Table2912[[#This Row],[Valerate '[%']]]&lt;T$10,_xlfn.NORM.DIST(Table2912[[#This Row],[Valerate '[%']]],T$6,T$2,FALSE),-100)</f>
        <v>-100</v>
      </c>
      <c r="BM152">
        <f>IF(Table2912[[#This Row],[Caproate '[%']]]&lt;U$10,_xlfn.NORM.DIST(Table2912[[#This Row],[Caproate '[%']]],U$6,U$2,FALSE),-100)</f>
        <v>-100</v>
      </c>
      <c r="BN152">
        <f>IF(Table2912[[#This Row],[Isobutyrate '[%']]]&lt;V$10,_xlfn.NORM.DIST(Table2912[[#This Row],[Isobutyrate '[%']]],V$6,V$2,FALSE),-100)</f>
        <v>-100</v>
      </c>
      <c r="BO152">
        <f>IF(Table2912[[#This Row],[Isovalerate '[%']]]&lt;W$10,_xlfn.NORM.DIST(Table2912[[#This Row],[Isovalerate '[%']]],W$6,W$2,FALSE),-100)</f>
        <v>-100</v>
      </c>
      <c r="BP152">
        <f>IF(Table2912[[#This Row],[CH4 '[g/mmol SCFA']]]&lt;X$10,_xlfn.NORM.DIST(Table2912[[#This Row],[CH4 '[g/mmol SCFA']]],X$6,X$2,FALSE),-100)</f>
        <v>-100</v>
      </c>
      <c r="BQ152">
        <f>IF(Table2912[[#This Row],[DMD '[mg/g']]]&gt;Y$10,_xlfn.NORM.DIST(Table2912[[#This Row],[DMD '[mg/g']]],Y$6,Y$2,FALSE),-100)</f>
        <v>-100</v>
      </c>
      <c r="BR152">
        <f>IF(Table2912[[#This Row],[CH4 '[ml/g']]]&lt;Z$10,_xlfn.NORM.DIST(Table2912[[#This Row],[CH4 '[ml/g']]],Z$6,Z$2,FALSE),-100)</f>
        <v>-100</v>
      </c>
      <c r="BS152">
        <f>IF(Table2912[[#This Row],[CH4 '[% GP']]]&lt;AA$10,_xlfn.NORM.DIST(Table2912[[#This Row],[CH4 '[% GP']]],AA$6,AA$2,FALSE),-100)</f>
        <v>-100</v>
      </c>
      <c r="BT152">
        <f>IF(Table2912[[#This Row],[CH4 '[g/g DDM']]]&lt;AB$10,_xlfn.NORM.DIST(Table2912[[#This Row],[CH4 '[g/g DDM']]],AB$6,AB$2,FALSE),-100)</f>
        <v>-100</v>
      </c>
      <c r="CJ152" t="str">
        <v>Lathyrus sativus (IFLA-24)</v>
      </c>
      <c r="CL152" t="str">
        <v>Lathyrus sativus (IFLA-24)</v>
      </c>
    </row>
    <row r="153" spans="1:90" x14ac:dyDescent="0.25">
      <c r="A153" s="12" t="s">
        <v>200</v>
      </c>
      <c r="B153" s="13">
        <v>1142</v>
      </c>
      <c r="C153" s="117" t="s">
        <v>232</v>
      </c>
      <c r="D153" s="117" t="s">
        <v>233</v>
      </c>
      <c r="E153" s="117" t="s">
        <v>234</v>
      </c>
      <c r="F153" s="117" t="s">
        <v>235</v>
      </c>
      <c r="G153" s="32" t="s">
        <v>73</v>
      </c>
      <c r="H153" s="32" t="s">
        <v>74</v>
      </c>
      <c r="I153" s="104" t="s">
        <v>48</v>
      </c>
      <c r="J153" s="70">
        <v>3</v>
      </c>
      <c r="K153" s="70"/>
      <c r="L153" s="70"/>
      <c r="M153" t="s">
        <v>236</v>
      </c>
      <c r="N153" t="s">
        <v>237</v>
      </c>
      <c r="O153" s="18">
        <v>296.05504749282051</v>
      </c>
      <c r="P153" s="18">
        <v>7.3955801127976422</v>
      </c>
      <c r="Q153" s="97">
        <v>0.68843886325190362</v>
      </c>
      <c r="R153" s="97">
        <v>0.16309981728246797</v>
      </c>
      <c r="S153" s="97">
        <v>8.998129596777385E-2</v>
      </c>
      <c r="T153" s="97">
        <v>1.5602965667651215E-2</v>
      </c>
      <c r="U153" s="97">
        <v>1.1653512710695796E-3</v>
      </c>
      <c r="V153" s="97">
        <v>1.443700987188935E-2</v>
      </c>
      <c r="W153" s="97">
        <v>2.7274696687244401E-2</v>
      </c>
      <c r="X153" s="51">
        <f t="shared" si="11"/>
        <v>6.957762610403357</v>
      </c>
      <c r="Y153" s="18">
        <v>709.69772195749647</v>
      </c>
      <c r="Z153" s="18">
        <v>51.456690791066073</v>
      </c>
      <c r="AA153" s="18">
        <f t="shared" si="12"/>
        <v>17.380784832697007</v>
      </c>
      <c r="AB153" s="18">
        <f t="shared" si="13"/>
        <v>72.505080964805174</v>
      </c>
      <c r="AC153" s="18">
        <f>$CP$15*Table2912[[#This Row],[DMD '[mg/g']]]+$CS$15*Table2912[[#This Row],[CH4 '[ml/g']]]+$CR$15*Table2912[[#This Row],[CH4 '[% GP']]]+$CQ$15*Table2912[[#This Row],[CH4 '[g/g DDM']]]</f>
        <v>-0.86825049581025127</v>
      </c>
      <c r="AD153" s="18">
        <f>_xlfn.RANK.AVG(Table2912[[#This Row],[Index]],Table2912[Index])</f>
        <v>452</v>
      </c>
      <c r="AE15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6.9630864140209709</v>
      </c>
      <c r="AF153" s="18">
        <f>Table2912[[#This Row],[CH4 '[ml/g']]]/Table2912[[#This Row],[APB]]</f>
        <v>7.3899256351970788</v>
      </c>
      <c r="AG153" s="18">
        <f>Table2912[[#This Row],[Propionate '[%']]]/Table2912[[#This Row],[Acetate '[%']]]</f>
        <v>0.2369125654993548</v>
      </c>
      <c r="AH153" s="51"/>
      <c r="AI153" s="18"/>
      <c r="AJ153" s="18"/>
      <c r="AK153" s="18">
        <f>(Table2912[[#This Row],[DMD '[mg/g']]]-$AK$15)/$AK$15*100</f>
        <v>44.75086079691917</v>
      </c>
      <c r="AL153" s="18">
        <f>(Table2912[[#This Row],[CH4 '[ml/g']]]-AL$15)/AL$15*100</f>
        <v>30.825838437332514</v>
      </c>
      <c r="AM153" s="18">
        <f>(Table2912[[#This Row],[CH4 '[% GP']]]-AM$15)/AM$15*100</f>
        <v>11.972611059361892</v>
      </c>
      <c r="AN153" s="18">
        <f>(Table2912[[#This Row],[CH4 '[g/g DDM']]]-AN$15)/AN$15*100</f>
        <v>41.568559011819687</v>
      </c>
      <c r="AO153" s="18"/>
      <c r="AP153" s="18"/>
      <c r="AR153">
        <f>_xlfn.NORM.DIST(Table2912[[#This Row],[GP '[ml/g']]],O$6,O$2,FALSE)</f>
        <v>5.6012094399795122E-3</v>
      </c>
      <c r="AS153">
        <f>_xlfn.NORM.DIST(Table2912[[#This Row],[SCFA '[mmol/g']]],P$6,P$2,FALSE)</f>
        <v>0.25755873426402004</v>
      </c>
      <c r="AT153">
        <f>_xlfn.NORM.DIST(Table2912[[#This Row],[Acetate '[%']]],Q$6,Q$2,FALSE)</f>
        <v>12.134076937559986</v>
      </c>
      <c r="AU153">
        <f>_xlfn.NORM.DIST(Table2912[[#This Row],[Propionate '[%']]],R$6,R$2,FALSE)</f>
        <v>15.685851462452289</v>
      </c>
      <c r="AV153">
        <f>_xlfn.NORM.DIST(Table2912[[#This Row],[Butyrate '[%']]],S$6,S$2,FALSE)</f>
        <v>22.700624670806416</v>
      </c>
      <c r="AW153">
        <f>_xlfn.NORM.DIST(Table2912[[#This Row],[Valerate '[%']]],T$6,T$2,FALSE)</f>
        <v>71.476734292848391</v>
      </c>
      <c r="AX153">
        <f>_xlfn.NORM.DIST(Table2912[[#This Row],[Caproate '[%']]],U$6,U$2,FALSE)</f>
        <v>401.00400941695608</v>
      </c>
      <c r="AY153">
        <f>_xlfn.NORM.DIST(Table2912[[#This Row],[Isobutyrate '[%']]],V$6,V$2,FALSE)</f>
        <v>88.390439995441668</v>
      </c>
      <c r="AZ153">
        <f>_xlfn.NORM.DIST(Table2912[[#This Row],[Isovalerate '[%']]],W$6,W$2,FALSE)</f>
        <v>45.316660660568424</v>
      </c>
      <c r="BA153">
        <f>_xlfn.NORM.DIST(Table2912[[#This Row],[CH4 '[g/mmol SCFA']]],X$6,X$2,FALSE)</f>
        <v>0.26203684089594181</v>
      </c>
      <c r="BB153">
        <f>_xlfn.NORM.DIST(Table2912[[#This Row],[DMD '[mg/g']]],Y$6,Y$2,FALSE)</f>
        <v>2.5929805079349059E-3</v>
      </c>
      <c r="BC153">
        <f>_xlfn.NORM.DIST(Table2912[[#This Row],[CH4 '[ml/g']]],Z$6,Z$2,FALSE)</f>
        <v>2.3450398933785338E-2</v>
      </c>
      <c r="BD153">
        <f>_xlfn.NORM.DIST(Table2912[[#This Row],[CH4 '[% GP']]],AA$6,AA$2,FALSE)</f>
        <v>0.12211399196568361</v>
      </c>
      <c r="BE153">
        <f>_xlfn.NORM.DIST(Table2912[[#This Row],[CH4 '[g/g DDM']]],AB$6,AB$2,FALSE)</f>
        <v>9.4734081297336344E-3</v>
      </c>
      <c r="BG153">
        <f>IF(Table2912[[#This Row],[GP '[ml/g']]]&lt;O$10,_xlfn.NORM.DIST(Table2912[[#This Row],[GP '[ml/g']]],O$6,O$2,FALSE),-100)</f>
        <v>-100</v>
      </c>
      <c r="BH153">
        <f>IF(Table2912[[#This Row],[SCFA '[mmol/g']]]&lt;P$10,_xlfn.NORM.DIST(Table2912[[#This Row],[SCFA '[mmol/g']]],P$6,P$2,FALSE),-100)</f>
        <v>-100</v>
      </c>
      <c r="BI153">
        <f>IF(Table2912[[#This Row],[Acetate '[%']]]&lt;Q$10,_xlfn.NORM.DIST(Table2912[[#This Row],[Acetate '[%']]],Q$6,Q$2,FALSE),-100)</f>
        <v>-100</v>
      </c>
      <c r="BJ153">
        <f>IF(Table2912[[#This Row],[Propionate '[%']]]&lt;R$10,_xlfn.NORM.DIST(Table2912[[#This Row],[Propionate '[%']]],R$6,R$2,FALSE),-100)</f>
        <v>-100</v>
      </c>
      <c r="BK153">
        <f>IF(Table2912[[#This Row],[Butyrate '[%']]]&lt;S$10,_xlfn.NORM.DIST(Table2912[[#This Row],[Butyrate '[%']]],S$6,S$2,FALSE),-100)</f>
        <v>-100</v>
      </c>
      <c r="BL153">
        <f>IF(Table2912[[#This Row],[Valerate '[%']]]&lt;T$10,_xlfn.NORM.DIST(Table2912[[#This Row],[Valerate '[%']]],T$6,T$2,FALSE),-100)</f>
        <v>-100</v>
      </c>
      <c r="BM153">
        <f>IF(Table2912[[#This Row],[Caproate '[%']]]&lt;U$10,_xlfn.NORM.DIST(Table2912[[#This Row],[Caproate '[%']]],U$6,U$2,FALSE),-100)</f>
        <v>-100</v>
      </c>
      <c r="BN153">
        <f>IF(Table2912[[#This Row],[Isobutyrate '[%']]]&lt;V$10,_xlfn.NORM.DIST(Table2912[[#This Row],[Isobutyrate '[%']]],V$6,V$2,FALSE),-100)</f>
        <v>-100</v>
      </c>
      <c r="BO153">
        <f>IF(Table2912[[#This Row],[Isovalerate '[%']]]&lt;W$10,_xlfn.NORM.DIST(Table2912[[#This Row],[Isovalerate '[%']]],W$6,W$2,FALSE),-100)</f>
        <v>-100</v>
      </c>
      <c r="BP153">
        <f>IF(Table2912[[#This Row],[CH4 '[g/mmol SCFA']]]&lt;X$10,_xlfn.NORM.DIST(Table2912[[#This Row],[CH4 '[g/mmol SCFA']]],X$6,X$2,FALSE),-100)</f>
        <v>-100</v>
      </c>
      <c r="BQ153">
        <f>IF(Table2912[[#This Row],[DMD '[mg/g']]]&gt;Y$10,_xlfn.NORM.DIST(Table2912[[#This Row],[DMD '[mg/g']]],Y$6,Y$2,FALSE),-100)</f>
        <v>-100</v>
      </c>
      <c r="BR153">
        <f>IF(Table2912[[#This Row],[CH4 '[ml/g']]]&lt;Z$10,_xlfn.NORM.DIST(Table2912[[#This Row],[CH4 '[ml/g']]],Z$6,Z$2,FALSE),-100)</f>
        <v>-100</v>
      </c>
      <c r="BS153">
        <f>IF(Table2912[[#This Row],[CH4 '[% GP']]]&lt;AA$10,_xlfn.NORM.DIST(Table2912[[#This Row],[CH4 '[% GP']]],AA$6,AA$2,FALSE),-100)</f>
        <v>-100</v>
      </c>
      <c r="BT153">
        <f>IF(Table2912[[#This Row],[CH4 '[g/g DDM']]]&lt;AB$10,_xlfn.NORM.DIST(Table2912[[#This Row],[CH4 '[g/g DDM']]],AB$6,AB$2,FALSE),-100)</f>
        <v>-100</v>
      </c>
      <c r="CJ153" t="str">
        <v xml:space="preserve">Medicago arborea </v>
      </c>
      <c r="CL153" t="str">
        <v xml:space="preserve">Medicago arborea </v>
      </c>
    </row>
    <row r="154" spans="1:90" x14ac:dyDescent="0.25">
      <c r="A154" s="12" t="s">
        <v>70</v>
      </c>
      <c r="B154" s="13">
        <v>998</v>
      </c>
      <c r="C154" s="96" t="s">
        <v>238</v>
      </c>
      <c r="D154" s="96"/>
      <c r="E154" s="96"/>
      <c r="F154" s="96" t="s">
        <v>239</v>
      </c>
      <c r="G154" t="s">
        <v>73</v>
      </c>
      <c r="H154" t="s">
        <v>74</v>
      </c>
      <c r="I154" t="s">
        <v>75</v>
      </c>
      <c r="J154" s="70">
        <v>1</v>
      </c>
      <c r="K154" s="70"/>
      <c r="L154" s="70"/>
      <c r="M154" t="s">
        <v>239</v>
      </c>
      <c r="N154" t="s">
        <v>76</v>
      </c>
      <c r="O154" s="18">
        <v>245.33254593175786</v>
      </c>
      <c r="P154" s="18">
        <v>6.9572251530188964</v>
      </c>
      <c r="Q154" s="97">
        <v>0.68573450231280642</v>
      </c>
      <c r="R154" s="97">
        <v>0.15180655673965246</v>
      </c>
      <c r="S154" s="97">
        <v>0.1067011274423825</v>
      </c>
      <c r="T154" s="97">
        <v>1.3845971048247779E-2</v>
      </c>
      <c r="U154" s="97">
        <v>2.7529647250200094E-3</v>
      </c>
      <c r="V154" s="97">
        <v>1.3416287078414593E-2</v>
      </c>
      <c r="W154" s="97">
        <v>2.5742590653475998E-2</v>
      </c>
      <c r="X154" s="51">
        <f t="shared" si="11"/>
        <v>5.1627098616727958</v>
      </c>
      <c r="Y154" s="18">
        <v>711.27608800391022</v>
      </c>
      <c r="Z154" s="18">
        <v>35.918134907368682</v>
      </c>
      <c r="AA154" s="18">
        <f t="shared" si="12"/>
        <v>14.640591109081685</v>
      </c>
      <c r="AB154" s="18">
        <f t="shared" si="13"/>
        <v>50.498161702817178</v>
      </c>
      <c r="AC154" s="18">
        <f>$CP$15*Table2912[[#This Row],[DMD '[mg/g']]]+$CS$15*Table2912[[#This Row],[CH4 '[ml/g']]]+$CR$15*Table2912[[#This Row],[CH4 '[% GP']]]+$CQ$15*Table2912[[#This Row],[CH4 '[g/g DDM']]]</f>
        <v>10.299479803776386</v>
      </c>
      <c r="AD154" s="18">
        <f>_xlfn.RANK.AVG(Table2912[[#This Row],[Index]],Table2912[Index])</f>
        <v>356</v>
      </c>
      <c r="AE15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6.5693054904234698</v>
      </c>
      <c r="AF154" s="18">
        <f>Table2912[[#This Row],[CH4 '[ml/g']]]/Table2912[[#This Row],[APB]]</f>
        <v>5.4675695870330623</v>
      </c>
      <c r="AG154" s="18">
        <f>Table2912[[#This Row],[Propionate '[%']]]/Table2912[[#This Row],[Acetate '[%']]]</f>
        <v>0.22137803512532608</v>
      </c>
      <c r="AH154" s="51"/>
      <c r="AI154" s="18"/>
      <c r="AJ154" s="18"/>
      <c r="AK154" s="18">
        <f>(Table2912[[#This Row],[DMD '[mg/g']]]-$AK$15)/$AK$15*100</f>
        <v>45.07278636720401</v>
      </c>
      <c r="AL154" s="18">
        <f>(Table2912[[#This Row],[CH4 '[ml/g']]]-AL$15)/AL$15*100</f>
        <v>-8.6800950056902284</v>
      </c>
      <c r="AM154" s="18">
        <f>(Table2912[[#This Row],[CH4 '[% GP']]]-AM$15)/AM$15*100</f>
        <v>-5.6805990226406147</v>
      </c>
      <c r="AN154" s="18">
        <f>(Table2912[[#This Row],[CH4 '[g/g DDM']]]-AN$15)/AN$15*100</f>
        <v>-1.4006757887233756</v>
      </c>
      <c r="AO154" s="18"/>
      <c r="AP154" s="18"/>
      <c r="AR154">
        <f>_xlfn.NORM.DIST(Table2912[[#This Row],[GP '[ml/g']]],O$6,O$2,FALSE)</f>
        <v>7.345449671651948E-3</v>
      </c>
      <c r="AS154">
        <f>_xlfn.NORM.DIST(Table2912[[#This Row],[SCFA '[mmol/g']]],P$6,P$2,FALSE)</f>
        <v>0.31296380047516315</v>
      </c>
      <c r="AT154">
        <f>_xlfn.NORM.DIST(Table2912[[#This Row],[Acetate '[%']]],Q$6,Q$2,FALSE)</f>
        <v>12.713891640914124</v>
      </c>
      <c r="AU154">
        <f>_xlfn.NORM.DIST(Table2912[[#This Row],[Propionate '[%']]],R$6,R$2,FALSE)</f>
        <v>11.756298443141471</v>
      </c>
      <c r="AV154">
        <f>_xlfn.NORM.DIST(Table2912[[#This Row],[Butyrate '[%']]],S$6,S$2,FALSE)</f>
        <v>16.784074636214669</v>
      </c>
      <c r="AW154">
        <f>_xlfn.NORM.DIST(Table2912[[#This Row],[Valerate '[%']]],T$6,T$2,FALSE)</f>
        <v>58.869145310342198</v>
      </c>
      <c r="AX154">
        <f>_xlfn.NORM.DIST(Table2912[[#This Row],[Caproate '[%']]],U$6,U$2,FALSE)</f>
        <v>142.5724302421483</v>
      </c>
      <c r="AY154">
        <f>_xlfn.NORM.DIST(Table2912[[#This Row],[Isobutyrate '[%']]],V$6,V$2,FALSE)</f>
        <v>82.207713779967804</v>
      </c>
      <c r="AZ154">
        <f>_xlfn.NORM.DIST(Table2912[[#This Row],[Isovalerate '[%']]],W$6,W$2,FALSE)</f>
        <v>44.08540451652128</v>
      </c>
      <c r="BA154">
        <f>_xlfn.NORM.DIST(Table2912[[#This Row],[CH4 '[g/mmol SCFA']]],X$6,X$2,FALSE)</f>
        <v>0.20987571657716686</v>
      </c>
      <c r="BB154">
        <f>_xlfn.NORM.DIST(Table2912[[#This Row],[DMD '[mg/g']]],Y$6,Y$2,FALSE)</f>
        <v>2.6073448390398993E-3</v>
      </c>
      <c r="BC154">
        <f>_xlfn.NORM.DIST(Table2912[[#This Row],[CH4 '[ml/g']]],Z$6,Z$2,FALSE)</f>
        <v>3.0138763918106822E-2</v>
      </c>
      <c r="BD154">
        <f>_xlfn.NORM.DIST(Table2912[[#This Row],[CH4 '[% GP']]],AA$6,AA$2,FALSE)</f>
        <v>0.11993642674400015</v>
      </c>
      <c r="BE154">
        <f>_xlfn.NORM.DIST(Table2912[[#This Row],[CH4 '[g/g DDM']]],AB$6,AB$2,FALSE)</f>
        <v>3.1956004258045068E-2</v>
      </c>
      <c r="BG154">
        <f>IF(Table2912[[#This Row],[GP '[ml/g']]]&lt;O$10,_xlfn.NORM.DIST(Table2912[[#This Row],[GP '[ml/g']]],O$6,O$2,FALSE),-100)</f>
        <v>-100</v>
      </c>
      <c r="BH154">
        <f>IF(Table2912[[#This Row],[SCFA '[mmol/g']]]&lt;P$10,_xlfn.NORM.DIST(Table2912[[#This Row],[SCFA '[mmol/g']]],P$6,P$2,FALSE),-100)</f>
        <v>-100</v>
      </c>
      <c r="BI154">
        <f>IF(Table2912[[#This Row],[Acetate '[%']]]&lt;Q$10,_xlfn.NORM.DIST(Table2912[[#This Row],[Acetate '[%']]],Q$6,Q$2,FALSE),-100)</f>
        <v>-100</v>
      </c>
      <c r="BJ154">
        <f>IF(Table2912[[#This Row],[Propionate '[%']]]&lt;R$10,_xlfn.NORM.DIST(Table2912[[#This Row],[Propionate '[%']]],R$6,R$2,FALSE),-100)</f>
        <v>-100</v>
      </c>
      <c r="BK154">
        <f>IF(Table2912[[#This Row],[Butyrate '[%']]]&lt;S$10,_xlfn.NORM.DIST(Table2912[[#This Row],[Butyrate '[%']]],S$6,S$2,FALSE),-100)</f>
        <v>-100</v>
      </c>
      <c r="BL154">
        <f>IF(Table2912[[#This Row],[Valerate '[%']]]&lt;T$10,_xlfn.NORM.DIST(Table2912[[#This Row],[Valerate '[%']]],T$6,T$2,FALSE),-100)</f>
        <v>-100</v>
      </c>
      <c r="BM154">
        <f>IF(Table2912[[#This Row],[Caproate '[%']]]&lt;U$10,_xlfn.NORM.DIST(Table2912[[#This Row],[Caproate '[%']]],U$6,U$2,FALSE),-100)</f>
        <v>-100</v>
      </c>
      <c r="BN154">
        <f>IF(Table2912[[#This Row],[Isobutyrate '[%']]]&lt;V$10,_xlfn.NORM.DIST(Table2912[[#This Row],[Isobutyrate '[%']]],V$6,V$2,FALSE),-100)</f>
        <v>-100</v>
      </c>
      <c r="BO154">
        <f>IF(Table2912[[#This Row],[Isovalerate '[%']]]&lt;W$10,_xlfn.NORM.DIST(Table2912[[#This Row],[Isovalerate '[%']]],W$6,W$2,FALSE),-100)</f>
        <v>-100</v>
      </c>
      <c r="BP154">
        <f>IF(Table2912[[#This Row],[CH4 '[g/mmol SCFA']]]&lt;X$10,_xlfn.NORM.DIST(Table2912[[#This Row],[CH4 '[g/mmol SCFA']]],X$6,X$2,FALSE),-100)</f>
        <v>-100</v>
      </c>
      <c r="BQ154">
        <f>IF(Table2912[[#This Row],[DMD '[mg/g']]]&gt;Y$10,_xlfn.NORM.DIST(Table2912[[#This Row],[DMD '[mg/g']]],Y$6,Y$2,FALSE),-100)</f>
        <v>-100</v>
      </c>
      <c r="BR154">
        <f>IF(Table2912[[#This Row],[CH4 '[ml/g']]]&lt;Z$10,_xlfn.NORM.DIST(Table2912[[#This Row],[CH4 '[ml/g']]],Z$6,Z$2,FALSE),-100)</f>
        <v>-100</v>
      </c>
      <c r="BS154">
        <f>IF(Table2912[[#This Row],[CH4 '[% GP']]]&lt;AA$10,_xlfn.NORM.DIST(Table2912[[#This Row],[CH4 '[% GP']]],AA$6,AA$2,FALSE),-100)</f>
        <v>-100</v>
      </c>
      <c r="BT154">
        <f>IF(Table2912[[#This Row],[CH4 '[g/g DDM']]]&lt;AB$10,_xlfn.NORM.DIST(Table2912[[#This Row],[CH4 '[g/g DDM']]],AB$6,AB$2,FALSE),-100)</f>
        <v>-100</v>
      </c>
      <c r="CJ154" t="str">
        <v xml:space="preserve">Periploca angustifolia </v>
      </c>
      <c r="CL154" t="str">
        <v xml:space="preserve">Periploca angustifolia </v>
      </c>
    </row>
    <row r="155" spans="1:90" x14ac:dyDescent="0.25">
      <c r="A155" s="12" t="s">
        <v>70</v>
      </c>
      <c r="B155" s="13">
        <v>1030</v>
      </c>
      <c r="C155" s="96" t="s">
        <v>224</v>
      </c>
      <c r="D155" s="96"/>
      <c r="E155" s="96"/>
      <c r="F155" s="96" t="s">
        <v>225</v>
      </c>
      <c r="G155" s="15" t="s">
        <v>73</v>
      </c>
      <c r="H155" s="15" t="s">
        <v>74</v>
      </c>
      <c r="I155" t="s">
        <v>75</v>
      </c>
      <c r="J155" s="107">
        <v>1</v>
      </c>
      <c r="K155" s="107"/>
      <c r="L155" s="107"/>
      <c r="M155" t="s">
        <v>225</v>
      </c>
      <c r="N155" t="s">
        <v>84</v>
      </c>
      <c r="O155" s="18">
        <v>279.03598509752374</v>
      </c>
      <c r="P155" s="18">
        <v>8.4629352425826792</v>
      </c>
      <c r="Q155" s="97">
        <v>0.66911380039040647</v>
      </c>
      <c r="R155" s="97">
        <v>0.15037563503094104</v>
      </c>
      <c r="S155" s="97">
        <v>0.1131398079565329</v>
      </c>
      <c r="T155" s="97">
        <v>1.8090885050259915E-2</v>
      </c>
      <c r="U155" s="97">
        <v>1.8670574845913062E-3</v>
      </c>
      <c r="V155" s="97">
        <v>1.6742430601740105E-2</v>
      </c>
      <c r="W155" s="97">
        <v>3.0670383485528311E-2</v>
      </c>
      <c r="X155" s="51">
        <f t="shared" si="11"/>
        <v>4.6845835910685354</v>
      </c>
      <c r="Y155" s="18">
        <v>711.30887156528195</v>
      </c>
      <c r="Z155" s="18">
        <v>39.645327569678436</v>
      </c>
      <c r="AA155" s="18">
        <f t="shared" si="12"/>
        <v>14.207962301286086</v>
      </c>
      <c r="AB155" s="18">
        <f t="shared" si="13"/>
        <v>55.735741749482592</v>
      </c>
      <c r="AC155" s="18">
        <f>$CP$15*Table2912[[#This Row],[DMD '[mg/g']]]+$CS$15*Table2912[[#This Row],[CH4 '[ml/g']]]+$CR$15*Table2912[[#This Row],[CH4 '[% GP']]]+$CQ$15*Table2912[[#This Row],[CH4 '[g/g DDM']]]</f>
        <v>8.0066253035290984</v>
      </c>
      <c r="AD155" s="18">
        <f>_xlfn.RANK.AVG(Table2912[[#This Row],[Index]],Table2912[Index])</f>
        <v>374</v>
      </c>
      <c r="AE15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7.8927808920458826</v>
      </c>
      <c r="AF155" s="18">
        <f>Table2912[[#This Row],[CH4 '[ml/g']]]/Table2912[[#This Row],[APB]]</f>
        <v>5.0229859553851108</v>
      </c>
      <c r="AG155" s="18">
        <f>Table2912[[#This Row],[Propionate '[%']]]/Table2912[[#This Row],[Acetate '[%']]]</f>
        <v>0.22473850478528715</v>
      </c>
      <c r="AH155" s="51"/>
      <c r="AI155" s="18"/>
      <c r="AJ155" s="18"/>
      <c r="AK155" s="18">
        <f>(Table2912[[#This Row],[DMD '[mg/g']]]-$AK$15)/$AK$15*100</f>
        <v>45.079472944575933</v>
      </c>
      <c r="AL155" s="18">
        <f>(Table2912[[#This Row],[CH4 '[ml/g']]]-AL$15)/AL$15*100</f>
        <v>0.79608967637655426</v>
      </c>
      <c r="AM155" s="18">
        <f>(Table2912[[#This Row],[CH4 '[% GP']]]-AM$15)/AM$15*100</f>
        <v>-8.467733072953525</v>
      </c>
      <c r="AN155" s="18">
        <f>(Table2912[[#This Row],[CH4 '[g/g DDM']]]-AN$15)/AN$15*100</f>
        <v>8.8258717862721401</v>
      </c>
      <c r="AO155" s="18"/>
      <c r="AP155" s="18"/>
      <c r="AR155">
        <f>_xlfn.NORM.DIST(Table2912[[#This Row],[GP '[ml/g']]],O$6,O$2,FALSE)</f>
        <v>6.7853447182513208E-3</v>
      </c>
      <c r="AS155">
        <f>_xlfn.NORM.DIST(Table2912[[#This Row],[SCFA '[mmol/g']]],P$6,P$2,FALSE)</f>
        <v>9.1635640557150136E-2</v>
      </c>
      <c r="AT155">
        <f>_xlfn.NORM.DIST(Table2912[[#This Row],[Acetate '[%']]],Q$6,Q$2,FALSE)</f>
        <v>13.888091355943478</v>
      </c>
      <c r="AU155">
        <f>_xlfn.NORM.DIST(Table2912[[#This Row],[Propionate '[%']]],R$6,R$2,FALSE)</f>
        <v>11.153172703843463</v>
      </c>
      <c r="AV155">
        <f>_xlfn.NORM.DIST(Table2912[[#This Row],[Butyrate '[%']]],S$6,S$2,FALSE)</f>
        <v>11.654501958241646</v>
      </c>
      <c r="AW155">
        <f>_xlfn.NORM.DIST(Table2912[[#This Row],[Valerate '[%']]],T$6,T$2,FALSE)</f>
        <v>77.124123608974344</v>
      </c>
      <c r="AX155">
        <f>_xlfn.NORM.DIST(Table2912[[#This Row],[Caproate '[%']]],U$6,U$2,FALSE)</f>
        <v>350.81949348473847</v>
      </c>
      <c r="AY155">
        <f>_xlfn.NORM.DIST(Table2912[[#This Row],[Isobutyrate '[%']]],V$6,V$2,FALSE)</f>
        <v>85.603686511443925</v>
      </c>
      <c r="AZ155">
        <f>_xlfn.NORM.DIST(Table2912[[#This Row],[Isovalerate '[%']]],W$6,W$2,FALSE)</f>
        <v>43.216848711674274</v>
      </c>
      <c r="BA155">
        <f>_xlfn.NORM.DIST(Table2912[[#This Row],[CH4 '[g/mmol SCFA']]],X$6,X$2,FALSE)</f>
        <v>0.14625869542594991</v>
      </c>
      <c r="BB155">
        <f>_xlfn.NORM.DIST(Table2912[[#This Row],[DMD '[mg/g']]],Y$6,Y$2,FALSE)</f>
        <v>2.6076403569802544E-3</v>
      </c>
      <c r="BC155">
        <f>_xlfn.NORM.DIST(Table2912[[#This Row],[CH4 '[ml/g']]],Z$6,Z$2,FALSE)</f>
        <v>3.3144936823305764E-2</v>
      </c>
      <c r="BD155">
        <f>_xlfn.NORM.DIST(Table2912[[#This Row],[CH4 '[% GP']]],AA$6,AA$2,FALSE)</f>
        <v>0.11059316665478956</v>
      </c>
      <c r="BE155">
        <f>_xlfn.NORM.DIST(Table2912[[#This Row],[CH4 '[g/g DDM']]],AB$6,AB$2,FALSE)</f>
        <v>3.2226389148418487E-2</v>
      </c>
      <c r="BG155">
        <f>IF(Table2912[[#This Row],[GP '[ml/g']]]&lt;O$10,_xlfn.NORM.DIST(Table2912[[#This Row],[GP '[ml/g']]],O$6,O$2,FALSE),-100)</f>
        <v>-100</v>
      </c>
      <c r="BH155">
        <f>IF(Table2912[[#This Row],[SCFA '[mmol/g']]]&lt;P$10,_xlfn.NORM.DIST(Table2912[[#This Row],[SCFA '[mmol/g']]],P$6,P$2,FALSE),-100)</f>
        <v>-100</v>
      </c>
      <c r="BI155">
        <f>IF(Table2912[[#This Row],[Acetate '[%']]]&lt;Q$10,_xlfn.NORM.DIST(Table2912[[#This Row],[Acetate '[%']]],Q$6,Q$2,FALSE),-100)</f>
        <v>-100</v>
      </c>
      <c r="BJ155">
        <f>IF(Table2912[[#This Row],[Propionate '[%']]]&lt;R$10,_xlfn.NORM.DIST(Table2912[[#This Row],[Propionate '[%']]],R$6,R$2,FALSE),-100)</f>
        <v>-100</v>
      </c>
      <c r="BK155">
        <f>IF(Table2912[[#This Row],[Butyrate '[%']]]&lt;S$10,_xlfn.NORM.DIST(Table2912[[#This Row],[Butyrate '[%']]],S$6,S$2,FALSE),-100)</f>
        <v>-100</v>
      </c>
      <c r="BL155">
        <f>IF(Table2912[[#This Row],[Valerate '[%']]]&lt;T$10,_xlfn.NORM.DIST(Table2912[[#This Row],[Valerate '[%']]],T$6,T$2,FALSE),-100)</f>
        <v>-100</v>
      </c>
      <c r="BM155">
        <f>IF(Table2912[[#This Row],[Caproate '[%']]]&lt;U$10,_xlfn.NORM.DIST(Table2912[[#This Row],[Caproate '[%']]],U$6,U$2,FALSE),-100)</f>
        <v>-100</v>
      </c>
      <c r="BN155">
        <f>IF(Table2912[[#This Row],[Isobutyrate '[%']]]&lt;V$10,_xlfn.NORM.DIST(Table2912[[#This Row],[Isobutyrate '[%']]],V$6,V$2,FALSE),-100)</f>
        <v>-100</v>
      </c>
      <c r="BO155">
        <f>IF(Table2912[[#This Row],[Isovalerate '[%']]]&lt;W$10,_xlfn.NORM.DIST(Table2912[[#This Row],[Isovalerate '[%']]],W$6,W$2,FALSE),-100)</f>
        <v>-100</v>
      </c>
      <c r="BP155">
        <f>IF(Table2912[[#This Row],[CH4 '[g/mmol SCFA']]]&lt;X$10,_xlfn.NORM.DIST(Table2912[[#This Row],[CH4 '[g/mmol SCFA']]],X$6,X$2,FALSE),-100)</f>
        <v>0.14625869542594991</v>
      </c>
      <c r="BQ155">
        <f>IF(Table2912[[#This Row],[DMD '[mg/g']]]&gt;Y$10,_xlfn.NORM.DIST(Table2912[[#This Row],[DMD '[mg/g']]],Y$6,Y$2,FALSE),-100)</f>
        <v>-100</v>
      </c>
      <c r="BR155">
        <f>IF(Table2912[[#This Row],[CH4 '[ml/g']]]&lt;Z$10,_xlfn.NORM.DIST(Table2912[[#This Row],[CH4 '[ml/g']]],Z$6,Z$2,FALSE),-100)</f>
        <v>-100</v>
      </c>
      <c r="BS155">
        <f>IF(Table2912[[#This Row],[CH4 '[% GP']]]&lt;AA$10,_xlfn.NORM.DIST(Table2912[[#This Row],[CH4 '[% GP']]],AA$6,AA$2,FALSE),-100)</f>
        <v>-100</v>
      </c>
      <c r="BT155">
        <f>IF(Table2912[[#This Row],[CH4 '[g/g DDM']]]&lt;AB$10,_xlfn.NORM.DIST(Table2912[[#This Row],[CH4 '[g/g DDM']]],AB$6,AB$2,FALSE),-100)</f>
        <v>-100</v>
      </c>
      <c r="CJ155" t="str">
        <v>Trigonellla</v>
      </c>
      <c r="CL155" t="str">
        <v>Trigonellla</v>
      </c>
    </row>
    <row r="156" spans="1:90" x14ac:dyDescent="0.25">
      <c r="A156" s="12" t="s">
        <v>86</v>
      </c>
      <c r="B156" s="13">
        <v>1053</v>
      </c>
      <c r="C156" s="112">
        <v>22393</v>
      </c>
      <c r="D156" s="104" t="s">
        <v>103</v>
      </c>
      <c r="E156" s="104" t="s">
        <v>153</v>
      </c>
      <c r="F156" t="s">
        <v>154</v>
      </c>
      <c r="G156" s="32" t="s">
        <v>73</v>
      </c>
      <c r="H156" s="32" t="s">
        <v>74</v>
      </c>
      <c r="I156" s="105" t="s">
        <v>48</v>
      </c>
      <c r="J156" s="70">
        <v>3</v>
      </c>
      <c r="K156" s="70"/>
      <c r="L156" s="70"/>
      <c r="M156" t="s">
        <v>154</v>
      </c>
      <c r="N156" t="s">
        <v>98</v>
      </c>
      <c r="O156" s="18">
        <v>175.98725749559134</v>
      </c>
      <c r="P156" s="18">
        <v>5.3379629629629637</v>
      </c>
      <c r="Q156" s="97">
        <v>0.65880702861136109</v>
      </c>
      <c r="R156" s="97">
        <v>0.18170561770595312</v>
      </c>
      <c r="S156" s="97">
        <v>7.1283358992319551E-2</v>
      </c>
      <c r="T156" s="97">
        <v>2.098818567454384E-2</v>
      </c>
      <c r="U156" s="97">
        <v>7.8253747351703063E-4</v>
      </c>
      <c r="V156" s="97">
        <v>2.3208825130569224E-2</v>
      </c>
      <c r="W156" s="97">
        <v>4.3224446411736075E-2</v>
      </c>
      <c r="X156" s="51">
        <f t="shared" si="11"/>
        <v>6.1259517279627635</v>
      </c>
      <c r="Y156" s="18">
        <v>712.63227513227503</v>
      </c>
      <c r="Z156" s="18">
        <v>32.700103436764202</v>
      </c>
      <c r="AA156" s="18">
        <f t="shared" si="12"/>
        <v>18.580949497200599</v>
      </c>
      <c r="AB156" s="18">
        <f t="shared" si="13"/>
        <v>45.88636324490718</v>
      </c>
      <c r="AC156" s="18">
        <f>$CP$15*Table2912[[#This Row],[DMD '[mg/g']]]+$CS$15*Table2912[[#This Row],[CH4 '[ml/g']]]+$CR$15*Table2912[[#This Row],[CH4 '[% GP']]]+$CQ$15*Table2912[[#This Row],[CH4 '[g/g DDM']]]</f>
        <v>11.360451036035023</v>
      </c>
      <c r="AD156" s="18">
        <f>_xlfn.RANK.AVG(Table2912[[#This Row],[Index]],Table2912[Index])</f>
        <v>339</v>
      </c>
      <c r="AE15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4.8671333061204063</v>
      </c>
      <c r="AF156" s="18">
        <f>Table2912[[#This Row],[CH4 '[ml/g']]]/Table2912[[#This Row],[APB]]</f>
        <v>6.7185551288771803</v>
      </c>
      <c r="AG156" s="18">
        <f>Table2912[[#This Row],[Propionate '[%']]]/Table2912[[#This Row],[Acetate '[%']]]</f>
        <v>0.27581007763222215</v>
      </c>
      <c r="AH156" s="51"/>
      <c r="AI156" s="18"/>
      <c r="AJ156" s="18"/>
      <c r="AK156" s="18">
        <f>(Table2912[[#This Row],[DMD '[mg/g']]]-$AK$15)/$AK$15*100</f>
        <v>45.349396039405079</v>
      </c>
      <c r="AL156" s="18">
        <f>(Table2912[[#This Row],[CH4 '[ml/g']]]-AL$15)/AL$15*100</f>
        <v>-16.861765042906214</v>
      </c>
      <c r="AM156" s="18">
        <f>(Table2912[[#This Row],[CH4 '[% GP']]]-AM$15)/AM$15*100</f>
        <v>19.704458181296346</v>
      </c>
      <c r="AN156" s="18">
        <f>(Table2912[[#This Row],[CH4 '[g/g DDM']]]-AN$15)/AN$15*100</f>
        <v>-10.405364197473228</v>
      </c>
      <c r="AO156" s="18"/>
      <c r="AP156" s="18"/>
      <c r="AR156">
        <f>_xlfn.NORM.DIST(Table2912[[#This Row],[GP '[ml/g']]],O$6,O$2,FALSE)</f>
        <v>2.4626880850688896E-3</v>
      </c>
      <c r="AS156">
        <f>_xlfn.NORM.DIST(Table2912[[#This Row],[SCFA '[mmol/g']]],P$6,P$2,FALSE)</f>
        <v>0.20172439284014157</v>
      </c>
      <c r="AT156">
        <f>_xlfn.NORM.DIST(Table2912[[#This Row],[Acetate '[%']]],Q$6,Q$2,FALSE)</f>
        <v>12.357465204120158</v>
      </c>
      <c r="AU156">
        <f>_xlfn.NORM.DIST(Table2912[[#This Row],[Propionate '[%']]],R$6,R$2,FALSE)</f>
        <v>15.411560980547657</v>
      </c>
      <c r="AV156">
        <f>_xlfn.NORM.DIST(Table2912[[#This Row],[Butyrate '[%']]],S$6,S$2,FALSE)</f>
        <v>10.555259983417844</v>
      </c>
      <c r="AW156">
        <f>_xlfn.NORM.DIST(Table2912[[#This Row],[Valerate '[%']]],T$6,T$2,FALSE)</f>
        <v>62.825431905307958</v>
      </c>
      <c r="AX156">
        <f>_xlfn.NORM.DIST(Table2912[[#This Row],[Caproate '[%']]],U$6,U$2,FALSE)</f>
        <v>347.56340292516478</v>
      </c>
      <c r="AY156">
        <f>_xlfn.NORM.DIST(Table2912[[#This Row],[Isobutyrate '[%']]],V$6,V$2,FALSE)</f>
        <v>18.382315711816233</v>
      </c>
      <c r="AZ156">
        <f>_xlfn.NORM.DIST(Table2912[[#This Row],[Isovalerate '[%']]],W$6,W$2,FALSE)</f>
        <v>9.900016636714529</v>
      </c>
      <c r="BA156">
        <f>_xlfn.NORM.DIST(Table2912[[#This Row],[CH4 '[g/mmol SCFA']]],X$6,X$2,FALSE)</f>
        <v>0.29538254351716242</v>
      </c>
      <c r="BB156">
        <f>_xlfn.NORM.DIST(Table2912[[#This Row],[DMD '[mg/g']]],Y$6,Y$2,FALSE)</f>
        <v>2.6194722076900165E-3</v>
      </c>
      <c r="BC156">
        <f>_xlfn.NORM.DIST(Table2912[[#This Row],[CH4 '[ml/g']]],Z$6,Z$2,FALSE)</f>
        <v>2.5659046409588701E-2</v>
      </c>
      <c r="BD156">
        <f>_xlfn.NORM.DIST(Table2912[[#This Row],[CH4 '[% GP']]],AA$6,AA$2,FALSE)</f>
        <v>9.3991506402058486E-2</v>
      </c>
      <c r="BE156">
        <f>_xlfn.NORM.DIST(Table2912[[#This Row],[CH4 '[g/g DDM']]],AB$6,AB$2,FALSE)</f>
        <v>2.7192158541177902E-2</v>
      </c>
      <c r="BG156">
        <f>IF(Table2912[[#This Row],[GP '[ml/g']]]&lt;O$10,_xlfn.NORM.DIST(Table2912[[#This Row],[GP '[ml/g']]],O$6,O$2,FALSE),-100)</f>
        <v>2.4626880850688896E-3</v>
      </c>
      <c r="BH156">
        <f>IF(Table2912[[#This Row],[SCFA '[mmol/g']]]&lt;P$10,_xlfn.NORM.DIST(Table2912[[#This Row],[SCFA '[mmol/g']]],P$6,P$2,FALSE),-100)</f>
        <v>0.20172439284014157</v>
      </c>
      <c r="BI156">
        <f>IF(Table2912[[#This Row],[Acetate '[%']]]&lt;Q$10,_xlfn.NORM.DIST(Table2912[[#This Row],[Acetate '[%']]],Q$6,Q$2,FALSE),-100)</f>
        <v>-100</v>
      </c>
      <c r="BJ156">
        <f>IF(Table2912[[#This Row],[Propionate '[%']]]&lt;R$10,_xlfn.NORM.DIST(Table2912[[#This Row],[Propionate '[%']]],R$6,R$2,FALSE),-100)</f>
        <v>-100</v>
      </c>
      <c r="BK156">
        <f>IF(Table2912[[#This Row],[Butyrate '[%']]]&lt;S$10,_xlfn.NORM.DIST(Table2912[[#This Row],[Butyrate '[%']]],S$6,S$2,FALSE),-100)</f>
        <v>10.555259983417844</v>
      </c>
      <c r="BL156">
        <f>IF(Table2912[[#This Row],[Valerate '[%']]]&lt;T$10,_xlfn.NORM.DIST(Table2912[[#This Row],[Valerate '[%']]],T$6,T$2,FALSE),-100)</f>
        <v>-100</v>
      </c>
      <c r="BM156">
        <f>IF(Table2912[[#This Row],[Caproate '[%']]]&lt;U$10,_xlfn.NORM.DIST(Table2912[[#This Row],[Caproate '[%']]],U$6,U$2,FALSE),-100)</f>
        <v>-100</v>
      </c>
      <c r="BN156">
        <f>IF(Table2912[[#This Row],[Isobutyrate '[%']]]&lt;V$10,_xlfn.NORM.DIST(Table2912[[#This Row],[Isobutyrate '[%']]],V$6,V$2,FALSE),-100)</f>
        <v>-100</v>
      </c>
      <c r="BO156">
        <f>IF(Table2912[[#This Row],[Isovalerate '[%']]]&lt;W$10,_xlfn.NORM.DIST(Table2912[[#This Row],[Isovalerate '[%']]],W$6,W$2,FALSE),-100)</f>
        <v>-100</v>
      </c>
      <c r="BP156">
        <f>IF(Table2912[[#This Row],[CH4 '[g/mmol SCFA']]]&lt;X$10,_xlfn.NORM.DIST(Table2912[[#This Row],[CH4 '[g/mmol SCFA']]],X$6,X$2,FALSE),-100)</f>
        <v>-100</v>
      </c>
      <c r="BQ156">
        <f>IF(Table2912[[#This Row],[DMD '[mg/g']]]&gt;Y$10,_xlfn.NORM.DIST(Table2912[[#This Row],[DMD '[mg/g']]],Y$6,Y$2,FALSE),-100)</f>
        <v>-100</v>
      </c>
      <c r="BR156">
        <f>IF(Table2912[[#This Row],[CH4 '[ml/g']]]&lt;Z$10,_xlfn.NORM.DIST(Table2912[[#This Row],[CH4 '[ml/g']]],Z$6,Z$2,FALSE),-100)</f>
        <v>-100</v>
      </c>
      <c r="BS156">
        <f>IF(Table2912[[#This Row],[CH4 '[% GP']]]&lt;AA$10,_xlfn.NORM.DIST(Table2912[[#This Row],[CH4 '[% GP']]],AA$6,AA$2,FALSE),-100)</f>
        <v>-100</v>
      </c>
      <c r="BT156">
        <f>IF(Table2912[[#This Row],[CH4 '[g/g DDM']]]&lt;AB$10,_xlfn.NORM.DIST(Table2912[[#This Row],[CH4 '[g/g DDM']]],AB$6,AB$2,FALSE),-100)</f>
        <v>-100</v>
      </c>
      <c r="CJ156" t="str">
        <v>Centauria</v>
      </c>
      <c r="CL156" t="str">
        <v>Centauria</v>
      </c>
    </row>
    <row r="157" spans="1:90" x14ac:dyDescent="0.25">
      <c r="A157" s="12" t="s">
        <v>70</v>
      </c>
      <c r="B157" s="13">
        <v>1000</v>
      </c>
      <c r="C157" s="96" t="s">
        <v>178</v>
      </c>
      <c r="D157" s="96"/>
      <c r="E157" s="96"/>
      <c r="F157" s="96" t="s">
        <v>179</v>
      </c>
      <c r="G157" t="s">
        <v>73</v>
      </c>
      <c r="H157" t="s">
        <v>74</v>
      </c>
      <c r="I157" t="s">
        <v>75</v>
      </c>
      <c r="J157" s="107">
        <v>2</v>
      </c>
      <c r="K157" s="107"/>
      <c r="L157" s="107"/>
      <c r="M157" t="s">
        <v>179</v>
      </c>
      <c r="N157" t="s">
        <v>76</v>
      </c>
      <c r="O157" s="18">
        <v>240.81743827160474</v>
      </c>
      <c r="P157" s="18">
        <v>6.241931524343542</v>
      </c>
      <c r="Q157" s="97">
        <v>0.68197420860080626</v>
      </c>
      <c r="R157" s="97">
        <v>0.1676651576491035</v>
      </c>
      <c r="S157" s="97">
        <v>9.2535858104064755E-2</v>
      </c>
      <c r="T157" s="97">
        <v>1.4122910429128523E-2</v>
      </c>
      <c r="U157" s="97">
        <v>1.2067714705456913E-3</v>
      </c>
      <c r="V157" s="97">
        <v>1.4298448615391276E-2</v>
      </c>
      <c r="W157" s="97">
        <v>2.8196645130959881E-2</v>
      </c>
      <c r="X157" s="51">
        <f t="shared" si="11"/>
        <v>6.1930911890777312</v>
      </c>
      <c r="Y157" s="18">
        <v>713.49786041021071</v>
      </c>
      <c r="Z157" s="18">
        <v>38.656851126238521</v>
      </c>
      <c r="AA157" s="18">
        <f t="shared" si="12"/>
        <v>16.052347123898723</v>
      </c>
      <c r="AB157" s="18">
        <f t="shared" si="13"/>
        <v>54.1793511532236</v>
      </c>
      <c r="AC157" s="18">
        <f>$CP$15*Table2912[[#This Row],[DMD '[mg/g']]]+$CS$15*Table2912[[#This Row],[CH4 '[ml/g']]]+$CR$15*Table2912[[#This Row],[CH4 '[% GP']]]+$CQ$15*Table2912[[#This Row],[CH4 '[g/g DDM']]]</f>
        <v>8.360257584901575</v>
      </c>
      <c r="AD157" s="18">
        <f>_xlfn.RANK.AVG(Table2912[[#This Row],[Index]],Table2912[Index])</f>
        <v>369</v>
      </c>
      <c r="AE15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5.8809932343505231</v>
      </c>
      <c r="AF157" s="18">
        <f>Table2912[[#This Row],[CH4 '[ml/g']]]/Table2912[[#This Row],[APB]]</f>
        <v>6.5731840840159803</v>
      </c>
      <c r="AG157" s="18">
        <f>Table2912[[#This Row],[Propionate '[%']]]/Table2912[[#This Row],[Acetate '[%']]]</f>
        <v>0.2458526371445908</v>
      </c>
      <c r="AH157" s="51"/>
      <c r="AI157" s="18"/>
      <c r="AJ157" s="18"/>
      <c r="AK157" s="18">
        <f>(Table2912[[#This Row],[DMD '[mg/g']]]-$AK$15)/$AK$15*100</f>
        <v>45.525941926756587</v>
      </c>
      <c r="AL157" s="18">
        <f>(Table2912[[#This Row],[CH4 '[ml/g']]]-AL$15)/AL$15*100</f>
        <v>-1.7170579337886835</v>
      </c>
      <c r="AM157" s="18">
        <f>(Table2912[[#This Row],[CH4 '[% GP']]]-AM$15)/AM$15*100</f>
        <v>3.4143876928294596</v>
      </c>
      <c r="AN157" s="18">
        <f>(Table2912[[#This Row],[CH4 '[g/g DDM']]]-AN$15)/AN$15*100</f>
        <v>5.7869678771945674</v>
      </c>
      <c r="AO157" s="18"/>
      <c r="AP157" s="18"/>
      <c r="AR157">
        <f>_xlfn.NORM.DIST(Table2912[[#This Row],[GP '[ml/g']]],O$6,O$2,FALSE)</f>
        <v>7.2021251675717353E-3</v>
      </c>
      <c r="AS157">
        <f>_xlfn.NORM.DIST(Table2912[[#This Row],[SCFA '[mmol/g']]],P$6,P$2,FALSE)</f>
        <v>0.32278639930887293</v>
      </c>
      <c r="AT157">
        <f>_xlfn.NORM.DIST(Table2912[[#This Row],[Acetate '[%']]],Q$6,Q$2,FALSE)</f>
        <v>13.364103356845606</v>
      </c>
      <c r="AU157">
        <f>_xlfn.NORM.DIST(Table2912[[#This Row],[Propionate '[%']]],R$6,R$2,FALSE)</f>
        <v>16.530482024756825</v>
      </c>
      <c r="AV157">
        <f>_xlfn.NORM.DIST(Table2912[[#This Row],[Butyrate '[%']]],S$6,S$2,FALSE)</f>
        <v>23.02433581406299</v>
      </c>
      <c r="AW157">
        <f>_xlfn.NORM.DIST(Table2912[[#This Row],[Valerate '[%']]],T$6,T$2,FALSE)</f>
        <v>61.167595414805227</v>
      </c>
      <c r="AX157">
        <f>_xlfn.NORM.DIST(Table2912[[#This Row],[Caproate '[%']]],U$6,U$2,FALSE)</f>
        <v>403.55225796117406</v>
      </c>
      <c r="AY157">
        <f>_xlfn.NORM.DIST(Table2912[[#This Row],[Isobutyrate '[%']]],V$6,V$2,FALSE)</f>
        <v>87.798244125503373</v>
      </c>
      <c r="AZ157">
        <f>_xlfn.NORM.DIST(Table2912[[#This Row],[Isovalerate '[%']]],W$6,W$2,FALSE)</f>
        <v>45.403119412207197</v>
      </c>
      <c r="BA157">
        <f>_xlfn.NORM.DIST(Table2912[[#This Row],[CH4 '[g/mmol SCFA']]],X$6,X$2,FALSE)</f>
        <v>0.29674371650742215</v>
      </c>
      <c r="BB157">
        <f>_xlfn.NORM.DIST(Table2912[[#This Row],[DMD '[mg/g']]],Y$6,Y$2,FALSE)</f>
        <v>2.6271069930956397E-3</v>
      </c>
      <c r="BC157">
        <f>_xlfn.NORM.DIST(Table2912[[#This Row],[CH4 '[ml/g']]],Z$6,Z$2,FALSE)</f>
        <v>3.2629690651938048E-2</v>
      </c>
      <c r="BD157">
        <f>_xlfn.NORM.DIST(Table2912[[#This Row],[CH4 '[% GP']]],AA$6,AA$2,FALSE)</f>
        <v>0.13471490265549532</v>
      </c>
      <c r="BE157">
        <f>_xlfn.NORM.DIST(Table2912[[#This Row],[CH4 '[g/g DDM']]],AB$6,AB$2,FALSE)</f>
        <v>3.2776373816986233E-2</v>
      </c>
      <c r="BG157">
        <f>IF(Table2912[[#This Row],[GP '[ml/g']]]&lt;O$10,_xlfn.NORM.DIST(Table2912[[#This Row],[GP '[ml/g']]],O$6,O$2,FALSE),-100)</f>
        <v>-100</v>
      </c>
      <c r="BH157">
        <f>IF(Table2912[[#This Row],[SCFA '[mmol/g']]]&lt;P$10,_xlfn.NORM.DIST(Table2912[[#This Row],[SCFA '[mmol/g']]],P$6,P$2,FALSE),-100)</f>
        <v>-100</v>
      </c>
      <c r="BI157">
        <f>IF(Table2912[[#This Row],[Acetate '[%']]]&lt;Q$10,_xlfn.NORM.DIST(Table2912[[#This Row],[Acetate '[%']]],Q$6,Q$2,FALSE),-100)</f>
        <v>-100</v>
      </c>
      <c r="BJ157">
        <f>IF(Table2912[[#This Row],[Propionate '[%']]]&lt;R$10,_xlfn.NORM.DIST(Table2912[[#This Row],[Propionate '[%']]],R$6,R$2,FALSE),-100)</f>
        <v>-100</v>
      </c>
      <c r="BK157">
        <f>IF(Table2912[[#This Row],[Butyrate '[%']]]&lt;S$10,_xlfn.NORM.DIST(Table2912[[#This Row],[Butyrate '[%']]],S$6,S$2,FALSE),-100)</f>
        <v>-100</v>
      </c>
      <c r="BL157">
        <f>IF(Table2912[[#This Row],[Valerate '[%']]]&lt;T$10,_xlfn.NORM.DIST(Table2912[[#This Row],[Valerate '[%']]],T$6,T$2,FALSE),-100)</f>
        <v>-100</v>
      </c>
      <c r="BM157">
        <f>IF(Table2912[[#This Row],[Caproate '[%']]]&lt;U$10,_xlfn.NORM.DIST(Table2912[[#This Row],[Caproate '[%']]],U$6,U$2,FALSE),-100)</f>
        <v>-100</v>
      </c>
      <c r="BN157">
        <f>IF(Table2912[[#This Row],[Isobutyrate '[%']]]&lt;V$10,_xlfn.NORM.DIST(Table2912[[#This Row],[Isobutyrate '[%']]],V$6,V$2,FALSE),-100)</f>
        <v>-100</v>
      </c>
      <c r="BO157">
        <f>IF(Table2912[[#This Row],[Isovalerate '[%']]]&lt;W$10,_xlfn.NORM.DIST(Table2912[[#This Row],[Isovalerate '[%']]],W$6,W$2,FALSE),-100)</f>
        <v>-100</v>
      </c>
      <c r="BP157">
        <f>IF(Table2912[[#This Row],[CH4 '[g/mmol SCFA']]]&lt;X$10,_xlfn.NORM.DIST(Table2912[[#This Row],[CH4 '[g/mmol SCFA']]],X$6,X$2,FALSE),-100)</f>
        <v>-100</v>
      </c>
      <c r="BQ157">
        <f>IF(Table2912[[#This Row],[DMD '[mg/g']]]&gt;Y$10,_xlfn.NORM.DIST(Table2912[[#This Row],[DMD '[mg/g']]],Y$6,Y$2,FALSE),-100)</f>
        <v>-100</v>
      </c>
      <c r="BR157">
        <f>IF(Table2912[[#This Row],[CH4 '[ml/g']]]&lt;Z$10,_xlfn.NORM.DIST(Table2912[[#This Row],[CH4 '[ml/g']]],Z$6,Z$2,FALSE),-100)</f>
        <v>-100</v>
      </c>
      <c r="BS157">
        <f>IF(Table2912[[#This Row],[CH4 '[% GP']]]&lt;AA$10,_xlfn.NORM.DIST(Table2912[[#This Row],[CH4 '[% GP']]],AA$6,AA$2,FALSE),-100)</f>
        <v>-100</v>
      </c>
      <c r="BT157">
        <f>IF(Table2912[[#This Row],[CH4 '[g/g DDM']]]&lt;AB$10,_xlfn.NORM.DIST(Table2912[[#This Row],[CH4 '[g/g DDM']]],AB$6,AB$2,FALSE),-100)</f>
        <v>-100</v>
      </c>
      <c r="CJ157" t="str">
        <v>Trifolium repens-298</v>
      </c>
      <c r="CL157" t="str">
        <v>Trifolium repens-298</v>
      </c>
    </row>
    <row r="158" spans="1:90" x14ac:dyDescent="0.25">
      <c r="A158" s="12" t="s">
        <v>70</v>
      </c>
      <c r="B158" s="13">
        <v>1015</v>
      </c>
      <c r="C158" s="96" t="s">
        <v>176</v>
      </c>
      <c r="D158" s="96"/>
      <c r="E158" s="96"/>
      <c r="F158" s="96" t="s">
        <v>177</v>
      </c>
      <c r="G158" t="s">
        <v>73</v>
      </c>
      <c r="H158" t="s">
        <v>74</v>
      </c>
      <c r="I158" t="s">
        <v>75</v>
      </c>
      <c r="J158" s="107">
        <v>2</v>
      </c>
      <c r="K158" s="107"/>
      <c r="L158" s="107"/>
      <c r="M158" t="s">
        <v>177</v>
      </c>
      <c r="N158" t="s">
        <v>76</v>
      </c>
      <c r="O158" s="18">
        <v>256.58617777777789</v>
      </c>
      <c r="P158" s="18">
        <v>7.0573333333333341</v>
      </c>
      <c r="Q158" s="97">
        <v>0.69240583779858844</v>
      </c>
      <c r="R158" s="97">
        <v>0.14850681889114059</v>
      </c>
      <c r="S158" s="97">
        <v>0.10105978268573884</v>
      </c>
      <c r="T158" s="97">
        <v>1.7690551501394335E-2</v>
      </c>
      <c r="U158" s="97">
        <v>1.2773389742761166E-3</v>
      </c>
      <c r="V158" s="97">
        <v>1.3499651599485626E-2</v>
      </c>
      <c r="W158" s="97">
        <v>2.5560018549376055E-2</v>
      </c>
      <c r="X158" s="51">
        <f t="shared" si="11"/>
        <v>6.2635702964013564</v>
      </c>
      <c r="Y158" s="18">
        <v>715.3555555555555</v>
      </c>
      <c r="Z158" s="18">
        <v>44.204103438469843</v>
      </c>
      <c r="AA158" s="18">
        <f t="shared" si="12"/>
        <v>17.227780475670741</v>
      </c>
      <c r="AB158" s="18">
        <f t="shared" si="13"/>
        <v>61.793192343547673</v>
      </c>
      <c r="AC158" s="18">
        <f>$CP$15*Table2912[[#This Row],[DMD '[mg/g']]]+$CS$15*Table2912[[#This Row],[CH4 '[ml/g']]]+$CR$15*Table2912[[#This Row],[CH4 '[% GP']]]+$CQ$15*Table2912[[#This Row],[CH4 '[g/g DDM']]]</f>
        <v>4.6578977185404042</v>
      </c>
      <c r="AD158" s="18">
        <f>_xlfn.RANK.AVG(Table2912[[#This Row],[Index]],Table2912[Index])</f>
        <v>410</v>
      </c>
      <c r="AE15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6.6478134954858028</v>
      </c>
      <c r="AF158" s="18">
        <f>Table2912[[#This Row],[CH4 '[ml/g']]]/Table2912[[#This Row],[APB]]</f>
        <v>6.6494199135530252</v>
      </c>
      <c r="AG158" s="18">
        <f>Table2912[[#This Row],[Propionate '[%']]]/Table2912[[#This Row],[Acetate '[%']]]</f>
        <v>0.21447944367901073</v>
      </c>
      <c r="AH158" s="51"/>
      <c r="AI158" s="18"/>
      <c r="AJ158" s="18"/>
      <c r="AK158" s="18">
        <f>(Table2912[[#This Row],[DMD '[mg/g']]]-$AK$15)/$AK$15*100</f>
        <v>45.904839819573859</v>
      </c>
      <c r="AL158" s="18">
        <f>(Table2912[[#This Row],[CH4 '[ml/g']]]-AL$15)/AL$15*100</f>
        <v>12.386529444533254</v>
      </c>
      <c r="AM158" s="18">
        <f>(Table2912[[#This Row],[CH4 '[% GP']]]-AM$15)/AM$15*100</f>
        <v>10.986907736721351</v>
      </c>
      <c r="AN158" s="18">
        <f>(Table2912[[#This Row],[CH4 '[g/g DDM']]]-AN$15)/AN$15*100</f>
        <v>20.653243612852776</v>
      </c>
      <c r="AO158" s="18"/>
      <c r="AP158" s="18"/>
      <c r="AR158">
        <f>_xlfn.NORM.DIST(Table2912[[#This Row],[GP '[ml/g']]],O$6,O$2,FALSE)</f>
        <v>7.4782844920288057E-3</v>
      </c>
      <c r="AS158">
        <f>_xlfn.NORM.DIST(Table2912[[#This Row],[SCFA '[mmol/g']]],P$6,P$2,FALSE)</f>
        <v>0.30288994978969669</v>
      </c>
      <c r="AT158">
        <f>_xlfn.NORM.DIST(Table2912[[#This Row],[Acetate '[%']]],Q$6,Q$2,FALSE)</f>
        <v>11.1472066635743</v>
      </c>
      <c r="AU158">
        <f>_xlfn.NORM.DIST(Table2912[[#This Row],[Propionate '[%']]],R$6,R$2,FALSE)</f>
        <v>10.355110168953763</v>
      </c>
      <c r="AV158">
        <f>_xlfn.NORM.DIST(Table2912[[#This Row],[Butyrate '[%']]],S$6,S$2,FALSE)</f>
        <v>20.623892608585159</v>
      </c>
      <c r="AW158">
        <f>_xlfn.NORM.DIST(Table2912[[#This Row],[Valerate '[%']]],T$6,T$2,FALSE)</f>
        <v>77.393805662156424</v>
      </c>
      <c r="AX158">
        <f>_xlfn.NORM.DIST(Table2912[[#This Row],[Caproate '[%']]],U$6,U$2,FALSE)</f>
        <v>406.25755636439317</v>
      </c>
      <c r="AY158">
        <f>_xlfn.NORM.DIST(Table2912[[#This Row],[Isobutyrate '[%']]],V$6,V$2,FALSE)</f>
        <v>82.861210769404693</v>
      </c>
      <c r="AZ158">
        <f>_xlfn.NORM.DIST(Table2912[[#This Row],[Isovalerate '[%']]],W$6,W$2,FALSE)</f>
        <v>43.851831437836395</v>
      </c>
      <c r="BA158">
        <f>_xlfn.NORM.DIST(Table2912[[#This Row],[CH4 '[g/mmol SCFA']]],X$6,X$2,FALSE)</f>
        <v>0.2973767764222402</v>
      </c>
      <c r="BB158">
        <f>_xlfn.NORM.DIST(Table2912[[#This Row],[DMD '[mg/g']]],Y$6,Y$2,FALSE)</f>
        <v>2.643210521246421E-3</v>
      </c>
      <c r="BC158">
        <f>_xlfn.NORM.DIST(Table2912[[#This Row],[CH4 '[ml/g']]],Z$6,Z$2,FALSE)</f>
        <v>3.2588365563970351E-2</v>
      </c>
      <c r="BD158">
        <f>_xlfn.NORM.DIST(Table2912[[#This Row],[CH4 '[% GP']]],AA$6,AA$2,FALSE)</f>
        <v>0.12477598153554822</v>
      </c>
      <c r="BE158">
        <f>_xlfn.NORM.DIST(Table2912[[#This Row],[CH4 '[g/g DDM']]],AB$6,AB$2,FALSE)</f>
        <v>2.5804480172595248E-2</v>
      </c>
      <c r="BG158">
        <f>IF(Table2912[[#This Row],[GP '[ml/g']]]&lt;O$10,_xlfn.NORM.DIST(Table2912[[#This Row],[GP '[ml/g']]],O$6,O$2,FALSE),-100)</f>
        <v>-100</v>
      </c>
      <c r="BH158">
        <f>IF(Table2912[[#This Row],[SCFA '[mmol/g']]]&lt;P$10,_xlfn.NORM.DIST(Table2912[[#This Row],[SCFA '[mmol/g']]],P$6,P$2,FALSE),-100)</f>
        <v>-100</v>
      </c>
      <c r="BI158">
        <f>IF(Table2912[[#This Row],[Acetate '[%']]]&lt;Q$10,_xlfn.NORM.DIST(Table2912[[#This Row],[Acetate '[%']]],Q$6,Q$2,FALSE),-100)</f>
        <v>-100</v>
      </c>
      <c r="BJ158">
        <f>IF(Table2912[[#This Row],[Propionate '[%']]]&lt;R$10,_xlfn.NORM.DIST(Table2912[[#This Row],[Propionate '[%']]],R$6,R$2,FALSE),-100)</f>
        <v>-100</v>
      </c>
      <c r="BK158">
        <f>IF(Table2912[[#This Row],[Butyrate '[%']]]&lt;S$10,_xlfn.NORM.DIST(Table2912[[#This Row],[Butyrate '[%']]],S$6,S$2,FALSE),-100)</f>
        <v>-100</v>
      </c>
      <c r="BL158">
        <f>IF(Table2912[[#This Row],[Valerate '[%']]]&lt;T$10,_xlfn.NORM.DIST(Table2912[[#This Row],[Valerate '[%']]],T$6,T$2,FALSE),-100)</f>
        <v>-100</v>
      </c>
      <c r="BM158">
        <f>IF(Table2912[[#This Row],[Caproate '[%']]]&lt;U$10,_xlfn.NORM.DIST(Table2912[[#This Row],[Caproate '[%']]],U$6,U$2,FALSE),-100)</f>
        <v>-100</v>
      </c>
      <c r="BN158">
        <f>IF(Table2912[[#This Row],[Isobutyrate '[%']]]&lt;V$10,_xlfn.NORM.DIST(Table2912[[#This Row],[Isobutyrate '[%']]],V$6,V$2,FALSE),-100)</f>
        <v>-100</v>
      </c>
      <c r="BO158">
        <f>IF(Table2912[[#This Row],[Isovalerate '[%']]]&lt;W$10,_xlfn.NORM.DIST(Table2912[[#This Row],[Isovalerate '[%']]],W$6,W$2,FALSE),-100)</f>
        <v>-100</v>
      </c>
      <c r="BP158">
        <f>IF(Table2912[[#This Row],[CH4 '[g/mmol SCFA']]]&lt;X$10,_xlfn.NORM.DIST(Table2912[[#This Row],[CH4 '[g/mmol SCFA']]],X$6,X$2,FALSE),-100)</f>
        <v>-100</v>
      </c>
      <c r="BQ158">
        <f>IF(Table2912[[#This Row],[DMD '[mg/g']]]&gt;Y$10,_xlfn.NORM.DIST(Table2912[[#This Row],[DMD '[mg/g']]],Y$6,Y$2,FALSE),-100)</f>
        <v>-100</v>
      </c>
      <c r="BR158">
        <f>IF(Table2912[[#This Row],[CH4 '[ml/g']]]&lt;Z$10,_xlfn.NORM.DIST(Table2912[[#This Row],[CH4 '[ml/g']]],Z$6,Z$2,FALSE),-100)</f>
        <v>-100</v>
      </c>
      <c r="BS158">
        <f>IF(Table2912[[#This Row],[CH4 '[% GP']]]&lt;AA$10,_xlfn.NORM.DIST(Table2912[[#This Row],[CH4 '[% GP']]],AA$6,AA$2,FALSE),-100)</f>
        <v>-100</v>
      </c>
      <c r="BT158">
        <f>IF(Table2912[[#This Row],[CH4 '[g/g DDM']]]&lt;AB$10,_xlfn.NORM.DIST(Table2912[[#This Row],[CH4 '[g/g DDM']]],AB$6,AB$2,FALSE),-100)</f>
        <v>-100</v>
      </c>
      <c r="CJ158" t="str">
        <v>Tetragonolobus</v>
      </c>
      <c r="CL158" t="str">
        <v>Tetragonolobus</v>
      </c>
    </row>
    <row r="159" spans="1:90" x14ac:dyDescent="0.25">
      <c r="A159" s="12" t="s">
        <v>70</v>
      </c>
      <c r="B159" s="13">
        <v>999</v>
      </c>
      <c r="C159" s="96" t="s">
        <v>240</v>
      </c>
      <c r="D159" s="96"/>
      <c r="E159" s="96"/>
      <c r="F159" s="96" t="s">
        <v>241</v>
      </c>
      <c r="G159" t="s">
        <v>73</v>
      </c>
      <c r="H159" t="s">
        <v>74</v>
      </c>
      <c r="I159" t="s">
        <v>75</v>
      </c>
      <c r="J159" s="70">
        <v>2</v>
      </c>
      <c r="K159" s="70"/>
      <c r="L159" s="70"/>
      <c r="M159" t="s">
        <v>241</v>
      </c>
      <c r="N159" t="s">
        <v>180</v>
      </c>
      <c r="O159" s="18">
        <v>261.42358366271469</v>
      </c>
      <c r="P159" s="18">
        <v>6.2188735177865624</v>
      </c>
      <c r="Q159" s="97">
        <v>0.67674134536182773</v>
      </c>
      <c r="R159" s="97">
        <v>0.14491525952726972</v>
      </c>
      <c r="S159" s="97">
        <v>0.12327853254278806</v>
      </c>
      <c r="T159" s="97">
        <v>1.3886792834780831E-2</v>
      </c>
      <c r="U159" s="97">
        <v>1.2472864704837006E-3</v>
      </c>
      <c r="V159" s="97">
        <v>1.3215813289007044E-2</v>
      </c>
      <c r="W159" s="97">
        <v>2.6714969973842834E-2</v>
      </c>
      <c r="X159" s="51">
        <f t="shared" si="11"/>
        <v>5.6808166287978921</v>
      </c>
      <c r="Y159" s="18">
        <v>715.52481335090022</v>
      </c>
      <c r="Z159" s="18">
        <v>35.328280092232745</v>
      </c>
      <c r="AA159" s="18">
        <f t="shared" si="12"/>
        <v>13.513807590447858</v>
      </c>
      <c r="AB159" s="18">
        <f t="shared" si="13"/>
        <v>49.373941242911748</v>
      </c>
      <c r="AC159" s="18">
        <f>$CP$15*Table2912[[#This Row],[DMD '[mg/g']]]+$CS$15*Table2912[[#This Row],[CH4 '[ml/g']]]+$CR$15*Table2912[[#This Row],[CH4 '[% GP']]]+$CQ$15*Table2912[[#This Row],[CH4 '[g/g DDM']]]</f>
        <v>11.510006999826061</v>
      </c>
      <c r="AD159" s="18">
        <f>_xlfn.RANK.AVG(Table2912[[#This Row],[Index]],Table2912[Index])</f>
        <v>333</v>
      </c>
      <c r="AE15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5.8764321022011581</v>
      </c>
      <c r="AF159" s="18">
        <f>Table2912[[#This Row],[CH4 '[ml/g']]]/Table2912[[#This Row],[APB]]</f>
        <v>6.0118588078299577</v>
      </c>
      <c r="AG159" s="18">
        <f>Table2912[[#This Row],[Propionate '[%']]]/Table2912[[#This Row],[Acetate '[%']]]</f>
        <v>0.21413684935976399</v>
      </c>
      <c r="AH159" s="51"/>
      <c r="AI159" s="18"/>
      <c r="AJ159" s="18"/>
      <c r="AK159" s="18">
        <f>(Table2912[[#This Row],[DMD '[mg/g']]]-$AK$15)/$AK$15*100</f>
        <v>45.939361857358001</v>
      </c>
      <c r="AL159" s="18">
        <f>(Table2912[[#This Row],[CH4 '[ml/g']]]-AL$15)/AL$15*100</f>
        <v>-10.179768800489612</v>
      </c>
      <c r="AM159" s="18">
        <f>(Table2912[[#This Row],[CH4 '[% GP']]]-AM$15)/AM$15*100</f>
        <v>-12.939701180256296</v>
      </c>
      <c r="AN159" s="18">
        <f>(Table2912[[#This Row],[CH4 '[g/g DDM']]]-AN$15)/AN$15*100</f>
        <v>-3.5957532702266706</v>
      </c>
      <c r="AO159" s="18"/>
      <c r="AP159" s="18"/>
      <c r="AR159">
        <f>_xlfn.NORM.DIST(Table2912[[#This Row],[GP '[ml/g']]],O$6,O$2,FALSE)</f>
        <v>7.4337162592051694E-3</v>
      </c>
      <c r="AS159">
        <f>_xlfn.NORM.DIST(Table2912[[#This Row],[SCFA '[mmol/g']]],P$6,P$2,FALSE)</f>
        <v>0.32120038551923014</v>
      </c>
      <c r="AT159">
        <f>_xlfn.NORM.DIST(Table2912[[#This Row],[Acetate '[%']]],Q$6,Q$2,FALSE)</f>
        <v>13.913963649608405</v>
      </c>
      <c r="AU159">
        <f>_xlfn.NORM.DIST(Table2912[[#This Row],[Propionate '[%']]],R$6,R$2,FALSE)</f>
        <v>8.8235565285811166</v>
      </c>
      <c r="AV159">
        <f>_xlfn.NORM.DIST(Table2912[[#This Row],[Butyrate '[%']]],S$6,S$2,FALSE)</f>
        <v>4.9594862152390533</v>
      </c>
      <c r="AW159">
        <f>_xlfn.NORM.DIST(Table2912[[#This Row],[Valerate '[%']]],T$6,T$2,FALSE)</f>
        <v>59.213177120277912</v>
      </c>
      <c r="AX159">
        <f>_xlfn.NORM.DIST(Table2912[[#This Row],[Caproate '[%']]],U$6,U$2,FALSE)</f>
        <v>405.35990228338761</v>
      </c>
      <c r="AY159">
        <f>_xlfn.NORM.DIST(Table2912[[#This Row],[Isobutyrate '[%']]],V$6,V$2,FALSE)</f>
        <v>80.540098763118692</v>
      </c>
      <c r="AZ159">
        <f>_xlfn.NORM.DIST(Table2912[[#This Row],[Isovalerate '[%']]],W$6,W$2,FALSE)</f>
        <v>45.021505619526579</v>
      </c>
      <c r="BA159">
        <f>_xlfn.NORM.DIST(Table2912[[#This Row],[CH4 '[g/mmol SCFA']]],X$6,X$2,FALSE)</f>
        <v>0.26892285897928747</v>
      </c>
      <c r="BB159">
        <f>_xlfn.NORM.DIST(Table2912[[#This Row],[DMD '[mg/g']]],Y$6,Y$2,FALSE)</f>
        <v>2.6446584003585074E-3</v>
      </c>
      <c r="BC159">
        <f>_xlfn.NORM.DIST(Table2912[[#This Row],[CH4 '[ml/g']]],Z$6,Z$2,FALSE)</f>
        <v>2.9423226566995236E-2</v>
      </c>
      <c r="BD159">
        <f>_xlfn.NORM.DIST(Table2912[[#This Row],[CH4 '[% GP']]],AA$6,AA$2,FALSE)</f>
        <v>9.2863616119962966E-2</v>
      </c>
      <c r="BE159">
        <f>_xlfn.NORM.DIST(Table2912[[#This Row],[CH4 '[g/g DDM']]],AB$6,AB$2,FALSE)</f>
        <v>3.1134040292967027E-2</v>
      </c>
      <c r="BG159">
        <f>IF(Table2912[[#This Row],[GP '[ml/g']]]&lt;O$10,_xlfn.NORM.DIST(Table2912[[#This Row],[GP '[ml/g']]],O$6,O$2,FALSE),-100)</f>
        <v>-100</v>
      </c>
      <c r="BH159">
        <f>IF(Table2912[[#This Row],[SCFA '[mmol/g']]]&lt;P$10,_xlfn.NORM.DIST(Table2912[[#This Row],[SCFA '[mmol/g']]],P$6,P$2,FALSE),-100)</f>
        <v>-100</v>
      </c>
      <c r="BI159">
        <f>IF(Table2912[[#This Row],[Acetate '[%']]]&lt;Q$10,_xlfn.NORM.DIST(Table2912[[#This Row],[Acetate '[%']]],Q$6,Q$2,FALSE),-100)</f>
        <v>-100</v>
      </c>
      <c r="BJ159">
        <f>IF(Table2912[[#This Row],[Propionate '[%']]]&lt;R$10,_xlfn.NORM.DIST(Table2912[[#This Row],[Propionate '[%']]],R$6,R$2,FALSE),-100)</f>
        <v>8.8235565285811166</v>
      </c>
      <c r="BK159">
        <f>IF(Table2912[[#This Row],[Butyrate '[%']]]&lt;S$10,_xlfn.NORM.DIST(Table2912[[#This Row],[Butyrate '[%']]],S$6,S$2,FALSE),-100)</f>
        <v>-100</v>
      </c>
      <c r="BL159">
        <f>IF(Table2912[[#This Row],[Valerate '[%']]]&lt;T$10,_xlfn.NORM.DIST(Table2912[[#This Row],[Valerate '[%']]],T$6,T$2,FALSE),-100)</f>
        <v>-100</v>
      </c>
      <c r="BM159">
        <f>IF(Table2912[[#This Row],[Caproate '[%']]]&lt;U$10,_xlfn.NORM.DIST(Table2912[[#This Row],[Caproate '[%']]],U$6,U$2,FALSE),-100)</f>
        <v>-100</v>
      </c>
      <c r="BN159">
        <f>IF(Table2912[[#This Row],[Isobutyrate '[%']]]&lt;V$10,_xlfn.NORM.DIST(Table2912[[#This Row],[Isobutyrate '[%']]],V$6,V$2,FALSE),-100)</f>
        <v>-100</v>
      </c>
      <c r="BO159">
        <f>IF(Table2912[[#This Row],[Isovalerate '[%']]]&lt;W$10,_xlfn.NORM.DIST(Table2912[[#This Row],[Isovalerate '[%']]],W$6,W$2,FALSE),-100)</f>
        <v>-100</v>
      </c>
      <c r="BP159">
        <f>IF(Table2912[[#This Row],[CH4 '[g/mmol SCFA']]]&lt;X$10,_xlfn.NORM.DIST(Table2912[[#This Row],[CH4 '[g/mmol SCFA']]],X$6,X$2,FALSE),-100)</f>
        <v>-100</v>
      </c>
      <c r="BQ159">
        <f>IF(Table2912[[#This Row],[DMD '[mg/g']]]&gt;Y$10,_xlfn.NORM.DIST(Table2912[[#This Row],[DMD '[mg/g']]],Y$6,Y$2,FALSE),-100)</f>
        <v>-100</v>
      </c>
      <c r="BR159">
        <f>IF(Table2912[[#This Row],[CH4 '[ml/g']]]&lt;Z$10,_xlfn.NORM.DIST(Table2912[[#This Row],[CH4 '[ml/g']]],Z$6,Z$2,FALSE),-100)</f>
        <v>-100</v>
      </c>
      <c r="BS159">
        <f>IF(Table2912[[#This Row],[CH4 '[% GP']]]&lt;AA$10,_xlfn.NORM.DIST(Table2912[[#This Row],[CH4 '[% GP']]],AA$6,AA$2,FALSE),-100)</f>
        <v>-100</v>
      </c>
      <c r="BT159">
        <f>IF(Table2912[[#This Row],[CH4 '[g/g DDM']]]&lt;AB$10,_xlfn.NORM.DIST(Table2912[[#This Row],[CH4 '[g/g DDM']]],AB$6,AB$2,FALSE),-100)</f>
        <v>-100</v>
      </c>
      <c r="CJ159" t="str">
        <v>Silybum</v>
      </c>
      <c r="CL159" t="str">
        <v>Silybum</v>
      </c>
    </row>
    <row r="160" spans="1:90" x14ac:dyDescent="0.25">
      <c r="A160" s="12" t="s">
        <v>86</v>
      </c>
      <c r="B160" s="13">
        <v>1070</v>
      </c>
      <c r="C160" s="32">
        <v>7985</v>
      </c>
      <c r="D160" s="104" t="s">
        <v>161</v>
      </c>
      <c r="E160" t="s">
        <v>242</v>
      </c>
      <c r="F160" t="s">
        <v>147</v>
      </c>
      <c r="G160" s="32" t="s">
        <v>73</v>
      </c>
      <c r="H160" s="32" t="s">
        <v>74</v>
      </c>
      <c r="I160" s="105" t="s">
        <v>44</v>
      </c>
      <c r="J160" s="70">
        <v>3</v>
      </c>
      <c r="K160" s="70"/>
      <c r="L160" s="70"/>
      <c r="M160" t="s">
        <v>147</v>
      </c>
      <c r="N160" t="s">
        <v>98</v>
      </c>
      <c r="O160" s="18">
        <v>238.71753575357536</v>
      </c>
      <c r="P160" s="18">
        <v>7.5775389866402794</v>
      </c>
      <c r="Q160" s="97">
        <v>0.67590263739576484</v>
      </c>
      <c r="R160" s="97">
        <v>0.17032652427505959</v>
      </c>
      <c r="S160" s="97">
        <v>7.5301328562325243E-2</v>
      </c>
      <c r="T160" s="97">
        <v>2.2931498310086756E-2</v>
      </c>
      <c r="U160" s="97">
        <v>6.7172100499592545E-4</v>
      </c>
      <c r="V160" s="97">
        <v>2.0203407912346153E-2</v>
      </c>
      <c r="W160" s="97">
        <v>3.466288253942159E-2</v>
      </c>
      <c r="X160" s="51">
        <f t="shared" si="11"/>
        <v>6.0010686624082412</v>
      </c>
      <c r="Y160" s="18">
        <v>716.03925678563894</v>
      </c>
      <c r="Z160" s="18">
        <v>45.473331750903682</v>
      </c>
      <c r="AA160" s="18">
        <f t="shared" si="12"/>
        <v>19.049011882329893</v>
      </c>
      <c r="AB160" s="18">
        <f t="shared" si="13"/>
        <v>63.506757932571084</v>
      </c>
      <c r="AC160" s="18">
        <f>$CP$15*Table2912[[#This Row],[DMD '[mg/g']]]+$CS$15*Table2912[[#This Row],[CH4 '[ml/g']]]+$CR$15*Table2912[[#This Row],[CH4 '[% GP']]]+$CQ$15*Table2912[[#This Row],[CH4 '[g/g DDM']]]</f>
        <v>3.3832695865155813</v>
      </c>
      <c r="AD160" s="18">
        <f>_xlfn.RANK.AVG(Table2912[[#This Row],[Index]],Table2912[Index])</f>
        <v>424</v>
      </c>
      <c r="AE16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6.9829332171194203</v>
      </c>
      <c r="AF160" s="18">
        <f>Table2912[[#This Row],[CH4 '[ml/g']]]/Table2912[[#This Row],[APB]]</f>
        <v>6.5120673987574254</v>
      </c>
      <c r="AG160" s="18">
        <f>Table2912[[#This Row],[Propionate '[%']]]/Table2912[[#This Row],[Acetate '[%']]]</f>
        <v>0.25199860875128882</v>
      </c>
      <c r="AH160" s="51"/>
      <c r="AI160" s="18"/>
      <c r="AJ160" s="18"/>
      <c r="AK160" s="18">
        <f>(Table2912[[#This Row],[DMD '[mg/g']]]-$AK$15)/$AK$15*100</f>
        <v>46.044288402428997</v>
      </c>
      <c r="AL160" s="18">
        <f>(Table2912[[#This Row],[CH4 '[ml/g']]]-AL$15)/AL$15*100</f>
        <v>15.613473416052443</v>
      </c>
      <c r="AM160" s="18">
        <f>(Table2912[[#This Row],[CH4 '[% GP']]]-AM$15)/AM$15*100</f>
        <v>22.71986674345775</v>
      </c>
      <c r="AN160" s="18">
        <f>(Table2912[[#This Row],[CH4 '[g/g DDM']]]-AN$15)/AN$15*100</f>
        <v>23.999036872887046</v>
      </c>
      <c r="AO160" s="18"/>
      <c r="AP160" s="18"/>
      <c r="AR160">
        <f>_xlfn.NORM.DIST(Table2912[[#This Row],[GP '[ml/g']]],O$6,O$2,FALSE)</f>
        <v>7.1190206595662187E-3</v>
      </c>
      <c r="AS160">
        <f>_xlfn.NORM.DIST(Table2912[[#This Row],[SCFA '[mmol/g']]],P$6,P$2,FALSE)</f>
        <v>0.22840274047973436</v>
      </c>
      <c r="AT160">
        <f>_xlfn.NORM.DIST(Table2912[[#This Row],[Acetate '[%']]],Q$6,Q$2,FALSE)</f>
        <v>13.960162687953304</v>
      </c>
      <c r="AU160">
        <f>_xlfn.NORM.DIST(Table2912[[#This Row],[Propionate '[%']]],R$6,R$2,FALSE)</f>
        <v>16.755802817788297</v>
      </c>
      <c r="AV160">
        <f>_xlfn.NORM.DIST(Table2912[[#This Row],[Butyrate '[%']]],S$6,S$2,FALSE)</f>
        <v>13.728313971039844</v>
      </c>
      <c r="AW160">
        <f>_xlfn.NORM.DIST(Table2912[[#This Row],[Valerate '[%']]],T$6,T$2,FALSE)</f>
        <v>45.869596731520112</v>
      </c>
      <c r="AX160">
        <f>_xlfn.NORM.DIST(Table2912[[#This Row],[Caproate '[%']]],U$6,U$2,FALSE)</f>
        <v>324.11208165930924</v>
      </c>
      <c r="AY160">
        <f>_xlfn.NORM.DIST(Table2912[[#This Row],[Isobutyrate '[%']]],V$6,V$2,FALSE)</f>
        <v>49.008480301377041</v>
      </c>
      <c r="AZ160">
        <f>_xlfn.NORM.DIST(Table2912[[#This Row],[Isovalerate '[%']]],W$6,W$2,FALSE)</f>
        <v>33.757111112106678</v>
      </c>
      <c r="BA160">
        <f>_xlfn.NORM.DIST(Table2912[[#This Row],[CH4 '[g/mmol SCFA']]],X$6,X$2,FALSE)</f>
        <v>0.29092221327136347</v>
      </c>
      <c r="BB160">
        <f>_xlfn.NORM.DIST(Table2912[[#This Row],[DMD '[mg/g']]],Y$6,Y$2,FALSE)</f>
        <v>2.6490390750276583E-3</v>
      </c>
      <c r="BC160">
        <f>_xlfn.NORM.DIST(Table2912[[#This Row],[CH4 '[ml/g']]],Z$6,Z$2,FALSE)</f>
        <v>3.1599826332967172E-2</v>
      </c>
      <c r="BD160">
        <f>_xlfn.NORM.DIST(Table2912[[#This Row],[CH4 '[% GP']]],AA$6,AA$2,FALSE)</f>
        <v>8.1174598138039608E-2</v>
      </c>
      <c r="BE160">
        <f>_xlfn.NORM.DIST(Table2912[[#This Row],[CH4 '[g/g DDM']]],AB$6,AB$2,FALSE)</f>
        <v>2.3162406593348069E-2</v>
      </c>
      <c r="BG160">
        <f>IF(Table2912[[#This Row],[GP '[ml/g']]]&lt;O$10,_xlfn.NORM.DIST(Table2912[[#This Row],[GP '[ml/g']]],O$6,O$2,FALSE),-100)</f>
        <v>-100</v>
      </c>
      <c r="BH160">
        <f>IF(Table2912[[#This Row],[SCFA '[mmol/g']]]&lt;P$10,_xlfn.NORM.DIST(Table2912[[#This Row],[SCFA '[mmol/g']]],P$6,P$2,FALSE),-100)</f>
        <v>-100</v>
      </c>
      <c r="BI160">
        <f>IF(Table2912[[#This Row],[Acetate '[%']]]&lt;Q$10,_xlfn.NORM.DIST(Table2912[[#This Row],[Acetate '[%']]],Q$6,Q$2,FALSE),-100)</f>
        <v>-100</v>
      </c>
      <c r="BJ160">
        <f>IF(Table2912[[#This Row],[Propionate '[%']]]&lt;R$10,_xlfn.NORM.DIST(Table2912[[#This Row],[Propionate '[%']]],R$6,R$2,FALSE),-100)</f>
        <v>-100</v>
      </c>
      <c r="BK160">
        <f>IF(Table2912[[#This Row],[Butyrate '[%']]]&lt;S$10,_xlfn.NORM.DIST(Table2912[[#This Row],[Butyrate '[%']]],S$6,S$2,FALSE),-100)</f>
        <v>13.728313971039844</v>
      </c>
      <c r="BL160">
        <f>IF(Table2912[[#This Row],[Valerate '[%']]]&lt;T$10,_xlfn.NORM.DIST(Table2912[[#This Row],[Valerate '[%']]],T$6,T$2,FALSE),-100)</f>
        <v>-100</v>
      </c>
      <c r="BM160">
        <f>IF(Table2912[[#This Row],[Caproate '[%']]]&lt;U$10,_xlfn.NORM.DIST(Table2912[[#This Row],[Caproate '[%']]],U$6,U$2,FALSE),-100)</f>
        <v>-100</v>
      </c>
      <c r="BN160">
        <f>IF(Table2912[[#This Row],[Isobutyrate '[%']]]&lt;V$10,_xlfn.NORM.DIST(Table2912[[#This Row],[Isobutyrate '[%']]],V$6,V$2,FALSE),-100)</f>
        <v>-100</v>
      </c>
      <c r="BO160">
        <f>IF(Table2912[[#This Row],[Isovalerate '[%']]]&lt;W$10,_xlfn.NORM.DIST(Table2912[[#This Row],[Isovalerate '[%']]],W$6,W$2,FALSE),-100)</f>
        <v>-100</v>
      </c>
      <c r="BP160">
        <f>IF(Table2912[[#This Row],[CH4 '[g/mmol SCFA']]]&lt;X$10,_xlfn.NORM.DIST(Table2912[[#This Row],[CH4 '[g/mmol SCFA']]],X$6,X$2,FALSE),-100)</f>
        <v>-100</v>
      </c>
      <c r="BQ160">
        <f>IF(Table2912[[#This Row],[DMD '[mg/g']]]&gt;Y$10,_xlfn.NORM.DIST(Table2912[[#This Row],[DMD '[mg/g']]],Y$6,Y$2,FALSE),-100)</f>
        <v>-100</v>
      </c>
      <c r="BR160">
        <f>IF(Table2912[[#This Row],[CH4 '[ml/g']]]&lt;Z$10,_xlfn.NORM.DIST(Table2912[[#This Row],[CH4 '[ml/g']]],Z$6,Z$2,FALSE),-100)</f>
        <v>-100</v>
      </c>
      <c r="BS160">
        <f>IF(Table2912[[#This Row],[CH4 '[% GP']]]&lt;AA$10,_xlfn.NORM.DIST(Table2912[[#This Row],[CH4 '[% GP']]],AA$6,AA$2,FALSE),-100)</f>
        <v>-100</v>
      </c>
      <c r="BT160">
        <f>IF(Table2912[[#This Row],[CH4 '[g/g DDM']]]&lt;AB$10,_xlfn.NORM.DIST(Table2912[[#This Row],[CH4 '[g/g DDM']]],AB$6,AB$2,FALSE),-100)</f>
        <v>-100</v>
      </c>
      <c r="CJ160" t="str">
        <v>Lupinus albus</v>
      </c>
      <c r="CL160" t="str">
        <v>Lupinus albus</v>
      </c>
    </row>
    <row r="161" spans="1:90" x14ac:dyDescent="0.25">
      <c r="A161" s="12" t="s">
        <v>70</v>
      </c>
      <c r="B161" s="13">
        <v>998</v>
      </c>
      <c r="C161" s="96" t="s">
        <v>238</v>
      </c>
      <c r="D161" s="96"/>
      <c r="E161" s="96"/>
      <c r="F161" s="96" t="s">
        <v>239</v>
      </c>
      <c r="G161" s="15" t="s">
        <v>73</v>
      </c>
      <c r="H161" s="15" t="s">
        <v>74</v>
      </c>
      <c r="I161" t="s">
        <v>75</v>
      </c>
      <c r="J161" s="70">
        <v>2</v>
      </c>
      <c r="K161" s="70"/>
      <c r="L161" s="70"/>
      <c r="M161" t="s">
        <v>239</v>
      </c>
      <c r="N161" t="s">
        <v>85</v>
      </c>
      <c r="O161" s="18">
        <v>273.97183565274946</v>
      </c>
      <c r="P161" s="18">
        <v>7.0619820133106757</v>
      </c>
      <c r="Q161" s="97">
        <v>0.68129363651437047</v>
      </c>
      <c r="R161" s="97">
        <v>0.15732184857928427</v>
      </c>
      <c r="S161" s="97">
        <v>0.10422286326773009</v>
      </c>
      <c r="T161" s="97">
        <v>1.4844122572735173E-2</v>
      </c>
      <c r="U161" s="97">
        <v>2.4508646996232453E-3</v>
      </c>
      <c r="V161" s="97">
        <v>1.3883913856742385E-2</v>
      </c>
      <c r="W161" s="97">
        <v>2.5982750509514284E-2</v>
      </c>
      <c r="X161" s="51">
        <f t="shared" si="11"/>
        <v>5.2091010674934033</v>
      </c>
      <c r="Y161" s="18">
        <v>718.13978614561256</v>
      </c>
      <c r="Z161" s="18">
        <v>36.786578044155853</v>
      </c>
      <c r="AA161" s="18">
        <f t="shared" si="12"/>
        <v>13.427138580325337</v>
      </c>
      <c r="AB161" s="18">
        <f t="shared" si="13"/>
        <v>51.224815493925128</v>
      </c>
      <c r="AC161" s="18">
        <f>$CP$15*Table2912[[#This Row],[DMD '[mg/g']]]+$CS$15*Table2912[[#This Row],[CH4 '[ml/g']]]+$CR$15*Table2912[[#This Row],[CH4 '[% GP']]]+$CQ$15*Table2912[[#This Row],[CH4 '[g/g DDM']]]</f>
        <v>10.90250478198773</v>
      </c>
      <c r="AD161" s="18">
        <f>_xlfn.RANK.AVG(Table2912[[#This Row],[Index]],Table2912[Index])</f>
        <v>349</v>
      </c>
      <c r="AE16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6.6583074575876449</v>
      </c>
      <c r="AF161" s="18">
        <f>Table2912[[#This Row],[CH4 '[ml/g']]]/Table2912[[#This Row],[APB]]</f>
        <v>5.5249142936820625</v>
      </c>
      <c r="AG161" s="18">
        <f>Table2912[[#This Row],[Propionate '[%']]]/Table2912[[#This Row],[Acetate '[%']]]</f>
        <v>0.23091636285372216</v>
      </c>
      <c r="AH161" s="51"/>
      <c r="AI161" s="18"/>
      <c r="AJ161" s="18"/>
      <c r="AK161" s="18">
        <f>(Table2912[[#This Row],[DMD '[mg/g']]]-$AK$15)/$AK$15*100</f>
        <v>46.472715074205169</v>
      </c>
      <c r="AL161" s="18">
        <f>(Table2912[[#This Row],[CH4 '[ml/g']]]-AL$15)/AL$15*100</f>
        <v>-6.4721255510152575</v>
      </c>
      <c r="AM161" s="18">
        <f>(Table2912[[#This Row],[CH4 '[% GP']]]-AM$15)/AM$15*100</f>
        <v>-13.498050843678428</v>
      </c>
      <c r="AN161" s="18">
        <f>(Table2912[[#This Row],[CH4 '[g/g DDM']]]-AN$15)/AN$15*100</f>
        <v>1.8139675499927753E-2</v>
      </c>
      <c r="AO161" s="18"/>
      <c r="AP161" s="18"/>
      <c r="AR161">
        <f>_xlfn.NORM.DIST(Table2912[[#This Row],[GP '[ml/g']]],O$6,O$2,FALSE)</f>
        <v>7.0439911583895596E-3</v>
      </c>
      <c r="AS161">
        <f>_xlfn.NORM.DIST(Table2912[[#This Row],[SCFA '[mmol/g']]],P$6,P$2,FALSE)</f>
        <v>0.30237889154290792</v>
      </c>
      <c r="AT161">
        <f>_xlfn.NORM.DIST(Table2912[[#This Row],[Acetate '[%']]],Q$6,Q$2,FALSE)</f>
        <v>13.460120712384546</v>
      </c>
      <c r="AU161">
        <f>_xlfn.NORM.DIST(Table2912[[#This Row],[Propionate '[%']]],R$6,R$2,FALSE)</f>
        <v>13.921668958923997</v>
      </c>
      <c r="AV161">
        <f>_xlfn.NORM.DIST(Table2912[[#This Row],[Butyrate '[%']]],S$6,S$2,FALSE)</f>
        <v>18.615552513130588</v>
      </c>
      <c r="AW161">
        <f>_xlfn.NORM.DIST(Table2912[[#This Row],[Valerate '[%']]],T$6,T$2,FALSE)</f>
        <v>66.673907790172734</v>
      </c>
      <c r="AX161">
        <f>_xlfn.NORM.DIST(Table2912[[#This Row],[Caproate '[%']]],U$6,U$2,FALSE)</f>
        <v>212.43654368139659</v>
      </c>
      <c r="AY161">
        <f>_xlfn.NORM.DIST(Table2912[[#This Row],[Isobutyrate '[%']]],V$6,V$2,FALSE)</f>
        <v>85.547804826036128</v>
      </c>
      <c r="AZ161">
        <f>_xlfn.NORM.DIST(Table2912[[#This Row],[Isovalerate '[%']]],W$6,W$2,FALSE)</f>
        <v>44.365334372600501</v>
      </c>
      <c r="BA161">
        <f>_xlfn.NORM.DIST(Table2912[[#This Row],[CH4 '[g/mmol SCFA']]],X$6,X$2,FALSE)</f>
        <v>0.21589543186373863</v>
      </c>
      <c r="BB161">
        <f>_xlfn.NORM.DIST(Table2912[[#This Row],[DMD '[mg/g']]],Y$6,Y$2,FALSE)</f>
        <v>2.6666099662101834E-3</v>
      </c>
      <c r="BC161">
        <f>_xlfn.NORM.DIST(Table2912[[#This Row],[CH4 '[ml/g']]],Z$6,Z$2,FALSE)</f>
        <v>3.1084883525457203E-2</v>
      </c>
      <c r="BD161">
        <f>_xlfn.NORM.DIST(Table2912[[#This Row],[CH4 '[% GP']]],AA$6,AA$2,FALSE)</f>
        <v>9.0509783565548951E-2</v>
      </c>
      <c r="BE161">
        <f>_xlfn.NORM.DIST(Table2912[[#This Row],[CH4 '[g/g DDM']]],AB$6,AB$2,FALSE)</f>
        <v>3.2350938671459793E-2</v>
      </c>
      <c r="BG161">
        <f>IF(Table2912[[#This Row],[GP '[ml/g']]]&lt;O$10,_xlfn.NORM.DIST(Table2912[[#This Row],[GP '[ml/g']]],O$6,O$2,FALSE),-100)</f>
        <v>-100</v>
      </c>
      <c r="BH161">
        <f>IF(Table2912[[#This Row],[SCFA '[mmol/g']]]&lt;P$10,_xlfn.NORM.DIST(Table2912[[#This Row],[SCFA '[mmol/g']]],P$6,P$2,FALSE),-100)</f>
        <v>-100</v>
      </c>
      <c r="BI161">
        <f>IF(Table2912[[#This Row],[Acetate '[%']]]&lt;Q$10,_xlfn.NORM.DIST(Table2912[[#This Row],[Acetate '[%']]],Q$6,Q$2,FALSE),-100)</f>
        <v>-100</v>
      </c>
      <c r="BJ161">
        <f>IF(Table2912[[#This Row],[Propionate '[%']]]&lt;R$10,_xlfn.NORM.DIST(Table2912[[#This Row],[Propionate '[%']]],R$6,R$2,FALSE),-100)</f>
        <v>-100</v>
      </c>
      <c r="BK161">
        <f>IF(Table2912[[#This Row],[Butyrate '[%']]]&lt;S$10,_xlfn.NORM.DIST(Table2912[[#This Row],[Butyrate '[%']]],S$6,S$2,FALSE),-100)</f>
        <v>-100</v>
      </c>
      <c r="BL161">
        <f>IF(Table2912[[#This Row],[Valerate '[%']]]&lt;T$10,_xlfn.NORM.DIST(Table2912[[#This Row],[Valerate '[%']]],T$6,T$2,FALSE),-100)</f>
        <v>-100</v>
      </c>
      <c r="BM161">
        <f>IF(Table2912[[#This Row],[Caproate '[%']]]&lt;U$10,_xlfn.NORM.DIST(Table2912[[#This Row],[Caproate '[%']]],U$6,U$2,FALSE),-100)</f>
        <v>-100</v>
      </c>
      <c r="BN161">
        <f>IF(Table2912[[#This Row],[Isobutyrate '[%']]]&lt;V$10,_xlfn.NORM.DIST(Table2912[[#This Row],[Isobutyrate '[%']]],V$6,V$2,FALSE),-100)</f>
        <v>-100</v>
      </c>
      <c r="BO161">
        <f>IF(Table2912[[#This Row],[Isovalerate '[%']]]&lt;W$10,_xlfn.NORM.DIST(Table2912[[#This Row],[Isovalerate '[%']]],W$6,W$2,FALSE),-100)</f>
        <v>-100</v>
      </c>
      <c r="BP161">
        <f>IF(Table2912[[#This Row],[CH4 '[g/mmol SCFA']]]&lt;X$10,_xlfn.NORM.DIST(Table2912[[#This Row],[CH4 '[g/mmol SCFA']]],X$6,X$2,FALSE),-100)</f>
        <v>-100</v>
      </c>
      <c r="BQ161">
        <f>IF(Table2912[[#This Row],[DMD '[mg/g']]]&gt;Y$10,_xlfn.NORM.DIST(Table2912[[#This Row],[DMD '[mg/g']]],Y$6,Y$2,FALSE),-100)</f>
        <v>-100</v>
      </c>
      <c r="BR161">
        <f>IF(Table2912[[#This Row],[CH4 '[ml/g']]]&lt;Z$10,_xlfn.NORM.DIST(Table2912[[#This Row],[CH4 '[ml/g']]],Z$6,Z$2,FALSE),-100)</f>
        <v>-100</v>
      </c>
      <c r="BS161">
        <f>IF(Table2912[[#This Row],[CH4 '[% GP']]]&lt;AA$10,_xlfn.NORM.DIST(Table2912[[#This Row],[CH4 '[% GP']]],AA$6,AA$2,FALSE),-100)</f>
        <v>-100</v>
      </c>
      <c r="BT161">
        <f>IF(Table2912[[#This Row],[CH4 '[g/g DDM']]]&lt;AB$10,_xlfn.NORM.DIST(Table2912[[#This Row],[CH4 '[g/g DDM']]],AB$6,AB$2,FALSE),-100)</f>
        <v>-100</v>
      </c>
      <c r="CJ161" t="str">
        <v>Sinapsis</v>
      </c>
      <c r="CL161" t="str">
        <v>Sinapsis</v>
      </c>
    </row>
    <row r="162" spans="1:90" x14ac:dyDescent="0.25">
      <c r="A162" s="12" t="s">
        <v>70</v>
      </c>
      <c r="B162" s="13">
        <v>998</v>
      </c>
      <c r="C162" s="96" t="s">
        <v>238</v>
      </c>
      <c r="D162" s="96"/>
      <c r="E162" s="96"/>
      <c r="F162" s="96" t="s">
        <v>239</v>
      </c>
      <c r="G162" t="s">
        <v>73</v>
      </c>
      <c r="H162" t="s">
        <v>74</v>
      </c>
      <c r="I162" t="s">
        <v>75</v>
      </c>
      <c r="J162" s="70">
        <v>3</v>
      </c>
      <c r="K162" s="70"/>
      <c r="L162" s="70"/>
      <c r="M162" t="s">
        <v>239</v>
      </c>
      <c r="N162" t="s">
        <v>180</v>
      </c>
      <c r="O162" s="18">
        <v>280.00910281597885</v>
      </c>
      <c r="P162" s="18">
        <v>6.865204103907443</v>
      </c>
      <c r="Q162" s="97">
        <v>0.67711035225256511</v>
      </c>
      <c r="R162" s="97">
        <v>0.16228595651253863</v>
      </c>
      <c r="S162" s="97">
        <v>0.10261405392892425</v>
      </c>
      <c r="T162" s="97">
        <v>1.5760069205587576E-2</v>
      </c>
      <c r="U162" s="97">
        <v>2.3720059886404403E-3</v>
      </c>
      <c r="V162" s="97">
        <v>1.3483046339212944E-2</v>
      </c>
      <c r="W162" s="97">
        <v>2.6374515772531137E-2</v>
      </c>
      <c r="X162" s="51">
        <f t="shared" si="11"/>
        <v>5.3742047611130523</v>
      </c>
      <c r="Y162" s="18">
        <v>718.81685221567341</v>
      </c>
      <c r="Z162" s="18">
        <v>36.895012581232244</v>
      </c>
      <c r="AA162" s="18">
        <f t="shared" si="12"/>
        <v>13.176361843307479</v>
      </c>
      <c r="AB162" s="18">
        <f t="shared" si="13"/>
        <v>51.32741736300067</v>
      </c>
      <c r="AC162" s="18">
        <f>$CP$15*Table2912[[#This Row],[DMD '[mg/g']]]+$CS$15*Table2912[[#This Row],[CH4 '[ml/g']]]+$CR$15*Table2912[[#This Row],[CH4 '[% GP']]]+$CQ$15*Table2912[[#This Row],[CH4 '[g/g DDM']]]</f>
        <v>10.987518993399064</v>
      </c>
      <c r="AD162" s="18">
        <f>_xlfn.RANK.AVG(Table2912[[#This Row],[Index]],Table2912[Index])</f>
        <v>348</v>
      </c>
      <c r="AE16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6.4670934078903795</v>
      </c>
      <c r="AF162" s="18">
        <f>Table2912[[#This Row],[CH4 '[ml/g']]]/Table2912[[#This Row],[APB]]</f>
        <v>5.7050378360419733</v>
      </c>
      <c r="AG162" s="18">
        <f>Table2912[[#This Row],[Propionate '[%']]]/Table2912[[#This Row],[Acetate '[%']]]</f>
        <v>0.23967431006283782</v>
      </c>
      <c r="AH162" s="51"/>
      <c r="AI162" s="18"/>
      <c r="AJ162" s="18"/>
      <c r="AK162" s="18">
        <f>(Table2912[[#This Row],[DMD '[mg/g']]]-$AK$15)/$AK$15*100</f>
        <v>46.610810341282225</v>
      </c>
      <c r="AL162" s="18">
        <f>(Table2912[[#This Row],[CH4 '[ml/g']]]-AL$15)/AL$15*100</f>
        <v>-6.1964366365029804</v>
      </c>
      <c r="AM162" s="18">
        <f>(Table2912[[#This Row],[CH4 '[% GP']]]-AM$15)/AM$15*100</f>
        <v>-15.113635312799278</v>
      </c>
      <c r="AN162" s="18">
        <f>(Table2912[[#This Row],[CH4 '[g/g DDM']]]-AN$15)/AN$15*100</f>
        <v>0.218473204732101</v>
      </c>
      <c r="AO162" s="18"/>
      <c r="AP162" s="18"/>
      <c r="AR162">
        <f>_xlfn.NORM.DIST(Table2912[[#This Row],[GP '[ml/g']]],O$6,O$2,FALSE)</f>
        <v>6.7297895019270372E-3</v>
      </c>
      <c r="AS162">
        <f>_xlfn.NORM.DIST(Table2912[[#This Row],[SCFA '[mmol/g']]],P$6,P$2,FALSE)</f>
        <v>0.3205418326838671</v>
      </c>
      <c r="AT162">
        <f>_xlfn.NORM.DIST(Table2912[[#This Row],[Acetate '[%']]],Q$6,Q$2,FALSE)</f>
        <v>13.889859142080587</v>
      </c>
      <c r="AU162">
        <f>_xlfn.NORM.DIST(Table2912[[#This Row],[Propionate '[%']]],R$6,R$2,FALSE)</f>
        <v>15.479734676819007</v>
      </c>
      <c r="AV162">
        <f>_xlfn.NORM.DIST(Table2912[[#This Row],[Butyrate '[%']]],S$6,S$2,FALSE)</f>
        <v>19.693203196938928</v>
      </c>
      <c r="AW162">
        <f>_xlfn.NORM.DIST(Table2912[[#This Row],[Valerate '[%']]],T$6,T$2,FALSE)</f>
        <v>72.317400454874829</v>
      </c>
      <c r="AX162">
        <f>_xlfn.NORM.DIST(Table2912[[#This Row],[Caproate '[%']]],U$6,U$2,FALSE)</f>
        <v>232.08764137902313</v>
      </c>
      <c r="AY162">
        <f>_xlfn.NORM.DIST(Table2912[[#This Row],[Isobutyrate '[%']]],V$6,V$2,FALSE)</f>
        <v>82.732970648064338</v>
      </c>
      <c r="AZ162">
        <f>_xlfn.NORM.DIST(Table2912[[#This Row],[Isovalerate '[%']]],W$6,W$2,FALSE)</f>
        <v>44.753899078554042</v>
      </c>
      <c r="BA162">
        <f>_xlfn.NORM.DIST(Table2912[[#This Row],[CH4 '[g/mmol SCFA']]],X$6,X$2,FALSE)</f>
        <v>0.23644916249548134</v>
      </c>
      <c r="BB162">
        <f>_xlfn.NORM.DIST(Table2912[[#This Row],[DMD '[mg/g']]],Y$6,Y$2,FALSE)</f>
        <v>2.672164162220977E-3</v>
      </c>
      <c r="BC162">
        <f>_xlfn.NORM.DIST(Table2912[[#This Row],[CH4 '[ml/g']]],Z$6,Z$2,FALSE)</f>
        <v>3.1193427782903578E-2</v>
      </c>
      <c r="BD162">
        <f>_xlfn.NORM.DIST(Table2912[[#This Row],[CH4 '[% GP']]],AA$6,AA$2,FALSE)</f>
        <v>8.362524604132239E-2</v>
      </c>
      <c r="BE162">
        <f>_xlfn.NORM.DIST(Table2912[[#This Row],[CH4 '[g/g DDM']]],AB$6,AB$2,FALSE)</f>
        <v>3.2397746813307537E-2</v>
      </c>
      <c r="BG162">
        <f>IF(Table2912[[#This Row],[GP '[ml/g']]]&lt;O$10,_xlfn.NORM.DIST(Table2912[[#This Row],[GP '[ml/g']]],O$6,O$2,FALSE),-100)</f>
        <v>-100</v>
      </c>
      <c r="BH162">
        <f>IF(Table2912[[#This Row],[SCFA '[mmol/g']]]&lt;P$10,_xlfn.NORM.DIST(Table2912[[#This Row],[SCFA '[mmol/g']]],P$6,P$2,FALSE),-100)</f>
        <v>-100</v>
      </c>
      <c r="BI162">
        <f>IF(Table2912[[#This Row],[Acetate '[%']]]&lt;Q$10,_xlfn.NORM.DIST(Table2912[[#This Row],[Acetate '[%']]],Q$6,Q$2,FALSE),-100)</f>
        <v>-100</v>
      </c>
      <c r="BJ162">
        <f>IF(Table2912[[#This Row],[Propionate '[%']]]&lt;R$10,_xlfn.NORM.DIST(Table2912[[#This Row],[Propionate '[%']]],R$6,R$2,FALSE),-100)</f>
        <v>-100</v>
      </c>
      <c r="BK162">
        <f>IF(Table2912[[#This Row],[Butyrate '[%']]]&lt;S$10,_xlfn.NORM.DIST(Table2912[[#This Row],[Butyrate '[%']]],S$6,S$2,FALSE),-100)</f>
        <v>-100</v>
      </c>
      <c r="BL162">
        <f>IF(Table2912[[#This Row],[Valerate '[%']]]&lt;T$10,_xlfn.NORM.DIST(Table2912[[#This Row],[Valerate '[%']]],T$6,T$2,FALSE),-100)</f>
        <v>-100</v>
      </c>
      <c r="BM162">
        <f>IF(Table2912[[#This Row],[Caproate '[%']]]&lt;U$10,_xlfn.NORM.DIST(Table2912[[#This Row],[Caproate '[%']]],U$6,U$2,FALSE),-100)</f>
        <v>-100</v>
      </c>
      <c r="BN162">
        <f>IF(Table2912[[#This Row],[Isobutyrate '[%']]]&lt;V$10,_xlfn.NORM.DIST(Table2912[[#This Row],[Isobutyrate '[%']]],V$6,V$2,FALSE),-100)</f>
        <v>-100</v>
      </c>
      <c r="BO162">
        <f>IF(Table2912[[#This Row],[Isovalerate '[%']]]&lt;W$10,_xlfn.NORM.DIST(Table2912[[#This Row],[Isovalerate '[%']]],W$6,W$2,FALSE),-100)</f>
        <v>-100</v>
      </c>
      <c r="BP162">
        <f>IF(Table2912[[#This Row],[CH4 '[g/mmol SCFA']]]&lt;X$10,_xlfn.NORM.DIST(Table2912[[#This Row],[CH4 '[g/mmol SCFA']]],X$6,X$2,FALSE),-100)</f>
        <v>-100</v>
      </c>
      <c r="BQ162">
        <f>IF(Table2912[[#This Row],[DMD '[mg/g']]]&gt;Y$10,_xlfn.NORM.DIST(Table2912[[#This Row],[DMD '[mg/g']]],Y$6,Y$2,FALSE),-100)</f>
        <v>-100</v>
      </c>
      <c r="BR162">
        <f>IF(Table2912[[#This Row],[CH4 '[ml/g']]]&lt;Z$10,_xlfn.NORM.DIST(Table2912[[#This Row],[CH4 '[ml/g']]],Z$6,Z$2,FALSE),-100)</f>
        <v>-100</v>
      </c>
      <c r="BS162">
        <f>IF(Table2912[[#This Row],[CH4 '[% GP']]]&lt;AA$10,_xlfn.NORM.DIST(Table2912[[#This Row],[CH4 '[% GP']]],AA$6,AA$2,FALSE),-100)</f>
        <v>-100</v>
      </c>
      <c r="BT162">
        <f>IF(Table2912[[#This Row],[CH4 '[g/g DDM']]]&lt;AB$10,_xlfn.NORM.DIST(Table2912[[#This Row],[CH4 '[g/g DDM']]],AB$6,AB$2,FALSE),-100)</f>
        <v>-100</v>
      </c>
      <c r="CJ162" t="str">
        <v>Malva</v>
      </c>
      <c r="CL162" t="str">
        <v>Malva</v>
      </c>
    </row>
    <row r="163" spans="1:90" x14ac:dyDescent="0.25">
      <c r="A163" s="12" t="s">
        <v>200</v>
      </c>
      <c r="B163" s="13">
        <v>1138</v>
      </c>
      <c r="C163" s="117" t="s">
        <v>243</v>
      </c>
      <c r="D163" s="117" t="s">
        <v>233</v>
      </c>
      <c r="E163" s="117" t="s">
        <v>234</v>
      </c>
      <c r="F163" s="117" t="s">
        <v>235</v>
      </c>
      <c r="G163" s="23" t="s">
        <v>73</v>
      </c>
      <c r="H163" s="23" t="s">
        <v>74</v>
      </c>
      <c r="I163" s="104" t="s">
        <v>75</v>
      </c>
      <c r="J163" s="70">
        <v>3</v>
      </c>
      <c r="K163" s="70"/>
      <c r="L163" s="70"/>
      <c r="M163" t="s">
        <v>244</v>
      </c>
      <c r="N163" t="s">
        <v>245</v>
      </c>
      <c r="O163" s="18">
        <v>278.66841644794408</v>
      </c>
      <c r="P163" s="18">
        <v>6.8001968503936983</v>
      </c>
      <c r="Q163" s="97">
        <v>0.67140765446344763</v>
      </c>
      <c r="R163" s="97">
        <v>0.15427781990844344</v>
      </c>
      <c r="S163" s="97">
        <v>0.10359108077052215</v>
      </c>
      <c r="T163" s="97">
        <v>1.8173360353705009E-2</v>
      </c>
      <c r="U163" s="97">
        <v>1.6324930133674027E-3</v>
      </c>
      <c r="V163" s="97">
        <v>1.7245184275217214E-2</v>
      </c>
      <c r="W163" s="97">
        <v>3.3672407215297386E-2</v>
      </c>
      <c r="X163" s="51">
        <f t="shared" si="11"/>
        <v>8.2610215725283247</v>
      </c>
      <c r="Y163" s="18">
        <v>719.92563429571305</v>
      </c>
      <c r="Z163" s="18">
        <v>56.176572878541506</v>
      </c>
      <c r="AA163" s="18">
        <f t="shared" si="12"/>
        <v>20.158930672732129</v>
      </c>
      <c r="AB163" s="18">
        <f t="shared" si="13"/>
        <v>78.031077381343394</v>
      </c>
      <c r="AC163" s="18">
        <f>$CP$15*Table2912[[#This Row],[DMD '[mg/g']]]+$CS$15*Table2912[[#This Row],[CH4 '[ml/g']]]+$CR$15*Table2912[[#This Row],[CH4 '[% GP']]]+$CQ$15*Table2912[[#This Row],[CH4 '[g/g DDM']]]</f>
        <v>-3.2492953642291553</v>
      </c>
      <c r="AD163" s="18">
        <f>_xlfn.RANK.AVG(Table2912[[#This Row],[Index]],Table2912[Index])</f>
        <v>462</v>
      </c>
      <c r="AE16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6.3192635034241444</v>
      </c>
      <c r="AF163" s="18">
        <f>Table2912[[#This Row],[CH4 '[ml/g']]]/Table2912[[#This Row],[APB]]</f>
        <v>8.8897341989460905</v>
      </c>
      <c r="AG163" s="18">
        <f>Table2912[[#This Row],[Propionate '[%']]]/Table2912[[#This Row],[Acetate '[%']]]</f>
        <v>0.22978263486098302</v>
      </c>
      <c r="AH163" s="51"/>
      <c r="AI163" s="18"/>
      <c r="AJ163" s="18"/>
      <c r="AK163" s="18">
        <f>(Table2912[[#This Row],[DMD '[mg/g']]]-$AK$15)/$AK$15*100</f>
        <v>46.836958961400732</v>
      </c>
      <c r="AL163" s="18">
        <f>(Table2912[[#This Row],[CH4 '[ml/g']]]-AL$15)/AL$15*100</f>
        <v>42.825882006526207</v>
      </c>
      <c r="AM163" s="18">
        <f>(Table2912[[#This Row],[CH4 '[% GP']]]-AM$15)/AM$15*100</f>
        <v>29.870320892765701</v>
      </c>
      <c r="AN163" s="18">
        <f>(Table2912[[#This Row],[CH4 '[g/g DDM']]]-AN$15)/AN$15*100</f>
        <v>52.358249049867311</v>
      </c>
      <c r="AO163" s="18"/>
      <c r="AP163" s="18"/>
      <c r="AR163">
        <f>_xlfn.NORM.DIST(Table2912[[#This Row],[GP '[ml/g']]],O$6,O$2,FALSE)</f>
        <v>6.8058587832721829E-3</v>
      </c>
      <c r="AS163">
        <f>_xlfn.NORM.DIST(Table2912[[#This Row],[SCFA '[mmol/g']]],P$6,P$2,FALSE)</f>
        <v>0.32485010695968014</v>
      </c>
      <c r="AT163">
        <f>_xlfn.NORM.DIST(Table2912[[#This Row],[Acetate '[%']]],Q$6,Q$2,FALSE)</f>
        <v>14.001353167454322</v>
      </c>
      <c r="AU163">
        <f>_xlfn.NORM.DIST(Table2912[[#This Row],[Propionate '[%']]],R$6,R$2,FALSE)</f>
        <v>12.76621942303272</v>
      </c>
      <c r="AV163">
        <f>_xlfn.NORM.DIST(Table2912[[#This Row],[Butyrate '[%']]],S$6,S$2,FALSE)</f>
        <v>19.051115777901032</v>
      </c>
      <c r="AW163">
        <f>_xlfn.NORM.DIST(Table2912[[#This Row],[Valerate '[%']]],T$6,T$2,FALSE)</f>
        <v>77.010952668544761</v>
      </c>
      <c r="AX163">
        <f>_xlfn.NORM.DIST(Table2912[[#This Row],[Caproate '[%']]],U$6,U$2,FALSE)</f>
        <v>388.37194046493141</v>
      </c>
      <c r="AY163">
        <f>_xlfn.NORM.DIST(Table2912[[#This Row],[Isobutyrate '[%']]],V$6,V$2,FALSE)</f>
        <v>81.997538587488449</v>
      </c>
      <c r="AZ163">
        <f>_xlfn.NORM.DIST(Table2912[[#This Row],[Isovalerate '[%']]],W$6,W$2,FALSE)</f>
        <v>36.589338812631908</v>
      </c>
      <c r="BA163">
        <f>_xlfn.NORM.DIST(Table2912[[#This Row],[CH4 '[g/mmol SCFA']]],X$6,X$2,FALSE)</f>
        <v>0.10024337025631162</v>
      </c>
      <c r="BB163">
        <f>_xlfn.NORM.DIST(Table2912[[#This Row],[DMD '[mg/g']]],Y$6,Y$2,FALSE)</f>
        <v>2.681143034523627E-3</v>
      </c>
      <c r="BC163">
        <f>_xlfn.NORM.DIST(Table2912[[#This Row],[CH4 '[ml/g']]],Z$6,Z$2,FALSE)</f>
        <v>1.5509197986282156E-2</v>
      </c>
      <c r="BD163">
        <f>_xlfn.NORM.DIST(Table2912[[#This Row],[CH4 '[% GP']]],AA$6,AA$2,FALSE)</f>
        <v>5.1888918877520153E-2</v>
      </c>
      <c r="BE163">
        <f>_xlfn.NORM.DIST(Table2912[[#This Row],[CH4 '[g/g DDM']]],AB$6,AB$2,FALSE)</f>
        <v>4.167476660466689E-3</v>
      </c>
      <c r="BG163">
        <f>IF(Table2912[[#This Row],[GP '[ml/g']]]&lt;O$10,_xlfn.NORM.DIST(Table2912[[#This Row],[GP '[ml/g']]],O$6,O$2,FALSE),-100)</f>
        <v>-100</v>
      </c>
      <c r="BH163">
        <f>IF(Table2912[[#This Row],[SCFA '[mmol/g']]]&lt;P$10,_xlfn.NORM.DIST(Table2912[[#This Row],[SCFA '[mmol/g']]],P$6,P$2,FALSE),-100)</f>
        <v>-100</v>
      </c>
      <c r="BI163">
        <f>IF(Table2912[[#This Row],[Acetate '[%']]]&lt;Q$10,_xlfn.NORM.DIST(Table2912[[#This Row],[Acetate '[%']]],Q$6,Q$2,FALSE),-100)</f>
        <v>-100</v>
      </c>
      <c r="BJ163">
        <f>IF(Table2912[[#This Row],[Propionate '[%']]]&lt;R$10,_xlfn.NORM.DIST(Table2912[[#This Row],[Propionate '[%']]],R$6,R$2,FALSE),-100)</f>
        <v>-100</v>
      </c>
      <c r="BK163">
        <f>IF(Table2912[[#This Row],[Butyrate '[%']]]&lt;S$10,_xlfn.NORM.DIST(Table2912[[#This Row],[Butyrate '[%']]],S$6,S$2,FALSE),-100)</f>
        <v>-100</v>
      </c>
      <c r="BL163">
        <f>IF(Table2912[[#This Row],[Valerate '[%']]]&lt;T$10,_xlfn.NORM.DIST(Table2912[[#This Row],[Valerate '[%']]],T$6,T$2,FALSE),-100)</f>
        <v>-100</v>
      </c>
      <c r="BM163">
        <f>IF(Table2912[[#This Row],[Caproate '[%']]]&lt;U$10,_xlfn.NORM.DIST(Table2912[[#This Row],[Caproate '[%']]],U$6,U$2,FALSE),-100)</f>
        <v>-100</v>
      </c>
      <c r="BN163">
        <f>IF(Table2912[[#This Row],[Isobutyrate '[%']]]&lt;V$10,_xlfn.NORM.DIST(Table2912[[#This Row],[Isobutyrate '[%']]],V$6,V$2,FALSE),-100)</f>
        <v>-100</v>
      </c>
      <c r="BO163">
        <f>IF(Table2912[[#This Row],[Isovalerate '[%']]]&lt;W$10,_xlfn.NORM.DIST(Table2912[[#This Row],[Isovalerate '[%']]],W$6,W$2,FALSE),-100)</f>
        <v>-100</v>
      </c>
      <c r="BP163">
        <f>IF(Table2912[[#This Row],[CH4 '[g/mmol SCFA']]]&lt;X$10,_xlfn.NORM.DIST(Table2912[[#This Row],[CH4 '[g/mmol SCFA']]],X$6,X$2,FALSE),-100)</f>
        <v>-100</v>
      </c>
      <c r="BQ163">
        <f>IF(Table2912[[#This Row],[DMD '[mg/g']]]&gt;Y$10,_xlfn.NORM.DIST(Table2912[[#This Row],[DMD '[mg/g']]],Y$6,Y$2,FALSE),-100)</f>
        <v>-100</v>
      </c>
      <c r="BR163">
        <f>IF(Table2912[[#This Row],[CH4 '[ml/g']]]&lt;Z$10,_xlfn.NORM.DIST(Table2912[[#This Row],[CH4 '[ml/g']]],Z$6,Z$2,FALSE),-100)</f>
        <v>-100</v>
      </c>
      <c r="BS163">
        <f>IF(Table2912[[#This Row],[CH4 '[% GP']]]&lt;AA$10,_xlfn.NORM.DIST(Table2912[[#This Row],[CH4 '[% GP']]],AA$6,AA$2,FALSE),-100)</f>
        <v>-100</v>
      </c>
      <c r="BT163">
        <f>IF(Table2912[[#This Row],[CH4 '[g/g DDM']]]&lt;AB$10,_xlfn.NORM.DIST(Table2912[[#This Row],[CH4 '[g/g DDM']]],AB$6,AB$2,FALSE),-100)</f>
        <v>-100</v>
      </c>
      <c r="CJ163" t="str">
        <v>Scolimus</v>
      </c>
      <c r="CL163" t="str">
        <v>Scolimus</v>
      </c>
    </row>
    <row r="164" spans="1:90" x14ac:dyDescent="0.25">
      <c r="A164" s="12" t="s">
        <v>86</v>
      </c>
      <c r="B164" s="13">
        <v>1085</v>
      </c>
      <c r="C164" s="104" t="s">
        <v>246</v>
      </c>
      <c r="D164" s="104" t="s">
        <v>164</v>
      </c>
      <c r="E164" s="104" t="s">
        <v>247</v>
      </c>
      <c r="F164" s="104" t="s">
        <v>248</v>
      </c>
      <c r="G164" s="32" t="s">
        <v>143</v>
      </c>
      <c r="H164" s="32" t="s">
        <v>144</v>
      </c>
      <c r="I164" s="32" t="s">
        <v>52</v>
      </c>
      <c r="J164" s="100">
        <v>2</v>
      </c>
      <c r="K164" s="100"/>
      <c r="L164" s="100"/>
      <c r="M164" t="s">
        <v>248</v>
      </c>
      <c r="N164" t="s">
        <v>99</v>
      </c>
      <c r="O164" s="18">
        <v>283.36503850385071</v>
      </c>
      <c r="P164" s="18">
        <v>6.276519377776042</v>
      </c>
      <c r="Q164" s="97">
        <v>0.67925277494147229</v>
      </c>
      <c r="R164" s="97">
        <v>0.19068708229234921</v>
      </c>
      <c r="S164" s="97">
        <v>9.2245111708343264E-2</v>
      </c>
      <c r="T164" s="97">
        <v>1.1692256580881591E-2</v>
      </c>
      <c r="U164" s="97">
        <v>-3.5086981927716657E-5</v>
      </c>
      <c r="V164" s="97">
        <v>9.8032284924412239E-3</v>
      </c>
      <c r="W164" s="97">
        <v>1.6354632966440179E-2</v>
      </c>
      <c r="X164" s="51">
        <f t="shared" si="11"/>
        <v>6.6014422023483039</v>
      </c>
      <c r="Y164" s="18">
        <v>720.55057576763579</v>
      </c>
      <c r="Z164" s="18">
        <v>41.43407990430768</v>
      </c>
      <c r="AA164" s="18">
        <f t="shared" si="12"/>
        <v>14.622156679270306</v>
      </c>
      <c r="AB164" s="18">
        <f t="shared" si="13"/>
        <v>57.503361037725966</v>
      </c>
      <c r="AC164" s="18">
        <f>$CP$15*Table2912[[#This Row],[DMD '[mg/g']]]+$CS$15*Table2912[[#This Row],[CH4 '[ml/g']]]+$CR$15*Table2912[[#This Row],[CH4 '[% GP']]]+$CQ$15*Table2912[[#This Row],[CH4 '[g/g DDM']]]</f>
        <v>7.8717924061204769</v>
      </c>
      <c r="AD164" s="18">
        <f>_xlfn.RANK.AVG(Table2912[[#This Row],[Index]],Table2912[Index])</f>
        <v>375</v>
      </c>
      <c r="AE16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6.0391726025703365</v>
      </c>
      <c r="AF164" s="18">
        <f>Table2912[[#This Row],[CH4 '[ml/g']]]/Table2912[[#This Row],[APB]]</f>
        <v>6.8608868517307968</v>
      </c>
      <c r="AG164" s="18">
        <f>Table2912[[#This Row],[Propionate '[%']]]/Table2912[[#This Row],[Acetate '[%']]]</f>
        <v>0.28073066364547383</v>
      </c>
      <c r="AH164" s="51"/>
      <c r="AI164" s="18"/>
      <c r="AJ164" s="18"/>
      <c r="AK164" s="18">
        <f>(Table2912[[#This Row],[DMD '[mg/g']]]-$AK$15)/$AK$15*100</f>
        <v>46.964422828353833</v>
      </c>
      <c r="AL164" s="18">
        <f>(Table2912[[#This Row],[CH4 '[ml/g']]]-AL$15)/AL$15*100</f>
        <v>5.343895225800587</v>
      </c>
      <c r="AM164" s="18">
        <f>(Table2912[[#This Row],[CH4 '[% GP']]]-AM$15)/AM$15*100</f>
        <v>-5.7993595538386922</v>
      </c>
      <c r="AN164" s="18">
        <f>(Table2912[[#This Row],[CH4 '[g/g DDM']]]-AN$15)/AN$15*100</f>
        <v>12.27720667464475</v>
      </c>
      <c r="AO164" s="18"/>
      <c r="AP164" s="18"/>
      <c r="AR164">
        <f>_xlfn.NORM.DIST(Table2912[[#This Row],[GP '[ml/g']]],O$6,O$2,FALSE)</f>
        <v>6.524982179335643E-3</v>
      </c>
      <c r="AS164">
        <f>_xlfn.NORM.DIST(Table2912[[#This Row],[SCFA '[mmol/g']]],P$6,P$2,FALSE)</f>
        <v>0.3249547326123941</v>
      </c>
      <c r="AT164">
        <f>_xlfn.NORM.DIST(Table2912[[#This Row],[Acetate '[%']]],Q$6,Q$2,FALSE)</f>
        <v>13.705076598052882</v>
      </c>
      <c r="AU164">
        <f>_xlfn.NORM.DIST(Table2912[[#This Row],[Propionate '[%']]],R$6,R$2,FALSE)</f>
        <v>12.269766829815229</v>
      </c>
      <c r="AV164">
        <f>_xlfn.NORM.DIST(Table2912[[#This Row],[Butyrate '[%']]],S$6,S$2,FALSE)</f>
        <v>23.012485579540439</v>
      </c>
      <c r="AW164">
        <f>_xlfn.NORM.DIST(Table2912[[#This Row],[Valerate '[%']]],T$6,T$2,FALSE)</f>
        <v>39.604718546080939</v>
      </c>
      <c r="AX164">
        <f>_xlfn.NORM.DIST(Table2912[[#This Row],[Caproate '[%']]],U$6,U$2,FALSE)</f>
        <v>153.68555322662925</v>
      </c>
      <c r="AY164">
        <f>_xlfn.NORM.DIST(Table2912[[#This Row],[Isobutyrate '[%']]],V$6,V$2,FALSE)</f>
        <v>41.472584255487483</v>
      </c>
      <c r="AZ164">
        <f>_xlfn.NORM.DIST(Table2912[[#This Row],[Isovalerate '[%']]],W$6,W$2,FALSE)</f>
        <v>19.15636536299391</v>
      </c>
      <c r="BA164">
        <f>_xlfn.NORM.DIST(Table2912[[#This Row],[CH4 '[g/mmol SCFA']]],X$6,X$2,FALSE)</f>
        <v>0.28913029083409003</v>
      </c>
      <c r="BB164">
        <f>_xlfn.NORM.DIST(Table2912[[#This Row],[DMD '[mg/g']]],Y$6,Y$2,FALSE)</f>
        <v>2.6861393242680184E-3</v>
      </c>
      <c r="BC164">
        <f>_xlfn.NORM.DIST(Table2912[[#This Row],[CH4 '[ml/g']]],Z$6,Z$2,FALSE)</f>
        <v>3.3505872608331821E-2</v>
      </c>
      <c r="BD164">
        <f>_xlfn.NORM.DIST(Table2912[[#This Row],[CH4 '[% GP']]],AA$6,AA$2,FALSE)</f>
        <v>0.11957470487199733</v>
      </c>
      <c r="BE164">
        <f>_xlfn.NORM.DIST(Table2912[[#This Row],[CH4 '[g/g DDM']]],AB$6,AB$2,FALSE)</f>
        <v>3.0989391869729727E-2</v>
      </c>
      <c r="BG164">
        <f>IF(Table2912[[#This Row],[GP '[ml/g']]]&lt;O$10,_xlfn.NORM.DIST(Table2912[[#This Row],[GP '[ml/g']]],O$6,O$2,FALSE),-100)</f>
        <v>-100</v>
      </c>
      <c r="BH164">
        <f>IF(Table2912[[#This Row],[SCFA '[mmol/g']]]&lt;P$10,_xlfn.NORM.DIST(Table2912[[#This Row],[SCFA '[mmol/g']]],P$6,P$2,FALSE),-100)</f>
        <v>-100</v>
      </c>
      <c r="BI164">
        <f>IF(Table2912[[#This Row],[Acetate '[%']]]&lt;Q$10,_xlfn.NORM.DIST(Table2912[[#This Row],[Acetate '[%']]],Q$6,Q$2,FALSE),-100)</f>
        <v>-100</v>
      </c>
      <c r="BJ164">
        <f>IF(Table2912[[#This Row],[Propionate '[%']]]&lt;R$10,_xlfn.NORM.DIST(Table2912[[#This Row],[Propionate '[%']]],R$6,R$2,FALSE),-100)</f>
        <v>-100</v>
      </c>
      <c r="BK164">
        <f>IF(Table2912[[#This Row],[Butyrate '[%']]]&lt;S$10,_xlfn.NORM.DIST(Table2912[[#This Row],[Butyrate '[%']]],S$6,S$2,FALSE),-100)</f>
        <v>-100</v>
      </c>
      <c r="BL164">
        <f>IF(Table2912[[#This Row],[Valerate '[%']]]&lt;T$10,_xlfn.NORM.DIST(Table2912[[#This Row],[Valerate '[%']]],T$6,T$2,FALSE),-100)</f>
        <v>39.604718546080939</v>
      </c>
      <c r="BM164">
        <f>IF(Table2912[[#This Row],[Caproate '[%']]]&lt;U$10,_xlfn.NORM.DIST(Table2912[[#This Row],[Caproate '[%']]],U$6,U$2,FALSE),-100)</f>
        <v>153.68555322662925</v>
      </c>
      <c r="BN164">
        <f>IF(Table2912[[#This Row],[Isobutyrate '[%']]]&lt;V$10,_xlfn.NORM.DIST(Table2912[[#This Row],[Isobutyrate '[%']]],V$6,V$2,FALSE),-100)</f>
        <v>41.472584255487483</v>
      </c>
      <c r="BO164">
        <f>IF(Table2912[[#This Row],[Isovalerate '[%']]]&lt;W$10,_xlfn.NORM.DIST(Table2912[[#This Row],[Isovalerate '[%']]],W$6,W$2,FALSE),-100)</f>
        <v>19.15636536299391</v>
      </c>
      <c r="BP164">
        <f>IF(Table2912[[#This Row],[CH4 '[g/mmol SCFA']]]&lt;X$10,_xlfn.NORM.DIST(Table2912[[#This Row],[CH4 '[g/mmol SCFA']]],X$6,X$2,FALSE),-100)</f>
        <v>-100</v>
      </c>
      <c r="BQ164">
        <f>IF(Table2912[[#This Row],[DMD '[mg/g']]]&gt;Y$10,_xlfn.NORM.DIST(Table2912[[#This Row],[DMD '[mg/g']]],Y$6,Y$2,FALSE),-100)</f>
        <v>-100</v>
      </c>
      <c r="BR164">
        <f>IF(Table2912[[#This Row],[CH4 '[ml/g']]]&lt;Z$10,_xlfn.NORM.DIST(Table2912[[#This Row],[CH4 '[ml/g']]],Z$6,Z$2,FALSE),-100)</f>
        <v>-100</v>
      </c>
      <c r="BS164">
        <f>IF(Table2912[[#This Row],[CH4 '[% GP']]]&lt;AA$10,_xlfn.NORM.DIST(Table2912[[#This Row],[CH4 '[% GP']]],AA$6,AA$2,FALSE),-100)</f>
        <v>-100</v>
      </c>
      <c r="BT164">
        <f>IF(Table2912[[#This Row],[CH4 '[g/g DDM']]]&lt;AB$10,_xlfn.NORM.DIST(Table2912[[#This Row],[CH4 '[g/g DDM']]],AB$6,AB$2,FALSE),-100)</f>
        <v>-100</v>
      </c>
      <c r="CJ164" t="str">
        <v>Beta</v>
      </c>
      <c r="CL164" t="str">
        <v>Beta</v>
      </c>
    </row>
    <row r="165" spans="1:90" x14ac:dyDescent="0.25">
      <c r="A165" s="12" t="s">
        <v>86</v>
      </c>
      <c r="B165" s="13">
        <v>1085</v>
      </c>
      <c r="C165" s="104" t="s">
        <v>246</v>
      </c>
      <c r="D165" s="104" t="s">
        <v>164</v>
      </c>
      <c r="E165" s="104" t="s">
        <v>247</v>
      </c>
      <c r="F165" s="104" t="s">
        <v>248</v>
      </c>
      <c r="G165" s="32" t="s">
        <v>143</v>
      </c>
      <c r="H165" s="32" t="s">
        <v>144</v>
      </c>
      <c r="I165" s="32" t="s">
        <v>52</v>
      </c>
      <c r="J165" s="100">
        <v>3</v>
      </c>
      <c r="K165" s="100"/>
      <c r="L165" s="100"/>
      <c r="M165" t="s">
        <v>248</v>
      </c>
      <c r="N165" t="s">
        <v>124</v>
      </c>
      <c r="O165" s="18">
        <v>311.30801855533434</v>
      </c>
      <c r="P165" s="18">
        <v>6.7236215254405334</v>
      </c>
      <c r="Q165" s="97">
        <v>0.67429917344295065</v>
      </c>
      <c r="R165" s="97">
        <v>0.17627802603307594</v>
      </c>
      <c r="S165" s="97">
        <v>9.8943070252868165E-2</v>
      </c>
      <c r="T165" s="97">
        <v>1.3474658943056207E-2</v>
      </c>
      <c r="U165" s="97">
        <v>6.4412206554055791E-4</v>
      </c>
      <c r="V165" s="97">
        <v>1.2808615920569838E-2</v>
      </c>
      <c r="W165" s="97">
        <v>2.3552333341938701E-2</v>
      </c>
      <c r="X165" s="51">
        <f t="shared" si="11"/>
        <v>9.1086905302683316</v>
      </c>
      <c r="Y165" s="18">
        <v>720.82204933130856</v>
      </c>
      <c r="Z165" s="18">
        <v>61.243387717888503</v>
      </c>
      <c r="AA165" s="18">
        <f t="shared" si="12"/>
        <v>19.672923300240218</v>
      </c>
      <c r="AB165" s="18">
        <f t="shared" si="13"/>
        <v>84.963255181639781</v>
      </c>
      <c r="AC165" s="18">
        <f>$CP$15*Table2912[[#This Row],[DMD '[mg/g']]]+$CS$15*Table2912[[#This Row],[CH4 '[ml/g']]]+$CR$15*Table2912[[#This Row],[CH4 '[% GP']]]+$CQ$15*Table2912[[#This Row],[CH4 '[g/g DDM']]]</f>
        <v>-6.1854946318354678</v>
      </c>
      <c r="AD165" s="18">
        <f>_xlfn.RANK.AVG(Table2912[[#This Row],[Index]],Table2912[Index])</f>
        <v>472</v>
      </c>
      <c r="AE16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6.3842149243912978</v>
      </c>
      <c r="AF165" s="18">
        <f>Table2912[[#This Row],[CH4 '[ml/g']]]/Table2912[[#This Row],[APB]]</f>
        <v>9.5929395302630329</v>
      </c>
      <c r="AG165" s="18">
        <f>Table2912[[#This Row],[Propionate '[%']]]/Table2912[[#This Row],[Acetate '[%']]]</f>
        <v>0.26142405771166205</v>
      </c>
      <c r="AH165" s="51"/>
      <c r="AI165" s="18"/>
      <c r="AJ165" s="18"/>
      <c r="AK165" s="18">
        <f>(Table2912[[#This Row],[DMD '[mg/g']]]-$AK$15)/$AK$15*100</f>
        <v>47.01979292580441</v>
      </c>
      <c r="AL165" s="18">
        <f>(Table2912[[#This Row],[CH4 '[ml/g']]]-AL$15)/AL$15*100</f>
        <v>55.707983233280125</v>
      </c>
      <c r="AM165" s="18">
        <f>(Table2912[[#This Row],[CH4 '[% GP']]]-AM$15)/AM$15*100</f>
        <v>26.739304945220894</v>
      </c>
      <c r="AN165" s="18">
        <f>(Table2912[[#This Row],[CH4 '[g/g DDM']]]-AN$15)/AN$15*100</f>
        <v>65.893554561463915</v>
      </c>
      <c r="AO165" s="18"/>
      <c r="AP165" s="18"/>
      <c r="AR165">
        <f>_xlfn.NORM.DIST(Table2912[[#This Row],[GP '[ml/g']]],O$6,O$2,FALSE)</f>
        <v>4.3257312670157647E-3</v>
      </c>
      <c r="AS165">
        <f>_xlfn.NORM.DIST(Table2912[[#This Row],[SCFA '[mmol/g']]],P$6,P$2,FALSE)</f>
        <v>0.32875726175337583</v>
      </c>
      <c r="AT165">
        <f>_xlfn.NORM.DIST(Table2912[[#This Row],[Acetate '[%']]],Q$6,Q$2,FALSE)</f>
        <v>14.014950070275455</v>
      </c>
      <c r="AU165">
        <f>_xlfn.NORM.DIST(Table2912[[#This Row],[Propionate '[%']]],R$6,R$2,FALSE)</f>
        <v>16.504245675104759</v>
      </c>
      <c r="AV165">
        <f>_xlfn.NORM.DIST(Table2912[[#This Row],[Butyrate '[%']]],S$6,S$2,FALSE)</f>
        <v>21.679981895245913</v>
      </c>
      <c r="AW165">
        <f>_xlfn.NORM.DIST(Table2912[[#This Row],[Valerate '[%']]],T$6,T$2,FALSE)</f>
        <v>55.669664395774689</v>
      </c>
      <c r="AX165">
        <f>_xlfn.NORM.DIST(Table2912[[#This Row],[Caproate '[%']]],U$6,U$2,FALSE)</f>
        <v>317.88958403801053</v>
      </c>
      <c r="AY165">
        <f>_xlfn.NORM.DIST(Table2912[[#This Row],[Isobutyrate '[%']]],V$6,V$2,FALSE)</f>
        <v>76.76966310801329</v>
      </c>
      <c r="AZ165">
        <f>_xlfn.NORM.DIST(Table2912[[#This Row],[Isovalerate '[%']]],W$6,W$2,FALSE)</f>
        <v>40.200817163679595</v>
      </c>
      <c r="BA165">
        <f>_xlfn.NORM.DIST(Table2912[[#This Row],[CH4 '[g/mmol SCFA']]],X$6,X$2,FALSE)</f>
        <v>3.2329303430225657E-2</v>
      </c>
      <c r="BB165">
        <f>_xlfn.NORM.DIST(Table2912[[#This Row],[DMD '[mg/g']]],Y$6,Y$2,FALSE)</f>
        <v>2.6882951275483636E-3</v>
      </c>
      <c r="BC165">
        <f>_xlfn.NORM.DIST(Table2912[[#This Row],[CH4 '[ml/g']]],Z$6,Z$2,FALSE)</f>
        <v>8.3536410450815498E-3</v>
      </c>
      <c r="BD165">
        <f>_xlfn.NORM.DIST(Table2912[[#This Row],[CH4 '[% GP']]],AA$6,AA$2,FALSE)</f>
        <v>6.4221774534264378E-2</v>
      </c>
      <c r="BE165">
        <f>_xlfn.NORM.DIST(Table2912[[#This Row],[CH4 '[g/g DDM']]],AB$6,AB$2,FALSE)</f>
        <v>1.1099890521456413E-3</v>
      </c>
      <c r="BG165">
        <f>IF(Table2912[[#This Row],[GP '[ml/g']]]&lt;O$10,_xlfn.NORM.DIST(Table2912[[#This Row],[GP '[ml/g']]],O$6,O$2,FALSE),-100)</f>
        <v>-100</v>
      </c>
      <c r="BH165">
        <f>IF(Table2912[[#This Row],[SCFA '[mmol/g']]]&lt;P$10,_xlfn.NORM.DIST(Table2912[[#This Row],[SCFA '[mmol/g']]],P$6,P$2,FALSE),-100)</f>
        <v>-100</v>
      </c>
      <c r="BI165">
        <f>IF(Table2912[[#This Row],[Acetate '[%']]]&lt;Q$10,_xlfn.NORM.DIST(Table2912[[#This Row],[Acetate '[%']]],Q$6,Q$2,FALSE),-100)</f>
        <v>-100</v>
      </c>
      <c r="BJ165">
        <f>IF(Table2912[[#This Row],[Propionate '[%']]]&lt;R$10,_xlfn.NORM.DIST(Table2912[[#This Row],[Propionate '[%']]],R$6,R$2,FALSE),-100)</f>
        <v>-100</v>
      </c>
      <c r="BK165">
        <f>IF(Table2912[[#This Row],[Butyrate '[%']]]&lt;S$10,_xlfn.NORM.DIST(Table2912[[#This Row],[Butyrate '[%']]],S$6,S$2,FALSE),-100)</f>
        <v>-100</v>
      </c>
      <c r="BL165">
        <f>IF(Table2912[[#This Row],[Valerate '[%']]]&lt;T$10,_xlfn.NORM.DIST(Table2912[[#This Row],[Valerate '[%']]],T$6,T$2,FALSE),-100)</f>
        <v>-100</v>
      </c>
      <c r="BM165">
        <f>IF(Table2912[[#This Row],[Caproate '[%']]]&lt;U$10,_xlfn.NORM.DIST(Table2912[[#This Row],[Caproate '[%']]],U$6,U$2,FALSE),-100)</f>
        <v>-100</v>
      </c>
      <c r="BN165">
        <f>IF(Table2912[[#This Row],[Isobutyrate '[%']]]&lt;V$10,_xlfn.NORM.DIST(Table2912[[#This Row],[Isobutyrate '[%']]],V$6,V$2,FALSE),-100)</f>
        <v>-100</v>
      </c>
      <c r="BO165">
        <f>IF(Table2912[[#This Row],[Isovalerate '[%']]]&lt;W$10,_xlfn.NORM.DIST(Table2912[[#This Row],[Isovalerate '[%']]],W$6,W$2,FALSE),-100)</f>
        <v>-100</v>
      </c>
      <c r="BP165">
        <f>IF(Table2912[[#This Row],[CH4 '[g/mmol SCFA']]]&lt;X$10,_xlfn.NORM.DIST(Table2912[[#This Row],[CH4 '[g/mmol SCFA']]],X$6,X$2,FALSE),-100)</f>
        <v>-100</v>
      </c>
      <c r="BQ165">
        <f>IF(Table2912[[#This Row],[DMD '[mg/g']]]&gt;Y$10,_xlfn.NORM.DIST(Table2912[[#This Row],[DMD '[mg/g']]],Y$6,Y$2,FALSE),-100)</f>
        <v>-100</v>
      </c>
      <c r="BR165">
        <f>IF(Table2912[[#This Row],[CH4 '[ml/g']]]&lt;Z$10,_xlfn.NORM.DIST(Table2912[[#This Row],[CH4 '[ml/g']]],Z$6,Z$2,FALSE),-100)</f>
        <v>-100</v>
      </c>
      <c r="BS165">
        <f>IF(Table2912[[#This Row],[CH4 '[% GP']]]&lt;AA$10,_xlfn.NORM.DIST(Table2912[[#This Row],[CH4 '[% GP']]],AA$6,AA$2,FALSE),-100)</f>
        <v>-100</v>
      </c>
      <c r="BT165">
        <f>IF(Table2912[[#This Row],[CH4 '[g/g DDM']]]&lt;AB$10,_xlfn.NORM.DIST(Table2912[[#This Row],[CH4 '[g/g DDM']]],AB$6,AB$2,FALSE),-100)</f>
        <v>-100</v>
      </c>
      <c r="CJ165" t="str">
        <v>Daveas</v>
      </c>
      <c r="CL165" t="str">
        <v>Daveas</v>
      </c>
    </row>
    <row r="166" spans="1:90" x14ac:dyDescent="0.25">
      <c r="A166" s="12" t="s">
        <v>200</v>
      </c>
      <c r="B166" s="13">
        <v>1140</v>
      </c>
      <c r="C166" s="117" t="s">
        <v>249</v>
      </c>
      <c r="D166" s="117" t="s">
        <v>233</v>
      </c>
      <c r="E166" s="117" t="s">
        <v>234</v>
      </c>
      <c r="F166" s="117" t="s">
        <v>235</v>
      </c>
      <c r="G166" t="s">
        <v>73</v>
      </c>
      <c r="H166" t="s">
        <v>74</v>
      </c>
      <c r="I166" t="s">
        <v>75</v>
      </c>
      <c r="J166" s="70">
        <v>2</v>
      </c>
      <c r="K166" s="70"/>
      <c r="L166" s="70"/>
      <c r="M166" t="s">
        <v>250</v>
      </c>
      <c r="N166" t="s">
        <v>237</v>
      </c>
      <c r="O166" s="18">
        <v>265.66828840674975</v>
      </c>
      <c r="P166" s="18">
        <v>6.7144055817056119</v>
      </c>
      <c r="Q166" s="97">
        <v>0.69409938138184524</v>
      </c>
      <c r="R166" s="97">
        <v>0.15432333214040575</v>
      </c>
      <c r="S166" s="97">
        <v>9.3195294934118864E-2</v>
      </c>
      <c r="T166" s="97">
        <v>1.5156671275210566E-2</v>
      </c>
      <c r="U166" s="97">
        <v>1.1667848716478829E-3</v>
      </c>
      <c r="V166" s="97">
        <v>1.4485521702760885E-2</v>
      </c>
      <c r="W166" s="97">
        <v>2.7573013694010818E-2</v>
      </c>
      <c r="X166" s="51">
        <f t="shared" si="11"/>
        <v>7.1596298486274526</v>
      </c>
      <c r="Y166" s="18">
        <v>721.1092077013011</v>
      </c>
      <c r="Z166" s="18">
        <v>48.072658618570273</v>
      </c>
      <c r="AA166" s="18">
        <f t="shared" si="12"/>
        <v>18.09499316115928</v>
      </c>
      <c r="AB166" s="18">
        <f t="shared" si="13"/>
        <v>66.664879750756143</v>
      </c>
      <c r="AC166" s="18">
        <f>$CP$15*Table2912[[#This Row],[DMD '[mg/g']]]+$CS$15*Table2912[[#This Row],[CH4 '[ml/g']]]+$CR$15*Table2912[[#This Row],[CH4 '[% GP']]]+$CQ$15*Table2912[[#This Row],[CH4 '[g/g DDM']]]</f>
        <v>2.6870226035116005</v>
      </c>
      <c r="AD166" s="18">
        <f>_xlfn.RANK.AVG(Table2912[[#This Row],[Index]],Table2912[Index])</f>
        <v>428</v>
      </c>
      <c r="AE16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6.3224052118139724</v>
      </c>
      <c r="AF166" s="18">
        <f>Table2912[[#This Row],[CH4 '[ml/g']]]/Table2912[[#This Row],[APB]]</f>
        <v>7.6035396353182589</v>
      </c>
      <c r="AG166" s="18">
        <f>Table2912[[#This Row],[Propionate '[%']]]/Table2912[[#This Row],[Acetate '[%']]]</f>
        <v>0.22233607503463224</v>
      </c>
      <c r="AH166" s="51"/>
      <c r="AI166" s="18"/>
      <c r="AJ166" s="18"/>
      <c r="AK166" s="18">
        <f>(Table2912[[#This Row],[DMD '[mg/g']]]-$AK$15)/$AK$15*100</f>
        <v>47.078362116539324</v>
      </c>
      <c r="AL166" s="18">
        <f>(Table2912[[#This Row],[CH4 '[ml/g']]]-AL$15)/AL$15*100</f>
        <v>22.222120641656932</v>
      </c>
      <c r="AM166" s="18">
        <f>(Table2912[[#This Row],[CH4 '[% GP']]]-AM$15)/AM$15*100</f>
        <v>16.573771026995747</v>
      </c>
      <c r="AN166" s="18">
        <f>(Table2912[[#This Row],[CH4 '[g/g DDM']]]-AN$15)/AN$15*100</f>
        <v>30.165373756246574</v>
      </c>
      <c r="AO166" s="18"/>
      <c r="AP166" s="18"/>
      <c r="AR166">
        <f>_xlfn.NORM.DIST(Table2912[[#This Row],[GP '[ml/g']]],O$6,O$2,FALSE)</f>
        <v>7.3448898045030296E-3</v>
      </c>
      <c r="AS166">
        <f>_xlfn.NORM.DIST(Table2912[[#This Row],[SCFA '[mmol/g']]],P$6,P$2,FALSE)</f>
        <v>0.32914012013608152</v>
      </c>
      <c r="AT166">
        <f>_xlfn.NORM.DIST(Table2912[[#This Row],[Acetate '[%']]],Q$6,Q$2,FALSE)</f>
        <v>10.687225015996368</v>
      </c>
      <c r="AU166">
        <f>_xlfn.NORM.DIST(Table2912[[#This Row],[Propionate '[%']]],R$6,R$2,FALSE)</f>
        <v>12.784313256686305</v>
      </c>
      <c r="AV166">
        <f>_xlfn.NORM.DIST(Table2912[[#This Row],[Butyrate '[%']]],S$6,S$2,FALSE)</f>
        <v>23.027181719481462</v>
      </c>
      <c r="AW166">
        <f>_xlfn.NORM.DIST(Table2912[[#This Row],[Valerate '[%']]],T$6,T$2,FALSE)</f>
        <v>68.79203495155798</v>
      </c>
      <c r="AX166">
        <f>_xlfn.NORM.DIST(Table2912[[#This Row],[Caproate '[%']]],U$6,U$2,FALSE)</f>
        <v>401.10389828998825</v>
      </c>
      <c r="AY166">
        <f>_xlfn.NORM.DIST(Table2912[[#This Row],[Isobutyrate '[%']]],V$6,V$2,FALSE)</f>
        <v>88.578186559603978</v>
      </c>
      <c r="AZ166">
        <f>_xlfn.NORM.DIST(Table2912[[#This Row],[Isovalerate '[%']]],W$6,W$2,FALSE)</f>
        <v>45.39934849313935</v>
      </c>
      <c r="BA166">
        <f>_xlfn.NORM.DIST(Table2912[[#This Row],[CH4 '[g/mmol SCFA']]],X$6,X$2,FALSE)</f>
        <v>0.24019029315155682</v>
      </c>
      <c r="BB166">
        <f>_xlfn.NORM.DIST(Table2912[[#This Row],[DMD '[mg/g']]],Y$6,Y$2,FALSE)</f>
        <v>2.6905658386398214E-3</v>
      </c>
      <c r="BC166">
        <f>_xlfn.NORM.DIST(Table2912[[#This Row],[CH4 '[ml/g']]],Z$6,Z$2,FALSE)</f>
        <v>2.8634189799926546E-2</v>
      </c>
      <c r="BD166">
        <f>_xlfn.NORM.DIST(Table2912[[#This Row],[CH4 '[% GP']]],AA$6,AA$2,FALSE)</f>
        <v>0.10658874897976708</v>
      </c>
      <c r="BE166">
        <f>_xlfn.NORM.DIST(Table2912[[#This Row],[CH4 '[g/g DDM']]],AB$6,AB$2,FALSE)</f>
        <v>1.8016484837681861E-2</v>
      </c>
      <c r="BG166">
        <f>IF(Table2912[[#This Row],[GP '[ml/g']]]&lt;O$10,_xlfn.NORM.DIST(Table2912[[#This Row],[GP '[ml/g']]],O$6,O$2,FALSE),-100)</f>
        <v>-100</v>
      </c>
      <c r="BH166">
        <f>IF(Table2912[[#This Row],[SCFA '[mmol/g']]]&lt;P$10,_xlfn.NORM.DIST(Table2912[[#This Row],[SCFA '[mmol/g']]],P$6,P$2,FALSE),-100)</f>
        <v>-100</v>
      </c>
      <c r="BI166">
        <f>IF(Table2912[[#This Row],[Acetate '[%']]]&lt;Q$10,_xlfn.NORM.DIST(Table2912[[#This Row],[Acetate '[%']]],Q$6,Q$2,FALSE),-100)</f>
        <v>-100</v>
      </c>
      <c r="BJ166">
        <f>IF(Table2912[[#This Row],[Propionate '[%']]]&lt;R$10,_xlfn.NORM.DIST(Table2912[[#This Row],[Propionate '[%']]],R$6,R$2,FALSE),-100)</f>
        <v>-100</v>
      </c>
      <c r="BK166">
        <f>IF(Table2912[[#This Row],[Butyrate '[%']]]&lt;S$10,_xlfn.NORM.DIST(Table2912[[#This Row],[Butyrate '[%']]],S$6,S$2,FALSE),-100)</f>
        <v>-100</v>
      </c>
      <c r="BL166">
        <f>IF(Table2912[[#This Row],[Valerate '[%']]]&lt;T$10,_xlfn.NORM.DIST(Table2912[[#This Row],[Valerate '[%']]],T$6,T$2,FALSE),-100)</f>
        <v>-100</v>
      </c>
      <c r="BM166">
        <f>IF(Table2912[[#This Row],[Caproate '[%']]]&lt;U$10,_xlfn.NORM.DIST(Table2912[[#This Row],[Caproate '[%']]],U$6,U$2,FALSE),-100)</f>
        <v>-100</v>
      </c>
      <c r="BN166">
        <f>IF(Table2912[[#This Row],[Isobutyrate '[%']]]&lt;V$10,_xlfn.NORM.DIST(Table2912[[#This Row],[Isobutyrate '[%']]],V$6,V$2,FALSE),-100)</f>
        <v>-100</v>
      </c>
      <c r="BO166">
        <f>IF(Table2912[[#This Row],[Isovalerate '[%']]]&lt;W$10,_xlfn.NORM.DIST(Table2912[[#This Row],[Isovalerate '[%']]],W$6,W$2,FALSE),-100)</f>
        <v>-100</v>
      </c>
      <c r="BP166">
        <f>IF(Table2912[[#This Row],[CH4 '[g/mmol SCFA']]]&lt;X$10,_xlfn.NORM.DIST(Table2912[[#This Row],[CH4 '[g/mmol SCFA']]],X$6,X$2,FALSE),-100)</f>
        <v>-100</v>
      </c>
      <c r="BQ166">
        <f>IF(Table2912[[#This Row],[DMD '[mg/g']]]&gt;Y$10,_xlfn.NORM.DIST(Table2912[[#This Row],[DMD '[mg/g']]],Y$6,Y$2,FALSE),-100)</f>
        <v>-100</v>
      </c>
      <c r="BR166">
        <f>IF(Table2912[[#This Row],[CH4 '[ml/g']]]&lt;Z$10,_xlfn.NORM.DIST(Table2912[[#This Row],[CH4 '[ml/g']]],Z$6,Z$2,FALSE),-100)</f>
        <v>-100</v>
      </c>
      <c r="BS166">
        <f>IF(Table2912[[#This Row],[CH4 '[% GP']]]&lt;AA$10,_xlfn.NORM.DIST(Table2912[[#This Row],[CH4 '[% GP']]],AA$6,AA$2,FALSE),-100)</f>
        <v>-100</v>
      </c>
      <c r="BT166">
        <f>IF(Table2912[[#This Row],[CH4 '[g/g DDM']]]&lt;AB$10,_xlfn.NORM.DIST(Table2912[[#This Row],[CH4 '[g/g DDM']]],AB$6,AB$2,FALSE),-100)</f>
        <v>-100</v>
      </c>
      <c r="CJ166" t="str">
        <v>Cichorium</v>
      </c>
      <c r="CL166" t="str">
        <v>Cichorium</v>
      </c>
    </row>
    <row r="167" spans="1:90" x14ac:dyDescent="0.25">
      <c r="A167" s="12" t="s">
        <v>70</v>
      </c>
      <c r="B167" s="13">
        <v>1017</v>
      </c>
      <c r="C167" s="96" t="s">
        <v>196</v>
      </c>
      <c r="D167" s="96"/>
      <c r="E167" s="96"/>
      <c r="F167" s="96" t="s">
        <v>197</v>
      </c>
      <c r="G167" t="s">
        <v>73</v>
      </c>
      <c r="H167" t="s">
        <v>74</v>
      </c>
      <c r="I167" s="99" t="s">
        <v>79</v>
      </c>
      <c r="J167" s="100">
        <v>2</v>
      </c>
      <c r="K167" s="100"/>
      <c r="L167" s="100"/>
      <c r="M167" t="s">
        <v>197</v>
      </c>
      <c r="N167" t="s">
        <v>81</v>
      </c>
      <c r="O167" s="18">
        <v>228.86580858085748</v>
      </c>
      <c r="P167" s="18">
        <v>6.8940594059405944</v>
      </c>
      <c r="Q167" s="97">
        <v>0.66969856543316264</v>
      </c>
      <c r="R167" s="97">
        <v>0.17182887325067422</v>
      </c>
      <c r="S167" s="97">
        <v>9.4643113600459544E-2</v>
      </c>
      <c r="T167" s="97">
        <v>1.6627571129940791E-2</v>
      </c>
      <c r="U167" s="97">
        <v>1.021271163451258E-3</v>
      </c>
      <c r="V167" s="97">
        <v>1.7186078797453208E-2</v>
      </c>
      <c r="W167" s="97">
        <v>2.8994526624858373E-2</v>
      </c>
      <c r="X167" s="51">
        <f t="shared" si="11"/>
        <v>5.123597447370412</v>
      </c>
      <c r="Y167" s="18">
        <v>721.23212321232108</v>
      </c>
      <c r="Z167" s="18">
        <v>35.32238517429721</v>
      </c>
      <c r="AA167" s="18">
        <f t="shared" si="12"/>
        <v>15.433666301368007</v>
      </c>
      <c r="AB167" s="18">
        <f t="shared" si="13"/>
        <v>48.975058150451758</v>
      </c>
      <c r="AC167" s="18">
        <f>$CP$15*Table2912[[#This Row],[DMD '[mg/g']]]+$CS$15*Table2912[[#This Row],[CH4 '[ml/g']]]+$CR$15*Table2912[[#This Row],[CH4 '[% GP']]]+$CQ$15*Table2912[[#This Row],[CH4 '[g/g DDM']]]</f>
        <v>11.587197207123573</v>
      </c>
      <c r="AD167" s="18">
        <f>_xlfn.RANK.AVG(Table2912[[#This Row],[Index]],Table2912[Index])</f>
        <v>330</v>
      </c>
      <c r="AE16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6.454015401540155</v>
      </c>
      <c r="AF167" s="18">
        <f>Table2912[[#This Row],[CH4 '[ml/g']]]/Table2912[[#This Row],[APB]]</f>
        <v>5.4729316521104128</v>
      </c>
      <c r="AG167" s="18">
        <f>Table2912[[#This Row],[Propionate '[%']]]/Table2912[[#This Row],[Acetate '[%']]]</f>
        <v>0.25657643919176515</v>
      </c>
      <c r="AH167" s="51"/>
      <c r="AI167" s="18"/>
      <c r="AJ167" s="18"/>
      <c r="AK167" s="18">
        <f>(Table2912[[#This Row],[DMD '[mg/g']]]-$AK$15)/$AK$15*100</f>
        <v>47.103432122367103</v>
      </c>
      <c r="AL167" s="18">
        <f>(Table2912[[#This Row],[CH4 '[ml/g']]]-AL$15)/AL$15*100</f>
        <v>-10.194756308811263</v>
      </c>
      <c r="AM167" s="18">
        <f>(Table2912[[#This Row],[CH4 '[% GP']]]-AM$15)/AM$15*100</f>
        <v>-0.57135332968157515</v>
      </c>
      <c r="AN167" s="18">
        <f>(Table2912[[#This Row],[CH4 '[g/g DDM']]]-AN$15)/AN$15*100</f>
        <v>-4.3745856480727143</v>
      </c>
      <c r="AO167" s="18"/>
      <c r="AP167" s="18"/>
      <c r="AR167">
        <f>_xlfn.NORM.DIST(Table2912[[#This Row],[GP '[ml/g']]],O$6,O$2,FALSE)</f>
        <v>6.6036662912714143E-3</v>
      </c>
      <c r="AS167">
        <f>_xlfn.NORM.DIST(Table2912[[#This Row],[SCFA '[mmol/g']]],P$6,P$2,FALSE)</f>
        <v>0.31834778880376363</v>
      </c>
      <c r="AT167">
        <f>_xlfn.NORM.DIST(Table2912[[#This Row],[Acetate '[%']]],Q$6,Q$2,FALSE)</f>
        <v>13.925477464461656</v>
      </c>
      <c r="AU167">
        <f>_xlfn.NORM.DIST(Table2912[[#This Row],[Propionate '[%']]],R$6,R$2,FALSE)</f>
        <v>16.791059346035315</v>
      </c>
      <c r="AV167">
        <f>_xlfn.NORM.DIST(Table2912[[#This Row],[Butyrate '[%']]],S$6,S$2,FALSE)</f>
        <v>22.916635702974101</v>
      </c>
      <c r="AW167">
        <f>_xlfn.NORM.DIST(Table2912[[#This Row],[Valerate '[%']]],T$6,T$2,FALSE)</f>
        <v>75.861092909480348</v>
      </c>
      <c r="AX167">
        <f>_xlfn.NORM.DIST(Table2912[[#This Row],[Caproate '[%']]],U$6,U$2,FALSE)</f>
        <v>386.84874711761159</v>
      </c>
      <c r="AY167">
        <f>_xlfn.NORM.DIST(Table2912[[#This Row],[Isobutyrate '[%']]],V$6,V$2,FALSE)</f>
        <v>82.468687752902866</v>
      </c>
      <c r="AZ167">
        <f>_xlfn.NORM.DIST(Table2912[[#This Row],[Isovalerate '[%']]],W$6,W$2,FALSE)</f>
        <v>45.075240073179515</v>
      </c>
      <c r="BA167">
        <f>_xlfn.NORM.DIST(Table2912[[#This Row],[CH4 '[g/mmol SCFA']]],X$6,X$2,FALSE)</f>
        <v>0.20474074423522162</v>
      </c>
      <c r="BB167">
        <f>_xlfn.NORM.DIST(Table2912[[#This Row],[DMD '[mg/g']]],Y$6,Y$2,FALSE)</f>
        <v>2.6915347576467173E-3</v>
      </c>
      <c r="BC167">
        <f>_xlfn.NORM.DIST(Table2912[[#This Row],[CH4 '[ml/g']]],Z$6,Z$2,FALSE)</f>
        <v>2.9415797660867663E-2</v>
      </c>
      <c r="BD167">
        <f>_xlfn.NORM.DIST(Table2912[[#This Row],[CH4 '[% GP']]],AA$6,AA$2,FALSE)</f>
        <v>0.13165878300498929</v>
      </c>
      <c r="BE167">
        <f>_xlfn.NORM.DIST(Table2912[[#This Row],[CH4 '[g/g DDM']]],AB$6,AB$2,FALSE)</f>
        <v>3.0784032105856514E-2</v>
      </c>
      <c r="BG167">
        <f>IF(Table2912[[#This Row],[GP '[ml/g']]]&lt;O$10,_xlfn.NORM.DIST(Table2912[[#This Row],[GP '[ml/g']]],O$6,O$2,FALSE),-100)</f>
        <v>-100</v>
      </c>
      <c r="BH167">
        <f>IF(Table2912[[#This Row],[SCFA '[mmol/g']]]&lt;P$10,_xlfn.NORM.DIST(Table2912[[#This Row],[SCFA '[mmol/g']]],P$6,P$2,FALSE),-100)</f>
        <v>-100</v>
      </c>
      <c r="BI167">
        <f>IF(Table2912[[#This Row],[Acetate '[%']]]&lt;Q$10,_xlfn.NORM.DIST(Table2912[[#This Row],[Acetate '[%']]],Q$6,Q$2,FALSE),-100)</f>
        <v>-100</v>
      </c>
      <c r="BJ167">
        <f>IF(Table2912[[#This Row],[Propionate '[%']]]&lt;R$10,_xlfn.NORM.DIST(Table2912[[#This Row],[Propionate '[%']]],R$6,R$2,FALSE),-100)</f>
        <v>-100</v>
      </c>
      <c r="BK167">
        <f>IF(Table2912[[#This Row],[Butyrate '[%']]]&lt;S$10,_xlfn.NORM.DIST(Table2912[[#This Row],[Butyrate '[%']]],S$6,S$2,FALSE),-100)</f>
        <v>-100</v>
      </c>
      <c r="BL167">
        <f>IF(Table2912[[#This Row],[Valerate '[%']]]&lt;T$10,_xlfn.NORM.DIST(Table2912[[#This Row],[Valerate '[%']]],T$6,T$2,FALSE),-100)</f>
        <v>-100</v>
      </c>
      <c r="BM167">
        <f>IF(Table2912[[#This Row],[Caproate '[%']]]&lt;U$10,_xlfn.NORM.DIST(Table2912[[#This Row],[Caproate '[%']]],U$6,U$2,FALSE),-100)</f>
        <v>-100</v>
      </c>
      <c r="BN167">
        <f>IF(Table2912[[#This Row],[Isobutyrate '[%']]]&lt;V$10,_xlfn.NORM.DIST(Table2912[[#This Row],[Isobutyrate '[%']]],V$6,V$2,FALSE),-100)</f>
        <v>-100</v>
      </c>
      <c r="BO167">
        <f>IF(Table2912[[#This Row],[Isovalerate '[%']]]&lt;W$10,_xlfn.NORM.DIST(Table2912[[#This Row],[Isovalerate '[%']]],W$6,W$2,FALSE),-100)</f>
        <v>-100</v>
      </c>
      <c r="BP167">
        <f>IF(Table2912[[#This Row],[CH4 '[g/mmol SCFA']]]&lt;X$10,_xlfn.NORM.DIST(Table2912[[#This Row],[CH4 '[g/mmol SCFA']]],X$6,X$2,FALSE),-100)</f>
        <v>-100</v>
      </c>
      <c r="BQ167">
        <f>IF(Table2912[[#This Row],[DMD '[mg/g']]]&gt;Y$10,_xlfn.NORM.DIST(Table2912[[#This Row],[DMD '[mg/g']]],Y$6,Y$2,FALSE),-100)</f>
        <v>-100</v>
      </c>
      <c r="BR167">
        <f>IF(Table2912[[#This Row],[CH4 '[ml/g']]]&lt;Z$10,_xlfn.NORM.DIST(Table2912[[#This Row],[CH4 '[ml/g']]],Z$6,Z$2,FALSE),-100)</f>
        <v>-100</v>
      </c>
      <c r="BS167">
        <f>IF(Table2912[[#This Row],[CH4 '[% GP']]]&lt;AA$10,_xlfn.NORM.DIST(Table2912[[#This Row],[CH4 '[% GP']]],AA$6,AA$2,FALSE),-100)</f>
        <v>-100</v>
      </c>
      <c r="BT167">
        <f>IF(Table2912[[#This Row],[CH4 '[g/g DDM']]]&lt;AB$10,_xlfn.NORM.DIST(Table2912[[#This Row],[CH4 '[g/g DDM']]],AB$6,AB$2,FALSE),-100)</f>
        <v>-100</v>
      </c>
    </row>
    <row r="168" spans="1:90" x14ac:dyDescent="0.25">
      <c r="A168" s="12" t="s">
        <v>200</v>
      </c>
      <c r="B168" s="13">
        <v>1140</v>
      </c>
      <c r="C168" s="117" t="s">
        <v>249</v>
      </c>
      <c r="D168" s="117" t="s">
        <v>233</v>
      </c>
      <c r="E168" s="117" t="s">
        <v>234</v>
      </c>
      <c r="F168" s="117" t="s">
        <v>235</v>
      </c>
      <c r="G168" s="23" t="s">
        <v>73</v>
      </c>
      <c r="H168" s="23" t="s">
        <v>74</v>
      </c>
      <c r="I168" s="104" t="s">
        <v>44</v>
      </c>
      <c r="J168" s="70">
        <v>3</v>
      </c>
      <c r="K168" s="70"/>
      <c r="L168" s="70"/>
      <c r="M168" t="s">
        <v>250</v>
      </c>
      <c r="N168" t="s">
        <v>245</v>
      </c>
      <c r="O168" s="18">
        <v>282.41137671536075</v>
      </c>
      <c r="P168" s="18">
        <v>6.5679332592316833</v>
      </c>
      <c r="Q168" s="97">
        <v>0.66838234521198592</v>
      </c>
      <c r="R168" s="97">
        <v>0.1550461658368304</v>
      </c>
      <c r="S168" s="97">
        <v>0.10505466339838376</v>
      </c>
      <c r="T168" s="97">
        <v>1.8269858239259897E-2</v>
      </c>
      <c r="U168" s="97">
        <v>1.615348426869786E-3</v>
      </c>
      <c r="V168" s="97">
        <v>1.7399145573893021E-2</v>
      </c>
      <c r="W168" s="97">
        <v>3.4232473312777255E-2</v>
      </c>
      <c r="X168" s="51">
        <f t="shared" si="11"/>
        <v>8.2684077171268537</v>
      </c>
      <c r="Y168" s="18">
        <v>722.27920656670858</v>
      </c>
      <c r="Z168" s="18">
        <v>54.306350046205381</v>
      </c>
      <c r="AA168" s="18">
        <f t="shared" si="12"/>
        <v>19.229519248773091</v>
      </c>
      <c r="AB168" s="18">
        <f t="shared" si="13"/>
        <v>75.187475359211703</v>
      </c>
      <c r="AC168" s="18">
        <f>$CP$15*Table2912[[#This Row],[DMD '[mg/g']]]+$CS$15*Table2912[[#This Row],[CH4 '[ml/g']]]+$CR$15*Table2912[[#This Row],[CH4 '[% GP']]]+$CQ$15*Table2912[[#This Row],[CH4 '[g/g DDM']]]</f>
        <v>-1.4371176642552541</v>
      </c>
      <c r="AD168" s="18">
        <f>_xlfn.RANK.AVG(Table2912[[#This Row],[Index]],Table2912[Index])</f>
        <v>456</v>
      </c>
      <c r="AE16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6.098215522088779</v>
      </c>
      <c r="AF168" s="18">
        <f>Table2912[[#This Row],[CH4 '[ml/g']]]/Table2912[[#This Row],[APB]]</f>
        <v>8.9052854641654591</v>
      </c>
      <c r="AG168" s="18">
        <f>Table2912[[#This Row],[Propionate '[%']]]/Table2912[[#This Row],[Acetate '[%']]]</f>
        <v>0.23197226400056326</v>
      </c>
      <c r="AH168" s="51"/>
      <c r="AI168" s="18"/>
      <c r="AJ168" s="18"/>
      <c r="AK168" s="18">
        <f>(Table2912[[#This Row],[DMD '[mg/g']]]-$AK$15)/$AK$15*100</f>
        <v>47.316996590991387</v>
      </c>
      <c r="AL168" s="18">
        <f>(Table2912[[#This Row],[CH4 '[ml/g']]]-AL$15)/AL$15*100</f>
        <v>38.070942146547949</v>
      </c>
      <c r="AM168" s="18">
        <f>(Table2912[[#This Row],[CH4 '[% GP']]]-AM$15)/AM$15*100</f>
        <v>23.882753306443732</v>
      </c>
      <c r="AN168" s="18">
        <f>(Table2912[[#This Row],[CH4 '[g/g DDM']]]-AN$15)/AN$15*100</f>
        <v>46.806022429064157</v>
      </c>
      <c r="AO168" s="18"/>
      <c r="AP168" s="18"/>
      <c r="AR168">
        <f>_xlfn.NORM.DIST(Table2912[[#This Row],[GP '[ml/g']]],O$6,O$2,FALSE)</f>
        <v>6.585191424022978E-3</v>
      </c>
      <c r="AS168">
        <f>_xlfn.NORM.DIST(Table2912[[#This Row],[SCFA '[mmol/g']]],P$6,P$2,FALSE)</f>
        <v>0.33263627801718559</v>
      </c>
      <c r="AT168">
        <f>_xlfn.NORM.DIST(Table2912[[#This Row],[Acetate '[%']]],Q$6,Q$2,FALSE)</f>
        <v>13.833233491850841</v>
      </c>
      <c r="AU168">
        <f>_xlfn.NORM.DIST(Table2912[[#This Row],[Propionate '[%']]],R$6,R$2,FALSE)</f>
        <v>13.068714719800653</v>
      </c>
      <c r="AV168">
        <f>_xlfn.NORM.DIST(Table2912[[#This Row],[Butyrate '[%']]],S$6,S$2,FALSE)</f>
        <v>18.020650650593613</v>
      </c>
      <c r="AW168">
        <f>_xlfn.NORM.DIST(Table2912[[#This Row],[Valerate '[%']]],T$6,T$2,FALSE)</f>
        <v>76.853769438472568</v>
      </c>
      <c r="AX168">
        <f>_xlfn.NORM.DIST(Table2912[[#This Row],[Caproate '[%']]],U$6,U$2,FALSE)</f>
        <v>390.39202633761892</v>
      </c>
      <c r="AY168">
        <f>_xlfn.NORM.DIST(Table2912[[#This Row],[Isobutyrate '[%']]],V$6,V$2,FALSE)</f>
        <v>80.715218094422553</v>
      </c>
      <c r="AZ168">
        <f>_xlfn.NORM.DIST(Table2912[[#This Row],[Isovalerate '[%']]],W$6,W$2,FALSE)</f>
        <v>35.014553997621483</v>
      </c>
      <c r="BA168">
        <f>_xlfn.NORM.DIST(Table2912[[#This Row],[CH4 '[g/mmol SCFA']]],X$6,X$2,FALSE)</f>
        <v>9.943112129902916E-2</v>
      </c>
      <c r="BB168">
        <f>_xlfn.NORM.DIST(Table2912[[#This Row],[DMD '[mg/g']]],Y$6,Y$2,FALSE)</f>
        <v>2.6997145156297856E-3</v>
      </c>
      <c r="BC168">
        <f>_xlfn.NORM.DIST(Table2912[[#This Row],[CH4 '[ml/g']]],Z$6,Z$2,FALSE)</f>
        <v>1.8616691278465575E-2</v>
      </c>
      <c r="BD168">
        <f>_xlfn.NORM.DIST(Table2912[[#This Row],[CH4 '[% GP']]],AA$6,AA$2,FALSE)</f>
        <v>7.6202224582481423E-2</v>
      </c>
      <c r="BE168">
        <f>_xlfn.NORM.DIST(Table2912[[#This Row],[CH4 '[g/g DDM']]],AB$6,AB$2,FALSE)</f>
        <v>6.5256466648370565E-3</v>
      </c>
      <c r="BG168">
        <f>IF(Table2912[[#This Row],[GP '[ml/g']]]&lt;O$10,_xlfn.NORM.DIST(Table2912[[#This Row],[GP '[ml/g']]],O$6,O$2,FALSE),-100)</f>
        <v>-100</v>
      </c>
      <c r="BH168">
        <f>IF(Table2912[[#This Row],[SCFA '[mmol/g']]]&lt;P$10,_xlfn.NORM.DIST(Table2912[[#This Row],[SCFA '[mmol/g']]],P$6,P$2,FALSE),-100)</f>
        <v>-100</v>
      </c>
      <c r="BI168">
        <f>IF(Table2912[[#This Row],[Acetate '[%']]]&lt;Q$10,_xlfn.NORM.DIST(Table2912[[#This Row],[Acetate '[%']]],Q$6,Q$2,FALSE),-100)</f>
        <v>-100</v>
      </c>
      <c r="BJ168">
        <f>IF(Table2912[[#This Row],[Propionate '[%']]]&lt;R$10,_xlfn.NORM.DIST(Table2912[[#This Row],[Propionate '[%']]],R$6,R$2,FALSE),-100)</f>
        <v>-100</v>
      </c>
      <c r="BK168">
        <f>IF(Table2912[[#This Row],[Butyrate '[%']]]&lt;S$10,_xlfn.NORM.DIST(Table2912[[#This Row],[Butyrate '[%']]],S$6,S$2,FALSE),-100)</f>
        <v>-100</v>
      </c>
      <c r="BL168">
        <f>IF(Table2912[[#This Row],[Valerate '[%']]]&lt;T$10,_xlfn.NORM.DIST(Table2912[[#This Row],[Valerate '[%']]],T$6,T$2,FALSE),-100)</f>
        <v>-100</v>
      </c>
      <c r="BM168">
        <f>IF(Table2912[[#This Row],[Caproate '[%']]]&lt;U$10,_xlfn.NORM.DIST(Table2912[[#This Row],[Caproate '[%']]],U$6,U$2,FALSE),-100)</f>
        <v>-100</v>
      </c>
      <c r="BN168">
        <f>IF(Table2912[[#This Row],[Isobutyrate '[%']]]&lt;V$10,_xlfn.NORM.DIST(Table2912[[#This Row],[Isobutyrate '[%']]],V$6,V$2,FALSE),-100)</f>
        <v>-100</v>
      </c>
      <c r="BO168">
        <f>IF(Table2912[[#This Row],[Isovalerate '[%']]]&lt;W$10,_xlfn.NORM.DIST(Table2912[[#This Row],[Isovalerate '[%']]],W$6,W$2,FALSE),-100)</f>
        <v>-100</v>
      </c>
      <c r="BP168">
        <f>IF(Table2912[[#This Row],[CH4 '[g/mmol SCFA']]]&lt;X$10,_xlfn.NORM.DIST(Table2912[[#This Row],[CH4 '[g/mmol SCFA']]],X$6,X$2,FALSE),-100)</f>
        <v>-100</v>
      </c>
      <c r="BQ168">
        <f>IF(Table2912[[#This Row],[DMD '[mg/g']]]&gt;Y$10,_xlfn.NORM.DIST(Table2912[[#This Row],[DMD '[mg/g']]],Y$6,Y$2,FALSE),-100)</f>
        <v>-100</v>
      </c>
      <c r="BR168">
        <f>IF(Table2912[[#This Row],[CH4 '[ml/g']]]&lt;Z$10,_xlfn.NORM.DIST(Table2912[[#This Row],[CH4 '[ml/g']]],Z$6,Z$2,FALSE),-100)</f>
        <v>-100</v>
      </c>
      <c r="BS168">
        <f>IF(Table2912[[#This Row],[CH4 '[% GP']]]&lt;AA$10,_xlfn.NORM.DIST(Table2912[[#This Row],[CH4 '[% GP']]],AA$6,AA$2,FALSE),-100)</f>
        <v>-100</v>
      </c>
      <c r="BT168">
        <f>IF(Table2912[[#This Row],[CH4 '[g/g DDM']]]&lt;AB$10,_xlfn.NORM.DIST(Table2912[[#This Row],[CH4 '[g/g DDM']]],AB$6,AB$2,FALSE),-100)</f>
        <v>-100</v>
      </c>
    </row>
    <row r="169" spans="1:90" x14ac:dyDescent="0.25">
      <c r="A169" s="12" t="s">
        <v>200</v>
      </c>
      <c r="B169" s="13">
        <v>1141</v>
      </c>
      <c r="C169" s="117" t="s">
        <v>251</v>
      </c>
      <c r="D169" s="117" t="s">
        <v>233</v>
      </c>
      <c r="E169" s="117" t="s">
        <v>234</v>
      </c>
      <c r="F169" s="117" t="s">
        <v>235</v>
      </c>
      <c r="G169" t="s">
        <v>73</v>
      </c>
      <c r="H169" t="s">
        <v>74</v>
      </c>
      <c r="I169" t="s">
        <v>75</v>
      </c>
      <c r="J169" s="70">
        <v>3</v>
      </c>
      <c r="K169" s="70"/>
      <c r="L169" s="70"/>
      <c r="M169" t="s">
        <v>252</v>
      </c>
      <c r="N169" t="s">
        <v>245</v>
      </c>
      <c r="O169" s="18">
        <v>261.8241946088101</v>
      </c>
      <c r="P169" s="18">
        <v>6.3871110286571069</v>
      </c>
      <c r="Q169" s="97">
        <v>0.66693326369392258</v>
      </c>
      <c r="R169" s="97">
        <v>0.15796749626203366</v>
      </c>
      <c r="S169" s="97">
        <v>0.10529035603179375</v>
      </c>
      <c r="T169" s="97">
        <v>1.8060907080054363E-2</v>
      </c>
      <c r="U169" s="97">
        <v>1.4681236850554509E-3</v>
      </c>
      <c r="V169" s="97">
        <v>1.7075021882961922E-2</v>
      </c>
      <c r="W169" s="97">
        <v>3.3204831364178185E-2</v>
      </c>
      <c r="X169" s="51">
        <f t="shared" si="11"/>
        <v>7.410650834216975</v>
      </c>
      <c r="Y169" s="18">
        <v>723.66863905325408</v>
      </c>
      <c r="Z169" s="18">
        <v>47.332649672754229</v>
      </c>
      <c r="AA169" s="18">
        <f t="shared" si="12"/>
        <v>18.078027412047863</v>
      </c>
      <c r="AB169" s="18">
        <f t="shared" si="13"/>
        <v>65.406523259979295</v>
      </c>
      <c r="AC169" s="18">
        <f>$CP$15*Table2912[[#This Row],[DMD '[mg/g']]]+$CS$15*Table2912[[#This Row],[CH4 '[ml/g']]]+$CR$15*Table2912[[#This Row],[CH4 '[% GP']]]+$CQ$15*Table2912[[#This Row],[CH4 '[g/g DDM']]]</f>
        <v>3.5033859692685425</v>
      </c>
      <c r="AD169" s="18">
        <f>_xlfn.RANK.AVG(Table2912[[#This Row],[Index]],Table2912[Index])</f>
        <v>422</v>
      </c>
      <c r="AE16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5.9412339356842203</v>
      </c>
      <c r="AF169" s="18">
        <f>Table2912[[#This Row],[CH4 '[ml/g']]]/Table2912[[#This Row],[APB]]</f>
        <v>7.9668045704218144</v>
      </c>
      <c r="AG169" s="18">
        <f>Table2912[[#This Row],[Propionate '[%']]]/Table2912[[#This Row],[Acetate '[%']]]</f>
        <v>0.2368565265242642</v>
      </c>
      <c r="AH169" s="51"/>
      <c r="AI169" s="18"/>
      <c r="AJ169" s="18"/>
      <c r="AK169" s="18">
        <f>(Table2912[[#This Row],[DMD '[mg/g']]]-$AK$15)/$AK$15*100</f>
        <v>47.60038702923589</v>
      </c>
      <c r="AL169" s="18">
        <f>(Table2912[[#This Row],[CH4 '[ml/g']]]-AL$15)/AL$15*100</f>
        <v>20.340688134063207</v>
      </c>
      <c r="AM169" s="18">
        <f>(Table2912[[#This Row],[CH4 '[% GP']]]-AM$15)/AM$15*100</f>
        <v>16.464472209659853</v>
      </c>
      <c r="AN169" s="18">
        <f>(Table2912[[#This Row],[CH4 '[g/g DDM']]]-AN$15)/AN$15*100</f>
        <v>27.708391255821237</v>
      </c>
      <c r="AO169" s="18"/>
      <c r="AP169" s="18"/>
      <c r="AR169">
        <f>_xlfn.NORM.DIST(Table2912[[#This Row],[GP '[ml/g']]],O$6,O$2,FALSE)</f>
        <v>7.4272973405662291E-3</v>
      </c>
      <c r="AS169">
        <f>_xlfn.NORM.DIST(Table2912[[#This Row],[SCFA '[mmol/g']]],P$6,P$2,FALSE)</f>
        <v>0.33013715201008292</v>
      </c>
      <c r="AT169">
        <f>_xlfn.NORM.DIST(Table2912[[#This Row],[Acetate '[%']]],Q$6,Q$2,FALSE)</f>
        <v>13.698413115044335</v>
      </c>
      <c r="AU169">
        <f>_xlfn.NORM.DIST(Table2912[[#This Row],[Propionate '[%']]],R$6,R$2,FALSE)</f>
        <v>14.149990463144837</v>
      </c>
      <c r="AV169">
        <f>_xlfn.NORM.DIST(Table2912[[#This Row],[Butyrate '[%']]],S$6,S$2,FALSE)</f>
        <v>17.848083163910427</v>
      </c>
      <c r="AW169">
        <f>_xlfn.NORM.DIST(Table2912[[#This Row],[Valerate '[%']]],T$6,T$2,FALSE)</f>
        <v>77.160404875818259</v>
      </c>
      <c r="AX169">
        <f>_xlfn.NORM.DIST(Table2912[[#This Row],[Caproate '[%']]],U$6,U$2,FALSE)</f>
        <v>403.07132018875541</v>
      </c>
      <c r="AY169">
        <f>_xlfn.NORM.DIST(Table2912[[#This Row],[Isobutyrate '[%']]],V$6,V$2,FALSE)</f>
        <v>83.321074402832522</v>
      </c>
      <c r="AZ169">
        <f>_xlfn.NORM.DIST(Table2912[[#This Row],[Isovalerate '[%']]],W$6,W$2,FALSE)</f>
        <v>37.840101364506161</v>
      </c>
      <c r="BA169">
        <f>_xlfn.NORM.DIST(Table2912[[#This Row],[CH4 '[g/mmol SCFA']]],X$6,X$2,FALSE)</f>
        <v>0.20884459996002655</v>
      </c>
      <c r="BB169">
        <f>_xlfn.NORM.DIST(Table2912[[#This Row],[DMD '[mg/g']]],Y$6,Y$2,FALSE)</f>
        <v>2.7103619489709666E-3</v>
      </c>
      <c r="BC169">
        <f>_xlfn.NORM.DIST(Table2912[[#This Row],[CH4 '[ml/g']]],Z$6,Z$2,FALSE)</f>
        <v>2.9592196120734396E-2</v>
      </c>
      <c r="BD169">
        <f>_xlfn.NORM.DIST(Table2912[[#This Row],[CH4 '[% GP']]],AA$6,AA$2,FALSE)</f>
        <v>0.10700574190892871</v>
      </c>
      <c r="BE169">
        <f>_xlfn.NORM.DIST(Table2912[[#This Row],[CH4 '[g/g DDM']]],AB$6,AB$2,FALSE)</f>
        <v>2.0075513461603672E-2</v>
      </c>
      <c r="BG169">
        <f>IF(Table2912[[#This Row],[GP '[ml/g']]]&lt;O$10,_xlfn.NORM.DIST(Table2912[[#This Row],[GP '[ml/g']]],O$6,O$2,FALSE),-100)</f>
        <v>-100</v>
      </c>
      <c r="BH169">
        <f>IF(Table2912[[#This Row],[SCFA '[mmol/g']]]&lt;P$10,_xlfn.NORM.DIST(Table2912[[#This Row],[SCFA '[mmol/g']]],P$6,P$2,FALSE),-100)</f>
        <v>-100</v>
      </c>
      <c r="BI169">
        <f>IF(Table2912[[#This Row],[Acetate '[%']]]&lt;Q$10,_xlfn.NORM.DIST(Table2912[[#This Row],[Acetate '[%']]],Q$6,Q$2,FALSE),-100)</f>
        <v>-100</v>
      </c>
      <c r="BJ169">
        <f>IF(Table2912[[#This Row],[Propionate '[%']]]&lt;R$10,_xlfn.NORM.DIST(Table2912[[#This Row],[Propionate '[%']]],R$6,R$2,FALSE),-100)</f>
        <v>-100</v>
      </c>
      <c r="BK169">
        <f>IF(Table2912[[#This Row],[Butyrate '[%']]]&lt;S$10,_xlfn.NORM.DIST(Table2912[[#This Row],[Butyrate '[%']]],S$6,S$2,FALSE),-100)</f>
        <v>-100</v>
      </c>
      <c r="BL169">
        <f>IF(Table2912[[#This Row],[Valerate '[%']]]&lt;T$10,_xlfn.NORM.DIST(Table2912[[#This Row],[Valerate '[%']]],T$6,T$2,FALSE),-100)</f>
        <v>-100</v>
      </c>
      <c r="BM169">
        <f>IF(Table2912[[#This Row],[Caproate '[%']]]&lt;U$10,_xlfn.NORM.DIST(Table2912[[#This Row],[Caproate '[%']]],U$6,U$2,FALSE),-100)</f>
        <v>-100</v>
      </c>
      <c r="BN169">
        <f>IF(Table2912[[#This Row],[Isobutyrate '[%']]]&lt;V$10,_xlfn.NORM.DIST(Table2912[[#This Row],[Isobutyrate '[%']]],V$6,V$2,FALSE),-100)</f>
        <v>-100</v>
      </c>
      <c r="BO169">
        <f>IF(Table2912[[#This Row],[Isovalerate '[%']]]&lt;W$10,_xlfn.NORM.DIST(Table2912[[#This Row],[Isovalerate '[%']]],W$6,W$2,FALSE),-100)</f>
        <v>-100</v>
      </c>
      <c r="BP169">
        <f>IF(Table2912[[#This Row],[CH4 '[g/mmol SCFA']]]&lt;X$10,_xlfn.NORM.DIST(Table2912[[#This Row],[CH4 '[g/mmol SCFA']]],X$6,X$2,FALSE),-100)</f>
        <v>-100</v>
      </c>
      <c r="BQ169">
        <f>IF(Table2912[[#This Row],[DMD '[mg/g']]]&gt;Y$10,_xlfn.NORM.DIST(Table2912[[#This Row],[DMD '[mg/g']]],Y$6,Y$2,FALSE),-100)</f>
        <v>-100</v>
      </c>
      <c r="BR169">
        <f>IF(Table2912[[#This Row],[CH4 '[ml/g']]]&lt;Z$10,_xlfn.NORM.DIST(Table2912[[#This Row],[CH4 '[ml/g']]],Z$6,Z$2,FALSE),-100)</f>
        <v>-100</v>
      </c>
      <c r="BS169">
        <f>IF(Table2912[[#This Row],[CH4 '[% GP']]]&lt;AA$10,_xlfn.NORM.DIST(Table2912[[#This Row],[CH4 '[% GP']]],AA$6,AA$2,FALSE),-100)</f>
        <v>-100</v>
      </c>
      <c r="BT169">
        <f>IF(Table2912[[#This Row],[CH4 '[g/g DDM']]]&lt;AB$10,_xlfn.NORM.DIST(Table2912[[#This Row],[CH4 '[g/g DDM']]],AB$6,AB$2,FALSE),-100)</f>
        <v>-100</v>
      </c>
    </row>
    <row r="170" spans="1:90" x14ac:dyDescent="0.25">
      <c r="A170" s="12" t="s">
        <v>86</v>
      </c>
      <c r="B170" s="13">
        <v>1058</v>
      </c>
      <c r="C170" s="104" t="s">
        <v>189</v>
      </c>
      <c r="D170" s="104" t="s">
        <v>115</v>
      </c>
      <c r="E170" s="104" t="s">
        <v>190</v>
      </c>
      <c r="F170" s="104" t="s">
        <v>191</v>
      </c>
      <c r="G170" s="23" t="s">
        <v>73</v>
      </c>
      <c r="H170" s="23" t="s">
        <v>74</v>
      </c>
      <c r="I170" s="105" t="s">
        <v>75</v>
      </c>
      <c r="J170" s="70">
        <v>1</v>
      </c>
      <c r="K170" s="70"/>
      <c r="L170" s="70"/>
      <c r="M170" t="s">
        <v>191</v>
      </c>
      <c r="N170" t="s">
        <v>84</v>
      </c>
      <c r="O170" s="18">
        <v>265.89690744422307</v>
      </c>
      <c r="P170" s="18">
        <v>7.6600135737602608</v>
      </c>
      <c r="Q170" s="97">
        <v>0.67677803826574245</v>
      </c>
      <c r="R170" s="97">
        <v>0.16622803687353399</v>
      </c>
      <c r="S170" s="97">
        <v>9.6826866646666676E-2</v>
      </c>
      <c r="T170" s="97">
        <v>1.6896434984613538E-2</v>
      </c>
      <c r="U170" s="97">
        <v>1.2100713094357128E-3</v>
      </c>
      <c r="V170" s="97">
        <v>1.5174957964101021E-2</v>
      </c>
      <c r="W170" s="97">
        <v>2.6885593955906575E-2</v>
      </c>
      <c r="X170" s="51">
        <f t="shared" si="11"/>
        <v>4.808634293109745</v>
      </c>
      <c r="Y170" s="18">
        <v>725.15085851732601</v>
      </c>
      <c r="Z170" s="18">
        <v>36.834203956469722</v>
      </c>
      <c r="AA170" s="18">
        <f t="shared" si="12"/>
        <v>13.852813976107035</v>
      </c>
      <c r="AB170" s="18">
        <f t="shared" si="13"/>
        <v>50.795229053141419</v>
      </c>
      <c r="AC170" s="18">
        <f>$CP$15*Table2912[[#This Row],[DMD '[mg/g']]]+$CS$15*Table2912[[#This Row],[CH4 '[ml/g']]]+$CR$15*Table2912[[#This Row],[CH4 '[% GP']]]+$CQ$15*Table2912[[#This Row],[CH4 '[g/g DDM']]]</f>
        <v>11.557230622759057</v>
      </c>
      <c r="AD170" s="18">
        <f>_xlfn.RANK.AVG(Table2912[[#This Row],[Index]],Table2912[Index])</f>
        <v>332</v>
      </c>
      <c r="AE17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7.1991330911473614</v>
      </c>
      <c r="AF170" s="18">
        <f>Table2912[[#This Row],[CH4 '[ml/g']]]/Table2912[[#This Row],[APB]]</f>
        <v>5.1164777050397987</v>
      </c>
      <c r="AG170" s="18">
        <f>Table2912[[#This Row],[Propionate '[%']]]/Table2912[[#This Row],[Acetate '[%']]]</f>
        <v>0.24561677163682311</v>
      </c>
      <c r="AH170" s="51"/>
      <c r="AI170" s="18"/>
      <c r="AJ170" s="18"/>
      <c r="AK170" s="18">
        <f>(Table2912[[#This Row],[DMD '[mg/g']]]-$AK$15)/$AK$15*100</f>
        <v>47.902702418839482</v>
      </c>
      <c r="AL170" s="18">
        <f>(Table2912[[#This Row],[CH4 '[ml/g']]]-AL$15)/AL$15*100</f>
        <v>-6.3510392585619826</v>
      </c>
      <c r="AM170" s="18">
        <f>(Table2912[[#This Row],[CH4 '[% GP']]]-AM$15)/AM$15*100</f>
        <v>-10.755712911979414</v>
      </c>
      <c r="AN170" s="18">
        <f>(Table2912[[#This Row],[CH4 '[g/g DDM']]]-AN$15)/AN$15*100</f>
        <v>-0.82064200136333676</v>
      </c>
      <c r="AO170" s="18"/>
      <c r="AP170" s="18"/>
      <c r="AR170">
        <f>_xlfn.NORM.DIST(Table2912[[#This Row],[GP '[ml/g']]],O$6,O$2,FALSE)</f>
        <v>7.3388165597627047E-3</v>
      </c>
      <c r="AS170">
        <f>_xlfn.NORM.DIST(Table2912[[#This Row],[SCFA '[mmol/g']]],P$6,P$2,FALSE)</f>
        <v>0.21466339986356253</v>
      </c>
      <c r="AT170">
        <f>_xlfn.NORM.DIST(Table2912[[#This Row],[Acetate '[%']]],Q$6,Q$2,FALSE)</f>
        <v>13.911669753326983</v>
      </c>
      <c r="AU170">
        <f>_xlfn.NORM.DIST(Table2912[[#This Row],[Propionate '[%']]],R$6,R$2,FALSE)</f>
        <v>16.324683644746123</v>
      </c>
      <c r="AV170">
        <f>_xlfn.NORM.DIST(Table2912[[#This Row],[Butyrate '[%']]],S$6,S$2,FALSE)</f>
        <v>22.452246310401609</v>
      </c>
      <c r="AW170">
        <f>_xlfn.NORM.DIST(Table2912[[#This Row],[Valerate '[%']]],T$6,T$2,FALSE)</f>
        <v>76.552837995372997</v>
      </c>
      <c r="AX170">
        <f>_xlfn.NORM.DIST(Table2912[[#This Row],[Caproate '[%']]],U$6,U$2,FALSE)</f>
        <v>403.72497309145666</v>
      </c>
      <c r="AY170">
        <f>_xlfn.NORM.DIST(Table2912[[#This Row],[Isobutyrate '[%']]],V$6,V$2,FALSE)</f>
        <v>90.111515206575973</v>
      </c>
      <c r="AZ170">
        <f>_xlfn.NORM.DIST(Table2912[[#This Row],[Isovalerate '[%']]],W$6,W$2,FALSE)</f>
        <v>45.130697774628246</v>
      </c>
      <c r="BA170">
        <f>_xlfn.NORM.DIST(Table2912[[#This Row],[CH4 '[g/mmol SCFA']]],X$6,X$2,FALSE)</f>
        <v>0.16259789726912352</v>
      </c>
      <c r="BB170">
        <f>_xlfn.NORM.DIST(Table2912[[#This Row],[DMD '[mg/g']]],Y$6,Y$2,FALSE)</f>
        <v>2.7214572544437305E-3</v>
      </c>
      <c r="BC170">
        <f>_xlfn.NORM.DIST(Table2912[[#This Row],[CH4 '[ml/g']]],Z$6,Z$2,FALSE)</f>
        <v>3.1132829030736643E-2</v>
      </c>
      <c r="BD170">
        <f>_xlfn.NORM.DIST(Table2912[[#This Row],[CH4 '[% GP']]],AA$6,AA$2,FALSE)</f>
        <v>0.10183237713606129</v>
      </c>
      <c r="BE170">
        <f>_xlfn.NORM.DIST(Table2912[[#This Row],[CH4 '[g/g DDM']]],AB$6,AB$2,FALSE)</f>
        <v>3.2130773431899344E-2</v>
      </c>
      <c r="BG170">
        <f>IF(Table2912[[#This Row],[GP '[ml/g']]]&lt;O$10,_xlfn.NORM.DIST(Table2912[[#This Row],[GP '[ml/g']]],O$6,O$2,FALSE),-100)</f>
        <v>-100</v>
      </c>
      <c r="BH170">
        <f>IF(Table2912[[#This Row],[SCFA '[mmol/g']]]&lt;P$10,_xlfn.NORM.DIST(Table2912[[#This Row],[SCFA '[mmol/g']]],P$6,P$2,FALSE),-100)</f>
        <v>-100</v>
      </c>
      <c r="BI170">
        <f>IF(Table2912[[#This Row],[Acetate '[%']]]&lt;Q$10,_xlfn.NORM.DIST(Table2912[[#This Row],[Acetate '[%']]],Q$6,Q$2,FALSE),-100)</f>
        <v>-100</v>
      </c>
      <c r="BJ170">
        <f>IF(Table2912[[#This Row],[Propionate '[%']]]&lt;R$10,_xlfn.NORM.DIST(Table2912[[#This Row],[Propionate '[%']]],R$6,R$2,FALSE),-100)</f>
        <v>-100</v>
      </c>
      <c r="BK170">
        <f>IF(Table2912[[#This Row],[Butyrate '[%']]]&lt;S$10,_xlfn.NORM.DIST(Table2912[[#This Row],[Butyrate '[%']]],S$6,S$2,FALSE),-100)</f>
        <v>-100</v>
      </c>
      <c r="BL170">
        <f>IF(Table2912[[#This Row],[Valerate '[%']]]&lt;T$10,_xlfn.NORM.DIST(Table2912[[#This Row],[Valerate '[%']]],T$6,T$2,FALSE),-100)</f>
        <v>-100</v>
      </c>
      <c r="BM170">
        <f>IF(Table2912[[#This Row],[Caproate '[%']]]&lt;U$10,_xlfn.NORM.DIST(Table2912[[#This Row],[Caproate '[%']]],U$6,U$2,FALSE),-100)</f>
        <v>-100</v>
      </c>
      <c r="BN170">
        <f>IF(Table2912[[#This Row],[Isobutyrate '[%']]]&lt;V$10,_xlfn.NORM.DIST(Table2912[[#This Row],[Isobutyrate '[%']]],V$6,V$2,FALSE),-100)</f>
        <v>-100</v>
      </c>
      <c r="BO170">
        <f>IF(Table2912[[#This Row],[Isovalerate '[%']]]&lt;W$10,_xlfn.NORM.DIST(Table2912[[#This Row],[Isovalerate '[%']]],W$6,W$2,FALSE),-100)</f>
        <v>-100</v>
      </c>
      <c r="BP170">
        <f>IF(Table2912[[#This Row],[CH4 '[g/mmol SCFA']]]&lt;X$10,_xlfn.NORM.DIST(Table2912[[#This Row],[CH4 '[g/mmol SCFA']]],X$6,X$2,FALSE),-100)</f>
        <v>0.16259789726912352</v>
      </c>
      <c r="BQ170">
        <f>IF(Table2912[[#This Row],[DMD '[mg/g']]]&gt;Y$10,_xlfn.NORM.DIST(Table2912[[#This Row],[DMD '[mg/g']]],Y$6,Y$2,FALSE),-100)</f>
        <v>-100</v>
      </c>
      <c r="BR170">
        <f>IF(Table2912[[#This Row],[CH4 '[ml/g']]]&lt;Z$10,_xlfn.NORM.DIST(Table2912[[#This Row],[CH4 '[ml/g']]],Z$6,Z$2,FALSE),-100)</f>
        <v>-100</v>
      </c>
      <c r="BS170">
        <f>IF(Table2912[[#This Row],[CH4 '[% GP']]]&lt;AA$10,_xlfn.NORM.DIST(Table2912[[#This Row],[CH4 '[% GP']]],AA$6,AA$2,FALSE),-100)</f>
        <v>-100</v>
      </c>
      <c r="BT170">
        <f>IF(Table2912[[#This Row],[CH4 '[g/g DDM']]]&lt;AB$10,_xlfn.NORM.DIST(Table2912[[#This Row],[CH4 '[g/g DDM']]],AB$6,AB$2,FALSE),-100)</f>
        <v>-100</v>
      </c>
    </row>
    <row r="171" spans="1:90" x14ac:dyDescent="0.25">
      <c r="A171" s="12" t="s">
        <v>70</v>
      </c>
      <c r="B171" s="13">
        <v>1036</v>
      </c>
      <c r="C171" s="96" t="s">
        <v>253</v>
      </c>
      <c r="D171" s="96"/>
      <c r="E171" s="96"/>
      <c r="F171" s="96" t="s">
        <v>254</v>
      </c>
      <c r="G171" t="s">
        <v>73</v>
      </c>
      <c r="H171" t="s">
        <v>74</v>
      </c>
      <c r="I171" s="99" t="s">
        <v>79</v>
      </c>
      <c r="J171" s="107">
        <v>2</v>
      </c>
      <c r="K171" s="107"/>
      <c r="L171" s="107"/>
      <c r="M171" t="s">
        <v>254</v>
      </c>
      <c r="N171" t="s">
        <v>80</v>
      </c>
      <c r="O171" s="18">
        <v>252.7794279427936</v>
      </c>
      <c r="P171" s="18">
        <v>6.7280773845101036</v>
      </c>
      <c r="Q171" s="97">
        <v>0.67556476065847026</v>
      </c>
      <c r="R171" s="97">
        <v>0.1868622408778379</v>
      </c>
      <c r="S171" s="97">
        <v>8.5318988592983119E-2</v>
      </c>
      <c r="T171" s="97">
        <v>1.5727385712006492E-2</v>
      </c>
      <c r="U171" s="97">
        <v>1.0673841004374737E-3</v>
      </c>
      <c r="V171" s="97">
        <v>1.2669412895984155E-2</v>
      </c>
      <c r="W171" s="97">
        <v>2.2789827162280563E-2</v>
      </c>
      <c r="X171" s="51">
        <f t="shared" si="11"/>
        <v>5.4038145044379027</v>
      </c>
      <c r="Y171" s="18">
        <v>725.48811967810957</v>
      </c>
      <c r="Z171" s="18">
        <v>36.357282157396327</v>
      </c>
      <c r="AA171" s="18">
        <f t="shared" si="12"/>
        <v>14.383006739624527</v>
      </c>
      <c r="AB171" s="18">
        <f t="shared" si="13"/>
        <v>50.114235052570706</v>
      </c>
      <c r="AC171" s="18">
        <f>$CP$15*Table2912[[#This Row],[DMD '[mg/g']]]+$CS$15*Table2912[[#This Row],[CH4 '[ml/g']]]+$CR$15*Table2912[[#This Row],[CH4 '[% GP']]]+$CQ$15*Table2912[[#This Row],[CH4 '[g/g DDM']]]</f>
        <v>11.735733637766153</v>
      </c>
      <c r="AD171" s="18">
        <f>_xlfn.RANK.AVG(Table2912[[#This Row],[Index]],Table2912[Index])</f>
        <v>326</v>
      </c>
      <c r="AE17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6.3765083624490204</v>
      </c>
      <c r="AF171" s="18">
        <f>Table2912[[#This Row],[CH4 '[ml/g']]]/Table2912[[#This Row],[APB]]</f>
        <v>5.7017540150190618</v>
      </c>
      <c r="AG171" s="18">
        <f>Table2912[[#This Row],[Propionate '[%']]]/Table2912[[#This Row],[Acetate '[%']]]</f>
        <v>0.27660152180777459</v>
      </c>
      <c r="AH171" s="51"/>
      <c r="AI171" s="18"/>
      <c r="AJ171" s="18"/>
      <c r="AK171" s="18">
        <f>(Table2912[[#This Row],[DMD '[mg/g']]]-$AK$15)/$AK$15*100</f>
        <v>47.971490639269632</v>
      </c>
      <c r="AL171" s="18">
        <f>(Table2912[[#This Row],[CH4 '[ml/g']]]-AL$15)/AL$15*100</f>
        <v>-7.5635870006264749</v>
      </c>
      <c r="AM171" s="18">
        <f>(Table2912[[#This Row],[CH4 '[% GP']]]-AM$15)/AM$15*100</f>
        <v>-7.3400404514268756</v>
      </c>
      <c r="AN171" s="18">
        <f>(Table2912[[#This Row],[CH4 '[g/g DDM']]]-AN$15)/AN$15*100</f>
        <v>-2.1503052204594919</v>
      </c>
      <c r="AO171" s="18"/>
      <c r="AP171" s="18"/>
      <c r="AR171">
        <f>_xlfn.NORM.DIST(Table2912[[#This Row],[GP '[ml/g']]],O$6,O$2,FALSE)</f>
        <v>7.4702133152595536E-3</v>
      </c>
      <c r="AS171">
        <f>_xlfn.NORM.DIST(Table2912[[#This Row],[SCFA '[mmol/g']]],P$6,P$2,FALSE)</f>
        <v>0.32856534923306902</v>
      </c>
      <c r="AT171">
        <f>_xlfn.NORM.DIST(Table2912[[#This Row],[Acetate '[%']]],Q$6,Q$2,FALSE)</f>
        <v>13.975382900042685</v>
      </c>
      <c r="AU171">
        <f>_xlfn.NORM.DIST(Table2912[[#This Row],[Propionate '[%']]],R$6,R$2,FALSE)</f>
        <v>13.759029214769688</v>
      </c>
      <c r="AV171">
        <f>_xlfn.NORM.DIST(Table2912[[#This Row],[Butyrate '[%']]],S$6,S$2,FALSE)</f>
        <v>20.91540058474548</v>
      </c>
      <c r="AW171">
        <f>_xlfn.NORM.DIST(Table2912[[#This Row],[Valerate '[%']]],T$6,T$2,FALSE)</f>
        <v>72.147220109017269</v>
      </c>
      <c r="AX171">
        <f>_xlfn.NORM.DIST(Table2912[[#This Row],[Caproate '[%']]],U$6,U$2,FALSE)</f>
        <v>392.244591090119</v>
      </c>
      <c r="AY171">
        <f>_xlfn.NORM.DIST(Table2912[[#This Row],[Isobutyrate '[%']]],V$6,V$2,FALSE)</f>
        <v>75.375079188404015</v>
      </c>
      <c r="AZ171">
        <f>_xlfn.NORM.DIST(Table2912[[#This Row],[Isovalerate '[%']]],W$6,W$2,FALSE)</f>
        <v>38.366182380749301</v>
      </c>
      <c r="BA171">
        <f>_xlfn.NORM.DIST(Table2912[[#This Row],[CH4 '[g/mmol SCFA']]],X$6,X$2,FALSE)</f>
        <v>0.23995230765632702</v>
      </c>
      <c r="BB171">
        <f>_xlfn.NORM.DIST(Table2912[[#This Row],[DMD '[mg/g']]],Y$6,Y$2,FALSE)</f>
        <v>2.7239435402846039E-3</v>
      </c>
      <c r="BC171">
        <f>_xlfn.NORM.DIST(Table2912[[#This Row],[CH4 '[ml/g']]],Z$6,Z$2,FALSE)</f>
        <v>3.0633896798506397E-2</v>
      </c>
      <c r="BD171">
        <f>_xlfn.NORM.DIST(Table2912[[#This Row],[CH4 '[% GP']]],AA$6,AA$2,FALSE)</f>
        <v>0.11457665525625106</v>
      </c>
      <c r="BE171">
        <f>_xlfn.NORM.DIST(Table2912[[#This Row],[CH4 '[g/g DDM']]],AB$6,AB$2,FALSE)</f>
        <v>3.1703425008862175E-2</v>
      </c>
      <c r="BG171">
        <f>IF(Table2912[[#This Row],[GP '[ml/g']]]&lt;O$10,_xlfn.NORM.DIST(Table2912[[#This Row],[GP '[ml/g']]],O$6,O$2,FALSE),-100)</f>
        <v>-100</v>
      </c>
      <c r="BH171">
        <f>IF(Table2912[[#This Row],[SCFA '[mmol/g']]]&lt;P$10,_xlfn.NORM.DIST(Table2912[[#This Row],[SCFA '[mmol/g']]],P$6,P$2,FALSE),-100)</f>
        <v>-100</v>
      </c>
      <c r="BI171">
        <f>IF(Table2912[[#This Row],[Acetate '[%']]]&lt;Q$10,_xlfn.NORM.DIST(Table2912[[#This Row],[Acetate '[%']]],Q$6,Q$2,FALSE),-100)</f>
        <v>-100</v>
      </c>
      <c r="BJ171">
        <f>IF(Table2912[[#This Row],[Propionate '[%']]]&lt;R$10,_xlfn.NORM.DIST(Table2912[[#This Row],[Propionate '[%']]],R$6,R$2,FALSE),-100)</f>
        <v>-100</v>
      </c>
      <c r="BK171">
        <f>IF(Table2912[[#This Row],[Butyrate '[%']]]&lt;S$10,_xlfn.NORM.DIST(Table2912[[#This Row],[Butyrate '[%']]],S$6,S$2,FALSE),-100)</f>
        <v>-100</v>
      </c>
      <c r="BL171">
        <f>IF(Table2912[[#This Row],[Valerate '[%']]]&lt;T$10,_xlfn.NORM.DIST(Table2912[[#This Row],[Valerate '[%']]],T$6,T$2,FALSE),-100)</f>
        <v>-100</v>
      </c>
      <c r="BM171">
        <f>IF(Table2912[[#This Row],[Caproate '[%']]]&lt;U$10,_xlfn.NORM.DIST(Table2912[[#This Row],[Caproate '[%']]],U$6,U$2,FALSE),-100)</f>
        <v>-100</v>
      </c>
      <c r="BN171">
        <f>IF(Table2912[[#This Row],[Isobutyrate '[%']]]&lt;V$10,_xlfn.NORM.DIST(Table2912[[#This Row],[Isobutyrate '[%']]],V$6,V$2,FALSE),-100)</f>
        <v>-100</v>
      </c>
      <c r="BO171">
        <f>IF(Table2912[[#This Row],[Isovalerate '[%']]]&lt;W$10,_xlfn.NORM.DIST(Table2912[[#This Row],[Isovalerate '[%']]],W$6,W$2,FALSE),-100)</f>
        <v>-100</v>
      </c>
      <c r="BP171">
        <f>IF(Table2912[[#This Row],[CH4 '[g/mmol SCFA']]]&lt;X$10,_xlfn.NORM.DIST(Table2912[[#This Row],[CH4 '[g/mmol SCFA']]],X$6,X$2,FALSE),-100)</f>
        <v>-100</v>
      </c>
      <c r="BQ171">
        <f>IF(Table2912[[#This Row],[DMD '[mg/g']]]&gt;Y$10,_xlfn.NORM.DIST(Table2912[[#This Row],[DMD '[mg/g']]],Y$6,Y$2,FALSE),-100)</f>
        <v>-100</v>
      </c>
      <c r="BR171">
        <f>IF(Table2912[[#This Row],[CH4 '[ml/g']]]&lt;Z$10,_xlfn.NORM.DIST(Table2912[[#This Row],[CH4 '[ml/g']]],Z$6,Z$2,FALSE),-100)</f>
        <v>-100</v>
      </c>
      <c r="BS171">
        <f>IF(Table2912[[#This Row],[CH4 '[% GP']]]&lt;AA$10,_xlfn.NORM.DIST(Table2912[[#This Row],[CH4 '[% GP']]],AA$6,AA$2,FALSE),-100)</f>
        <v>-100</v>
      </c>
      <c r="BT171">
        <f>IF(Table2912[[#This Row],[CH4 '[g/g DDM']]]&lt;AB$10,_xlfn.NORM.DIST(Table2912[[#This Row],[CH4 '[g/g DDM']]],AB$6,AB$2,FALSE),-100)</f>
        <v>-100</v>
      </c>
    </row>
    <row r="172" spans="1:90" x14ac:dyDescent="0.25">
      <c r="A172" s="12" t="s">
        <v>70</v>
      </c>
      <c r="B172" s="13">
        <v>993</v>
      </c>
      <c r="C172" s="96" t="s">
        <v>228</v>
      </c>
      <c r="D172" s="96"/>
      <c r="E172" s="96"/>
      <c r="F172" s="96" t="s">
        <v>229</v>
      </c>
      <c r="G172" t="s">
        <v>73</v>
      </c>
      <c r="H172" t="s">
        <v>74</v>
      </c>
      <c r="I172" t="s">
        <v>75</v>
      </c>
      <c r="J172" s="70">
        <v>3</v>
      </c>
      <c r="K172" s="70"/>
      <c r="L172" s="70"/>
      <c r="M172" t="s">
        <v>229</v>
      </c>
      <c r="N172" t="s">
        <v>180</v>
      </c>
      <c r="O172" s="18">
        <v>228.79752595537894</v>
      </c>
      <c r="P172" s="18">
        <v>5.9153512868545501</v>
      </c>
      <c r="Q172" s="97">
        <v>0.7139878216158474</v>
      </c>
      <c r="R172" s="97">
        <v>0.13859065777381607</v>
      </c>
      <c r="S172" s="97">
        <v>9.2776233610786504E-2</v>
      </c>
      <c r="T172" s="97">
        <v>1.4183475466120758E-2</v>
      </c>
      <c r="U172" s="97">
        <v>1.0960771219220731E-3</v>
      </c>
      <c r="V172" s="97">
        <v>1.2967267651781276E-2</v>
      </c>
      <c r="W172" s="97">
        <v>2.6398466759725996E-2</v>
      </c>
      <c r="X172" s="51">
        <f t="shared" si="11"/>
        <v>5.2916100127833818</v>
      </c>
      <c r="Y172" s="18">
        <v>725.85027890400397</v>
      </c>
      <c r="Z172" s="18">
        <v>31.3017320986506</v>
      </c>
      <c r="AA172" s="18">
        <f t="shared" si="12"/>
        <v>13.680974900382095</v>
      </c>
      <c r="AB172" s="18">
        <f t="shared" si="13"/>
        <v>43.124226866613022</v>
      </c>
      <c r="AC172" s="18">
        <f>$CP$15*Table2912[[#This Row],[DMD '[mg/g']]]+$CS$15*Table2912[[#This Row],[CH4 '[ml/g']]]+$CR$15*Table2912[[#This Row],[CH4 '[% GP']]]+$CQ$15*Table2912[[#This Row],[CH4 '[g/g DDM']]]</f>
        <v>15.154063140992946</v>
      </c>
      <c r="AD172" s="18">
        <f>_xlfn.RANK.AVG(Table2912[[#This Row],[Index]],Table2912[Index])</f>
        <v>266</v>
      </c>
      <c r="AE17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5.5921052180812261</v>
      </c>
      <c r="AF172" s="18">
        <f>Table2912[[#This Row],[CH4 '[ml/g']]]/Table2912[[#This Row],[APB]]</f>
        <v>5.5974862557022682</v>
      </c>
      <c r="AG172" s="18">
        <f>Table2912[[#This Row],[Propionate '[%']]]/Table2912[[#This Row],[Acetate '[%']]]</f>
        <v>0.19410787352110204</v>
      </c>
      <c r="AH172" s="51"/>
      <c r="AI172" s="18"/>
      <c r="AJ172" s="18"/>
      <c r="AK172" s="18">
        <f>(Table2912[[#This Row],[DMD '[mg/g']]]-$AK$15)/$AK$15*100</f>
        <v>48.045357101105196</v>
      </c>
      <c r="AL172" s="18">
        <f>(Table2912[[#This Row],[CH4 '[ml/g']]]-AL$15)/AL$15*100</f>
        <v>-20.417048135211274</v>
      </c>
      <c r="AM172" s="18">
        <f>(Table2912[[#This Row],[CH4 '[% GP']]]-AM$15)/AM$15*100</f>
        <v>-11.86275555568972</v>
      </c>
      <c r="AN172" s="18">
        <f>(Table2912[[#This Row],[CH4 '[g/g DDM']]]-AN$15)/AN$15*100</f>
        <v>-15.798526465080954</v>
      </c>
      <c r="AO172" s="18"/>
      <c r="AP172" s="18"/>
      <c r="AR172">
        <f>_xlfn.NORM.DIST(Table2912[[#This Row],[GP '[ml/g']]],O$6,O$2,FALSE)</f>
        <v>6.5994420108559382E-3</v>
      </c>
      <c r="AS172">
        <f>_xlfn.NORM.DIST(Table2912[[#This Row],[SCFA '[mmol/g']]],P$6,P$2,FALSE)</f>
        <v>0.29083281002497879</v>
      </c>
      <c r="AT172">
        <f>_xlfn.NORM.DIST(Table2912[[#This Row],[Acetate '[%']]],Q$6,Q$2,FALSE)</f>
        <v>4.9970863334980633</v>
      </c>
      <c r="AU172">
        <f>_xlfn.NORM.DIST(Table2912[[#This Row],[Propionate '[%']]],R$6,R$2,FALSE)</f>
        <v>6.2966891870497985</v>
      </c>
      <c r="AV172">
        <f>_xlfn.NORM.DIST(Table2912[[#This Row],[Butyrate '[%']]],S$6,S$2,FALSE)</f>
        <v>23.02923816225557</v>
      </c>
      <c r="AW172">
        <f>_xlfn.NORM.DIST(Table2912[[#This Row],[Valerate '[%']]],T$6,T$2,FALSE)</f>
        <v>61.658370079616653</v>
      </c>
      <c r="AX172">
        <f>_xlfn.NORM.DIST(Table2912[[#This Row],[Caproate '[%']]],U$6,U$2,FALSE)</f>
        <v>395.19849048236875</v>
      </c>
      <c r="AY172">
        <f>_xlfn.NORM.DIST(Table2912[[#This Row],[Isobutyrate '[%']]],V$6,V$2,FALSE)</f>
        <v>78.296040187547533</v>
      </c>
      <c r="AZ172">
        <f>_xlfn.NORM.DIST(Table2912[[#This Row],[Isovalerate '[%']]],W$6,W$2,FALSE)</f>
        <v>44.774873788619203</v>
      </c>
      <c r="BA172">
        <f>_xlfn.NORM.DIST(Table2912[[#This Row],[CH4 '[g/mmol SCFA']]],X$6,X$2,FALSE)</f>
        <v>0.22636160680480241</v>
      </c>
      <c r="BB172">
        <f>_xlfn.NORM.DIST(Table2912[[#This Row],[DMD '[mg/g']]],Y$6,Y$2,FALSE)</f>
        <v>2.726597453392504E-3</v>
      </c>
      <c r="BC172">
        <f>_xlfn.NORM.DIST(Table2912[[#This Row],[CH4 '[ml/g']]],Z$6,Z$2,FALSE)</f>
        <v>2.3387542811633716E-2</v>
      </c>
      <c r="BD172">
        <f>_xlfn.NORM.DIST(Table2912[[#This Row],[CH4 '[% GP']]],AA$6,AA$2,FALSE)</f>
        <v>9.7342196382213864E-2</v>
      </c>
      <c r="BE172">
        <f>_xlfn.NORM.DIST(Table2912[[#This Row],[CH4 '[g/g DDM']]],AB$6,AB$2,FALSE)</f>
        <v>2.3038888911294964E-2</v>
      </c>
      <c r="BG172">
        <f>IF(Table2912[[#This Row],[GP '[ml/g']]]&lt;O$10,_xlfn.NORM.DIST(Table2912[[#This Row],[GP '[ml/g']]],O$6,O$2,FALSE),-100)</f>
        <v>-100</v>
      </c>
      <c r="BH172">
        <f>IF(Table2912[[#This Row],[SCFA '[mmol/g']]]&lt;P$10,_xlfn.NORM.DIST(Table2912[[#This Row],[SCFA '[mmol/g']]],P$6,P$2,FALSE),-100)</f>
        <v>-100</v>
      </c>
      <c r="BI172">
        <f>IF(Table2912[[#This Row],[Acetate '[%']]]&lt;Q$10,_xlfn.NORM.DIST(Table2912[[#This Row],[Acetate '[%']]],Q$6,Q$2,FALSE),-100)</f>
        <v>-100</v>
      </c>
      <c r="BJ172">
        <f>IF(Table2912[[#This Row],[Propionate '[%']]]&lt;R$10,_xlfn.NORM.DIST(Table2912[[#This Row],[Propionate '[%']]],R$6,R$2,FALSE),-100)</f>
        <v>6.2966891870497985</v>
      </c>
      <c r="BK172">
        <f>IF(Table2912[[#This Row],[Butyrate '[%']]]&lt;S$10,_xlfn.NORM.DIST(Table2912[[#This Row],[Butyrate '[%']]],S$6,S$2,FALSE),-100)</f>
        <v>-100</v>
      </c>
      <c r="BL172">
        <f>IF(Table2912[[#This Row],[Valerate '[%']]]&lt;T$10,_xlfn.NORM.DIST(Table2912[[#This Row],[Valerate '[%']]],T$6,T$2,FALSE),-100)</f>
        <v>-100</v>
      </c>
      <c r="BM172">
        <f>IF(Table2912[[#This Row],[Caproate '[%']]]&lt;U$10,_xlfn.NORM.DIST(Table2912[[#This Row],[Caproate '[%']]],U$6,U$2,FALSE),-100)</f>
        <v>-100</v>
      </c>
      <c r="BN172">
        <f>IF(Table2912[[#This Row],[Isobutyrate '[%']]]&lt;V$10,_xlfn.NORM.DIST(Table2912[[#This Row],[Isobutyrate '[%']]],V$6,V$2,FALSE),-100)</f>
        <v>-100</v>
      </c>
      <c r="BO172">
        <f>IF(Table2912[[#This Row],[Isovalerate '[%']]]&lt;W$10,_xlfn.NORM.DIST(Table2912[[#This Row],[Isovalerate '[%']]],W$6,W$2,FALSE),-100)</f>
        <v>-100</v>
      </c>
      <c r="BP172">
        <f>IF(Table2912[[#This Row],[CH4 '[g/mmol SCFA']]]&lt;X$10,_xlfn.NORM.DIST(Table2912[[#This Row],[CH4 '[g/mmol SCFA']]],X$6,X$2,FALSE),-100)</f>
        <v>-100</v>
      </c>
      <c r="BQ172">
        <f>IF(Table2912[[#This Row],[DMD '[mg/g']]]&gt;Y$10,_xlfn.NORM.DIST(Table2912[[#This Row],[DMD '[mg/g']]],Y$6,Y$2,FALSE),-100)</f>
        <v>-100</v>
      </c>
      <c r="BR172">
        <f>IF(Table2912[[#This Row],[CH4 '[ml/g']]]&lt;Z$10,_xlfn.NORM.DIST(Table2912[[#This Row],[CH4 '[ml/g']]],Z$6,Z$2,FALSE),-100)</f>
        <v>-100</v>
      </c>
      <c r="BS172">
        <f>IF(Table2912[[#This Row],[CH4 '[% GP']]]&lt;AA$10,_xlfn.NORM.DIST(Table2912[[#This Row],[CH4 '[% GP']]],AA$6,AA$2,FALSE),-100)</f>
        <v>-100</v>
      </c>
      <c r="BT172">
        <f>IF(Table2912[[#This Row],[CH4 '[g/g DDM']]]&lt;AB$10,_xlfn.NORM.DIST(Table2912[[#This Row],[CH4 '[g/g DDM']]],AB$6,AB$2,FALSE),-100)</f>
        <v>-100</v>
      </c>
    </row>
    <row r="173" spans="1:90" x14ac:dyDescent="0.25">
      <c r="A173" s="12" t="s">
        <v>70</v>
      </c>
      <c r="B173" s="13">
        <v>1015</v>
      </c>
      <c r="C173" s="96" t="s">
        <v>176</v>
      </c>
      <c r="D173" s="96"/>
      <c r="E173" s="96"/>
      <c r="F173" s="96" t="s">
        <v>177</v>
      </c>
      <c r="G173" t="s">
        <v>73</v>
      </c>
      <c r="H173" t="s">
        <v>74</v>
      </c>
      <c r="I173" t="s">
        <v>75</v>
      </c>
      <c r="J173" s="107">
        <v>1</v>
      </c>
      <c r="K173" s="107"/>
      <c r="L173" s="107"/>
      <c r="M173" t="s">
        <v>177</v>
      </c>
      <c r="N173" t="s">
        <v>80</v>
      </c>
      <c r="O173" s="18">
        <v>280.65996055226896</v>
      </c>
      <c r="P173" s="18">
        <v>6.501039899033211</v>
      </c>
      <c r="Q173" s="97">
        <v>0.68713647862113603</v>
      </c>
      <c r="R173" s="97">
        <v>0.14749406154437802</v>
      </c>
      <c r="S173" s="97">
        <v>0.10274059179261874</v>
      </c>
      <c r="T173" s="97">
        <v>1.9942514509815504E-2</v>
      </c>
      <c r="U173" s="97">
        <v>2.1342266414012302E-3</v>
      </c>
      <c r="V173" s="97">
        <v>1.4240010287763418E-2</v>
      </c>
      <c r="W173" s="97">
        <v>2.6312116602886834E-2</v>
      </c>
      <c r="X173" s="51">
        <f t="shared" si="11"/>
        <v>5.8800981181747565</v>
      </c>
      <c r="Y173" s="18">
        <v>728.10473312145587</v>
      </c>
      <c r="Z173" s="18">
        <v>38.226752476484194</v>
      </c>
      <c r="AA173" s="18">
        <f t="shared" si="12"/>
        <v>13.620308504734149</v>
      </c>
      <c r="AB173" s="18">
        <f t="shared" si="13"/>
        <v>52.501722262678314</v>
      </c>
      <c r="AC173" s="18">
        <f>$CP$15*Table2912[[#This Row],[DMD '[mg/g']]]+$CS$15*Table2912[[#This Row],[CH4 '[ml/g']]]+$CR$15*Table2912[[#This Row],[CH4 '[% GP']]]+$CQ$15*Table2912[[#This Row],[CH4 '[g/g DDM']]]</f>
        <v>11.100360713323234</v>
      </c>
      <c r="AD173" s="18">
        <f>_xlfn.RANK.AVG(Table2912[[#This Row],[Index]],Table2912[Index])</f>
        <v>346</v>
      </c>
      <c r="AE17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6.0938871290617467</v>
      </c>
      <c r="AF173" s="18">
        <f>Table2912[[#This Row],[CH4 '[ml/g']]]/Table2912[[#This Row],[APB]]</f>
        <v>6.2729669366832903</v>
      </c>
      <c r="AG173" s="18">
        <f>Table2912[[#This Row],[Propionate '[%']]]/Table2912[[#This Row],[Acetate '[%']]]</f>
        <v>0.2146503149423119</v>
      </c>
      <c r="AH173" s="51"/>
      <c r="AI173" s="18"/>
      <c r="AJ173" s="18"/>
      <c r="AK173" s="18">
        <f>(Table2912[[#This Row],[DMD '[mg/g']]]-$AK$15)/$AK$15*100</f>
        <v>48.505178484923803</v>
      </c>
      <c r="AL173" s="18">
        <f>(Table2912[[#This Row],[CH4 '[ml/g']]]-AL$15)/AL$15*100</f>
        <v>-2.8105603646648607</v>
      </c>
      <c r="AM173" s="18">
        <f>(Table2912[[#This Row],[CH4 '[% GP']]]-AM$15)/AM$15*100</f>
        <v>-12.253588005987462</v>
      </c>
      <c r="AN173" s="18">
        <f>(Table2912[[#This Row],[CH4 '[g/g DDM']]]-AN$15)/AN$15*100</f>
        <v>2.5113422047485363</v>
      </c>
      <c r="AO173" s="18"/>
      <c r="AP173" s="18"/>
      <c r="AR173">
        <f>_xlfn.NORM.DIST(Table2912[[#This Row],[GP '[ml/g']]],O$6,O$2,FALSE)</f>
        <v>6.691642866424514E-3</v>
      </c>
      <c r="AS173">
        <f>_xlfn.NORM.DIST(Table2912[[#This Row],[SCFA '[mmol/g']]],P$6,P$2,FALSE)</f>
        <v>0.33259003525285591</v>
      </c>
      <c r="AT173">
        <f>_xlfn.NORM.DIST(Table2912[[#This Row],[Acetate '[%']]],Q$6,Q$2,FALSE)</f>
        <v>12.423944919743658</v>
      </c>
      <c r="AU173">
        <f>_xlfn.NORM.DIST(Table2912[[#This Row],[Propionate '[%']]],R$6,R$2,FALSE)</f>
        <v>9.9210688866356289</v>
      </c>
      <c r="AV173">
        <f>_xlfn.NORM.DIST(Table2912[[#This Row],[Butyrate '[%']]],S$6,S$2,FALSE)</f>
        <v>19.612356316143785</v>
      </c>
      <c r="AW173">
        <f>_xlfn.NORM.DIST(Table2912[[#This Row],[Valerate '[%']]],T$6,T$2,FALSE)</f>
        <v>70.161728198374291</v>
      </c>
      <c r="AX173">
        <f>_xlfn.NORM.DIST(Table2912[[#This Row],[Caproate '[%']]],U$6,U$2,FALSE)</f>
        <v>291.40546189088661</v>
      </c>
      <c r="AY173">
        <f>_xlfn.NORM.DIST(Table2912[[#This Row],[Isobutyrate '[%']]],V$6,V$2,FALSE)</f>
        <v>87.523941576706832</v>
      </c>
      <c r="AZ173">
        <f>_xlfn.NORM.DIST(Table2912[[#This Row],[Isovalerate '[%']]],W$6,W$2,FALSE)</f>
        <v>44.697738499944549</v>
      </c>
      <c r="BA173">
        <f>_xlfn.NORM.DIST(Table2912[[#This Row],[CH4 '[g/mmol SCFA']]],X$6,X$2,FALSE)</f>
        <v>0.28430650751086656</v>
      </c>
      <c r="BB173">
        <f>_xlfn.NORM.DIST(Table2912[[#This Row],[DMD '[mg/g']]],Y$6,Y$2,FALSE)</f>
        <v>2.7427441468738357E-3</v>
      </c>
      <c r="BC173">
        <f>_xlfn.NORM.DIST(Table2912[[#This Row],[CH4 '[ml/g']]],Z$6,Z$2,FALSE)</f>
        <v>3.2338345759795918E-2</v>
      </c>
      <c r="BD173">
        <f>_xlfn.NORM.DIST(Table2912[[#This Row],[CH4 '[% GP']]],AA$6,AA$2,FALSE)</f>
        <v>9.5727703088317767E-2</v>
      </c>
      <c r="BE173">
        <f>_xlfn.NORM.DIST(Table2912[[#This Row],[CH4 '[g/g DDM']]],AB$6,AB$2,FALSE)</f>
        <v>3.2771287988843385E-2</v>
      </c>
      <c r="BG173">
        <f>IF(Table2912[[#This Row],[GP '[ml/g']]]&lt;O$10,_xlfn.NORM.DIST(Table2912[[#This Row],[GP '[ml/g']]],O$6,O$2,FALSE),-100)</f>
        <v>-100</v>
      </c>
      <c r="BH173">
        <f>IF(Table2912[[#This Row],[SCFA '[mmol/g']]]&lt;P$10,_xlfn.NORM.DIST(Table2912[[#This Row],[SCFA '[mmol/g']]],P$6,P$2,FALSE),-100)</f>
        <v>-100</v>
      </c>
      <c r="BI173">
        <f>IF(Table2912[[#This Row],[Acetate '[%']]]&lt;Q$10,_xlfn.NORM.DIST(Table2912[[#This Row],[Acetate '[%']]],Q$6,Q$2,FALSE),-100)</f>
        <v>-100</v>
      </c>
      <c r="BJ173">
        <f>IF(Table2912[[#This Row],[Propionate '[%']]]&lt;R$10,_xlfn.NORM.DIST(Table2912[[#This Row],[Propionate '[%']]],R$6,R$2,FALSE),-100)</f>
        <v>9.9210688866356289</v>
      </c>
      <c r="BK173">
        <f>IF(Table2912[[#This Row],[Butyrate '[%']]]&lt;S$10,_xlfn.NORM.DIST(Table2912[[#This Row],[Butyrate '[%']]],S$6,S$2,FALSE),-100)</f>
        <v>-100</v>
      </c>
      <c r="BL173">
        <f>IF(Table2912[[#This Row],[Valerate '[%']]]&lt;T$10,_xlfn.NORM.DIST(Table2912[[#This Row],[Valerate '[%']]],T$6,T$2,FALSE),-100)</f>
        <v>-100</v>
      </c>
      <c r="BM173">
        <f>IF(Table2912[[#This Row],[Caproate '[%']]]&lt;U$10,_xlfn.NORM.DIST(Table2912[[#This Row],[Caproate '[%']]],U$6,U$2,FALSE),-100)</f>
        <v>-100</v>
      </c>
      <c r="BN173">
        <f>IF(Table2912[[#This Row],[Isobutyrate '[%']]]&lt;V$10,_xlfn.NORM.DIST(Table2912[[#This Row],[Isobutyrate '[%']]],V$6,V$2,FALSE),-100)</f>
        <v>-100</v>
      </c>
      <c r="BO173">
        <f>IF(Table2912[[#This Row],[Isovalerate '[%']]]&lt;W$10,_xlfn.NORM.DIST(Table2912[[#This Row],[Isovalerate '[%']]],W$6,W$2,FALSE),-100)</f>
        <v>-100</v>
      </c>
      <c r="BP173">
        <f>IF(Table2912[[#This Row],[CH4 '[g/mmol SCFA']]]&lt;X$10,_xlfn.NORM.DIST(Table2912[[#This Row],[CH4 '[g/mmol SCFA']]],X$6,X$2,FALSE),-100)</f>
        <v>-100</v>
      </c>
      <c r="BQ173">
        <f>IF(Table2912[[#This Row],[DMD '[mg/g']]]&gt;Y$10,_xlfn.NORM.DIST(Table2912[[#This Row],[DMD '[mg/g']]],Y$6,Y$2,FALSE),-100)</f>
        <v>-100</v>
      </c>
      <c r="BR173">
        <f>IF(Table2912[[#This Row],[CH4 '[ml/g']]]&lt;Z$10,_xlfn.NORM.DIST(Table2912[[#This Row],[CH4 '[ml/g']]],Z$6,Z$2,FALSE),-100)</f>
        <v>-100</v>
      </c>
      <c r="BS173">
        <f>IF(Table2912[[#This Row],[CH4 '[% GP']]]&lt;AA$10,_xlfn.NORM.DIST(Table2912[[#This Row],[CH4 '[% GP']]],AA$6,AA$2,FALSE),-100)</f>
        <v>-100</v>
      </c>
      <c r="BT173">
        <f>IF(Table2912[[#This Row],[CH4 '[g/g DDM']]]&lt;AB$10,_xlfn.NORM.DIST(Table2912[[#This Row],[CH4 '[g/g DDM']]],AB$6,AB$2,FALSE),-100)</f>
        <v>-100</v>
      </c>
    </row>
    <row r="174" spans="1:90" x14ac:dyDescent="0.25">
      <c r="A174" s="12" t="s">
        <v>200</v>
      </c>
      <c r="B174" s="13">
        <v>1141</v>
      </c>
      <c r="C174" s="117" t="s">
        <v>251</v>
      </c>
      <c r="D174" s="117" t="s">
        <v>233</v>
      </c>
      <c r="E174" s="117" t="s">
        <v>234</v>
      </c>
      <c r="F174" s="117" t="s">
        <v>235</v>
      </c>
      <c r="G174" t="s">
        <v>73</v>
      </c>
      <c r="H174" t="s">
        <v>74</v>
      </c>
      <c r="I174" t="s">
        <v>75</v>
      </c>
      <c r="J174" s="70">
        <v>2</v>
      </c>
      <c r="K174" s="70"/>
      <c r="L174" s="70"/>
      <c r="M174" t="s">
        <v>252</v>
      </c>
      <c r="N174" t="s">
        <v>171</v>
      </c>
      <c r="O174" s="18">
        <v>260.39403900942375</v>
      </c>
      <c r="P174" s="18">
        <v>6.2039730805756452</v>
      </c>
      <c r="Q174" s="97">
        <v>0.68998057790929823</v>
      </c>
      <c r="R174" s="97">
        <v>0.15720133420118329</v>
      </c>
      <c r="S174" s="97">
        <v>9.3809770919307173E-2</v>
      </c>
      <c r="T174" s="97">
        <v>1.5947716170545613E-2</v>
      </c>
      <c r="U174" s="97">
        <v>1.0385042320504322E-3</v>
      </c>
      <c r="V174" s="97">
        <v>1.4687671182819394E-2</v>
      </c>
      <c r="W174" s="97">
        <v>2.7334425384795753E-2</v>
      </c>
      <c r="X174" s="51">
        <f t="shared" si="11"/>
        <v>7.4133620667930531</v>
      </c>
      <c r="Y174" s="18">
        <v>730.19721256900766</v>
      </c>
      <c r="Z174" s="18">
        <v>45.99229869894473</v>
      </c>
      <c r="AA174" s="18">
        <f t="shared" si="12"/>
        <v>17.662577405345388</v>
      </c>
      <c r="AB174" s="18">
        <f t="shared" si="13"/>
        <v>62.986132934050616</v>
      </c>
      <c r="AC174" s="18">
        <f>$CP$15*Table2912[[#This Row],[DMD '[mg/g']]]+$CS$15*Table2912[[#This Row],[CH4 '[ml/g']]]+$CR$15*Table2912[[#This Row],[CH4 '[% GP']]]+$CQ$15*Table2912[[#This Row],[CH4 '[g/g DDM']]]</f>
        <v>5.3236115319554926</v>
      </c>
      <c r="AD174" s="18">
        <f>_xlfn.RANK.AVG(Table2912[[#This Row],[Index]],Table2912[Index])</f>
        <v>405</v>
      </c>
      <c r="AE17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5.8378870705623793</v>
      </c>
      <c r="AF174" s="18">
        <f>Table2912[[#This Row],[CH4 '[ml/g']]]/Table2912[[#This Row],[APB]]</f>
        <v>7.8782439850303865</v>
      </c>
      <c r="AG174" s="18">
        <f>Table2912[[#This Row],[Propionate '[%']]]/Table2912[[#This Row],[Acetate '[%']]]</f>
        <v>0.22783443365538947</v>
      </c>
      <c r="AH174" s="51"/>
      <c r="AI174" s="18"/>
      <c r="AJ174" s="18"/>
      <c r="AK174" s="18">
        <f>(Table2912[[#This Row],[DMD '[mg/g']]]-$AK$15)/$AK$15*100</f>
        <v>48.931963286201665</v>
      </c>
      <c r="AL174" s="18">
        <f>(Table2912[[#This Row],[CH4 '[ml/g']]]-AL$15)/AL$15*100</f>
        <v>16.932918663210106</v>
      </c>
      <c r="AM174" s="18">
        <f>(Table2912[[#This Row],[CH4 '[% GP']]]-AM$15)/AM$15*100</f>
        <v>13.78800952613401</v>
      </c>
      <c r="AN174" s="18">
        <f>(Table2912[[#This Row],[CH4 '[g/g DDM']]]-AN$15)/AN$15*100</f>
        <v>22.982499413093709</v>
      </c>
      <c r="AO174" s="18"/>
      <c r="AP174" s="18"/>
      <c r="AR174">
        <f>_xlfn.NORM.DIST(Table2912[[#This Row],[GP '[ml/g']]],O$6,O$2,FALSE)</f>
        <v>7.4483100518351096E-3</v>
      </c>
      <c r="AS174">
        <f>_xlfn.NORM.DIST(Table2912[[#This Row],[SCFA '[mmol/g']]],P$6,P$2,FALSE)</f>
        <v>0.32011664294139408</v>
      </c>
      <c r="AT174">
        <f>_xlfn.NORM.DIST(Table2912[[#This Row],[Acetate '[%']]],Q$6,Q$2,FALSE)</f>
        <v>11.767733125850494</v>
      </c>
      <c r="AU174">
        <f>_xlfn.NORM.DIST(Table2912[[#This Row],[Propionate '[%']]],R$6,R$2,FALSE)</f>
        <v>13.878325997049544</v>
      </c>
      <c r="AV174">
        <f>_xlfn.NORM.DIST(Table2912[[#This Row],[Butyrate '[%']]],S$6,S$2,FALSE)</f>
        <v>22.999815203157571</v>
      </c>
      <c r="AW174">
        <f>_xlfn.NORM.DIST(Table2912[[#This Row],[Valerate '[%']]],T$6,T$2,FALSE)</f>
        <v>73.24525166327598</v>
      </c>
      <c r="AX174">
        <f>_xlfn.NORM.DIST(Table2912[[#This Row],[Caproate '[%']]],U$6,U$2,FALSE)</f>
        <v>388.95719375195176</v>
      </c>
      <c r="AY174">
        <f>_xlfn.NORM.DIST(Table2912[[#This Row],[Isobutyrate '[%']]],V$6,V$2,FALSE)</f>
        <v>89.249271849462986</v>
      </c>
      <c r="AZ174">
        <f>_xlfn.NORM.DIST(Table2912[[#This Row],[Isovalerate '[%']]],W$6,W$2,FALSE)</f>
        <v>45.33739317877837</v>
      </c>
      <c r="BA174">
        <f>_xlfn.NORM.DIST(Table2912[[#This Row],[CH4 '[g/mmol SCFA']]],X$6,X$2,FALSE)</f>
        <v>0.20848954106292772</v>
      </c>
      <c r="BB174">
        <f>_xlfn.NORM.DIST(Table2912[[#This Row],[DMD '[mg/g']]],Y$6,Y$2,FALSE)</f>
        <v>2.7571462691489221E-3</v>
      </c>
      <c r="BC174">
        <f>_xlfn.NORM.DIST(Table2912[[#This Row],[CH4 '[ml/g']]],Z$6,Z$2,FALSE)</f>
        <v>3.1102352226421316E-2</v>
      </c>
      <c r="BD174">
        <f>_xlfn.NORM.DIST(Table2912[[#This Row],[CH4 '[% GP']]],AA$6,AA$2,FALSE)</f>
        <v>0.11654207434000562</v>
      </c>
      <c r="BE174">
        <f>_xlfn.NORM.DIST(Table2912[[#This Row],[CH4 '[g/g DDM']]],AB$6,AB$2,FALSE)</f>
        <v>2.3985629336230798E-2</v>
      </c>
      <c r="BG174">
        <f>IF(Table2912[[#This Row],[GP '[ml/g']]]&lt;O$10,_xlfn.NORM.DIST(Table2912[[#This Row],[GP '[ml/g']]],O$6,O$2,FALSE),-100)</f>
        <v>-100</v>
      </c>
      <c r="BH174">
        <f>IF(Table2912[[#This Row],[SCFA '[mmol/g']]]&lt;P$10,_xlfn.NORM.DIST(Table2912[[#This Row],[SCFA '[mmol/g']]],P$6,P$2,FALSE),-100)</f>
        <v>-100</v>
      </c>
      <c r="BI174">
        <f>IF(Table2912[[#This Row],[Acetate '[%']]]&lt;Q$10,_xlfn.NORM.DIST(Table2912[[#This Row],[Acetate '[%']]],Q$6,Q$2,FALSE),-100)</f>
        <v>-100</v>
      </c>
      <c r="BJ174">
        <f>IF(Table2912[[#This Row],[Propionate '[%']]]&lt;R$10,_xlfn.NORM.DIST(Table2912[[#This Row],[Propionate '[%']]],R$6,R$2,FALSE),-100)</f>
        <v>-100</v>
      </c>
      <c r="BK174">
        <f>IF(Table2912[[#This Row],[Butyrate '[%']]]&lt;S$10,_xlfn.NORM.DIST(Table2912[[#This Row],[Butyrate '[%']]],S$6,S$2,FALSE),-100)</f>
        <v>-100</v>
      </c>
      <c r="BL174">
        <f>IF(Table2912[[#This Row],[Valerate '[%']]]&lt;T$10,_xlfn.NORM.DIST(Table2912[[#This Row],[Valerate '[%']]],T$6,T$2,FALSE),-100)</f>
        <v>-100</v>
      </c>
      <c r="BM174">
        <f>IF(Table2912[[#This Row],[Caproate '[%']]]&lt;U$10,_xlfn.NORM.DIST(Table2912[[#This Row],[Caproate '[%']]],U$6,U$2,FALSE),-100)</f>
        <v>-100</v>
      </c>
      <c r="BN174">
        <f>IF(Table2912[[#This Row],[Isobutyrate '[%']]]&lt;V$10,_xlfn.NORM.DIST(Table2912[[#This Row],[Isobutyrate '[%']]],V$6,V$2,FALSE),-100)</f>
        <v>-100</v>
      </c>
      <c r="BO174">
        <f>IF(Table2912[[#This Row],[Isovalerate '[%']]]&lt;W$10,_xlfn.NORM.DIST(Table2912[[#This Row],[Isovalerate '[%']]],W$6,W$2,FALSE),-100)</f>
        <v>-100</v>
      </c>
      <c r="BP174">
        <f>IF(Table2912[[#This Row],[CH4 '[g/mmol SCFA']]]&lt;X$10,_xlfn.NORM.DIST(Table2912[[#This Row],[CH4 '[g/mmol SCFA']]],X$6,X$2,FALSE),-100)</f>
        <v>-100</v>
      </c>
      <c r="BQ174">
        <f>IF(Table2912[[#This Row],[DMD '[mg/g']]]&gt;Y$10,_xlfn.NORM.DIST(Table2912[[#This Row],[DMD '[mg/g']]],Y$6,Y$2,FALSE),-100)</f>
        <v>-100</v>
      </c>
      <c r="BR174">
        <f>IF(Table2912[[#This Row],[CH4 '[ml/g']]]&lt;Z$10,_xlfn.NORM.DIST(Table2912[[#This Row],[CH4 '[ml/g']]],Z$6,Z$2,FALSE),-100)</f>
        <v>-100</v>
      </c>
      <c r="BS174">
        <f>IF(Table2912[[#This Row],[CH4 '[% GP']]]&lt;AA$10,_xlfn.NORM.DIST(Table2912[[#This Row],[CH4 '[% GP']]],AA$6,AA$2,FALSE),-100)</f>
        <v>-100</v>
      </c>
      <c r="BT174">
        <f>IF(Table2912[[#This Row],[CH4 '[g/g DDM']]]&lt;AB$10,_xlfn.NORM.DIST(Table2912[[#This Row],[CH4 '[g/g DDM']]],AB$6,AB$2,FALSE),-100)</f>
        <v>-100</v>
      </c>
    </row>
    <row r="175" spans="1:90" x14ac:dyDescent="0.25">
      <c r="A175" s="12" t="s">
        <v>200</v>
      </c>
      <c r="B175" s="13">
        <v>1138</v>
      </c>
      <c r="C175" s="117" t="s">
        <v>243</v>
      </c>
      <c r="D175" s="117" t="s">
        <v>233</v>
      </c>
      <c r="E175" s="117" t="s">
        <v>234</v>
      </c>
      <c r="F175" s="117" t="s">
        <v>235</v>
      </c>
      <c r="G175" t="s">
        <v>73</v>
      </c>
      <c r="H175" t="s">
        <v>74</v>
      </c>
      <c r="I175" t="s">
        <v>75</v>
      </c>
      <c r="J175" s="70">
        <v>1</v>
      </c>
      <c r="K175" s="70"/>
      <c r="L175" s="70"/>
      <c r="M175" t="s">
        <v>244</v>
      </c>
      <c r="N175" t="s">
        <v>171</v>
      </c>
      <c r="O175" s="18">
        <v>248.81086715458008</v>
      </c>
      <c r="P175" s="18">
        <v>5.8435120135931129</v>
      </c>
      <c r="Q175" s="97">
        <v>0.69629409130627806</v>
      </c>
      <c r="R175" s="97">
        <v>0.16731635989573351</v>
      </c>
      <c r="S175" s="97">
        <v>8.4441659424678933E-2</v>
      </c>
      <c r="T175" s="97">
        <v>1.4679214000407493E-2</v>
      </c>
      <c r="U175" s="97">
        <v>8.7588861996391084E-4</v>
      </c>
      <c r="V175" s="97">
        <v>1.2943502233443104E-2</v>
      </c>
      <c r="W175" s="97">
        <v>2.344928451949492E-2</v>
      </c>
      <c r="X175" s="51">
        <f t="shared" si="11"/>
        <v>7.7326588984226508</v>
      </c>
      <c r="Y175" s="18">
        <v>730.68473726213369</v>
      </c>
      <c r="Z175" s="18">
        <v>45.185885169950446</v>
      </c>
      <c r="AA175" s="18">
        <f t="shared" si="12"/>
        <v>18.160736179532531</v>
      </c>
      <c r="AB175" s="18">
        <f t="shared" si="13"/>
        <v>61.840466709707627</v>
      </c>
      <c r="AC175" s="18">
        <f>$CP$15*Table2912[[#This Row],[DMD '[mg/g']]]+$CS$15*Table2912[[#This Row],[CH4 '[ml/g']]]+$CR$15*Table2912[[#This Row],[CH4 '[% GP']]]+$CQ$15*Table2912[[#This Row],[CH4 '[g/g DDM']]]</f>
        <v>5.7355951663284799</v>
      </c>
      <c r="AD175" s="18">
        <f>_xlfn.RANK.AVG(Table2912[[#This Row],[Index]],Table2912[Index])</f>
        <v>402</v>
      </c>
      <c r="AE17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5.5399538979593732</v>
      </c>
      <c r="AF175" s="18">
        <f>Table2912[[#This Row],[CH4 '[ml/g']]]/Table2912[[#This Row],[APB]]</f>
        <v>8.1563648366450376</v>
      </c>
      <c r="AG175" s="18">
        <f>Table2912[[#This Row],[Propionate '[%']]]/Table2912[[#This Row],[Acetate '[%']]]</f>
        <v>0.24029553314439411</v>
      </c>
      <c r="AH175" s="51"/>
      <c r="AI175" s="18"/>
      <c r="AJ175" s="18"/>
      <c r="AK175" s="18">
        <f>(Table2912[[#This Row],[DMD '[mg/g']]]-$AK$15)/$AK$15*100</f>
        <v>49.031399450087186</v>
      </c>
      <c r="AL175" s="18">
        <f>(Table2912[[#This Row],[CH4 '[ml/g']]]-AL$15)/AL$15*100</f>
        <v>14.882656113559278</v>
      </c>
      <c r="AM175" s="18">
        <f>(Table2912[[#This Row],[CH4 '[% GP']]]-AM$15)/AM$15*100</f>
        <v>16.997308715140189</v>
      </c>
      <c r="AN175" s="18">
        <f>(Table2912[[#This Row],[CH4 '[g/g DDM']]]-AN$15)/AN$15*100</f>
        <v>20.745548370069866</v>
      </c>
      <c r="AO175" s="18"/>
      <c r="AP175" s="18"/>
      <c r="AR175">
        <f>_xlfn.NORM.DIST(Table2912[[#This Row],[GP '[ml/g']]],O$6,O$2,FALSE)</f>
        <v>7.421447974485804E-3</v>
      </c>
      <c r="AS175">
        <f>_xlfn.NORM.DIST(Table2912[[#This Row],[SCFA '[mmol/g']]],P$6,P$2,FALSE)</f>
        <v>0.28142394850291402</v>
      </c>
      <c r="AT175">
        <f>_xlfn.NORM.DIST(Table2912[[#This Row],[Acetate '[%']]],Q$6,Q$2,FALSE)</f>
        <v>10.066007323484586</v>
      </c>
      <c r="AU175">
        <f>_xlfn.NORM.DIST(Table2912[[#This Row],[Propionate '[%']]],R$6,R$2,FALSE)</f>
        <v>16.485838475295051</v>
      </c>
      <c r="AV175">
        <f>_xlfn.NORM.DIST(Table2912[[#This Row],[Butyrate '[%']]],S$6,S$2,FALSE)</f>
        <v>20.429396511518021</v>
      </c>
      <c r="AW175">
        <f>_xlfn.NORM.DIST(Table2912[[#This Row],[Valerate '[%']]],T$6,T$2,FALSE)</f>
        <v>65.485641518661069</v>
      </c>
      <c r="AX175">
        <f>_xlfn.NORM.DIST(Table2912[[#This Row],[Caproate '[%']]],U$6,U$2,FALSE)</f>
        <v>364.99385986353963</v>
      </c>
      <c r="AY175">
        <f>_xlfn.NORM.DIST(Table2912[[#This Row],[Isobutyrate '[%']]],V$6,V$2,FALSE)</f>
        <v>78.071867569038005</v>
      </c>
      <c r="AZ175">
        <f>_xlfn.NORM.DIST(Table2912[[#This Row],[Isovalerate '[%']]],W$6,W$2,FALSE)</f>
        <v>39.965444741385717</v>
      </c>
      <c r="BA175">
        <f>_xlfn.NORM.DIST(Table2912[[#This Row],[CH4 '[g/mmol SCFA']]],X$6,X$2,FALSE)</f>
        <v>0.16582439702525917</v>
      </c>
      <c r="BB175">
        <f>_xlfn.NORM.DIST(Table2912[[#This Row],[DMD '[mg/g']]],Y$6,Y$2,FALSE)</f>
        <v>2.7604198974618913E-3</v>
      </c>
      <c r="BC175">
        <f>_xlfn.NORM.DIST(Table2912[[#This Row],[CH4 '[ml/g']]],Z$6,Z$2,FALSE)</f>
        <v>3.1852732837056294E-2</v>
      </c>
      <c r="BD175">
        <f>_xlfn.NORM.DIST(Table2912[[#This Row],[CH4 '[% GP']]],AA$6,AA$2,FALSE)</f>
        <v>0.10495563101669744</v>
      </c>
      <c r="BE175">
        <f>_xlfn.NORM.DIST(Table2912[[#This Row],[CH4 '[g/g DDM']]],AB$6,AB$2,FALSE)</f>
        <v>2.5734569200156501E-2</v>
      </c>
      <c r="BG175">
        <f>IF(Table2912[[#This Row],[GP '[ml/g']]]&lt;O$10,_xlfn.NORM.DIST(Table2912[[#This Row],[GP '[ml/g']]],O$6,O$2,FALSE),-100)</f>
        <v>-100</v>
      </c>
      <c r="BH175">
        <f>IF(Table2912[[#This Row],[SCFA '[mmol/g']]]&lt;P$10,_xlfn.NORM.DIST(Table2912[[#This Row],[SCFA '[mmol/g']]],P$6,P$2,FALSE),-100)</f>
        <v>-100</v>
      </c>
      <c r="BI175">
        <f>IF(Table2912[[#This Row],[Acetate '[%']]]&lt;Q$10,_xlfn.NORM.DIST(Table2912[[#This Row],[Acetate '[%']]],Q$6,Q$2,FALSE),-100)</f>
        <v>-100</v>
      </c>
      <c r="BJ175">
        <f>IF(Table2912[[#This Row],[Propionate '[%']]]&lt;R$10,_xlfn.NORM.DIST(Table2912[[#This Row],[Propionate '[%']]],R$6,R$2,FALSE),-100)</f>
        <v>-100</v>
      </c>
      <c r="BK175">
        <f>IF(Table2912[[#This Row],[Butyrate '[%']]]&lt;S$10,_xlfn.NORM.DIST(Table2912[[#This Row],[Butyrate '[%']]],S$6,S$2,FALSE),-100)</f>
        <v>-100</v>
      </c>
      <c r="BL175">
        <f>IF(Table2912[[#This Row],[Valerate '[%']]]&lt;T$10,_xlfn.NORM.DIST(Table2912[[#This Row],[Valerate '[%']]],T$6,T$2,FALSE),-100)</f>
        <v>-100</v>
      </c>
      <c r="BM175">
        <f>IF(Table2912[[#This Row],[Caproate '[%']]]&lt;U$10,_xlfn.NORM.DIST(Table2912[[#This Row],[Caproate '[%']]],U$6,U$2,FALSE),-100)</f>
        <v>-100</v>
      </c>
      <c r="BN175">
        <f>IF(Table2912[[#This Row],[Isobutyrate '[%']]]&lt;V$10,_xlfn.NORM.DIST(Table2912[[#This Row],[Isobutyrate '[%']]],V$6,V$2,FALSE),-100)</f>
        <v>-100</v>
      </c>
      <c r="BO175">
        <f>IF(Table2912[[#This Row],[Isovalerate '[%']]]&lt;W$10,_xlfn.NORM.DIST(Table2912[[#This Row],[Isovalerate '[%']]],W$6,W$2,FALSE),-100)</f>
        <v>-100</v>
      </c>
      <c r="BP175">
        <f>IF(Table2912[[#This Row],[CH4 '[g/mmol SCFA']]]&lt;X$10,_xlfn.NORM.DIST(Table2912[[#This Row],[CH4 '[g/mmol SCFA']]],X$6,X$2,FALSE),-100)</f>
        <v>-100</v>
      </c>
      <c r="BQ175">
        <f>IF(Table2912[[#This Row],[DMD '[mg/g']]]&gt;Y$10,_xlfn.NORM.DIST(Table2912[[#This Row],[DMD '[mg/g']]],Y$6,Y$2,FALSE),-100)</f>
        <v>-100</v>
      </c>
      <c r="BR175">
        <f>IF(Table2912[[#This Row],[CH4 '[ml/g']]]&lt;Z$10,_xlfn.NORM.DIST(Table2912[[#This Row],[CH4 '[ml/g']]],Z$6,Z$2,FALSE),-100)</f>
        <v>-100</v>
      </c>
      <c r="BS175">
        <f>IF(Table2912[[#This Row],[CH4 '[% GP']]]&lt;AA$10,_xlfn.NORM.DIST(Table2912[[#This Row],[CH4 '[% GP']]],AA$6,AA$2,FALSE),-100)</f>
        <v>-100</v>
      </c>
      <c r="BT175">
        <f>IF(Table2912[[#This Row],[CH4 '[g/g DDM']]]&lt;AB$10,_xlfn.NORM.DIST(Table2912[[#This Row],[CH4 '[g/g DDM']]],AB$6,AB$2,FALSE),-100)</f>
        <v>-100</v>
      </c>
    </row>
    <row r="176" spans="1:90" x14ac:dyDescent="0.25">
      <c r="A176" s="12" t="s">
        <v>70</v>
      </c>
      <c r="B176" s="13">
        <v>994</v>
      </c>
      <c r="C176" s="96" t="s">
        <v>255</v>
      </c>
      <c r="D176" s="96"/>
      <c r="E176" s="96"/>
      <c r="F176" s="96" t="s">
        <v>256</v>
      </c>
      <c r="G176" t="s">
        <v>73</v>
      </c>
      <c r="H176" t="s">
        <v>74</v>
      </c>
      <c r="I176" t="s">
        <v>75</v>
      </c>
      <c r="J176" s="100">
        <v>3</v>
      </c>
      <c r="K176" s="100"/>
      <c r="L176" s="100"/>
      <c r="M176" t="s">
        <v>256</v>
      </c>
      <c r="N176" t="s">
        <v>76</v>
      </c>
      <c r="O176" s="18">
        <v>256.09482071713177</v>
      </c>
      <c r="P176" s="18">
        <v>6.8862611185476776</v>
      </c>
      <c r="Q176" s="97">
        <v>0.67988934246673782</v>
      </c>
      <c r="R176" s="97">
        <v>0.16162484096944507</v>
      </c>
      <c r="S176" s="97">
        <v>0.10640802180655225</v>
      </c>
      <c r="T176" s="97">
        <v>1.297310812767772E-2</v>
      </c>
      <c r="U176" s="97">
        <v>1.5978012352159392E-3</v>
      </c>
      <c r="V176" s="97">
        <v>1.2371248071132624E-2</v>
      </c>
      <c r="W176" s="97">
        <v>2.5135637323238445E-2</v>
      </c>
      <c r="X176" s="51">
        <f t="shared" si="11"/>
        <v>6.1331605158075551</v>
      </c>
      <c r="Y176" s="18">
        <v>731.02641345376162</v>
      </c>
      <c r="Z176" s="18">
        <v>42.234544793817385</v>
      </c>
      <c r="AA176" s="18">
        <f t="shared" si="12"/>
        <v>16.491760620363085</v>
      </c>
      <c r="AB176" s="18">
        <f t="shared" si="13"/>
        <v>57.774307489490973</v>
      </c>
      <c r="AC176" s="18">
        <f>$CP$15*Table2912[[#This Row],[DMD '[mg/g']]]+$CS$15*Table2912[[#This Row],[CH4 '[ml/g']]]+$CR$15*Table2912[[#This Row],[CH4 '[% GP']]]+$CQ$15*Table2912[[#This Row],[CH4 '[g/g DDM']]]</f>
        <v>8.1037696908782024</v>
      </c>
      <c r="AD176" s="18">
        <f>_xlfn.RANK.AVG(Table2912[[#This Row],[Index]],Table2912[Index])</f>
        <v>372</v>
      </c>
      <c r="AE17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6.5276398253710184</v>
      </c>
      <c r="AF176" s="18">
        <f>Table2912[[#This Row],[CH4 '[ml/g']]]/Table2912[[#This Row],[APB]]</f>
        <v>6.4701095531748116</v>
      </c>
      <c r="AG176" s="18">
        <f>Table2912[[#This Row],[Propionate '[%']]]/Table2912[[#This Row],[Acetate '[%']]]</f>
        <v>0.23772227460287368</v>
      </c>
      <c r="AH176" s="51"/>
      <c r="AI176" s="18"/>
      <c r="AJ176" s="18"/>
      <c r="AK176" s="18">
        <f>(Table2912[[#This Row],[DMD '[mg/g']]]-$AK$15)/$AK$15*100</f>
        <v>49.101088165890786</v>
      </c>
      <c r="AL176" s="18">
        <f>(Table2912[[#This Row],[CH4 '[ml/g']]]-AL$15)/AL$15*100</f>
        <v>7.3790336830123673</v>
      </c>
      <c r="AM176" s="18">
        <f>(Table2912[[#This Row],[CH4 '[% GP']]]-AM$15)/AM$15*100</f>
        <v>6.2452308916519952</v>
      </c>
      <c r="AN176" s="18">
        <f>(Table2912[[#This Row],[CH4 '[g/g DDM']]]-AN$15)/AN$15*100</f>
        <v>12.806238547105615</v>
      </c>
      <c r="AO176" s="18"/>
      <c r="AP176" s="18"/>
      <c r="AR176">
        <f>_xlfn.NORM.DIST(Table2912[[#This Row],[GP '[ml/g']]],O$6,O$2,FALSE)</f>
        <v>7.4793834918115741E-3</v>
      </c>
      <c r="AS176">
        <f>_xlfn.NORM.DIST(Table2912[[#This Row],[SCFA '[mmol/g']]],P$6,P$2,FALSE)</f>
        <v>0.31895747214479858</v>
      </c>
      <c r="AT176">
        <f>_xlfn.NORM.DIST(Table2912[[#This Row],[Acetate '[%']]],Q$6,Q$2,FALSE)</f>
        <v>13.635729923222547</v>
      </c>
      <c r="AU176">
        <f>_xlfn.NORM.DIST(Table2912[[#This Row],[Propionate '[%']]],R$6,R$2,FALSE)</f>
        <v>15.301075700272243</v>
      </c>
      <c r="AV176">
        <f>_xlfn.NORM.DIST(Table2912[[#This Row],[Butyrate '[%']]],S$6,S$2,FALSE)</f>
        <v>17.009067983363099</v>
      </c>
      <c r="AW176">
        <f>_xlfn.NORM.DIST(Table2912[[#This Row],[Valerate '[%']]],T$6,T$2,FALSE)</f>
        <v>51.198725593814807</v>
      </c>
      <c r="AX176">
        <f>_xlfn.NORM.DIST(Table2912[[#This Row],[Caproate '[%']]],U$6,U$2,FALSE)</f>
        <v>392.34617145603744</v>
      </c>
      <c r="AY176">
        <f>_xlfn.NORM.DIST(Table2912[[#This Row],[Isobutyrate '[%']]],V$6,V$2,FALSE)</f>
        <v>72.231674233743647</v>
      </c>
      <c r="AZ176">
        <f>_xlfn.NORM.DIST(Table2912[[#This Row],[Isovalerate '[%']]],W$6,W$2,FALSE)</f>
        <v>43.241392710885094</v>
      </c>
      <c r="BA176">
        <f>_xlfn.NORM.DIST(Table2912[[#This Row],[CH4 '[g/mmol SCFA']]],X$6,X$2,FALSE)</f>
        <v>0.29556387389887262</v>
      </c>
      <c r="BB176">
        <f>_xlfn.NORM.DIST(Table2912[[#This Row],[DMD '[mg/g']]],Y$6,Y$2,FALSE)</f>
        <v>2.7626955894911819E-3</v>
      </c>
      <c r="BC176">
        <f>_xlfn.NORM.DIST(Table2912[[#This Row],[CH4 '[ml/g']]],Z$6,Z$2,FALSE)</f>
        <v>3.3423447042352158E-2</v>
      </c>
      <c r="BD176">
        <f>_xlfn.NORM.DIST(Table2912[[#This Row],[CH4 '[% GP']]],AA$6,AA$2,FALSE)</f>
        <v>0.13334634558815975</v>
      </c>
      <c r="BE176">
        <f>_xlfn.NORM.DIST(Table2912[[#This Row],[CH4 '[g/g DDM']]],AB$6,AB$2,FALSE)</f>
        <v>3.074638909732547E-2</v>
      </c>
      <c r="BG176">
        <f>IF(Table2912[[#This Row],[GP '[ml/g']]]&lt;O$10,_xlfn.NORM.DIST(Table2912[[#This Row],[GP '[ml/g']]],O$6,O$2,FALSE),-100)</f>
        <v>-100</v>
      </c>
      <c r="BH176">
        <f>IF(Table2912[[#This Row],[SCFA '[mmol/g']]]&lt;P$10,_xlfn.NORM.DIST(Table2912[[#This Row],[SCFA '[mmol/g']]],P$6,P$2,FALSE),-100)</f>
        <v>-100</v>
      </c>
      <c r="BI176">
        <f>IF(Table2912[[#This Row],[Acetate '[%']]]&lt;Q$10,_xlfn.NORM.DIST(Table2912[[#This Row],[Acetate '[%']]],Q$6,Q$2,FALSE),-100)</f>
        <v>-100</v>
      </c>
      <c r="BJ176">
        <f>IF(Table2912[[#This Row],[Propionate '[%']]]&lt;R$10,_xlfn.NORM.DIST(Table2912[[#This Row],[Propionate '[%']]],R$6,R$2,FALSE),-100)</f>
        <v>-100</v>
      </c>
      <c r="BK176">
        <f>IF(Table2912[[#This Row],[Butyrate '[%']]]&lt;S$10,_xlfn.NORM.DIST(Table2912[[#This Row],[Butyrate '[%']]],S$6,S$2,FALSE),-100)</f>
        <v>-100</v>
      </c>
      <c r="BL176">
        <f>IF(Table2912[[#This Row],[Valerate '[%']]]&lt;T$10,_xlfn.NORM.DIST(Table2912[[#This Row],[Valerate '[%']]],T$6,T$2,FALSE),-100)</f>
        <v>-100</v>
      </c>
      <c r="BM176">
        <f>IF(Table2912[[#This Row],[Caproate '[%']]]&lt;U$10,_xlfn.NORM.DIST(Table2912[[#This Row],[Caproate '[%']]],U$6,U$2,FALSE),-100)</f>
        <v>-100</v>
      </c>
      <c r="BN176">
        <f>IF(Table2912[[#This Row],[Isobutyrate '[%']]]&lt;V$10,_xlfn.NORM.DIST(Table2912[[#This Row],[Isobutyrate '[%']]],V$6,V$2,FALSE),-100)</f>
        <v>-100</v>
      </c>
      <c r="BO176">
        <f>IF(Table2912[[#This Row],[Isovalerate '[%']]]&lt;W$10,_xlfn.NORM.DIST(Table2912[[#This Row],[Isovalerate '[%']]],W$6,W$2,FALSE),-100)</f>
        <v>-100</v>
      </c>
      <c r="BP176">
        <f>IF(Table2912[[#This Row],[CH4 '[g/mmol SCFA']]]&lt;X$10,_xlfn.NORM.DIST(Table2912[[#This Row],[CH4 '[g/mmol SCFA']]],X$6,X$2,FALSE),-100)</f>
        <v>-100</v>
      </c>
      <c r="BQ176">
        <f>IF(Table2912[[#This Row],[DMD '[mg/g']]]&gt;Y$10,_xlfn.NORM.DIST(Table2912[[#This Row],[DMD '[mg/g']]],Y$6,Y$2,FALSE),-100)</f>
        <v>-100</v>
      </c>
      <c r="BR176">
        <f>IF(Table2912[[#This Row],[CH4 '[ml/g']]]&lt;Z$10,_xlfn.NORM.DIST(Table2912[[#This Row],[CH4 '[ml/g']]],Z$6,Z$2,FALSE),-100)</f>
        <v>-100</v>
      </c>
      <c r="BS176">
        <f>IF(Table2912[[#This Row],[CH4 '[% GP']]]&lt;AA$10,_xlfn.NORM.DIST(Table2912[[#This Row],[CH4 '[% GP']]],AA$6,AA$2,FALSE),-100)</f>
        <v>-100</v>
      </c>
      <c r="BT176">
        <f>IF(Table2912[[#This Row],[CH4 '[g/g DDM']]]&lt;AB$10,_xlfn.NORM.DIST(Table2912[[#This Row],[CH4 '[g/g DDM']]],AB$6,AB$2,FALSE),-100)</f>
        <v>-100</v>
      </c>
    </row>
    <row r="177" spans="1:72" x14ac:dyDescent="0.25">
      <c r="A177" s="12" t="s">
        <v>86</v>
      </c>
      <c r="B177" s="13">
        <v>1053</v>
      </c>
      <c r="C177" s="112">
        <v>22393</v>
      </c>
      <c r="D177" s="104" t="s">
        <v>103</v>
      </c>
      <c r="E177" s="104" t="s">
        <v>153</v>
      </c>
      <c r="F177" t="s">
        <v>154</v>
      </c>
      <c r="G177" s="32" t="s">
        <v>73</v>
      </c>
      <c r="H177" s="32" t="s">
        <v>74</v>
      </c>
      <c r="I177" s="105" t="s">
        <v>48</v>
      </c>
      <c r="J177" s="70">
        <v>2</v>
      </c>
      <c r="K177" s="70"/>
      <c r="L177" s="70"/>
      <c r="M177" t="s">
        <v>154</v>
      </c>
      <c r="N177" t="s">
        <v>99</v>
      </c>
      <c r="O177" s="18">
        <v>181.46092334879594</v>
      </c>
      <c r="P177" s="18">
        <v>5.1230146677255686</v>
      </c>
      <c r="Q177" s="97">
        <v>0.65549816062784294</v>
      </c>
      <c r="R177" s="97">
        <v>0.19758218687716833</v>
      </c>
      <c r="S177" s="97">
        <v>7.3471468603049303E-2</v>
      </c>
      <c r="T177" s="97">
        <v>1.8470727497317034E-2</v>
      </c>
      <c r="U177" s="97">
        <v>2.7648751765605394E-4</v>
      </c>
      <c r="V177" s="97">
        <v>2.0702147832119686E-2</v>
      </c>
      <c r="W177" s="97">
        <v>3.3998821044846562E-2</v>
      </c>
      <c r="X177" s="51">
        <f t="shared" si="11"/>
        <v>5.9517522846510369</v>
      </c>
      <c r="Y177" s="18">
        <v>732.88290538953208</v>
      </c>
      <c r="Z177" s="18">
        <v>30.490914252936424</v>
      </c>
      <c r="AA177" s="18">
        <f t="shared" si="12"/>
        <v>16.803019454677951</v>
      </c>
      <c r="AB177" s="18">
        <f t="shared" si="13"/>
        <v>41.604073486651053</v>
      </c>
      <c r="AC177" s="18">
        <f>$CP$15*Table2912[[#This Row],[DMD '[mg/g']]]+$CS$15*Table2912[[#This Row],[CH4 '[ml/g']]]+$CR$15*Table2912[[#This Row],[CH4 '[% GP']]]+$CQ$15*Table2912[[#This Row],[CH4 '[g/g DDM']]]</f>
        <v>15.455857814468594</v>
      </c>
      <c r="AD177" s="18">
        <f>_xlfn.RANK.AVG(Table2912[[#This Row],[Index]],Table2912[Index])</f>
        <v>260</v>
      </c>
      <c r="AE17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4.7467385443293582</v>
      </c>
      <c r="AF177" s="18">
        <f>Table2912[[#This Row],[CH4 '[ml/g']]]/Table2912[[#This Row],[APB]]</f>
        <v>6.4235503953260871</v>
      </c>
      <c r="AG177" s="18">
        <f>Table2912[[#This Row],[Propionate '[%']]]/Table2912[[#This Row],[Acetate '[%']]]</f>
        <v>0.30142294630990585</v>
      </c>
      <c r="AH177" s="51"/>
      <c r="AI177" s="18"/>
      <c r="AJ177" s="18"/>
      <c r="AK177" s="18">
        <f>(Table2912[[#This Row],[DMD '[mg/g']]]-$AK$15)/$AK$15*100</f>
        <v>49.479740650534673</v>
      </c>
      <c r="AL177" s="18">
        <f>(Table2912[[#This Row],[CH4 '[ml/g']]]-AL$15)/AL$15*100</f>
        <v>-22.478508420642722</v>
      </c>
      <c r="AM177" s="18">
        <f>(Table2912[[#This Row],[CH4 '[% GP']]]-AM$15)/AM$15*100</f>
        <v>8.250460501765108</v>
      </c>
      <c r="AN177" s="18">
        <f>(Table2912[[#This Row],[CH4 '[g/g DDM']]]-AN$15)/AN$15*100</f>
        <v>-18.766676015629372</v>
      </c>
      <c r="AO177" s="18"/>
      <c r="AP177" s="18"/>
      <c r="AR177">
        <f>_xlfn.NORM.DIST(Table2912[[#This Row],[GP '[ml/g']]],O$6,O$2,FALSE)</f>
        <v>2.8546932943348982E-3</v>
      </c>
      <c r="AS177">
        <f>_xlfn.NORM.DIST(Table2912[[#This Row],[SCFA '[mmol/g']]],P$6,P$2,FALSE)</f>
        <v>0.16591350116826481</v>
      </c>
      <c r="AT177">
        <f>_xlfn.NORM.DIST(Table2912[[#This Row],[Acetate '[%']]],Q$6,Q$2,FALSE)</f>
        <v>11.575889905320874</v>
      </c>
      <c r="AU177">
        <f>_xlfn.NORM.DIST(Table2912[[#This Row],[Propionate '[%']]],R$6,R$2,FALSE)</f>
        <v>9.3479276331747805</v>
      </c>
      <c r="AV177">
        <f>_xlfn.NORM.DIST(Table2912[[#This Row],[Butyrate '[%']]],S$6,S$2,FALSE)</f>
        <v>12.261096810810853</v>
      </c>
      <c r="AW177">
        <f>_xlfn.NORM.DIST(Table2912[[#This Row],[Valerate '[%']]],T$6,T$2,FALSE)</f>
        <v>76.441633846101325</v>
      </c>
      <c r="AX177">
        <f>_xlfn.NORM.DIST(Table2912[[#This Row],[Caproate '[%']]],U$6,U$2,FALSE)</f>
        <v>227.66997798067524</v>
      </c>
      <c r="AY177">
        <f>_xlfn.NORM.DIST(Table2912[[#This Row],[Isobutyrate '[%']]],V$6,V$2,FALSE)</f>
        <v>42.999578177474291</v>
      </c>
      <c r="AZ177">
        <f>_xlfn.NORM.DIST(Table2912[[#This Row],[Isovalerate '[%']]],W$6,W$2,FALSE)</f>
        <v>35.68076183549946</v>
      </c>
      <c r="BA177">
        <f>_xlfn.NORM.DIST(Table2912[[#This Row],[CH4 '[g/mmol SCFA']]],X$6,X$2,FALSE)</f>
        <v>0.28848992535287071</v>
      </c>
      <c r="BB177">
        <f>_xlfn.NORM.DIST(Table2912[[#This Row],[DMD '[mg/g']]],Y$6,Y$2,FALSE)</f>
        <v>2.7747908381623083E-3</v>
      </c>
      <c r="BC177">
        <f>_xlfn.NORM.DIST(Table2912[[#This Row],[CH4 '[ml/g']]],Z$6,Z$2,FALSE)</f>
        <v>2.2024157505687009E-2</v>
      </c>
      <c r="BD177">
        <f>_xlfn.NORM.DIST(Table2912[[#This Row],[CH4 '[% GP']]],AA$6,AA$2,FALSE)</f>
        <v>0.13063342025673827</v>
      </c>
      <c r="BE177">
        <f>_xlfn.NORM.DIST(Table2912[[#This Row],[CH4 '[g/g DDM']]],AB$6,AB$2,FALSE)</f>
        <v>2.0571223811510785E-2</v>
      </c>
      <c r="BG177">
        <f>IF(Table2912[[#This Row],[GP '[ml/g']]]&lt;O$10,_xlfn.NORM.DIST(Table2912[[#This Row],[GP '[ml/g']]],O$6,O$2,FALSE),-100)</f>
        <v>2.8546932943348982E-3</v>
      </c>
      <c r="BH177">
        <f>IF(Table2912[[#This Row],[SCFA '[mmol/g']]]&lt;P$10,_xlfn.NORM.DIST(Table2912[[#This Row],[SCFA '[mmol/g']]],P$6,P$2,FALSE),-100)</f>
        <v>0.16591350116826481</v>
      </c>
      <c r="BI177">
        <f>IF(Table2912[[#This Row],[Acetate '[%']]]&lt;Q$10,_xlfn.NORM.DIST(Table2912[[#This Row],[Acetate '[%']]],Q$6,Q$2,FALSE),-100)</f>
        <v>-100</v>
      </c>
      <c r="BJ177">
        <f>IF(Table2912[[#This Row],[Propionate '[%']]]&lt;R$10,_xlfn.NORM.DIST(Table2912[[#This Row],[Propionate '[%']]],R$6,R$2,FALSE),-100)</f>
        <v>-100</v>
      </c>
      <c r="BK177">
        <f>IF(Table2912[[#This Row],[Butyrate '[%']]]&lt;S$10,_xlfn.NORM.DIST(Table2912[[#This Row],[Butyrate '[%']]],S$6,S$2,FALSE),-100)</f>
        <v>12.261096810810853</v>
      </c>
      <c r="BL177">
        <f>IF(Table2912[[#This Row],[Valerate '[%']]]&lt;T$10,_xlfn.NORM.DIST(Table2912[[#This Row],[Valerate '[%']]],T$6,T$2,FALSE),-100)</f>
        <v>-100</v>
      </c>
      <c r="BM177">
        <f>IF(Table2912[[#This Row],[Caproate '[%']]]&lt;U$10,_xlfn.NORM.DIST(Table2912[[#This Row],[Caproate '[%']]],U$6,U$2,FALSE),-100)</f>
        <v>227.66997798067524</v>
      </c>
      <c r="BN177">
        <f>IF(Table2912[[#This Row],[Isobutyrate '[%']]]&lt;V$10,_xlfn.NORM.DIST(Table2912[[#This Row],[Isobutyrate '[%']]],V$6,V$2,FALSE),-100)</f>
        <v>-100</v>
      </c>
      <c r="BO177">
        <f>IF(Table2912[[#This Row],[Isovalerate '[%']]]&lt;W$10,_xlfn.NORM.DIST(Table2912[[#This Row],[Isovalerate '[%']]],W$6,W$2,FALSE),-100)</f>
        <v>-100</v>
      </c>
      <c r="BP177">
        <f>IF(Table2912[[#This Row],[CH4 '[g/mmol SCFA']]]&lt;X$10,_xlfn.NORM.DIST(Table2912[[#This Row],[CH4 '[g/mmol SCFA']]],X$6,X$2,FALSE),-100)</f>
        <v>-100</v>
      </c>
      <c r="BQ177">
        <f>IF(Table2912[[#This Row],[DMD '[mg/g']]]&gt;Y$10,_xlfn.NORM.DIST(Table2912[[#This Row],[DMD '[mg/g']]],Y$6,Y$2,FALSE),-100)</f>
        <v>-100</v>
      </c>
      <c r="BR177">
        <f>IF(Table2912[[#This Row],[CH4 '[ml/g']]]&lt;Z$10,_xlfn.NORM.DIST(Table2912[[#This Row],[CH4 '[ml/g']]],Z$6,Z$2,FALSE),-100)</f>
        <v>-100</v>
      </c>
      <c r="BS177">
        <f>IF(Table2912[[#This Row],[CH4 '[% GP']]]&lt;AA$10,_xlfn.NORM.DIST(Table2912[[#This Row],[CH4 '[% GP']]],AA$6,AA$2,FALSE),-100)</f>
        <v>-100</v>
      </c>
      <c r="BT177">
        <f>IF(Table2912[[#This Row],[CH4 '[g/g DDM']]]&lt;AB$10,_xlfn.NORM.DIST(Table2912[[#This Row],[CH4 '[g/g DDM']]],AB$6,AB$2,FALSE),-100)</f>
        <v>-100</v>
      </c>
    </row>
    <row r="178" spans="1:72" x14ac:dyDescent="0.25">
      <c r="A178" s="12" t="s">
        <v>70</v>
      </c>
      <c r="B178" s="13">
        <v>999</v>
      </c>
      <c r="C178" s="96" t="s">
        <v>240</v>
      </c>
      <c r="D178" s="96"/>
      <c r="E178" s="96"/>
      <c r="F178" s="96" t="s">
        <v>241</v>
      </c>
      <c r="G178" t="s">
        <v>73</v>
      </c>
      <c r="H178" t="s">
        <v>74</v>
      </c>
      <c r="I178" t="s">
        <v>75</v>
      </c>
      <c r="J178" s="70">
        <v>1</v>
      </c>
      <c r="K178" s="70"/>
      <c r="L178" s="70"/>
      <c r="M178" t="s">
        <v>241</v>
      </c>
      <c r="N178" t="s">
        <v>76</v>
      </c>
      <c r="O178" s="18">
        <v>247.68477447744732</v>
      </c>
      <c r="P178" s="18">
        <v>6.7527942143326758</v>
      </c>
      <c r="Q178" s="97">
        <v>0.67630545548956611</v>
      </c>
      <c r="R178" s="97">
        <v>0.14430597475091683</v>
      </c>
      <c r="S178" s="97">
        <v>0.12433063966507643</v>
      </c>
      <c r="T178" s="97">
        <v>1.3208710609158474E-2</v>
      </c>
      <c r="U178" s="97">
        <v>1.2656995424009346E-3</v>
      </c>
      <c r="V178" s="97">
        <v>1.3517022036153573E-2</v>
      </c>
      <c r="W178" s="97">
        <v>2.7066497906727681E-2</v>
      </c>
      <c r="X178" s="51">
        <f t="shared" si="11"/>
        <v>5.199067689816693</v>
      </c>
      <c r="Y178" s="18">
        <v>733.72781065088725</v>
      </c>
      <c r="Z178" s="18">
        <v>35.108234215718113</v>
      </c>
      <c r="AA178" s="18">
        <f t="shared" si="12"/>
        <v>14.174562925713813</v>
      </c>
      <c r="AB178" s="18">
        <f t="shared" si="13"/>
        <v>47.849125664970678</v>
      </c>
      <c r="AC178" s="18">
        <f>$CP$15*Table2912[[#This Row],[DMD '[mg/g']]]+$CS$15*Table2912[[#This Row],[CH4 '[ml/g']]]+$CR$15*Table2912[[#This Row],[CH4 '[% GP']]]+$CQ$15*Table2912[[#This Row],[CH4 '[g/g DDM']]]</f>
        <v>13.502165619275118</v>
      </c>
      <c r="AD178" s="18">
        <f>_xlfn.RANK.AVG(Table2912[[#This Row],[Index]],Table2912[Index])</f>
        <v>294</v>
      </c>
      <c r="AE17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6.3809993425378044</v>
      </c>
      <c r="AF178" s="18">
        <f>Table2912[[#This Row],[CH4 '[ml/g']]]/Table2912[[#This Row],[APB]]</f>
        <v>5.5019962126739737</v>
      </c>
      <c r="AG178" s="18">
        <f>Table2912[[#This Row],[Propionate '[%']]]/Table2912[[#This Row],[Acetate '[%']]]</f>
        <v>0.21337396228225924</v>
      </c>
      <c r="AH178" s="51"/>
      <c r="AI178" s="18"/>
      <c r="AJ178" s="18"/>
      <c r="AK178" s="18">
        <f>(Table2912[[#This Row],[DMD '[mg/g']]]-$AK$15)/$AK$15*100</f>
        <v>49.652068615087913</v>
      </c>
      <c r="AL178" s="18">
        <f>(Table2912[[#This Row],[CH4 '[ml/g']]]-AL$15)/AL$15*100</f>
        <v>-10.73922347678416</v>
      </c>
      <c r="AM178" s="18">
        <f>(Table2912[[#This Row],[CH4 '[% GP']]]-AM$15)/AM$15*100</f>
        <v>-8.6829026022111613</v>
      </c>
      <c r="AN178" s="18">
        <f>(Table2912[[#This Row],[CH4 '[g/g DDM']]]-AN$15)/AN$15*100</f>
        <v>-6.5730059159091994</v>
      </c>
      <c r="AO178" s="18"/>
      <c r="AP178" s="18"/>
      <c r="AR178">
        <f>_xlfn.NORM.DIST(Table2912[[#This Row],[GP '[ml/g']]],O$6,O$2,FALSE)</f>
        <v>7.4002027004464177E-3</v>
      </c>
      <c r="AS178">
        <f>_xlfn.NORM.DIST(Table2912[[#This Row],[SCFA '[mmol/g']]],P$6,P$2,FALSE)</f>
        <v>0.3274207057067901</v>
      </c>
      <c r="AT178">
        <f>_xlfn.NORM.DIST(Table2912[[#This Row],[Acetate '[%']]],Q$6,Q$2,FALSE)</f>
        <v>13.939467711713236</v>
      </c>
      <c r="AU178">
        <f>_xlfn.NORM.DIST(Table2912[[#This Row],[Propionate '[%']]],R$6,R$2,FALSE)</f>
        <v>8.5677542037266701</v>
      </c>
      <c r="AV178">
        <f>_xlfn.NORM.DIST(Table2912[[#This Row],[Butyrate '[%']]],S$6,S$2,FALSE)</f>
        <v>4.4505280242962977</v>
      </c>
      <c r="AW178">
        <f>_xlfn.NORM.DIST(Table2912[[#This Row],[Valerate '[%']]],T$6,T$2,FALSE)</f>
        <v>53.315196307120189</v>
      </c>
      <c r="AX178">
        <f>_xlfn.NORM.DIST(Table2912[[#This Row],[Caproate '[%']]],U$6,U$2,FALSE)</f>
        <v>405.95491150361357</v>
      </c>
      <c r="AY178">
        <f>_xlfn.NORM.DIST(Table2912[[#This Row],[Isobutyrate '[%']]],V$6,V$2,FALSE)</f>
        <v>82.994322161847933</v>
      </c>
      <c r="AZ178">
        <f>_xlfn.NORM.DIST(Table2912[[#This Row],[Isovalerate '[%']]],W$6,W$2,FALSE)</f>
        <v>45.228105340380928</v>
      </c>
      <c r="BA178">
        <f>_xlfn.NORM.DIST(Table2912[[#This Row],[CH4 '[g/mmol SCFA']]],X$6,X$2,FALSE)</f>
        <v>0.21460078931053392</v>
      </c>
      <c r="BB178">
        <f>_xlfn.NORM.DIST(Table2912[[#This Row],[DMD '[mg/g']]],Y$6,Y$2,FALSE)</f>
        <v>2.7801434895816895E-3</v>
      </c>
      <c r="BC178">
        <f>_xlfn.NORM.DIST(Table2912[[#This Row],[CH4 '[ml/g']]],Z$6,Z$2,FALSE)</f>
        <v>2.9142344036044755E-2</v>
      </c>
      <c r="BD178">
        <f>_xlfn.NORM.DIST(Table2912[[#This Row],[CH4 '[% GP']]],AA$6,AA$2,FALSE)</f>
        <v>0.10980538584745485</v>
      </c>
      <c r="BE178">
        <f>_xlfn.NORM.DIST(Table2912[[#This Row],[CH4 '[g/g DDM']]],AB$6,AB$2,FALSE)</f>
        <v>2.9644078764082156E-2</v>
      </c>
      <c r="BG178">
        <f>IF(Table2912[[#This Row],[GP '[ml/g']]]&lt;O$10,_xlfn.NORM.DIST(Table2912[[#This Row],[GP '[ml/g']]],O$6,O$2,FALSE),-100)</f>
        <v>-100</v>
      </c>
      <c r="BH178">
        <f>IF(Table2912[[#This Row],[SCFA '[mmol/g']]]&lt;P$10,_xlfn.NORM.DIST(Table2912[[#This Row],[SCFA '[mmol/g']]],P$6,P$2,FALSE),-100)</f>
        <v>-100</v>
      </c>
      <c r="BI178">
        <f>IF(Table2912[[#This Row],[Acetate '[%']]]&lt;Q$10,_xlfn.NORM.DIST(Table2912[[#This Row],[Acetate '[%']]],Q$6,Q$2,FALSE),-100)</f>
        <v>-100</v>
      </c>
      <c r="BJ178">
        <f>IF(Table2912[[#This Row],[Propionate '[%']]]&lt;R$10,_xlfn.NORM.DIST(Table2912[[#This Row],[Propionate '[%']]],R$6,R$2,FALSE),-100)</f>
        <v>8.5677542037266701</v>
      </c>
      <c r="BK178">
        <f>IF(Table2912[[#This Row],[Butyrate '[%']]]&lt;S$10,_xlfn.NORM.DIST(Table2912[[#This Row],[Butyrate '[%']]],S$6,S$2,FALSE),-100)</f>
        <v>-100</v>
      </c>
      <c r="BL178">
        <f>IF(Table2912[[#This Row],[Valerate '[%']]]&lt;T$10,_xlfn.NORM.DIST(Table2912[[#This Row],[Valerate '[%']]],T$6,T$2,FALSE),-100)</f>
        <v>-100</v>
      </c>
      <c r="BM178">
        <f>IF(Table2912[[#This Row],[Caproate '[%']]]&lt;U$10,_xlfn.NORM.DIST(Table2912[[#This Row],[Caproate '[%']]],U$6,U$2,FALSE),-100)</f>
        <v>-100</v>
      </c>
      <c r="BN178">
        <f>IF(Table2912[[#This Row],[Isobutyrate '[%']]]&lt;V$10,_xlfn.NORM.DIST(Table2912[[#This Row],[Isobutyrate '[%']]],V$6,V$2,FALSE),-100)</f>
        <v>-100</v>
      </c>
      <c r="BO178">
        <f>IF(Table2912[[#This Row],[Isovalerate '[%']]]&lt;W$10,_xlfn.NORM.DIST(Table2912[[#This Row],[Isovalerate '[%']]],W$6,W$2,FALSE),-100)</f>
        <v>-100</v>
      </c>
      <c r="BP178">
        <f>IF(Table2912[[#This Row],[CH4 '[g/mmol SCFA']]]&lt;X$10,_xlfn.NORM.DIST(Table2912[[#This Row],[CH4 '[g/mmol SCFA']]],X$6,X$2,FALSE),-100)</f>
        <v>-100</v>
      </c>
      <c r="BQ178">
        <f>IF(Table2912[[#This Row],[DMD '[mg/g']]]&gt;Y$10,_xlfn.NORM.DIST(Table2912[[#This Row],[DMD '[mg/g']]],Y$6,Y$2,FALSE),-100)</f>
        <v>-100</v>
      </c>
      <c r="BR178">
        <f>IF(Table2912[[#This Row],[CH4 '[ml/g']]]&lt;Z$10,_xlfn.NORM.DIST(Table2912[[#This Row],[CH4 '[ml/g']]],Z$6,Z$2,FALSE),-100)</f>
        <v>-100</v>
      </c>
      <c r="BS178">
        <f>IF(Table2912[[#This Row],[CH4 '[% GP']]]&lt;AA$10,_xlfn.NORM.DIST(Table2912[[#This Row],[CH4 '[% GP']]],AA$6,AA$2,FALSE),-100)</f>
        <v>-100</v>
      </c>
      <c r="BT178">
        <f>IF(Table2912[[#This Row],[CH4 '[g/g DDM']]]&lt;AB$10,_xlfn.NORM.DIST(Table2912[[#This Row],[CH4 '[g/g DDM']]],AB$6,AB$2,FALSE),-100)</f>
        <v>-100</v>
      </c>
    </row>
    <row r="179" spans="1:72" x14ac:dyDescent="0.25">
      <c r="A179" s="12" t="s">
        <v>70</v>
      </c>
      <c r="B179" s="13">
        <v>1022</v>
      </c>
      <c r="C179" s="96" t="s">
        <v>174</v>
      </c>
      <c r="D179" s="96"/>
      <c r="E179" s="96"/>
      <c r="F179" s="96" t="s">
        <v>175</v>
      </c>
      <c r="G179" s="15" t="s">
        <v>73</v>
      </c>
      <c r="H179" s="15" t="s">
        <v>74</v>
      </c>
      <c r="I179" t="s">
        <v>75</v>
      </c>
      <c r="J179" s="100">
        <v>3</v>
      </c>
      <c r="K179" s="100"/>
      <c r="L179" s="100"/>
      <c r="M179" t="s">
        <v>175</v>
      </c>
      <c r="N179" t="s">
        <v>81</v>
      </c>
      <c r="O179" s="18">
        <v>256.04900793650842</v>
      </c>
      <c r="P179" s="18">
        <v>6.9849400065746226</v>
      </c>
      <c r="Q179" s="97">
        <v>0.65236699954807886</v>
      </c>
      <c r="R179" s="97">
        <v>0.17894783027655103</v>
      </c>
      <c r="S179" s="97">
        <v>9.6344337731957483E-2</v>
      </c>
      <c r="T179" s="97">
        <v>2.485438520334329E-2</v>
      </c>
      <c r="U179" s="97">
        <v>8.4848109269700404E-4</v>
      </c>
      <c r="V179" s="97">
        <v>1.7344554517287863E-2</v>
      </c>
      <c r="W179" s="97">
        <v>2.9293411630084521E-2</v>
      </c>
      <c r="X179" s="51">
        <f t="shared" si="11"/>
        <v>4.9476231040851593</v>
      </c>
      <c r="Y179" s="18">
        <v>733.84978032413903</v>
      </c>
      <c r="Z179" s="18">
        <v>34.558850557177344</v>
      </c>
      <c r="AA179" s="18">
        <f t="shared" si="12"/>
        <v>13.496967176590967</v>
      </c>
      <c r="AB179" s="18">
        <f t="shared" si="13"/>
        <v>47.092540576782369</v>
      </c>
      <c r="AC179" s="18">
        <f>$CP$15*Table2912[[#This Row],[DMD '[mg/g']]]+$CS$15*Table2912[[#This Row],[CH4 '[ml/g']]]+$CR$15*Table2912[[#This Row],[CH4 '[% GP']]]+$CQ$15*Table2912[[#This Row],[CH4 '[g/g DDM']]]</f>
        <v>14.056112915434063</v>
      </c>
      <c r="AD179" s="18">
        <f>_xlfn.RANK.AVG(Table2912[[#This Row],[Index]],Table2912[Index])</f>
        <v>290</v>
      </c>
      <c r="AE17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6.4796436319317188</v>
      </c>
      <c r="AF179" s="18">
        <f>Table2912[[#This Row],[CH4 '[ml/g']]]/Table2912[[#This Row],[APB]]</f>
        <v>5.3334492636093662</v>
      </c>
      <c r="AG179" s="18">
        <f>Table2912[[#This Row],[Propionate '[%']]]/Table2912[[#This Row],[Acetate '[%']]]</f>
        <v>0.27430546057742877</v>
      </c>
      <c r="AH179" s="51"/>
      <c r="AI179" s="18"/>
      <c r="AJ179" s="18"/>
      <c r="AK179" s="18">
        <f>(Table2912[[#This Row],[DMD '[mg/g']]]-$AK$15)/$AK$15*100</f>
        <v>49.676945706627137</v>
      </c>
      <c r="AL179" s="18">
        <f>(Table2912[[#This Row],[CH4 '[ml/g']]]-AL$15)/AL$15*100</f>
        <v>-12.136001556513378</v>
      </c>
      <c r="AM179" s="18">
        <f>(Table2912[[#This Row],[CH4 '[% GP']]]-AM$15)/AM$15*100</f>
        <v>-13.048192547535001</v>
      </c>
      <c r="AN179" s="18">
        <f>(Table2912[[#This Row],[CH4 '[g/g DDM']]]-AN$15)/AN$15*100</f>
        <v>-8.0502632236645173</v>
      </c>
      <c r="AO179" s="18"/>
      <c r="AP179" s="18"/>
      <c r="AR179">
        <f>_xlfn.NORM.DIST(Table2912[[#This Row],[GP '[ml/g']]],O$6,O$2,FALSE)</f>
        <v>7.4794536153625175E-3</v>
      </c>
      <c r="AS179">
        <f>_xlfn.NORM.DIST(Table2912[[#This Row],[SCFA '[mmol/g']]],P$6,P$2,FALSE)</f>
        <v>0.31035830888685539</v>
      </c>
      <c r="AT179">
        <f>_xlfn.NORM.DIST(Table2912[[#This Row],[Acetate '[%']]],Q$6,Q$2,FALSE)</f>
        <v>10.747071428985258</v>
      </c>
      <c r="AU179">
        <f>_xlfn.NORM.DIST(Table2912[[#This Row],[Propionate '[%']]],R$6,R$2,FALSE)</f>
        <v>16.061811570606316</v>
      </c>
      <c r="AV179">
        <f>_xlfn.NORM.DIST(Table2912[[#This Row],[Butyrate '[%']]],S$6,S$2,FALSE)</f>
        <v>22.58491320005496</v>
      </c>
      <c r="AW179">
        <f>_xlfn.NORM.DIST(Table2912[[#This Row],[Valerate '[%']]],T$6,T$2,FALSE)</f>
        <v>29.214107070838722</v>
      </c>
      <c r="AX179">
        <f>_xlfn.NORM.DIST(Table2912[[#This Row],[Caproate '[%']]],U$6,U$2,FALSE)</f>
        <v>360.12601893011441</v>
      </c>
      <c r="AY179">
        <f>_xlfn.NORM.DIST(Table2912[[#This Row],[Isobutyrate '[%']]],V$6,V$2,FALSE)</f>
        <v>81.17883260746936</v>
      </c>
      <c r="AZ179">
        <f>_xlfn.NORM.DIST(Table2912[[#This Row],[Isovalerate '[%']]],W$6,W$2,FALSE)</f>
        <v>44.857583468230835</v>
      </c>
      <c r="BA179">
        <f>_xlfn.NORM.DIST(Table2912[[#This Row],[CH4 '[g/mmol SCFA']]],X$6,X$2,FALSE)</f>
        <v>0.18123188501750717</v>
      </c>
      <c r="BB179">
        <f>_xlfn.NORM.DIST(Table2912[[#This Row],[DMD '[mg/g']]],Y$6,Y$2,FALSE)</f>
        <v>2.7809082844122692E-3</v>
      </c>
      <c r="BC179">
        <f>_xlfn.NORM.DIST(Table2912[[#This Row],[CH4 '[ml/g']]],Z$6,Z$2,FALSE)</f>
        <v>2.8410331773328329E-2</v>
      </c>
      <c r="BD179">
        <f>_xlfn.NORM.DIST(Table2912[[#This Row],[CH4 '[% GP']]],AA$6,AA$2,FALSE)</f>
        <v>9.24077022074722E-2</v>
      </c>
      <c r="BE179">
        <f>_xlfn.NORM.DIST(Table2912[[#This Row],[CH4 '[g/g DDM']]],AB$6,AB$2,FALSE)</f>
        <v>2.8762646571551198E-2</v>
      </c>
      <c r="BG179">
        <f>IF(Table2912[[#This Row],[GP '[ml/g']]]&lt;O$10,_xlfn.NORM.DIST(Table2912[[#This Row],[GP '[ml/g']]],O$6,O$2,FALSE),-100)</f>
        <v>-100</v>
      </c>
      <c r="BH179">
        <f>IF(Table2912[[#This Row],[SCFA '[mmol/g']]]&lt;P$10,_xlfn.NORM.DIST(Table2912[[#This Row],[SCFA '[mmol/g']]],P$6,P$2,FALSE),-100)</f>
        <v>-100</v>
      </c>
      <c r="BI179">
        <f>IF(Table2912[[#This Row],[Acetate '[%']]]&lt;Q$10,_xlfn.NORM.DIST(Table2912[[#This Row],[Acetate '[%']]],Q$6,Q$2,FALSE),-100)</f>
        <v>-100</v>
      </c>
      <c r="BJ179">
        <f>IF(Table2912[[#This Row],[Propionate '[%']]]&lt;R$10,_xlfn.NORM.DIST(Table2912[[#This Row],[Propionate '[%']]],R$6,R$2,FALSE),-100)</f>
        <v>-100</v>
      </c>
      <c r="BK179">
        <f>IF(Table2912[[#This Row],[Butyrate '[%']]]&lt;S$10,_xlfn.NORM.DIST(Table2912[[#This Row],[Butyrate '[%']]],S$6,S$2,FALSE),-100)</f>
        <v>-100</v>
      </c>
      <c r="BL179">
        <f>IF(Table2912[[#This Row],[Valerate '[%']]]&lt;T$10,_xlfn.NORM.DIST(Table2912[[#This Row],[Valerate '[%']]],T$6,T$2,FALSE),-100)</f>
        <v>-100</v>
      </c>
      <c r="BM179">
        <f>IF(Table2912[[#This Row],[Caproate '[%']]]&lt;U$10,_xlfn.NORM.DIST(Table2912[[#This Row],[Caproate '[%']]],U$6,U$2,FALSE),-100)</f>
        <v>-100</v>
      </c>
      <c r="BN179">
        <f>IF(Table2912[[#This Row],[Isobutyrate '[%']]]&lt;V$10,_xlfn.NORM.DIST(Table2912[[#This Row],[Isobutyrate '[%']]],V$6,V$2,FALSE),-100)</f>
        <v>-100</v>
      </c>
      <c r="BO179">
        <f>IF(Table2912[[#This Row],[Isovalerate '[%']]]&lt;W$10,_xlfn.NORM.DIST(Table2912[[#This Row],[Isovalerate '[%']]],W$6,W$2,FALSE),-100)</f>
        <v>-100</v>
      </c>
      <c r="BP179">
        <f>IF(Table2912[[#This Row],[CH4 '[g/mmol SCFA']]]&lt;X$10,_xlfn.NORM.DIST(Table2912[[#This Row],[CH4 '[g/mmol SCFA']]],X$6,X$2,FALSE),-100)</f>
        <v>-100</v>
      </c>
      <c r="BQ179">
        <f>IF(Table2912[[#This Row],[DMD '[mg/g']]]&gt;Y$10,_xlfn.NORM.DIST(Table2912[[#This Row],[DMD '[mg/g']]],Y$6,Y$2,FALSE),-100)</f>
        <v>-100</v>
      </c>
      <c r="BR179">
        <f>IF(Table2912[[#This Row],[CH4 '[ml/g']]]&lt;Z$10,_xlfn.NORM.DIST(Table2912[[#This Row],[CH4 '[ml/g']]],Z$6,Z$2,FALSE),-100)</f>
        <v>-100</v>
      </c>
      <c r="BS179">
        <f>IF(Table2912[[#This Row],[CH4 '[% GP']]]&lt;AA$10,_xlfn.NORM.DIST(Table2912[[#This Row],[CH4 '[% GP']]],AA$6,AA$2,FALSE),-100)</f>
        <v>-100</v>
      </c>
      <c r="BT179">
        <f>IF(Table2912[[#This Row],[CH4 '[g/g DDM']]]&lt;AB$10,_xlfn.NORM.DIST(Table2912[[#This Row],[CH4 '[g/g DDM']]],AB$6,AB$2,FALSE),-100)</f>
        <v>-100</v>
      </c>
    </row>
    <row r="180" spans="1:72" x14ac:dyDescent="0.25">
      <c r="A180" s="12" t="s">
        <v>70</v>
      </c>
      <c r="B180" s="13">
        <v>990</v>
      </c>
      <c r="C180" s="96" t="s">
        <v>257</v>
      </c>
      <c r="D180" s="96"/>
      <c r="E180" s="96"/>
      <c r="F180" s="96" t="s">
        <v>258</v>
      </c>
      <c r="G180" s="15" t="s">
        <v>73</v>
      </c>
      <c r="H180" s="15" t="s">
        <v>74</v>
      </c>
      <c r="I180" t="s">
        <v>75</v>
      </c>
      <c r="J180" s="100">
        <v>2</v>
      </c>
      <c r="K180" s="100"/>
      <c r="L180" s="100"/>
      <c r="M180" t="s">
        <v>258</v>
      </c>
      <c r="N180" t="s">
        <v>180</v>
      </c>
      <c r="O180" s="18">
        <v>279.62135728542893</v>
      </c>
      <c r="P180" s="18">
        <v>6.8401760379110037</v>
      </c>
      <c r="Q180" s="97">
        <v>0.66824182339724802</v>
      </c>
      <c r="R180" s="97">
        <v>0.17034917266003696</v>
      </c>
      <c r="S180" s="97">
        <v>9.3765223659623462E-2</v>
      </c>
      <c r="T180" s="97">
        <v>1.7856798996596167E-2</v>
      </c>
      <c r="U180" s="97">
        <v>1.2260427025922219E-3</v>
      </c>
      <c r="V180" s="97">
        <v>1.645322480309671E-2</v>
      </c>
      <c r="W180" s="97">
        <v>3.2107713780806513E-2</v>
      </c>
      <c r="X180" s="51">
        <f t="shared" si="11"/>
        <v>6.0026243059200484</v>
      </c>
      <c r="Y180" s="18">
        <v>734.88376781789952</v>
      </c>
      <c r="Z180" s="18">
        <v>41.059006941936488</v>
      </c>
      <c r="AA180" s="18">
        <f t="shared" si="12"/>
        <v>14.683787869617094</v>
      </c>
      <c r="AB180" s="18">
        <f t="shared" si="13"/>
        <v>55.871429932183105</v>
      </c>
      <c r="AC180" s="18">
        <f>$CP$15*Table2912[[#This Row],[DMD '[mg/g']]]+$CS$15*Table2912[[#This Row],[CH4 '[ml/g']]]+$CR$15*Table2912[[#This Row],[CH4 '[% GP']]]+$CQ$15*Table2912[[#This Row],[CH4 '[g/g DDM']]]</f>
        <v>9.8399101922471459</v>
      </c>
      <c r="AD180" s="18">
        <f>_xlfn.RANK.AVG(Table2912[[#This Row],[Index]],Table2912[Index])</f>
        <v>362</v>
      </c>
      <c r="AE18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6.3774806729048841</v>
      </c>
      <c r="AF180" s="18">
        <f>Table2912[[#This Row],[CH4 '[ml/g']]]/Table2912[[#This Row],[APB]]</f>
        <v>6.4381233041408006</v>
      </c>
      <c r="AG180" s="18">
        <f>Table2912[[#This Row],[Propionate '[%']]]/Table2912[[#This Row],[Acetate '[%']]]</f>
        <v>0.25492144714020681</v>
      </c>
      <c r="AH180" s="51"/>
      <c r="AI180" s="18"/>
      <c r="AJ180" s="18"/>
      <c r="AK180" s="18">
        <f>(Table2912[[#This Row],[DMD '[mg/g']]]-$AK$15)/$AK$15*100</f>
        <v>49.887839126662719</v>
      </c>
      <c r="AL180" s="18">
        <f>(Table2912[[#This Row],[CH4 '[ml/g']]]-AL$15)/AL$15*100</f>
        <v>4.390292613136956</v>
      </c>
      <c r="AM180" s="18">
        <f>(Table2912[[#This Row],[CH4 '[% GP']]]-AM$15)/AM$15*100</f>
        <v>-5.4023115855073636</v>
      </c>
      <c r="AN180" s="18">
        <f>(Table2912[[#This Row],[CH4 '[g/g DDM']]]-AN$15)/AN$15*100</f>
        <v>9.0908074327707418</v>
      </c>
      <c r="AO180" s="18"/>
      <c r="AP180" s="18"/>
      <c r="AR180">
        <f>_xlfn.NORM.DIST(Table2912[[#This Row],[GP '[ml/g']]],O$6,O$2,FALSE)</f>
        <v>6.7521405130336228E-3</v>
      </c>
      <c r="AS180">
        <f>_xlfn.NORM.DIST(Table2912[[#This Row],[SCFA '[mmol/g']]],P$6,P$2,FALSE)</f>
        <v>0.32230588642652125</v>
      </c>
      <c r="AT180">
        <f>_xlfn.NORM.DIST(Table2912[[#This Row],[Acetate '[%']]],Q$6,Q$2,FALSE)</f>
        <v>13.821672554725833</v>
      </c>
      <c r="AU180">
        <f>_xlfn.NORM.DIST(Table2912[[#This Row],[Propionate '[%']]],R$6,R$2,FALSE)</f>
        <v>16.756831168766752</v>
      </c>
      <c r="AV180">
        <f>_xlfn.NORM.DIST(Table2912[[#This Row],[Butyrate '[%']]],S$6,S$2,FALSE)</f>
        <v>23.002771169695073</v>
      </c>
      <c r="AW180">
        <f>_xlfn.NORM.DIST(Table2912[[#This Row],[Valerate '[%']]],T$6,T$2,FALSE)</f>
        <v>77.338316570991637</v>
      </c>
      <c r="AX180">
        <f>_xlfn.NORM.DIST(Table2912[[#This Row],[Caproate '[%']]],U$6,U$2,FALSE)</f>
        <v>404.49720098939952</v>
      </c>
      <c r="AY180">
        <f>_xlfn.NORM.DIST(Table2912[[#This Row],[Isobutyrate '[%']]],V$6,V$2,FALSE)</f>
        <v>87.237776469196945</v>
      </c>
      <c r="AZ180">
        <f>_xlfn.NORM.DIST(Table2912[[#This Row],[Isovalerate '[%']]],W$6,W$2,FALSE)</f>
        <v>40.492109407598598</v>
      </c>
      <c r="BA180">
        <f>_xlfn.NORM.DIST(Table2912[[#This Row],[CH4 '[g/mmol SCFA']]],X$6,X$2,FALSE)</f>
        <v>0.29099287122828715</v>
      </c>
      <c r="BB180">
        <f>_xlfn.NORM.DIST(Table2912[[#This Row],[DMD '[mg/g']]],Y$6,Y$2,FALSE)</f>
        <v>2.7873112246675625E-3</v>
      </c>
      <c r="BC180">
        <f>_xlfn.NORM.DIST(Table2912[[#This Row],[CH4 '[ml/g']]],Z$6,Z$2,FALSE)</f>
        <v>3.3492441188624912E-2</v>
      </c>
      <c r="BD180">
        <f>_xlfn.NORM.DIST(Table2912[[#This Row],[CH4 '[% GP']]],AA$6,AA$2,FALSE)</f>
        <v>0.12076999591382184</v>
      </c>
      <c r="BE180">
        <f>_xlfn.NORM.DIST(Table2912[[#This Row],[CH4 '[g/g DDM']]],AB$6,AB$2,FALSE)</f>
        <v>3.2153839954522735E-2</v>
      </c>
      <c r="BG180">
        <f>IF(Table2912[[#This Row],[GP '[ml/g']]]&lt;O$10,_xlfn.NORM.DIST(Table2912[[#This Row],[GP '[ml/g']]],O$6,O$2,FALSE),-100)</f>
        <v>-100</v>
      </c>
      <c r="BH180">
        <f>IF(Table2912[[#This Row],[SCFA '[mmol/g']]]&lt;P$10,_xlfn.NORM.DIST(Table2912[[#This Row],[SCFA '[mmol/g']]],P$6,P$2,FALSE),-100)</f>
        <v>-100</v>
      </c>
      <c r="BI180">
        <f>IF(Table2912[[#This Row],[Acetate '[%']]]&lt;Q$10,_xlfn.NORM.DIST(Table2912[[#This Row],[Acetate '[%']]],Q$6,Q$2,FALSE),-100)</f>
        <v>-100</v>
      </c>
      <c r="BJ180">
        <f>IF(Table2912[[#This Row],[Propionate '[%']]]&lt;R$10,_xlfn.NORM.DIST(Table2912[[#This Row],[Propionate '[%']]],R$6,R$2,FALSE),-100)</f>
        <v>-100</v>
      </c>
      <c r="BK180">
        <f>IF(Table2912[[#This Row],[Butyrate '[%']]]&lt;S$10,_xlfn.NORM.DIST(Table2912[[#This Row],[Butyrate '[%']]],S$6,S$2,FALSE),-100)</f>
        <v>-100</v>
      </c>
      <c r="BL180">
        <f>IF(Table2912[[#This Row],[Valerate '[%']]]&lt;T$10,_xlfn.NORM.DIST(Table2912[[#This Row],[Valerate '[%']]],T$6,T$2,FALSE),-100)</f>
        <v>-100</v>
      </c>
      <c r="BM180">
        <f>IF(Table2912[[#This Row],[Caproate '[%']]]&lt;U$10,_xlfn.NORM.DIST(Table2912[[#This Row],[Caproate '[%']]],U$6,U$2,FALSE),-100)</f>
        <v>-100</v>
      </c>
      <c r="BN180">
        <f>IF(Table2912[[#This Row],[Isobutyrate '[%']]]&lt;V$10,_xlfn.NORM.DIST(Table2912[[#This Row],[Isobutyrate '[%']]],V$6,V$2,FALSE),-100)</f>
        <v>-100</v>
      </c>
      <c r="BO180">
        <f>IF(Table2912[[#This Row],[Isovalerate '[%']]]&lt;W$10,_xlfn.NORM.DIST(Table2912[[#This Row],[Isovalerate '[%']]],W$6,W$2,FALSE),-100)</f>
        <v>-100</v>
      </c>
      <c r="BP180">
        <f>IF(Table2912[[#This Row],[CH4 '[g/mmol SCFA']]]&lt;X$10,_xlfn.NORM.DIST(Table2912[[#This Row],[CH4 '[g/mmol SCFA']]],X$6,X$2,FALSE),-100)</f>
        <v>-100</v>
      </c>
      <c r="BQ180">
        <f>IF(Table2912[[#This Row],[DMD '[mg/g']]]&gt;Y$10,_xlfn.NORM.DIST(Table2912[[#This Row],[DMD '[mg/g']]],Y$6,Y$2,FALSE),-100)</f>
        <v>-100</v>
      </c>
      <c r="BR180">
        <f>IF(Table2912[[#This Row],[CH4 '[ml/g']]]&lt;Z$10,_xlfn.NORM.DIST(Table2912[[#This Row],[CH4 '[ml/g']]],Z$6,Z$2,FALSE),-100)</f>
        <v>-100</v>
      </c>
      <c r="BS180">
        <f>IF(Table2912[[#This Row],[CH4 '[% GP']]]&lt;AA$10,_xlfn.NORM.DIST(Table2912[[#This Row],[CH4 '[% GP']]],AA$6,AA$2,FALSE),-100)</f>
        <v>-100</v>
      </c>
      <c r="BT180">
        <f>IF(Table2912[[#This Row],[CH4 '[g/g DDM']]]&lt;AB$10,_xlfn.NORM.DIST(Table2912[[#This Row],[CH4 '[g/g DDM']]],AB$6,AB$2,FALSE),-100)</f>
        <v>-100</v>
      </c>
    </row>
    <row r="181" spans="1:72" x14ac:dyDescent="0.25">
      <c r="A181" s="12" t="s">
        <v>70</v>
      </c>
      <c r="B181" s="13">
        <v>1008</v>
      </c>
      <c r="C181" s="96" t="s">
        <v>259</v>
      </c>
      <c r="D181" s="96"/>
      <c r="E181" s="96"/>
      <c r="F181" s="96" t="s">
        <v>260</v>
      </c>
      <c r="G181" t="s">
        <v>73</v>
      </c>
      <c r="H181" t="s">
        <v>74</v>
      </c>
      <c r="I181" t="s">
        <v>75</v>
      </c>
      <c r="J181" s="70">
        <v>3</v>
      </c>
      <c r="K181" s="70"/>
      <c r="L181" s="70"/>
      <c r="M181" t="s">
        <v>260</v>
      </c>
      <c r="N181" t="s">
        <v>76</v>
      </c>
      <c r="O181" s="18">
        <v>282.65790513833906</v>
      </c>
      <c r="P181" s="18">
        <v>7.4972994667662611</v>
      </c>
      <c r="Q181" s="97">
        <v>0.66414074701875059</v>
      </c>
      <c r="R181" s="97">
        <v>0.16215146786164775</v>
      </c>
      <c r="S181" s="97">
        <v>0.11437680555773214</v>
      </c>
      <c r="T181" s="97">
        <v>1.9966896339910646E-2</v>
      </c>
      <c r="U181" s="97">
        <v>2.4637317971711739E-3</v>
      </c>
      <c r="V181" s="97">
        <v>1.2789155132178074E-2</v>
      </c>
      <c r="W181" s="97">
        <v>2.4111196292609459E-2</v>
      </c>
      <c r="X181" s="51">
        <f t="shared" si="11"/>
        <v>5.9551308953554241</v>
      </c>
      <c r="Y181" s="18">
        <v>735.97019493116727</v>
      </c>
      <c r="Z181" s="18">
        <v>44.647399686271505</v>
      </c>
      <c r="AA181" s="18">
        <f t="shared" si="12"/>
        <v>15.795560242484665</v>
      </c>
      <c r="AB181" s="18">
        <f t="shared" si="13"/>
        <v>60.664684512729785</v>
      </c>
      <c r="AC181" s="18">
        <f>$CP$15*Table2912[[#This Row],[DMD '[mg/g']]]+$CS$15*Table2912[[#This Row],[CH4 '[ml/g']]]+$CR$15*Table2912[[#This Row],[CH4 '[% GP']]]+$CQ$15*Table2912[[#This Row],[CH4 '[g/g DDM']]]</f>
        <v>7.449624338221895</v>
      </c>
      <c r="AD181" s="18">
        <f>_xlfn.RANK.AVG(Table2912[[#This Row],[Index]],Table2912[Index])</f>
        <v>378</v>
      </c>
      <c r="AE18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7.0524773453343368</v>
      </c>
      <c r="AF181" s="18">
        <f>Table2912[[#This Row],[CH4 '[ml/g']]]/Table2912[[#This Row],[APB]]</f>
        <v>6.3307398946568192</v>
      </c>
      <c r="AG181" s="18">
        <f>Table2912[[#This Row],[Propionate '[%']]]/Table2912[[#This Row],[Acetate '[%']]]</f>
        <v>0.24415226529847256</v>
      </c>
      <c r="AH181" s="51"/>
      <c r="AI181" s="18"/>
      <c r="AJ181" s="18"/>
      <c r="AK181" s="18">
        <f>(Table2912[[#This Row],[DMD '[mg/g']]]-$AK$15)/$AK$15*100</f>
        <v>50.109428198986159</v>
      </c>
      <c r="AL181" s="18">
        <f>(Table2912[[#This Row],[CH4 '[ml/g']]]-AL$15)/AL$15*100</f>
        <v>13.513586050840418</v>
      </c>
      <c r="AM181" s="18">
        <f>(Table2912[[#This Row],[CH4 '[% GP']]]-AM$15)/AM$15*100</f>
        <v>1.7600839387416671</v>
      </c>
      <c r="AN181" s="18">
        <f>(Table2912[[#This Row],[CH4 '[g/g DDM']]]-AN$15)/AN$15*100</f>
        <v>18.449794898410367</v>
      </c>
      <c r="AO181" s="18"/>
      <c r="AP181" s="18"/>
      <c r="AR181">
        <f>_xlfn.NORM.DIST(Table2912[[#This Row],[GP '[ml/g']]],O$6,O$2,FALSE)</f>
        <v>6.5697751623049958E-3</v>
      </c>
      <c r="AS181">
        <f>_xlfn.NORM.DIST(Table2912[[#This Row],[SCFA '[mmol/g']]],P$6,P$2,FALSE)</f>
        <v>0.24151392610124386</v>
      </c>
      <c r="AT181">
        <f>_xlfn.NORM.DIST(Table2912[[#This Row],[Acetate '[%']]],Q$6,Q$2,FALSE)</f>
        <v>13.344238279780038</v>
      </c>
      <c r="AU181">
        <f>_xlfn.NORM.DIST(Table2912[[#This Row],[Propionate '[%']]],R$6,R$2,FALSE)</f>
        <v>15.444191243181352</v>
      </c>
      <c r="AV181">
        <f>_xlfn.NORM.DIST(Table2912[[#This Row],[Butyrate '[%']]],S$6,S$2,FALSE)</f>
        <v>10.695236906811356</v>
      </c>
      <c r="AW181">
        <f>_xlfn.NORM.DIST(Table2912[[#This Row],[Valerate '[%']]],T$6,T$2,FALSE)</f>
        <v>70.0140810455989</v>
      </c>
      <c r="AX181">
        <f>_xlfn.NORM.DIST(Table2912[[#This Row],[Caproate '[%']]],U$6,U$2,FALSE)</f>
        <v>209.26340337123747</v>
      </c>
      <c r="AY181">
        <f>_xlfn.NORM.DIST(Table2912[[#This Row],[Isobutyrate '[%']]],V$6,V$2,FALSE)</f>
        <v>76.577714344290428</v>
      </c>
      <c r="AZ181">
        <f>_xlfn.NORM.DIST(Table2912[[#This Row],[Isovalerate '[%']]],W$6,W$2,FALSE)</f>
        <v>41.402241316637053</v>
      </c>
      <c r="BA181">
        <f>_xlfn.NORM.DIST(Table2912[[#This Row],[CH4 '[g/mmol SCFA']]],X$6,X$2,FALSE)</f>
        <v>0.288668357380647</v>
      </c>
      <c r="BB181">
        <f>_xlfn.NORM.DIST(Table2912[[#This Row],[DMD '[mg/g']]],Y$6,Y$2,FALSE)</f>
        <v>2.7938828365724516E-3</v>
      </c>
      <c r="BC181">
        <f>_xlfn.NORM.DIST(Table2912[[#This Row],[CH4 '[ml/g']]],Z$6,Z$2,FALSE)</f>
        <v>3.2281296927295228E-2</v>
      </c>
      <c r="BD181">
        <f>_xlfn.NORM.DIST(Table2912[[#This Row],[CH4 '[% GP']]],AA$6,AA$2,FALSE)</f>
        <v>0.13414681371941836</v>
      </c>
      <c r="BE181">
        <f>_xlfn.NORM.DIST(Table2912[[#This Row],[CH4 '[g/g DDM']]],AB$6,AB$2,FALSE)</f>
        <v>2.7407340492636434E-2</v>
      </c>
      <c r="BG181">
        <f>IF(Table2912[[#This Row],[GP '[ml/g']]]&lt;O$10,_xlfn.NORM.DIST(Table2912[[#This Row],[GP '[ml/g']]],O$6,O$2,FALSE),-100)</f>
        <v>-100</v>
      </c>
      <c r="BH181">
        <f>IF(Table2912[[#This Row],[SCFA '[mmol/g']]]&lt;P$10,_xlfn.NORM.DIST(Table2912[[#This Row],[SCFA '[mmol/g']]],P$6,P$2,FALSE),-100)</f>
        <v>-100</v>
      </c>
      <c r="BI181">
        <f>IF(Table2912[[#This Row],[Acetate '[%']]]&lt;Q$10,_xlfn.NORM.DIST(Table2912[[#This Row],[Acetate '[%']]],Q$6,Q$2,FALSE),-100)</f>
        <v>-100</v>
      </c>
      <c r="BJ181">
        <f>IF(Table2912[[#This Row],[Propionate '[%']]]&lt;R$10,_xlfn.NORM.DIST(Table2912[[#This Row],[Propionate '[%']]],R$6,R$2,FALSE),-100)</f>
        <v>-100</v>
      </c>
      <c r="BK181">
        <f>IF(Table2912[[#This Row],[Butyrate '[%']]]&lt;S$10,_xlfn.NORM.DIST(Table2912[[#This Row],[Butyrate '[%']]],S$6,S$2,FALSE),-100)</f>
        <v>-100</v>
      </c>
      <c r="BL181">
        <f>IF(Table2912[[#This Row],[Valerate '[%']]]&lt;T$10,_xlfn.NORM.DIST(Table2912[[#This Row],[Valerate '[%']]],T$6,T$2,FALSE),-100)</f>
        <v>-100</v>
      </c>
      <c r="BM181">
        <f>IF(Table2912[[#This Row],[Caproate '[%']]]&lt;U$10,_xlfn.NORM.DIST(Table2912[[#This Row],[Caproate '[%']]],U$6,U$2,FALSE),-100)</f>
        <v>-100</v>
      </c>
      <c r="BN181">
        <f>IF(Table2912[[#This Row],[Isobutyrate '[%']]]&lt;V$10,_xlfn.NORM.DIST(Table2912[[#This Row],[Isobutyrate '[%']]],V$6,V$2,FALSE),-100)</f>
        <v>-100</v>
      </c>
      <c r="BO181">
        <f>IF(Table2912[[#This Row],[Isovalerate '[%']]]&lt;W$10,_xlfn.NORM.DIST(Table2912[[#This Row],[Isovalerate '[%']]],W$6,W$2,FALSE),-100)</f>
        <v>-100</v>
      </c>
      <c r="BP181">
        <f>IF(Table2912[[#This Row],[CH4 '[g/mmol SCFA']]]&lt;X$10,_xlfn.NORM.DIST(Table2912[[#This Row],[CH4 '[g/mmol SCFA']]],X$6,X$2,FALSE),-100)</f>
        <v>-100</v>
      </c>
      <c r="BQ181">
        <f>IF(Table2912[[#This Row],[DMD '[mg/g']]]&gt;Y$10,_xlfn.NORM.DIST(Table2912[[#This Row],[DMD '[mg/g']]],Y$6,Y$2,FALSE),-100)</f>
        <v>-100</v>
      </c>
      <c r="BR181">
        <f>IF(Table2912[[#This Row],[CH4 '[ml/g']]]&lt;Z$10,_xlfn.NORM.DIST(Table2912[[#This Row],[CH4 '[ml/g']]],Z$6,Z$2,FALSE),-100)</f>
        <v>-100</v>
      </c>
      <c r="BS181">
        <f>IF(Table2912[[#This Row],[CH4 '[% GP']]]&lt;AA$10,_xlfn.NORM.DIST(Table2912[[#This Row],[CH4 '[% GP']]],AA$6,AA$2,FALSE),-100)</f>
        <v>-100</v>
      </c>
      <c r="BT181">
        <f>IF(Table2912[[#This Row],[CH4 '[g/g DDM']]]&lt;AB$10,_xlfn.NORM.DIST(Table2912[[#This Row],[CH4 '[g/g DDM']]],AB$6,AB$2,FALSE),-100)</f>
        <v>-100</v>
      </c>
    </row>
    <row r="182" spans="1:72" x14ac:dyDescent="0.25">
      <c r="A182" s="12" t="s">
        <v>70</v>
      </c>
      <c r="B182" s="13">
        <v>1007</v>
      </c>
      <c r="C182" s="96" t="s">
        <v>216</v>
      </c>
      <c r="D182" s="96"/>
      <c r="E182" s="96"/>
      <c r="F182" s="96" t="s">
        <v>217</v>
      </c>
      <c r="G182" s="15" t="s">
        <v>73</v>
      </c>
      <c r="H182" s="15" t="s">
        <v>74</v>
      </c>
      <c r="I182" t="s">
        <v>75</v>
      </c>
      <c r="J182" s="107">
        <v>2</v>
      </c>
      <c r="K182" s="107"/>
      <c r="L182" s="107"/>
      <c r="M182" t="s">
        <v>217</v>
      </c>
      <c r="N182" t="s">
        <v>81</v>
      </c>
      <c r="O182" s="18">
        <v>287.9153543307084</v>
      </c>
      <c r="P182" s="18">
        <v>7.297370388489405</v>
      </c>
      <c r="Q182" s="97">
        <v>0.70336772948924553</v>
      </c>
      <c r="R182" s="97">
        <v>0.14579597381547077</v>
      </c>
      <c r="S182" s="97">
        <v>0.10402960169835343</v>
      </c>
      <c r="T182" s="97">
        <v>1.2690745269194788E-2</v>
      </c>
      <c r="U182" s="97">
        <v>6.6158143322554773E-4</v>
      </c>
      <c r="V182" s="97">
        <v>1.279769222832091E-2</v>
      </c>
      <c r="W182" s="97">
        <v>2.0656676066189136E-2</v>
      </c>
      <c r="X182" s="51">
        <f t="shared" si="11"/>
        <v>6.3240913109868861</v>
      </c>
      <c r="Y182" s="18">
        <v>737.28820140086066</v>
      </c>
      <c r="Z182" s="18">
        <v>46.149236666898844</v>
      </c>
      <c r="AA182" s="18">
        <f t="shared" si="12"/>
        <v>16.028751496834175</v>
      </c>
      <c r="AB182" s="18">
        <f t="shared" si="13"/>
        <v>62.593211961366634</v>
      </c>
      <c r="AC182" s="18">
        <f>$CP$15*Table2912[[#This Row],[DMD '[mg/g']]]+$CS$15*Table2912[[#This Row],[CH4 '[ml/g']]]+$CR$15*Table2912[[#This Row],[CH4 '[% GP']]]+$CQ$15*Table2912[[#This Row],[CH4 '[g/g DDM']]]</f>
        <v>6.6336819807497633</v>
      </c>
      <c r="AD182" s="18">
        <f>_xlfn.RANK.AVG(Table2912[[#This Row],[Index]],Table2912[Index])</f>
        <v>389</v>
      </c>
      <c r="AE18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6.9558045984357513</v>
      </c>
      <c r="AF182" s="18">
        <f>Table2912[[#This Row],[CH4 '[ml/g']]]/Table2912[[#This Row],[APB]]</f>
        <v>6.6346367287656509</v>
      </c>
      <c r="AG182" s="18">
        <f>Table2912[[#This Row],[Propionate '[%']]]/Table2912[[#This Row],[Acetate '[%']]]</f>
        <v>0.2072827167111311</v>
      </c>
      <c r="AH182" s="51"/>
      <c r="AI182" s="18"/>
      <c r="AJ182" s="18"/>
      <c r="AK182" s="18">
        <f>(Table2912[[#This Row],[DMD '[mg/g']]]-$AK$15)/$AK$15*100</f>
        <v>50.378250494903639</v>
      </c>
      <c r="AL182" s="18">
        <f>(Table2912[[#This Row],[CH4 '[ml/g']]]-AL$15)/AL$15*100</f>
        <v>17.331924913410184</v>
      </c>
      <c r="AM182" s="18">
        <f>(Table2912[[#This Row],[CH4 '[% GP']]]-AM$15)/AM$15*100</f>
        <v>3.2623770674502124</v>
      </c>
      <c r="AN182" s="18">
        <f>(Table2912[[#This Row],[CH4 '[g/g DDM']]]-AN$15)/AN$15*100</f>
        <v>22.215308270511645</v>
      </c>
      <c r="AO182" s="18"/>
      <c r="AP182" s="18"/>
      <c r="AR182">
        <f>_xlfn.NORM.DIST(Table2912[[#This Row],[GP '[ml/g']]],O$6,O$2,FALSE)</f>
        <v>6.2177608632637627E-3</v>
      </c>
      <c r="AS182">
        <f>_xlfn.NORM.DIST(Table2912[[#This Row],[SCFA '[mmol/g']]],P$6,P$2,FALSE)</f>
        <v>0.27219521427417115</v>
      </c>
      <c r="AT182">
        <f>_xlfn.NORM.DIST(Table2912[[#This Row],[Acetate '[%']]],Q$6,Q$2,FALSE)</f>
        <v>7.9695490268787319</v>
      </c>
      <c r="AU182">
        <f>_xlfn.NORM.DIST(Table2912[[#This Row],[Propionate '[%']]],R$6,R$2,FALSE)</f>
        <v>9.1961790459215536</v>
      </c>
      <c r="AV182">
        <f>_xlfn.NORM.DIST(Table2912[[#This Row],[Butyrate '[%']]],S$6,S$2,FALSE)</f>
        <v>18.750370598500236</v>
      </c>
      <c r="AW182">
        <f>_xlfn.NORM.DIST(Table2912[[#This Row],[Valerate '[%']]],T$6,T$2,FALSE)</f>
        <v>48.638539114681024</v>
      </c>
      <c r="AX182">
        <f>_xlfn.NORM.DIST(Table2912[[#This Row],[Caproate '[%']]],U$6,U$2,FALSE)</f>
        <v>321.84160588355064</v>
      </c>
      <c r="AY182">
        <f>_xlfn.NORM.DIST(Table2912[[#This Row],[Isobutyrate '[%']]],V$6,V$2,FALSE)</f>
        <v>76.662042204053947</v>
      </c>
      <c r="AZ182">
        <f>_xlfn.NORM.DIST(Table2912[[#This Row],[Isovalerate '[%']]],W$6,W$2,FALSE)</f>
        <v>32.344700565164842</v>
      </c>
      <c r="BA182">
        <f>_xlfn.NORM.DIST(Table2912[[#This Row],[CH4 '[g/mmol SCFA']]],X$6,X$2,FALSE)</f>
        <v>0.29726584529981875</v>
      </c>
      <c r="BB182">
        <f>_xlfn.NORM.DIST(Table2912[[#This Row],[DMD '[mg/g']]],Y$6,Y$2,FALSE)</f>
        <v>2.8016388423934622E-3</v>
      </c>
      <c r="BC182">
        <f>_xlfn.NORM.DIST(Table2912[[#This Row],[CH4 '[ml/g']]],Z$6,Z$2,FALSE)</f>
        <v>3.0941883644987015E-2</v>
      </c>
      <c r="BD182">
        <f>_xlfn.NORM.DIST(Table2912[[#This Row],[CH4 '[% GP']]],AA$6,AA$2,FALSE)</f>
        <v>0.13470485441361038</v>
      </c>
      <c r="BE182">
        <f>_xlfn.NORM.DIST(Table2912[[#This Row],[CH4 '[g/g DDM']]],AB$6,AB$2,FALSE)</f>
        <v>2.4596288222999536E-2</v>
      </c>
      <c r="BG182">
        <f>IF(Table2912[[#This Row],[GP '[ml/g']]]&lt;O$10,_xlfn.NORM.DIST(Table2912[[#This Row],[GP '[ml/g']]],O$6,O$2,FALSE),-100)</f>
        <v>-100</v>
      </c>
      <c r="BH182">
        <f>IF(Table2912[[#This Row],[SCFA '[mmol/g']]]&lt;P$10,_xlfn.NORM.DIST(Table2912[[#This Row],[SCFA '[mmol/g']]],P$6,P$2,FALSE),-100)</f>
        <v>-100</v>
      </c>
      <c r="BI182">
        <f>IF(Table2912[[#This Row],[Acetate '[%']]]&lt;Q$10,_xlfn.NORM.DIST(Table2912[[#This Row],[Acetate '[%']]],Q$6,Q$2,FALSE),-100)</f>
        <v>-100</v>
      </c>
      <c r="BJ182">
        <f>IF(Table2912[[#This Row],[Propionate '[%']]]&lt;R$10,_xlfn.NORM.DIST(Table2912[[#This Row],[Propionate '[%']]],R$6,R$2,FALSE),-100)</f>
        <v>9.1961790459215536</v>
      </c>
      <c r="BK182">
        <f>IF(Table2912[[#This Row],[Butyrate '[%']]]&lt;S$10,_xlfn.NORM.DIST(Table2912[[#This Row],[Butyrate '[%']]],S$6,S$2,FALSE),-100)</f>
        <v>-100</v>
      </c>
      <c r="BL182">
        <f>IF(Table2912[[#This Row],[Valerate '[%']]]&lt;T$10,_xlfn.NORM.DIST(Table2912[[#This Row],[Valerate '[%']]],T$6,T$2,FALSE),-100)</f>
        <v>-100</v>
      </c>
      <c r="BM182">
        <f>IF(Table2912[[#This Row],[Caproate '[%']]]&lt;U$10,_xlfn.NORM.DIST(Table2912[[#This Row],[Caproate '[%']]],U$6,U$2,FALSE),-100)</f>
        <v>-100</v>
      </c>
      <c r="BN182">
        <f>IF(Table2912[[#This Row],[Isobutyrate '[%']]]&lt;V$10,_xlfn.NORM.DIST(Table2912[[#This Row],[Isobutyrate '[%']]],V$6,V$2,FALSE),-100)</f>
        <v>-100</v>
      </c>
      <c r="BO182">
        <f>IF(Table2912[[#This Row],[Isovalerate '[%']]]&lt;W$10,_xlfn.NORM.DIST(Table2912[[#This Row],[Isovalerate '[%']]],W$6,W$2,FALSE),-100)</f>
        <v>-100</v>
      </c>
      <c r="BP182">
        <f>IF(Table2912[[#This Row],[CH4 '[g/mmol SCFA']]]&lt;X$10,_xlfn.NORM.DIST(Table2912[[#This Row],[CH4 '[g/mmol SCFA']]],X$6,X$2,FALSE),-100)</f>
        <v>-100</v>
      </c>
      <c r="BQ182">
        <f>IF(Table2912[[#This Row],[DMD '[mg/g']]]&gt;Y$10,_xlfn.NORM.DIST(Table2912[[#This Row],[DMD '[mg/g']]],Y$6,Y$2,FALSE),-100)</f>
        <v>-100</v>
      </c>
      <c r="BR182">
        <f>IF(Table2912[[#This Row],[CH4 '[ml/g']]]&lt;Z$10,_xlfn.NORM.DIST(Table2912[[#This Row],[CH4 '[ml/g']]],Z$6,Z$2,FALSE),-100)</f>
        <v>-100</v>
      </c>
      <c r="BS182">
        <f>IF(Table2912[[#This Row],[CH4 '[% GP']]]&lt;AA$10,_xlfn.NORM.DIST(Table2912[[#This Row],[CH4 '[% GP']]],AA$6,AA$2,FALSE),-100)</f>
        <v>-100</v>
      </c>
      <c r="BT182">
        <f>IF(Table2912[[#This Row],[CH4 '[g/g DDM']]]&lt;AB$10,_xlfn.NORM.DIST(Table2912[[#This Row],[CH4 '[g/g DDM']]],AB$6,AB$2,FALSE),-100)</f>
        <v>-100</v>
      </c>
    </row>
    <row r="183" spans="1:72" x14ac:dyDescent="0.25">
      <c r="A183" s="12" t="s">
        <v>70</v>
      </c>
      <c r="B183" s="13">
        <v>1013</v>
      </c>
      <c r="C183" s="96" t="s">
        <v>131</v>
      </c>
      <c r="D183" s="96"/>
      <c r="E183" s="96"/>
      <c r="F183" s="96" t="s">
        <v>132</v>
      </c>
      <c r="G183" t="s">
        <v>73</v>
      </c>
      <c r="H183" t="s">
        <v>74</v>
      </c>
      <c r="I183" t="s">
        <v>75</v>
      </c>
      <c r="J183" s="107">
        <v>1</v>
      </c>
      <c r="K183" s="107"/>
      <c r="L183" s="107"/>
      <c r="M183" t="s">
        <v>132</v>
      </c>
      <c r="N183" t="s">
        <v>85</v>
      </c>
      <c r="O183" s="18">
        <v>136.92913091309114</v>
      </c>
      <c r="P183" s="18">
        <v>3.8824146981627283</v>
      </c>
      <c r="Q183" s="97">
        <v>0.56437473755746115</v>
      </c>
      <c r="R183" s="97">
        <v>0.28728961240153034</v>
      </c>
      <c r="S183" s="97">
        <v>9.2067931332753816E-2</v>
      </c>
      <c r="T183" s="97">
        <v>2.767024923753536E-2</v>
      </c>
      <c r="U183" s="97">
        <v>9.7073044358007268E-5</v>
      </c>
      <c r="V183" s="97">
        <v>9.0787085125923327E-3</v>
      </c>
      <c r="W183" s="97">
        <v>1.9421687913769053E-2</v>
      </c>
      <c r="X183" s="51">
        <f t="shared" si="11"/>
        <v>2.485586073905476</v>
      </c>
      <c r="Y183" s="18">
        <v>738.5595055568549</v>
      </c>
      <c r="Z183" s="101">
        <v>9.6500759068792092</v>
      </c>
      <c r="AA183" s="18">
        <f t="shared" si="12"/>
        <v>7.0474966448184855</v>
      </c>
      <c r="AB183" s="18">
        <f t="shared" si="13"/>
        <v>13.066077728704201</v>
      </c>
      <c r="AC183" s="18">
        <f>$CP$15*Table2912[[#This Row],[DMD '[mg/g']]]+$CS$15*Table2912[[#This Row],[CH4 '[ml/g']]]+$CR$15*Table2912[[#This Row],[CH4 '[% GP']]]+$CQ$15*Table2912[[#This Row],[CH4 '[g/g DDM']]]</f>
        <v>31.588825027046383</v>
      </c>
      <c r="AD183" s="18">
        <f>_xlfn.RANK.AVG(Table2912[[#This Row],[Index]],Table2912[Index])</f>
        <v>38</v>
      </c>
      <c r="AE18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3.6639600800177146</v>
      </c>
      <c r="AF183" s="18">
        <f>Table2912[[#This Row],[CH4 '[ml/g']]]/Table2912[[#This Row],[APB]]</f>
        <v>2.6337830369681736</v>
      </c>
      <c r="AG183" s="18">
        <f>Table2912[[#This Row],[Propionate '[%']]]/Table2912[[#This Row],[Acetate '[%']]]</f>
        <v>0.50904052446585679</v>
      </c>
      <c r="AH183" s="51"/>
      <c r="AI183" s="18"/>
      <c r="AJ183" s="18"/>
      <c r="AK183" s="18">
        <f>(Table2912[[#This Row],[DMD '[mg/g']]]-$AK$15)/$AK$15*100</f>
        <v>50.637547326810186</v>
      </c>
      <c r="AL183" s="18">
        <f>(Table2912[[#This Row],[CH4 '[ml/g']]]-AL$15)/AL$15*100</f>
        <v>-75.465206718645689</v>
      </c>
      <c r="AM183" s="18">
        <f>(Table2912[[#This Row],[CH4 '[% GP']]]-AM$15)/AM$15*100</f>
        <v>-54.597757906311529</v>
      </c>
      <c r="AN183" s="18">
        <f>(Table2912[[#This Row],[CH4 '[g/g DDM']]]-AN$15)/AN$15*100</f>
        <v>-74.48805281816081</v>
      </c>
      <c r="AO183" s="18"/>
      <c r="AP183" s="18"/>
      <c r="AR183">
        <f>_xlfn.NORM.DIST(Table2912[[#This Row],[GP '[ml/g']]],O$6,O$2,FALSE)</f>
        <v>6.3224668295017085E-4</v>
      </c>
      <c r="AS183">
        <f>_xlfn.NORM.DIST(Table2912[[#This Row],[SCFA '[mmol/g']]],P$6,P$2,FALSE)</f>
        <v>2.8656686680617358E-2</v>
      </c>
      <c r="AT183">
        <f>_xlfn.NORM.DIST(Table2912[[#This Row],[Acetate '[%']]],Q$6,Q$2,FALSE)</f>
        <v>9.3788857583123313E-3</v>
      </c>
      <c r="AU183">
        <f>_xlfn.NORM.DIST(Table2912[[#This Row],[Propionate '[%']]],R$6,R$2,FALSE)</f>
        <v>1.2599816670840334E-4</v>
      </c>
      <c r="AV183">
        <f>_xlfn.NORM.DIST(Table2912[[#This Row],[Butyrate '[%']]],S$6,S$2,FALSE)</f>
        <v>23.002089228500477</v>
      </c>
      <c r="AW183">
        <f>_xlfn.NORM.DIST(Table2912[[#This Row],[Valerate '[%']]],T$6,T$2,FALSE)</f>
        <v>11.738627817843776</v>
      </c>
      <c r="AX183">
        <f>_xlfn.NORM.DIST(Table2912[[#This Row],[Caproate '[%']]],U$6,U$2,FALSE)</f>
        <v>183.8161672776086</v>
      </c>
      <c r="AY183">
        <f>_xlfn.NORM.DIST(Table2912[[#This Row],[Isobutyrate '[%']]],V$6,V$2,FALSE)</f>
        <v>33.367260108825462</v>
      </c>
      <c r="AZ183">
        <f>_xlfn.NORM.DIST(Table2912[[#This Row],[Isovalerate '[%']]],W$6,W$2,FALSE)</f>
        <v>28.520921335547126</v>
      </c>
      <c r="BA183">
        <f>_xlfn.NORM.DIST(Table2912[[#This Row],[CH4 '[g/mmol SCFA']]],X$6,X$2,FALSE)</f>
        <v>5.4117367488299376E-3</v>
      </c>
      <c r="BB183">
        <f>_xlfn.NORM.DIST(Table2912[[#This Row],[DMD '[mg/g']]],Y$6,Y$2,FALSE)</f>
        <v>2.8088934026561136E-3</v>
      </c>
      <c r="BC183">
        <f>_xlfn.NORM.DIST(Table2912[[#This Row],[CH4 '[ml/g']]],Z$6,Z$2,FALSE)</f>
        <v>9.5773267384399231E-4</v>
      </c>
      <c r="BD183">
        <f>_xlfn.NORM.DIST(Table2912[[#This Row],[CH4 '[% GP']]],AA$6,AA$2,FALSE)</f>
        <v>1.3015624669848653E-3</v>
      </c>
      <c r="BE183">
        <f>_xlfn.NORM.DIST(Table2912[[#This Row],[CH4 '[g/g DDM']]],AB$6,AB$2,FALSE)</f>
        <v>1.3380433540938609E-4</v>
      </c>
      <c r="BG183">
        <f>IF(Table2912[[#This Row],[GP '[ml/g']]]&lt;O$10,_xlfn.NORM.DIST(Table2912[[#This Row],[GP '[ml/g']]],O$6,O$2,FALSE),-100)</f>
        <v>6.3224668295017085E-4</v>
      </c>
      <c r="BH183">
        <f>IF(Table2912[[#This Row],[SCFA '[mmol/g']]]&lt;P$10,_xlfn.NORM.DIST(Table2912[[#This Row],[SCFA '[mmol/g']]],P$6,P$2,FALSE),-100)</f>
        <v>2.8656686680617358E-2</v>
      </c>
      <c r="BI183">
        <f>IF(Table2912[[#This Row],[Acetate '[%']]]&lt;Q$10,_xlfn.NORM.DIST(Table2912[[#This Row],[Acetate '[%']]],Q$6,Q$2,FALSE),-100)</f>
        <v>9.3788857583123313E-3</v>
      </c>
      <c r="BJ183">
        <f>IF(Table2912[[#This Row],[Propionate '[%']]]&lt;R$10,_xlfn.NORM.DIST(Table2912[[#This Row],[Propionate '[%']]],R$6,R$2,FALSE),-100)</f>
        <v>-100</v>
      </c>
      <c r="BK183">
        <f>IF(Table2912[[#This Row],[Butyrate '[%']]]&lt;S$10,_xlfn.NORM.DIST(Table2912[[#This Row],[Butyrate '[%']]],S$6,S$2,FALSE),-100)</f>
        <v>-100</v>
      </c>
      <c r="BL183">
        <f>IF(Table2912[[#This Row],[Valerate '[%']]]&lt;T$10,_xlfn.NORM.DIST(Table2912[[#This Row],[Valerate '[%']]],T$6,T$2,FALSE),-100)</f>
        <v>-100</v>
      </c>
      <c r="BM183">
        <f>IF(Table2912[[#This Row],[Caproate '[%']]]&lt;U$10,_xlfn.NORM.DIST(Table2912[[#This Row],[Caproate '[%']]],U$6,U$2,FALSE),-100)</f>
        <v>183.8161672776086</v>
      </c>
      <c r="BN183">
        <f>IF(Table2912[[#This Row],[Isobutyrate '[%']]]&lt;V$10,_xlfn.NORM.DIST(Table2912[[#This Row],[Isobutyrate '[%']]],V$6,V$2,FALSE),-100)</f>
        <v>33.367260108825462</v>
      </c>
      <c r="BO183">
        <f>IF(Table2912[[#This Row],[Isovalerate '[%']]]&lt;W$10,_xlfn.NORM.DIST(Table2912[[#This Row],[Isovalerate '[%']]],W$6,W$2,FALSE),-100)</f>
        <v>-100</v>
      </c>
      <c r="BP183">
        <f>IF(Table2912[[#This Row],[CH4 '[g/mmol SCFA']]]&lt;X$10,_xlfn.NORM.DIST(Table2912[[#This Row],[CH4 '[g/mmol SCFA']]],X$6,X$2,FALSE),-100)</f>
        <v>5.4117367488299376E-3</v>
      </c>
      <c r="BQ183">
        <f>IF(Table2912[[#This Row],[DMD '[mg/g']]]&gt;Y$10,_xlfn.NORM.DIST(Table2912[[#This Row],[DMD '[mg/g']]],Y$6,Y$2,FALSE),-100)</f>
        <v>-100</v>
      </c>
      <c r="BR183">
        <f>IF(Table2912[[#This Row],[CH4 '[ml/g']]]&lt;Z$10,_xlfn.NORM.DIST(Table2912[[#This Row],[CH4 '[ml/g']]],Z$6,Z$2,FALSE),-100)</f>
        <v>9.5773267384399231E-4</v>
      </c>
      <c r="BS183">
        <f>IF(Table2912[[#This Row],[CH4 '[% GP']]]&lt;AA$10,_xlfn.NORM.DIST(Table2912[[#This Row],[CH4 '[% GP']]],AA$6,AA$2,FALSE),-100)</f>
        <v>1.3015624669848653E-3</v>
      </c>
      <c r="BT183">
        <f>IF(Table2912[[#This Row],[CH4 '[g/g DDM']]]&lt;AB$10,_xlfn.NORM.DIST(Table2912[[#This Row],[CH4 '[g/g DDM']]],AB$6,AB$2,FALSE),-100)</f>
        <v>1.3380433540938609E-4</v>
      </c>
    </row>
    <row r="184" spans="1:72" x14ac:dyDescent="0.25">
      <c r="A184" s="12" t="s">
        <v>70</v>
      </c>
      <c r="B184" s="13">
        <v>994</v>
      </c>
      <c r="C184" s="96" t="s">
        <v>255</v>
      </c>
      <c r="D184" s="96"/>
      <c r="E184" s="96"/>
      <c r="F184" s="96" t="s">
        <v>256</v>
      </c>
      <c r="G184" t="s">
        <v>73</v>
      </c>
      <c r="H184" t="s">
        <v>74</v>
      </c>
      <c r="I184" t="s">
        <v>75</v>
      </c>
      <c r="J184" s="100">
        <v>2</v>
      </c>
      <c r="K184" s="100"/>
      <c r="L184" s="100"/>
      <c r="M184" t="s">
        <v>256</v>
      </c>
      <c r="N184" t="s">
        <v>180</v>
      </c>
      <c r="O184" s="18">
        <v>271.42886688668904</v>
      </c>
      <c r="P184" s="18">
        <v>6.4523954677213755</v>
      </c>
      <c r="Q184" s="97">
        <v>0.67715827187777378</v>
      </c>
      <c r="R184" s="97">
        <v>0.16356098937749172</v>
      </c>
      <c r="S184" s="97">
        <v>0.10804010051971458</v>
      </c>
      <c r="T184" s="97">
        <v>1.3507503253192433E-2</v>
      </c>
      <c r="U184" s="97">
        <v>1.5964491604493795E-3</v>
      </c>
      <c r="V184" s="97">
        <v>1.1980155471980697E-2</v>
      </c>
      <c r="W184" s="97">
        <v>2.4156530339397495E-2</v>
      </c>
      <c r="X184" s="51">
        <f t="shared" si="11"/>
        <v>5.5096115399702974</v>
      </c>
      <c r="Y184" s="18">
        <v>739.21040913615184</v>
      </c>
      <c r="Z184" s="18">
        <v>35.550192529409735</v>
      </c>
      <c r="AA184" s="18">
        <f t="shared" si="12"/>
        <v>13.097425096001508</v>
      </c>
      <c r="AB184" s="18">
        <f t="shared" si="13"/>
        <v>48.092115708914356</v>
      </c>
      <c r="AC184" s="18">
        <f>$CP$15*Table2912[[#This Row],[DMD '[mg/g']]]+$CS$15*Table2912[[#This Row],[CH4 '[ml/g']]]+$CR$15*Table2912[[#This Row],[CH4 '[% GP']]]+$CQ$15*Table2912[[#This Row],[CH4 '[g/g DDM']]]</f>
        <v>14.165638302871102</v>
      </c>
      <c r="AD184" s="18">
        <f>_xlfn.RANK.AVG(Table2912[[#This Row],[Index]],Table2912[Index])</f>
        <v>287</v>
      </c>
      <c r="AE18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6.1217706058751062</v>
      </c>
      <c r="AF184" s="18">
        <f>Table2912[[#This Row],[CH4 '[ml/g']]]/Table2912[[#This Row],[APB]]</f>
        <v>5.8071748874895714</v>
      </c>
      <c r="AG184" s="18">
        <f>Table2912[[#This Row],[Propionate '[%']]]/Table2912[[#This Row],[Acetate '[%']]]</f>
        <v>0.24154026638991463</v>
      </c>
      <c r="AH184" s="51"/>
      <c r="AI184" s="18"/>
      <c r="AJ184" s="18"/>
      <c r="AK184" s="18">
        <f>(Table2912[[#This Row],[DMD '[mg/g']]]-$AK$15)/$AK$15*100</f>
        <v>50.770306458598228</v>
      </c>
      <c r="AL184" s="18">
        <f>(Table2912[[#This Row],[CH4 '[ml/g']]]-AL$15)/AL$15*100</f>
        <v>-9.6155684952031315</v>
      </c>
      <c r="AM184" s="18">
        <f>(Table2912[[#This Row],[CH4 '[% GP']]]-AM$15)/AM$15*100</f>
        <v>-15.622171250011677</v>
      </c>
      <c r="AN184" s="18">
        <f>(Table2912[[#This Row],[CH4 '[g/g DDM']]]-AN$15)/AN$15*100</f>
        <v>-6.0985598506462253</v>
      </c>
      <c r="AO184" s="18"/>
      <c r="AP184" s="18"/>
      <c r="AR184">
        <f>_xlfn.NORM.DIST(Table2912[[#This Row],[GP '[ml/g']]],O$6,O$2,FALSE)</f>
        <v>7.1532026306216131E-3</v>
      </c>
      <c r="AS184">
        <f>_xlfn.NORM.DIST(Table2912[[#This Row],[SCFA '[mmol/g']]],P$6,P$2,FALSE)</f>
        <v>0.3319069293058966</v>
      </c>
      <c r="AT184">
        <f>_xlfn.NORM.DIST(Table2912[[#This Row],[Acetate '[%']]],Q$6,Q$2,FALSE)</f>
        <v>13.886560478410232</v>
      </c>
      <c r="AU184">
        <f>_xlfn.NORM.DIST(Table2912[[#This Row],[Propionate '[%']]],R$6,R$2,FALSE)</f>
        <v>15.795633969409312</v>
      </c>
      <c r="AV184">
        <f>_xlfn.NORM.DIST(Table2912[[#This Row],[Butyrate '[%']]],S$6,S$2,FALSE)</f>
        <v>15.7361120020953</v>
      </c>
      <c r="AW184">
        <f>_xlfn.NORM.DIST(Table2912[[#This Row],[Valerate '[%']]],T$6,T$2,FALSE)</f>
        <v>55.957225814133764</v>
      </c>
      <c r="AX184">
        <f>_xlfn.NORM.DIST(Table2912[[#This Row],[Caproate '[%']]],U$6,U$2,FALSE)</f>
        <v>392.4919335266228</v>
      </c>
      <c r="AY184">
        <f>_xlfn.NORM.DIST(Table2912[[#This Row],[Isobutyrate '[%']]],V$6,V$2,FALSE)</f>
        <v>67.837865126379199</v>
      </c>
      <c r="AZ184">
        <f>_xlfn.NORM.DIST(Table2912[[#This Row],[Isovalerate '[%']]],W$6,W$2,FALSE)</f>
        <v>41.493889227306042</v>
      </c>
      <c r="BA184">
        <f>_xlfn.NORM.DIST(Table2912[[#This Row],[CH4 '[g/mmol SCFA']]],X$6,X$2,FALSE)</f>
        <v>0.25189393079727634</v>
      </c>
      <c r="BB184">
        <f>_xlfn.NORM.DIST(Table2912[[#This Row],[DMD '[mg/g']]],Y$6,Y$2,FALSE)</f>
        <v>2.8125209745744448E-3</v>
      </c>
      <c r="BC184">
        <f>_xlfn.NORM.DIST(Table2912[[#This Row],[CH4 '[ml/g']]],Z$6,Z$2,FALSE)</f>
        <v>2.9698958720547227E-2</v>
      </c>
      <c r="BD184">
        <f>_xlfn.NORM.DIST(Table2912[[#This Row],[CH4 '[% GP']]],AA$6,AA$2,FALSE)</f>
        <v>8.1447560419643891E-2</v>
      </c>
      <c r="BE184">
        <f>_xlfn.NORM.DIST(Table2912[[#This Row],[CH4 '[g/g DDM']]],AB$6,AB$2,FALSE)</f>
        <v>2.9908216475648897E-2</v>
      </c>
      <c r="BG184">
        <f>IF(Table2912[[#This Row],[GP '[ml/g']]]&lt;O$10,_xlfn.NORM.DIST(Table2912[[#This Row],[GP '[ml/g']]],O$6,O$2,FALSE),-100)</f>
        <v>-100</v>
      </c>
      <c r="BH184">
        <f>IF(Table2912[[#This Row],[SCFA '[mmol/g']]]&lt;P$10,_xlfn.NORM.DIST(Table2912[[#This Row],[SCFA '[mmol/g']]],P$6,P$2,FALSE),-100)</f>
        <v>-100</v>
      </c>
      <c r="BI184">
        <f>IF(Table2912[[#This Row],[Acetate '[%']]]&lt;Q$10,_xlfn.NORM.DIST(Table2912[[#This Row],[Acetate '[%']]],Q$6,Q$2,FALSE),-100)</f>
        <v>-100</v>
      </c>
      <c r="BJ184">
        <f>IF(Table2912[[#This Row],[Propionate '[%']]]&lt;R$10,_xlfn.NORM.DIST(Table2912[[#This Row],[Propionate '[%']]],R$6,R$2,FALSE),-100)</f>
        <v>-100</v>
      </c>
      <c r="BK184">
        <f>IF(Table2912[[#This Row],[Butyrate '[%']]]&lt;S$10,_xlfn.NORM.DIST(Table2912[[#This Row],[Butyrate '[%']]],S$6,S$2,FALSE),-100)</f>
        <v>-100</v>
      </c>
      <c r="BL184">
        <f>IF(Table2912[[#This Row],[Valerate '[%']]]&lt;T$10,_xlfn.NORM.DIST(Table2912[[#This Row],[Valerate '[%']]],T$6,T$2,FALSE),-100)</f>
        <v>-100</v>
      </c>
      <c r="BM184">
        <f>IF(Table2912[[#This Row],[Caproate '[%']]]&lt;U$10,_xlfn.NORM.DIST(Table2912[[#This Row],[Caproate '[%']]],U$6,U$2,FALSE),-100)</f>
        <v>-100</v>
      </c>
      <c r="BN184">
        <f>IF(Table2912[[#This Row],[Isobutyrate '[%']]]&lt;V$10,_xlfn.NORM.DIST(Table2912[[#This Row],[Isobutyrate '[%']]],V$6,V$2,FALSE),-100)</f>
        <v>-100</v>
      </c>
      <c r="BO184">
        <f>IF(Table2912[[#This Row],[Isovalerate '[%']]]&lt;W$10,_xlfn.NORM.DIST(Table2912[[#This Row],[Isovalerate '[%']]],W$6,W$2,FALSE),-100)</f>
        <v>-100</v>
      </c>
      <c r="BP184">
        <f>IF(Table2912[[#This Row],[CH4 '[g/mmol SCFA']]]&lt;X$10,_xlfn.NORM.DIST(Table2912[[#This Row],[CH4 '[g/mmol SCFA']]],X$6,X$2,FALSE),-100)</f>
        <v>-100</v>
      </c>
      <c r="BQ184">
        <f>IF(Table2912[[#This Row],[DMD '[mg/g']]]&gt;Y$10,_xlfn.NORM.DIST(Table2912[[#This Row],[DMD '[mg/g']]],Y$6,Y$2,FALSE),-100)</f>
        <v>-100</v>
      </c>
      <c r="BR184">
        <f>IF(Table2912[[#This Row],[CH4 '[ml/g']]]&lt;Z$10,_xlfn.NORM.DIST(Table2912[[#This Row],[CH4 '[ml/g']]],Z$6,Z$2,FALSE),-100)</f>
        <v>-100</v>
      </c>
      <c r="BS184">
        <f>IF(Table2912[[#This Row],[CH4 '[% GP']]]&lt;AA$10,_xlfn.NORM.DIST(Table2912[[#This Row],[CH4 '[% GP']]],AA$6,AA$2,FALSE),-100)</f>
        <v>-100</v>
      </c>
      <c r="BT184">
        <f>IF(Table2912[[#This Row],[CH4 '[g/g DDM']]]&lt;AB$10,_xlfn.NORM.DIST(Table2912[[#This Row],[CH4 '[g/g DDM']]],AB$6,AB$2,FALSE),-100)</f>
        <v>-100</v>
      </c>
    </row>
    <row r="185" spans="1:72" x14ac:dyDescent="0.25">
      <c r="A185" s="12" t="s">
        <v>200</v>
      </c>
      <c r="B185" s="13">
        <v>1142</v>
      </c>
      <c r="C185" s="117" t="s">
        <v>232</v>
      </c>
      <c r="D185" s="117" t="s">
        <v>233</v>
      </c>
      <c r="E185" s="117" t="s">
        <v>234</v>
      </c>
      <c r="F185" s="117" t="s">
        <v>235</v>
      </c>
      <c r="G185" t="s">
        <v>73</v>
      </c>
      <c r="H185" t="s">
        <v>74</v>
      </c>
      <c r="I185" t="s">
        <v>75</v>
      </c>
      <c r="J185" s="70">
        <v>2</v>
      </c>
      <c r="K185" s="70"/>
      <c r="L185" s="70"/>
      <c r="M185" t="s">
        <v>236</v>
      </c>
      <c r="N185" t="s">
        <v>245</v>
      </c>
      <c r="O185" s="18">
        <v>276.77349237905838</v>
      </c>
      <c r="P185" s="18">
        <v>6.7303667543692747</v>
      </c>
      <c r="Q185" s="97">
        <v>0.67302677282716217</v>
      </c>
      <c r="R185" s="97">
        <v>0.16198822559474807</v>
      </c>
      <c r="S185" s="97">
        <v>9.7821776168191654E-2</v>
      </c>
      <c r="T185" s="97">
        <v>1.7952137192729204E-2</v>
      </c>
      <c r="U185" s="97">
        <v>1.549499565776249E-3</v>
      </c>
      <c r="V185" s="97">
        <v>1.621917646522239E-2</v>
      </c>
      <c r="W185" s="97">
        <v>3.1442412186170297E-2</v>
      </c>
      <c r="X185" s="51">
        <f t="shared" si="11"/>
        <v>7.694535505167468</v>
      </c>
      <c r="Y185" s="18">
        <v>739.4545816410664</v>
      </c>
      <c r="Z185" s="18">
        <v>51.78704595429312</v>
      </c>
      <c r="AA185" s="18">
        <f t="shared" si="12"/>
        <v>18.710984751158023</v>
      </c>
      <c r="AB185" s="18">
        <f t="shared" si="13"/>
        <v>70.034113304650148</v>
      </c>
      <c r="AC185" s="18">
        <f>$CP$15*Table2912[[#This Row],[DMD '[mg/g']]]+$CS$15*Table2912[[#This Row],[CH4 '[ml/g']]]+$CR$15*Table2912[[#This Row],[CH4 '[% GP']]]+$CQ$15*Table2912[[#This Row],[CH4 '[g/g DDM']]]</f>
        <v>2.7010349265557352</v>
      </c>
      <c r="AD185" s="18">
        <f>_xlfn.RANK.AVG(Table2912[[#This Row],[Index]],Table2912[Index])</f>
        <v>427</v>
      </c>
      <c r="AE18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6.2783336149542865</v>
      </c>
      <c r="AF185" s="18">
        <f>Table2912[[#This Row],[CH4 '[ml/g']]]/Table2912[[#This Row],[APB]]</f>
        <v>8.2485336285638251</v>
      </c>
      <c r="AG185" s="18">
        <f>Table2912[[#This Row],[Propionate '[%']]]/Table2912[[#This Row],[Acetate '[%']]]</f>
        <v>0.24068615415444661</v>
      </c>
      <c r="AH185" s="51"/>
      <c r="AI185" s="18"/>
      <c r="AJ185" s="18"/>
      <c r="AK185" s="18">
        <f>(Table2912[[#This Row],[DMD '[mg/g']]]-$AK$15)/$AK$15*100</f>
        <v>50.82010819696626</v>
      </c>
      <c r="AL185" s="18">
        <f>(Table2912[[#This Row],[CH4 '[ml/g']]]-AL$15)/AL$15*100</f>
        <v>31.665748477151549</v>
      </c>
      <c r="AM185" s="18">
        <f>(Table2912[[#This Row],[CH4 '[% GP']]]-AM$15)/AM$15*100</f>
        <v>20.542187147826596</v>
      </c>
      <c r="AN185" s="18">
        <f>(Table2912[[#This Row],[CH4 '[g/g DDM']]]-AN$15)/AN$15*100</f>
        <v>36.743913257920632</v>
      </c>
      <c r="AO185" s="18"/>
      <c r="AP185" s="18"/>
      <c r="AR185">
        <f>_xlfn.NORM.DIST(Table2912[[#This Row],[GP '[ml/g']]],O$6,O$2,FALSE)</f>
        <v>6.9073958665674126E-3</v>
      </c>
      <c r="AS185">
        <f>_xlfn.NORM.DIST(Table2912[[#This Row],[SCFA '[mmol/g']]],P$6,P$2,FALSE)</f>
        <v>0.32846502602728384</v>
      </c>
      <c r="AT185">
        <f>_xlfn.NORM.DIST(Table2912[[#This Row],[Acetate '[%']]],Q$6,Q$2,FALSE)</f>
        <v>14.026816011405192</v>
      </c>
      <c r="AU185">
        <f>_xlfn.NORM.DIST(Table2912[[#This Row],[Propionate '[%']]],R$6,R$2,FALSE)</f>
        <v>15.400495279911288</v>
      </c>
      <c r="AV185">
        <f>_xlfn.NORM.DIST(Table2912[[#This Row],[Butyrate '[%']]],S$6,S$2,FALSE)</f>
        <v>22.126899225755491</v>
      </c>
      <c r="AW185">
        <f>_xlfn.NORM.DIST(Table2912[[#This Row],[Valerate '[%']]],T$6,T$2,FALSE)</f>
        <v>77.270240936450122</v>
      </c>
      <c r="AX185">
        <f>_xlfn.NORM.DIST(Table2912[[#This Row],[Caproate '[%']]],U$6,U$2,FALSE)</f>
        <v>397.11838706445826</v>
      </c>
      <c r="AY185">
        <f>_xlfn.NORM.DIST(Table2912[[#This Row],[Isobutyrate '[%']]],V$6,V$2,FALSE)</f>
        <v>88.306421422838568</v>
      </c>
      <c r="AZ185">
        <f>_xlfn.NORM.DIST(Table2912[[#This Row],[Isovalerate '[%']]],W$6,W$2,FALSE)</f>
        <v>41.870489562888366</v>
      </c>
      <c r="BA185">
        <f>_xlfn.NORM.DIST(Table2912[[#This Row],[CH4 '[g/mmol SCFA']]],X$6,X$2,FALSE)</f>
        <v>0.17092849677025615</v>
      </c>
      <c r="BB185">
        <f>_xlfn.NORM.DIST(Table2912[[#This Row],[DMD '[mg/g']]],Y$6,Y$2,FALSE)</f>
        <v>2.8138665596361425E-3</v>
      </c>
      <c r="BC185">
        <f>_xlfn.NORM.DIST(Table2912[[#This Row],[CH4 '[ml/g']]],Z$6,Z$2,FALSE)</f>
        <v>2.2898314669516698E-2</v>
      </c>
      <c r="BD185">
        <f>_xlfn.NORM.DIST(Table2912[[#This Row],[CH4 '[% GP']]],AA$6,AA$2,FALSE)</f>
        <v>9.0466730111767882E-2</v>
      </c>
      <c r="BE185">
        <f>_xlfn.NORM.DIST(Table2912[[#This Row],[CH4 '[g/g DDM']]],AB$6,AB$2,FALSE)</f>
        <v>1.2790235937394612E-2</v>
      </c>
      <c r="BG185">
        <f>IF(Table2912[[#This Row],[GP '[ml/g']]]&lt;O$10,_xlfn.NORM.DIST(Table2912[[#This Row],[GP '[ml/g']]],O$6,O$2,FALSE),-100)</f>
        <v>-100</v>
      </c>
      <c r="BH185">
        <f>IF(Table2912[[#This Row],[SCFA '[mmol/g']]]&lt;P$10,_xlfn.NORM.DIST(Table2912[[#This Row],[SCFA '[mmol/g']]],P$6,P$2,FALSE),-100)</f>
        <v>-100</v>
      </c>
      <c r="BI185">
        <f>IF(Table2912[[#This Row],[Acetate '[%']]]&lt;Q$10,_xlfn.NORM.DIST(Table2912[[#This Row],[Acetate '[%']]],Q$6,Q$2,FALSE),-100)</f>
        <v>-100</v>
      </c>
      <c r="BJ185">
        <f>IF(Table2912[[#This Row],[Propionate '[%']]]&lt;R$10,_xlfn.NORM.DIST(Table2912[[#This Row],[Propionate '[%']]],R$6,R$2,FALSE),-100)</f>
        <v>-100</v>
      </c>
      <c r="BK185">
        <f>IF(Table2912[[#This Row],[Butyrate '[%']]]&lt;S$10,_xlfn.NORM.DIST(Table2912[[#This Row],[Butyrate '[%']]],S$6,S$2,FALSE),-100)</f>
        <v>-100</v>
      </c>
      <c r="BL185">
        <f>IF(Table2912[[#This Row],[Valerate '[%']]]&lt;T$10,_xlfn.NORM.DIST(Table2912[[#This Row],[Valerate '[%']]],T$6,T$2,FALSE),-100)</f>
        <v>-100</v>
      </c>
      <c r="BM185">
        <f>IF(Table2912[[#This Row],[Caproate '[%']]]&lt;U$10,_xlfn.NORM.DIST(Table2912[[#This Row],[Caproate '[%']]],U$6,U$2,FALSE),-100)</f>
        <v>-100</v>
      </c>
      <c r="BN185">
        <f>IF(Table2912[[#This Row],[Isobutyrate '[%']]]&lt;V$10,_xlfn.NORM.DIST(Table2912[[#This Row],[Isobutyrate '[%']]],V$6,V$2,FALSE),-100)</f>
        <v>-100</v>
      </c>
      <c r="BO185">
        <f>IF(Table2912[[#This Row],[Isovalerate '[%']]]&lt;W$10,_xlfn.NORM.DIST(Table2912[[#This Row],[Isovalerate '[%']]],W$6,W$2,FALSE),-100)</f>
        <v>-100</v>
      </c>
      <c r="BP185">
        <f>IF(Table2912[[#This Row],[CH4 '[g/mmol SCFA']]]&lt;X$10,_xlfn.NORM.DIST(Table2912[[#This Row],[CH4 '[g/mmol SCFA']]],X$6,X$2,FALSE),-100)</f>
        <v>-100</v>
      </c>
      <c r="BQ185">
        <f>IF(Table2912[[#This Row],[DMD '[mg/g']]]&gt;Y$10,_xlfn.NORM.DIST(Table2912[[#This Row],[DMD '[mg/g']]],Y$6,Y$2,FALSE),-100)</f>
        <v>-100</v>
      </c>
      <c r="BR185">
        <f>IF(Table2912[[#This Row],[CH4 '[ml/g']]]&lt;Z$10,_xlfn.NORM.DIST(Table2912[[#This Row],[CH4 '[ml/g']]],Z$6,Z$2,FALSE),-100)</f>
        <v>-100</v>
      </c>
      <c r="BS185">
        <f>IF(Table2912[[#This Row],[CH4 '[% GP']]]&lt;AA$10,_xlfn.NORM.DIST(Table2912[[#This Row],[CH4 '[% GP']]],AA$6,AA$2,FALSE),-100)</f>
        <v>-100</v>
      </c>
      <c r="BT185">
        <f>IF(Table2912[[#This Row],[CH4 '[g/g DDM']]]&lt;AB$10,_xlfn.NORM.DIST(Table2912[[#This Row],[CH4 '[g/g DDM']]],AB$6,AB$2,FALSE),-100)</f>
        <v>-100</v>
      </c>
    </row>
    <row r="186" spans="1:72" x14ac:dyDescent="0.25">
      <c r="A186" s="12" t="s">
        <v>200</v>
      </c>
      <c r="B186" s="13">
        <v>1155</v>
      </c>
      <c r="C186" s="117" t="s">
        <v>261</v>
      </c>
      <c r="D186" s="117" t="s">
        <v>262</v>
      </c>
      <c r="E186" s="117" t="s">
        <v>263</v>
      </c>
      <c r="F186" s="117" t="s">
        <v>264</v>
      </c>
      <c r="G186" t="s">
        <v>73</v>
      </c>
      <c r="H186" t="s">
        <v>74</v>
      </c>
      <c r="I186" t="s">
        <v>75</v>
      </c>
      <c r="J186" s="100">
        <v>2</v>
      </c>
      <c r="K186" s="100"/>
      <c r="L186" s="100"/>
      <c r="M186" t="s">
        <v>264</v>
      </c>
      <c r="N186" t="s">
        <v>245</v>
      </c>
      <c r="O186" s="18">
        <v>226.94011486635767</v>
      </c>
      <c r="P186" s="18">
        <v>6.1200022089684118</v>
      </c>
      <c r="Q186" s="97">
        <v>0.69420043627181283</v>
      </c>
      <c r="R186" s="97">
        <v>0.15356909840193123</v>
      </c>
      <c r="S186" s="97">
        <v>8.1491439019936079E-2</v>
      </c>
      <c r="T186" s="97">
        <v>1.895678202144397E-2</v>
      </c>
      <c r="U186" s="97">
        <v>1.3170702482305971E-3</v>
      </c>
      <c r="V186" s="97">
        <v>1.6900445471348922E-2</v>
      </c>
      <c r="W186" s="97">
        <v>3.3564728565296395E-2</v>
      </c>
      <c r="X186" s="51">
        <f t="shared" si="11"/>
        <v>6.8679027548786751</v>
      </c>
      <c r="Y186" s="18">
        <v>740.00441793682342</v>
      </c>
      <c r="Z186" s="18">
        <v>42.031580030837731</v>
      </c>
      <c r="AA186" s="18">
        <f t="shared" si="12"/>
        <v>18.521000597708177</v>
      </c>
      <c r="AB186" s="18">
        <f t="shared" si="13"/>
        <v>56.799093373015651</v>
      </c>
      <c r="AC186" s="18">
        <f>$CP$15*Table2912[[#This Row],[DMD '[mg/g']]]+$CS$15*Table2912[[#This Row],[CH4 '[ml/g']]]+$CR$15*Table2912[[#This Row],[CH4 '[% GP']]]+$CQ$15*Table2912[[#This Row],[CH4 '[g/g DDM']]]</f>
        <v>8.7156706986186165</v>
      </c>
      <c r="AD186" s="18">
        <f>_xlfn.RANK.AVG(Table2912[[#This Row],[Index]],Table2912[Index])</f>
        <v>366</v>
      </c>
      <c r="AE18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5.6870792117134599</v>
      </c>
      <c r="AF186" s="18">
        <f>Table2912[[#This Row],[CH4 '[ml/g']]]/Table2912[[#This Row],[APB]]</f>
        <v>7.3907147177178212</v>
      </c>
      <c r="AG186" s="18">
        <f>Table2912[[#This Row],[Propionate '[%']]]/Table2912[[#This Row],[Acetate '[%']]]</f>
        <v>0.22121723118854617</v>
      </c>
      <c r="AH186" s="51"/>
      <c r="AI186" s="18"/>
      <c r="AJ186" s="18"/>
      <c r="AK186" s="18">
        <f>(Table2912[[#This Row],[DMD '[mg/g']]]-$AK$15)/$AK$15*100</f>
        <v>50.932253515523428</v>
      </c>
      <c r="AL186" s="18">
        <f>(Table2912[[#This Row],[CH4 '[ml/g']]]-AL$15)/AL$15*100</f>
        <v>6.8630068091144096</v>
      </c>
      <c r="AM186" s="18">
        <f>(Table2912[[#This Row],[CH4 '[% GP']]]-AM$15)/AM$15*100</f>
        <v>19.318248072206572</v>
      </c>
      <c r="AN186" s="18">
        <f>(Table2912[[#This Row],[CH4 '[g/g DDM']]]-AN$15)/AN$15*100</f>
        <v>10.902100859646001</v>
      </c>
      <c r="AO186" s="18"/>
      <c r="AP186" s="18"/>
      <c r="AR186">
        <f>_xlfn.NORM.DIST(Table2912[[#This Row],[GP '[ml/g']]],O$6,O$2,FALSE)</f>
        <v>6.4814885637076072E-3</v>
      </c>
      <c r="AS186">
        <f>_xlfn.NORM.DIST(Table2912[[#This Row],[SCFA '[mmol/g']]],P$6,P$2,FALSE)</f>
        <v>0.31317157632170767</v>
      </c>
      <c r="AT186">
        <f>_xlfn.NORM.DIST(Table2912[[#This Row],[Acetate '[%']]],Q$6,Q$2,FALSE)</f>
        <v>10.659190670730899</v>
      </c>
      <c r="AU186">
        <f>_xlfn.NORM.DIST(Table2912[[#This Row],[Propionate '[%']]],R$6,R$2,FALSE)</f>
        <v>12.481830813666866</v>
      </c>
      <c r="AV186">
        <f>_xlfn.NORM.DIST(Table2912[[#This Row],[Butyrate '[%']]],S$6,S$2,FALSE)</f>
        <v>18.524582829840131</v>
      </c>
      <c r="AW186">
        <f>_xlfn.NORM.DIST(Table2912[[#This Row],[Valerate '[%']]],T$6,T$2,FALSE)</f>
        <v>74.980894066153979</v>
      </c>
      <c r="AX186">
        <f>_xlfn.NORM.DIST(Table2912[[#This Row],[Caproate '[%']]],U$6,U$2,FALSE)</f>
        <v>406.86014239453925</v>
      </c>
      <c r="AY186">
        <f>_xlfn.NORM.DIST(Table2912[[#This Row],[Isobutyrate '[%']]],V$6,V$2,FALSE)</f>
        <v>84.571072859330016</v>
      </c>
      <c r="AZ186">
        <f>_xlfn.NORM.DIST(Table2912[[#This Row],[Isovalerate '[%']]],W$6,W$2,FALSE)</f>
        <v>36.88293023338106</v>
      </c>
      <c r="BA186">
        <f>_xlfn.NORM.DIST(Table2912[[#This Row],[CH4 '[g/mmol SCFA']]],X$6,X$2,FALSE)</f>
        <v>0.27041343266891082</v>
      </c>
      <c r="BB186">
        <f>_xlfn.NORM.DIST(Table2912[[#This Row],[DMD '[mg/g']]],Y$6,Y$2,FALSE)</f>
        <v>2.8168661006894432E-3</v>
      </c>
      <c r="BC186">
        <f>_xlfn.NORM.DIST(Table2912[[#This Row],[CH4 '[ml/g']]],Z$6,Z$2,FALSE)</f>
        <v>3.345863524154797E-2</v>
      </c>
      <c r="BD186">
        <f>_xlfn.NORM.DIST(Table2912[[#This Row],[CH4 '[% GP']]],AA$6,AA$2,FALSE)</f>
        <v>9.5600331822752294E-2</v>
      </c>
      <c r="BE186">
        <f>_xlfn.NORM.DIST(Table2912[[#This Row],[CH4 '[g/g DDM']]],AB$6,AB$2,FALSE)</f>
        <v>3.1556476372718863E-2</v>
      </c>
      <c r="BG186">
        <f>IF(Table2912[[#This Row],[GP '[ml/g']]]&lt;O$10,_xlfn.NORM.DIST(Table2912[[#This Row],[GP '[ml/g']]],O$6,O$2,FALSE),-100)</f>
        <v>-100</v>
      </c>
      <c r="BH186">
        <f>IF(Table2912[[#This Row],[SCFA '[mmol/g']]]&lt;P$10,_xlfn.NORM.DIST(Table2912[[#This Row],[SCFA '[mmol/g']]],P$6,P$2,FALSE),-100)</f>
        <v>-100</v>
      </c>
      <c r="BI186">
        <f>IF(Table2912[[#This Row],[Acetate '[%']]]&lt;Q$10,_xlfn.NORM.DIST(Table2912[[#This Row],[Acetate '[%']]],Q$6,Q$2,FALSE),-100)</f>
        <v>-100</v>
      </c>
      <c r="BJ186">
        <f>IF(Table2912[[#This Row],[Propionate '[%']]]&lt;R$10,_xlfn.NORM.DIST(Table2912[[#This Row],[Propionate '[%']]],R$6,R$2,FALSE),-100)</f>
        <v>-100</v>
      </c>
      <c r="BK186">
        <f>IF(Table2912[[#This Row],[Butyrate '[%']]]&lt;S$10,_xlfn.NORM.DIST(Table2912[[#This Row],[Butyrate '[%']]],S$6,S$2,FALSE),-100)</f>
        <v>-100</v>
      </c>
      <c r="BL186">
        <f>IF(Table2912[[#This Row],[Valerate '[%']]]&lt;T$10,_xlfn.NORM.DIST(Table2912[[#This Row],[Valerate '[%']]],T$6,T$2,FALSE),-100)</f>
        <v>-100</v>
      </c>
      <c r="BM186">
        <f>IF(Table2912[[#This Row],[Caproate '[%']]]&lt;U$10,_xlfn.NORM.DIST(Table2912[[#This Row],[Caproate '[%']]],U$6,U$2,FALSE),-100)</f>
        <v>-100</v>
      </c>
      <c r="BN186">
        <f>IF(Table2912[[#This Row],[Isobutyrate '[%']]]&lt;V$10,_xlfn.NORM.DIST(Table2912[[#This Row],[Isobutyrate '[%']]],V$6,V$2,FALSE),-100)</f>
        <v>-100</v>
      </c>
      <c r="BO186">
        <f>IF(Table2912[[#This Row],[Isovalerate '[%']]]&lt;W$10,_xlfn.NORM.DIST(Table2912[[#This Row],[Isovalerate '[%']]],W$6,W$2,FALSE),-100)</f>
        <v>-100</v>
      </c>
      <c r="BP186">
        <f>IF(Table2912[[#This Row],[CH4 '[g/mmol SCFA']]]&lt;X$10,_xlfn.NORM.DIST(Table2912[[#This Row],[CH4 '[g/mmol SCFA']]],X$6,X$2,FALSE),-100)</f>
        <v>-100</v>
      </c>
      <c r="BQ186">
        <f>IF(Table2912[[#This Row],[DMD '[mg/g']]]&gt;Y$10,_xlfn.NORM.DIST(Table2912[[#This Row],[DMD '[mg/g']]],Y$6,Y$2,FALSE),-100)</f>
        <v>-100</v>
      </c>
      <c r="BR186">
        <f>IF(Table2912[[#This Row],[CH4 '[ml/g']]]&lt;Z$10,_xlfn.NORM.DIST(Table2912[[#This Row],[CH4 '[ml/g']]],Z$6,Z$2,FALSE),-100)</f>
        <v>-100</v>
      </c>
      <c r="BS186">
        <f>IF(Table2912[[#This Row],[CH4 '[% GP']]]&lt;AA$10,_xlfn.NORM.DIST(Table2912[[#This Row],[CH4 '[% GP']]],AA$6,AA$2,FALSE),-100)</f>
        <v>-100</v>
      </c>
      <c r="BT186">
        <f>IF(Table2912[[#This Row],[CH4 '[g/g DDM']]]&lt;AB$10,_xlfn.NORM.DIST(Table2912[[#This Row],[CH4 '[g/g DDM']]],AB$6,AB$2,FALSE),-100)</f>
        <v>-100</v>
      </c>
    </row>
    <row r="187" spans="1:72" x14ac:dyDescent="0.25">
      <c r="A187" s="12" t="s">
        <v>70</v>
      </c>
      <c r="B187" s="13">
        <v>1011</v>
      </c>
      <c r="C187" s="96" t="s">
        <v>222</v>
      </c>
      <c r="D187" s="96"/>
      <c r="E187" s="96"/>
      <c r="F187" s="96" t="s">
        <v>223</v>
      </c>
      <c r="G187" t="s">
        <v>73</v>
      </c>
      <c r="H187" t="s">
        <v>74</v>
      </c>
      <c r="I187" t="s">
        <v>75</v>
      </c>
      <c r="J187" s="70">
        <v>1</v>
      </c>
      <c r="K187" s="70"/>
      <c r="L187" s="70"/>
      <c r="M187" t="s">
        <v>223</v>
      </c>
      <c r="N187" t="s">
        <v>76</v>
      </c>
      <c r="O187" s="18">
        <v>280.09424444444414</v>
      </c>
      <c r="P187" s="18">
        <v>7.1397222222222219</v>
      </c>
      <c r="Q187" s="97">
        <v>0.68160121741465252</v>
      </c>
      <c r="R187" s="97">
        <v>0.15466175298018361</v>
      </c>
      <c r="S187" s="97">
        <v>0.11914924240645108</v>
      </c>
      <c r="T187" s="97">
        <v>1.2368700557892791E-2</v>
      </c>
      <c r="U187" s="97">
        <v>9.9356707390374716E-4</v>
      </c>
      <c r="V187" s="97">
        <v>1.0895883294048711E-2</v>
      </c>
      <c r="W187" s="97">
        <v>2.0329636272867522E-2</v>
      </c>
      <c r="X187" s="51">
        <f t="shared" si="11"/>
        <v>4.6462998698059303</v>
      </c>
      <c r="Y187" s="18">
        <v>740.22222222222217</v>
      </c>
      <c r="Z187" s="18">
        <v>33.173290431561618</v>
      </c>
      <c r="AA187" s="18">
        <f t="shared" si="12"/>
        <v>11.843617314364858</v>
      </c>
      <c r="AB187" s="18">
        <f t="shared" si="13"/>
        <v>44.815312801569284</v>
      </c>
      <c r="AC187" s="18">
        <f>$CP$15*Table2912[[#This Row],[DMD '[mg/g']]]+$CS$15*Table2912[[#This Row],[CH4 '[ml/g']]]+$CR$15*Table2912[[#This Row],[CH4 '[% GP']]]+$CQ$15*Table2912[[#This Row],[CH4 '[g/g DDM']]]</f>
        <v>16.087002653666644</v>
      </c>
      <c r="AD187" s="18">
        <f>_xlfn.RANK.AVG(Table2912[[#This Row],[Index]],Table2912[Index])</f>
        <v>253</v>
      </c>
      <c r="AE18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6.8213778071198563</v>
      </c>
      <c r="AF187" s="18">
        <f>Table2912[[#This Row],[CH4 '[ml/g']]]/Table2912[[#This Row],[APB]]</f>
        <v>4.8631363588946481</v>
      </c>
      <c r="AG187" s="18">
        <f>Table2912[[#This Row],[Propionate '[%']]]/Table2912[[#This Row],[Acetate '[%']]]</f>
        <v>0.22690944356998566</v>
      </c>
      <c r="AH187" s="51"/>
      <c r="AI187" s="18"/>
      <c r="AJ187" s="18"/>
      <c r="AK187" s="18">
        <f>(Table2912[[#This Row],[DMD '[mg/g']]]-$AK$15)/$AK$15*100</f>
        <v>50.976677157901442</v>
      </c>
      <c r="AL187" s="18">
        <f>(Table2912[[#This Row],[CH4 '[ml/g']]]-AL$15)/AL$15*100</f>
        <v>-15.658712837637673</v>
      </c>
      <c r="AM187" s="18">
        <f>(Table2912[[#This Row],[CH4 '[% GP']]]-AM$15)/AM$15*100</f>
        <v>-23.699604601139416</v>
      </c>
      <c r="AN187" s="18">
        <f>(Table2912[[#This Row],[CH4 '[g/g DDM']]]-AN$15)/AN$15*100</f>
        <v>-12.496625470126906</v>
      </c>
      <c r="AO187" s="18"/>
      <c r="AP187" s="18"/>
      <c r="AR187">
        <f>_xlfn.NORM.DIST(Table2912[[#This Row],[GP '[ml/g']]],O$6,O$2,FALSE)</f>
        <v>6.7248439648138099E-3</v>
      </c>
      <c r="AS187">
        <f>_xlfn.NORM.DIST(Table2912[[#This Row],[SCFA '[mmol/g']]],P$6,P$2,FALSE)</f>
        <v>0.29330492562484128</v>
      </c>
      <c r="AT187">
        <f>_xlfn.NORM.DIST(Table2912[[#This Row],[Acetate '[%']]],Q$6,Q$2,FALSE)</f>
        <v>13.41759250384816</v>
      </c>
      <c r="AU187">
        <f>_xlfn.NORM.DIST(Table2912[[#This Row],[Propionate '[%']]],R$6,R$2,FALSE)</f>
        <v>12.918175762630302</v>
      </c>
      <c r="AV187">
        <f>_xlfn.NORM.DIST(Table2912[[#This Row],[Butyrate '[%']]],S$6,S$2,FALSE)</f>
        <v>7.3201066962610213</v>
      </c>
      <c r="AW187">
        <f>_xlfn.NORM.DIST(Table2912[[#This Row],[Valerate '[%']]],T$6,T$2,FALSE)</f>
        <v>45.706734228324024</v>
      </c>
      <c r="AX187">
        <f>_xlfn.NORM.DIST(Table2912[[#This Row],[Caproate '[%']]],U$6,U$2,FALSE)</f>
        <v>383.23485034312193</v>
      </c>
      <c r="AY187">
        <f>_xlfn.NORM.DIST(Table2912[[#This Row],[Isobutyrate '[%']]],V$6,V$2,FALSE)</f>
        <v>54.722667834873995</v>
      </c>
      <c r="AZ187">
        <f>_xlfn.NORM.DIST(Table2912[[#This Row],[Isovalerate '[%']]],W$6,W$2,FALSE)</f>
        <v>31.345128407565124</v>
      </c>
      <c r="BA187">
        <f>_xlfn.NORM.DIST(Table2912[[#This Row],[CH4 '[g/mmol SCFA']]],X$6,X$2,FALSE)</f>
        <v>0.14131151842696954</v>
      </c>
      <c r="BB187">
        <f>_xlfn.NORM.DIST(Table2912[[#This Row],[DMD '[mg/g']]],Y$6,Y$2,FALSE)</f>
        <v>2.8180425931832063E-3</v>
      </c>
      <c r="BC187">
        <f>_xlfn.NORM.DIST(Table2912[[#This Row],[CH4 '[ml/g']]],Z$6,Z$2,FALSE)</f>
        <v>2.6394047643637022E-2</v>
      </c>
      <c r="BD187">
        <f>_xlfn.NORM.DIST(Table2912[[#This Row],[CH4 '[% GP']]],AA$6,AA$2,FALSE)</f>
        <v>4.8695050770906551E-2</v>
      </c>
      <c r="BE187">
        <f>_xlfn.NORM.DIST(Table2912[[#This Row],[CH4 '[g/g DDM']]],AB$6,AB$2,FALSE)</f>
        <v>2.5656585246033575E-2</v>
      </c>
      <c r="BG187">
        <f>IF(Table2912[[#This Row],[GP '[ml/g']]]&lt;O$10,_xlfn.NORM.DIST(Table2912[[#This Row],[GP '[ml/g']]],O$6,O$2,FALSE),-100)</f>
        <v>-100</v>
      </c>
      <c r="BH187">
        <f>IF(Table2912[[#This Row],[SCFA '[mmol/g']]]&lt;P$10,_xlfn.NORM.DIST(Table2912[[#This Row],[SCFA '[mmol/g']]],P$6,P$2,FALSE),-100)</f>
        <v>-100</v>
      </c>
      <c r="BI187">
        <f>IF(Table2912[[#This Row],[Acetate '[%']]]&lt;Q$10,_xlfn.NORM.DIST(Table2912[[#This Row],[Acetate '[%']]],Q$6,Q$2,FALSE),-100)</f>
        <v>-100</v>
      </c>
      <c r="BJ187">
        <f>IF(Table2912[[#This Row],[Propionate '[%']]]&lt;R$10,_xlfn.NORM.DIST(Table2912[[#This Row],[Propionate '[%']]],R$6,R$2,FALSE),-100)</f>
        <v>-100</v>
      </c>
      <c r="BK187">
        <f>IF(Table2912[[#This Row],[Butyrate '[%']]]&lt;S$10,_xlfn.NORM.DIST(Table2912[[#This Row],[Butyrate '[%']]],S$6,S$2,FALSE),-100)</f>
        <v>-100</v>
      </c>
      <c r="BL187">
        <f>IF(Table2912[[#This Row],[Valerate '[%']]]&lt;T$10,_xlfn.NORM.DIST(Table2912[[#This Row],[Valerate '[%']]],T$6,T$2,FALSE),-100)</f>
        <v>45.706734228324024</v>
      </c>
      <c r="BM187">
        <f>IF(Table2912[[#This Row],[Caproate '[%']]]&lt;U$10,_xlfn.NORM.DIST(Table2912[[#This Row],[Caproate '[%']]],U$6,U$2,FALSE),-100)</f>
        <v>-100</v>
      </c>
      <c r="BN187">
        <f>IF(Table2912[[#This Row],[Isobutyrate '[%']]]&lt;V$10,_xlfn.NORM.DIST(Table2912[[#This Row],[Isobutyrate '[%']]],V$6,V$2,FALSE),-100)</f>
        <v>-100</v>
      </c>
      <c r="BO187">
        <f>IF(Table2912[[#This Row],[Isovalerate '[%']]]&lt;W$10,_xlfn.NORM.DIST(Table2912[[#This Row],[Isovalerate '[%']]],W$6,W$2,FALSE),-100)</f>
        <v>-100</v>
      </c>
      <c r="BP187">
        <f>IF(Table2912[[#This Row],[CH4 '[g/mmol SCFA']]]&lt;X$10,_xlfn.NORM.DIST(Table2912[[#This Row],[CH4 '[g/mmol SCFA']]],X$6,X$2,FALSE),-100)</f>
        <v>0.14131151842696954</v>
      </c>
      <c r="BQ187">
        <f>IF(Table2912[[#This Row],[DMD '[mg/g']]]&gt;Y$10,_xlfn.NORM.DIST(Table2912[[#This Row],[DMD '[mg/g']]],Y$6,Y$2,FALSE),-100)</f>
        <v>-100</v>
      </c>
      <c r="BR187">
        <f>IF(Table2912[[#This Row],[CH4 '[ml/g']]]&lt;Z$10,_xlfn.NORM.DIST(Table2912[[#This Row],[CH4 '[ml/g']]],Z$6,Z$2,FALSE),-100)</f>
        <v>-100</v>
      </c>
      <c r="BS187">
        <f>IF(Table2912[[#This Row],[CH4 '[% GP']]]&lt;AA$10,_xlfn.NORM.DIST(Table2912[[#This Row],[CH4 '[% GP']]],AA$6,AA$2,FALSE),-100)</f>
        <v>-100</v>
      </c>
      <c r="BT187">
        <f>IF(Table2912[[#This Row],[CH4 '[g/g DDM']]]&lt;AB$10,_xlfn.NORM.DIST(Table2912[[#This Row],[CH4 '[g/g DDM']]],AB$6,AB$2,FALSE),-100)</f>
        <v>-100</v>
      </c>
    </row>
    <row r="188" spans="1:72" x14ac:dyDescent="0.25">
      <c r="A188" s="12" t="s">
        <v>200</v>
      </c>
      <c r="B188" s="13">
        <v>1141</v>
      </c>
      <c r="C188" s="117" t="s">
        <v>251</v>
      </c>
      <c r="D188" s="117" t="s">
        <v>233</v>
      </c>
      <c r="E188" s="117" t="s">
        <v>234</v>
      </c>
      <c r="F188" s="117" t="s">
        <v>235</v>
      </c>
      <c r="G188" t="s">
        <v>73</v>
      </c>
      <c r="H188" t="s">
        <v>74</v>
      </c>
      <c r="I188" t="s">
        <v>75</v>
      </c>
      <c r="J188" s="70">
        <v>1</v>
      </c>
      <c r="K188" s="70"/>
      <c r="L188" s="70"/>
      <c r="M188" t="s">
        <v>252</v>
      </c>
      <c r="N188" t="s">
        <v>237</v>
      </c>
      <c r="O188" s="18">
        <v>247.9945326278656</v>
      </c>
      <c r="P188" s="18">
        <v>6.543122419182799</v>
      </c>
      <c r="Q188" s="97">
        <v>0.68957781450000377</v>
      </c>
      <c r="R188" s="97">
        <v>0.15864103237689706</v>
      </c>
      <c r="S188" s="97">
        <v>9.3789863736353188E-2</v>
      </c>
      <c r="T188" s="97">
        <v>1.5026823344302082E-2</v>
      </c>
      <c r="U188" s="97">
        <v>1.080713924690376E-3</v>
      </c>
      <c r="V188" s="97">
        <v>1.4484161234227844E-2</v>
      </c>
      <c r="W188" s="97">
        <v>2.7399590883525754E-2</v>
      </c>
      <c r="X188" s="51">
        <f t="shared" si="11"/>
        <v>6.8599954466416184</v>
      </c>
      <c r="Y188" s="18">
        <v>741.53346745662088</v>
      </c>
      <c r="Z188" s="18">
        <v>44.885790002412691</v>
      </c>
      <c r="AA188" s="18">
        <f t="shared" si="12"/>
        <v>18.09950789107403</v>
      </c>
      <c r="AB188" s="18">
        <f t="shared" si="13"/>
        <v>60.531037333171305</v>
      </c>
      <c r="AC188" s="18">
        <f>$CP$15*Table2912[[#This Row],[DMD '[mg/g']]]+$CS$15*Table2912[[#This Row],[CH4 '[ml/g']]]+$CR$15*Table2912[[#This Row],[CH4 '[% GP']]]+$CQ$15*Table2912[[#This Row],[CH4 '[g/g DDM']]]</f>
        <v>7.3136328582313226</v>
      </c>
      <c r="AD188" s="18">
        <f>_xlfn.RANK.AVG(Table2912[[#This Row],[Index]],Table2912[Index])</f>
        <v>381</v>
      </c>
      <c r="AE18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6.163678313479064</v>
      </c>
      <c r="AF188" s="18">
        <f>Table2912[[#This Row],[CH4 '[ml/g']]]/Table2912[[#This Row],[APB]]</f>
        <v>7.2823057465951821</v>
      </c>
      <c r="AG188" s="18">
        <f>Table2912[[#This Row],[Propionate '[%']]]/Table2912[[#This Row],[Acetate '[%']]]</f>
        <v>0.23005530201391969</v>
      </c>
      <c r="AH188" s="51"/>
      <c r="AI188" s="18"/>
      <c r="AJ188" s="18"/>
      <c r="AK188" s="18">
        <f>(Table2912[[#This Row],[DMD '[mg/g']]]-$AK$15)/$AK$15*100</f>
        <v>51.244120423566088</v>
      </c>
      <c r="AL188" s="18">
        <f>(Table2912[[#This Row],[CH4 '[ml/g']]]-AL$15)/AL$15*100</f>
        <v>14.119680467427465</v>
      </c>
      <c r="AM188" s="18">
        <f>(Table2912[[#This Row],[CH4 '[% GP']]]-AM$15)/AM$15*100</f>
        <v>16.602856370474097</v>
      </c>
      <c r="AN188" s="18">
        <f>(Table2912[[#This Row],[CH4 '[g/g DDM']]]-AN$15)/AN$15*100</f>
        <v>18.188844377780345</v>
      </c>
      <c r="AO188" s="18"/>
      <c r="AP188" s="18"/>
      <c r="AR188">
        <f>_xlfn.NORM.DIST(Table2912[[#This Row],[GP '[ml/g']]],O$6,O$2,FALSE)</f>
        <v>7.4063698119953029E-3</v>
      </c>
      <c r="AS188">
        <f>_xlfn.NORM.DIST(Table2912[[#This Row],[SCFA '[mmol/g']]],P$6,P$2,FALSE)</f>
        <v>0.3327399457209928</v>
      </c>
      <c r="AT188">
        <f>_xlfn.NORM.DIST(Table2912[[#This Row],[Acetate '[%']]],Q$6,Q$2,FALSE)</f>
        <v>11.865721130108327</v>
      </c>
      <c r="AU188">
        <f>_xlfn.NORM.DIST(Table2912[[#This Row],[Propionate '[%']]],R$6,R$2,FALSE)</f>
        <v>14.380843680246118</v>
      </c>
      <c r="AV188">
        <f>_xlfn.NORM.DIST(Table2912[[#This Row],[Butyrate '[%']]],S$6,S$2,FALSE)</f>
        <v>23.001154911406157</v>
      </c>
      <c r="AW188">
        <f>_xlfn.NORM.DIST(Table2912[[#This Row],[Valerate '[%']]],T$6,T$2,FALSE)</f>
        <v>67.934332603597554</v>
      </c>
      <c r="AX188">
        <f>_xlfn.NORM.DIST(Table2912[[#This Row],[Caproate '[%']]],U$6,U$2,FALSE)</f>
        <v>393.65605148528647</v>
      </c>
      <c r="AY188">
        <f>_xlfn.NORM.DIST(Table2912[[#This Row],[Isobutyrate '[%']]],V$6,V$2,FALSE)</f>
        <v>88.573061046195363</v>
      </c>
      <c r="AZ188">
        <f>_xlfn.NORM.DIST(Table2912[[#This Row],[Isovalerate '[%']]],W$6,W$2,FALSE)</f>
        <v>45.357630073268922</v>
      </c>
      <c r="BA188">
        <f>_xlfn.NORM.DIST(Table2912[[#This Row],[CH4 '[g/mmol SCFA']]],X$6,X$2,FALSE)</f>
        <v>0.27110498995895843</v>
      </c>
      <c r="BB188">
        <f>_xlfn.NORM.DIST(Table2912[[#This Row],[DMD '[mg/g']]],Y$6,Y$2,FALSE)</f>
        <v>2.8249844992481459E-3</v>
      </c>
      <c r="BC188">
        <f>_xlfn.NORM.DIST(Table2912[[#This Row],[CH4 '[ml/g']]],Z$6,Z$2,FALSE)</f>
        <v>3.2098960676448372E-2</v>
      </c>
      <c r="BD188">
        <f>_xlfn.NORM.DIST(Table2912[[#This Row],[CH4 '[% GP']]],AA$6,AA$2,FALSE)</f>
        <v>0.10647746888237257</v>
      </c>
      <c r="BE188">
        <f>_xlfn.NORM.DIST(Table2912[[#This Row],[CH4 '[g/g DDM']]],AB$6,AB$2,FALSE)</f>
        <v>2.7587858064764714E-2</v>
      </c>
      <c r="BG188">
        <f>IF(Table2912[[#This Row],[GP '[ml/g']]]&lt;O$10,_xlfn.NORM.DIST(Table2912[[#This Row],[GP '[ml/g']]],O$6,O$2,FALSE),-100)</f>
        <v>-100</v>
      </c>
      <c r="BH188">
        <f>IF(Table2912[[#This Row],[SCFA '[mmol/g']]]&lt;P$10,_xlfn.NORM.DIST(Table2912[[#This Row],[SCFA '[mmol/g']]],P$6,P$2,FALSE),-100)</f>
        <v>-100</v>
      </c>
      <c r="BI188">
        <f>IF(Table2912[[#This Row],[Acetate '[%']]]&lt;Q$10,_xlfn.NORM.DIST(Table2912[[#This Row],[Acetate '[%']]],Q$6,Q$2,FALSE),-100)</f>
        <v>-100</v>
      </c>
      <c r="BJ188">
        <f>IF(Table2912[[#This Row],[Propionate '[%']]]&lt;R$10,_xlfn.NORM.DIST(Table2912[[#This Row],[Propionate '[%']]],R$6,R$2,FALSE),-100)</f>
        <v>-100</v>
      </c>
      <c r="BK188">
        <f>IF(Table2912[[#This Row],[Butyrate '[%']]]&lt;S$10,_xlfn.NORM.DIST(Table2912[[#This Row],[Butyrate '[%']]],S$6,S$2,FALSE),-100)</f>
        <v>-100</v>
      </c>
      <c r="BL188">
        <f>IF(Table2912[[#This Row],[Valerate '[%']]]&lt;T$10,_xlfn.NORM.DIST(Table2912[[#This Row],[Valerate '[%']]],T$6,T$2,FALSE),-100)</f>
        <v>-100</v>
      </c>
      <c r="BM188">
        <f>IF(Table2912[[#This Row],[Caproate '[%']]]&lt;U$10,_xlfn.NORM.DIST(Table2912[[#This Row],[Caproate '[%']]],U$6,U$2,FALSE),-100)</f>
        <v>-100</v>
      </c>
      <c r="BN188">
        <f>IF(Table2912[[#This Row],[Isobutyrate '[%']]]&lt;V$10,_xlfn.NORM.DIST(Table2912[[#This Row],[Isobutyrate '[%']]],V$6,V$2,FALSE),-100)</f>
        <v>-100</v>
      </c>
      <c r="BO188">
        <f>IF(Table2912[[#This Row],[Isovalerate '[%']]]&lt;W$10,_xlfn.NORM.DIST(Table2912[[#This Row],[Isovalerate '[%']]],W$6,W$2,FALSE),-100)</f>
        <v>-100</v>
      </c>
      <c r="BP188">
        <f>IF(Table2912[[#This Row],[CH4 '[g/mmol SCFA']]]&lt;X$10,_xlfn.NORM.DIST(Table2912[[#This Row],[CH4 '[g/mmol SCFA']]],X$6,X$2,FALSE),-100)</f>
        <v>-100</v>
      </c>
      <c r="BQ188">
        <f>IF(Table2912[[#This Row],[DMD '[mg/g']]]&gt;Y$10,_xlfn.NORM.DIST(Table2912[[#This Row],[DMD '[mg/g']]],Y$6,Y$2,FALSE),-100)</f>
        <v>-100</v>
      </c>
      <c r="BR188">
        <f>IF(Table2912[[#This Row],[CH4 '[ml/g']]]&lt;Z$10,_xlfn.NORM.DIST(Table2912[[#This Row],[CH4 '[ml/g']]],Z$6,Z$2,FALSE),-100)</f>
        <v>-100</v>
      </c>
      <c r="BS188">
        <f>IF(Table2912[[#This Row],[CH4 '[% GP']]]&lt;AA$10,_xlfn.NORM.DIST(Table2912[[#This Row],[CH4 '[% GP']]],AA$6,AA$2,FALSE),-100)</f>
        <v>-100</v>
      </c>
      <c r="BT188">
        <f>IF(Table2912[[#This Row],[CH4 '[g/g DDM']]]&lt;AB$10,_xlfn.NORM.DIST(Table2912[[#This Row],[CH4 '[g/g DDM']]],AB$6,AB$2,FALSE),-100)</f>
        <v>-100</v>
      </c>
    </row>
    <row r="189" spans="1:72" x14ac:dyDescent="0.25">
      <c r="A189" s="12" t="s">
        <v>200</v>
      </c>
      <c r="B189" s="13">
        <v>1138</v>
      </c>
      <c r="C189" s="117" t="s">
        <v>243</v>
      </c>
      <c r="D189" s="117" t="s">
        <v>233</v>
      </c>
      <c r="E189" s="117" t="s">
        <v>234</v>
      </c>
      <c r="F189" s="117" t="s">
        <v>235</v>
      </c>
      <c r="G189" s="15" t="s">
        <v>73</v>
      </c>
      <c r="H189" s="15" t="s">
        <v>74</v>
      </c>
      <c r="I189" t="s">
        <v>75</v>
      </c>
      <c r="J189" s="70">
        <v>2</v>
      </c>
      <c r="K189" s="70"/>
      <c r="L189" s="70"/>
      <c r="M189" t="s">
        <v>244</v>
      </c>
      <c r="N189" t="s">
        <v>237</v>
      </c>
      <c r="O189" s="18">
        <v>269.95914191419229</v>
      </c>
      <c r="P189" s="18">
        <v>6.2315478699146922</v>
      </c>
      <c r="Q189" s="97">
        <v>0.69074409521824998</v>
      </c>
      <c r="R189" s="97">
        <v>0.15774075174787033</v>
      </c>
      <c r="S189" s="97">
        <v>9.1997543030967188E-2</v>
      </c>
      <c r="T189" s="97">
        <v>1.5335631191848395E-2</v>
      </c>
      <c r="U189" s="97">
        <v>1.1524446352328579E-3</v>
      </c>
      <c r="V189" s="97">
        <v>1.4737170544775783E-2</v>
      </c>
      <c r="W189" s="97">
        <v>2.8292363631055514E-2</v>
      </c>
      <c r="X189" s="51">
        <f t="shared" si="11"/>
        <v>8.1559681377058553</v>
      </c>
      <c r="Y189" s="18">
        <v>741.74863458840969</v>
      </c>
      <c r="Z189" s="18">
        <v>50.824305875613021</v>
      </c>
      <c r="AA189" s="18">
        <f t="shared" si="12"/>
        <v>18.826665959609457</v>
      </c>
      <c r="AB189" s="18">
        <f t="shared" si="13"/>
        <v>68.51958130508055</v>
      </c>
      <c r="AC189" s="18">
        <f>$CP$15*Table2912[[#This Row],[DMD '[mg/g']]]+$CS$15*Table2912[[#This Row],[CH4 '[ml/g']]]+$CR$15*Table2912[[#This Row],[CH4 '[% GP']]]+$CQ$15*Table2912[[#This Row],[CH4 '[g/g DDM']]]</f>
        <v>3.5580711509602239</v>
      </c>
      <c r="AD189" s="18">
        <f>_xlfn.RANK.AVG(Table2912[[#This Row],[Index]],Table2912[Index])</f>
        <v>421</v>
      </c>
      <c r="AE18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5.8606610340786292</v>
      </c>
      <c r="AF189" s="18">
        <f>Table2912[[#This Row],[CH4 '[ml/g']]]/Table2912[[#This Row],[APB]]</f>
        <v>8.672111487096652</v>
      </c>
      <c r="AG189" s="18">
        <f>Table2912[[#This Row],[Propionate '[%']]]/Table2912[[#This Row],[Acetate '[%']]]</f>
        <v>0.22836351818256223</v>
      </c>
      <c r="AH189" s="51"/>
      <c r="AI189" s="18"/>
      <c r="AJ189" s="18"/>
      <c r="AK189" s="18">
        <f>(Table2912[[#This Row],[DMD '[mg/g']]]-$AK$15)/$AK$15*100</f>
        <v>51.288006188699619</v>
      </c>
      <c r="AL189" s="18">
        <f>(Table2912[[#This Row],[CH4 '[ml/g']]]-AL$15)/AL$15*100</f>
        <v>29.218034175002622</v>
      </c>
      <c r="AM189" s="18">
        <f>(Table2912[[#This Row],[CH4 '[% GP']]]-AM$15)/AM$15*100</f>
        <v>21.287442732398461</v>
      </c>
      <c r="AN189" s="18">
        <f>(Table2912[[#This Row],[CH4 '[g/g DDM']]]-AN$15)/AN$15*100</f>
        <v>33.786739637765159</v>
      </c>
      <c r="AO189" s="18"/>
      <c r="AP189" s="18"/>
      <c r="AR189">
        <f>_xlfn.NORM.DIST(Table2912[[#This Row],[GP '[ml/g']]],O$6,O$2,FALSE)</f>
        <v>7.2096151963892633E-3</v>
      </c>
      <c r="AS189">
        <f>_xlfn.NORM.DIST(Table2912[[#This Row],[SCFA '[mmol/g']]],P$6,P$2,FALSE)</f>
        <v>0.32208595045725402</v>
      </c>
      <c r="AT189">
        <f>_xlfn.NORM.DIST(Table2912[[#This Row],[Acetate '[%']]],Q$6,Q$2,FALSE)</f>
        <v>11.577818644697782</v>
      </c>
      <c r="AU189">
        <f>_xlfn.NORM.DIST(Table2912[[#This Row],[Propionate '[%']]],R$6,R$2,FALSE)</f>
        <v>14.070566645373983</v>
      </c>
      <c r="AV189">
        <f>_xlfn.NORM.DIST(Table2912[[#This Row],[Butyrate '[%']]],S$6,S$2,FALSE)</f>
        <v>22.997292624697693</v>
      </c>
      <c r="AW189">
        <f>_xlfn.NORM.DIST(Table2912[[#This Row],[Valerate '[%']]],T$6,T$2,FALSE)</f>
        <v>69.919166791729396</v>
      </c>
      <c r="AX189">
        <f>_xlfn.NORM.DIST(Table2912[[#This Row],[Caproate '[%']]],U$6,U$2,FALSE)</f>
        <v>400.06731478807905</v>
      </c>
      <c r="AY189">
        <f>_xlfn.NORM.DIST(Table2912[[#This Row],[Isobutyrate '[%']]],V$6,V$2,FALSE)</f>
        <v>89.385932953905353</v>
      </c>
      <c r="AZ189">
        <f>_xlfn.NORM.DIST(Table2912[[#This Row],[Isovalerate '[%']]],W$6,W$2,FALSE)</f>
        <v>45.383432422788253</v>
      </c>
      <c r="BA189">
        <f>_xlfn.NORM.DIST(Table2912[[#This Row],[CH4 '[g/mmol SCFA']]],X$6,X$2,FALSE)</f>
        <v>0.11217207443970187</v>
      </c>
      <c r="BB189">
        <f>_xlfn.NORM.DIST(Table2912[[#This Row],[DMD '[mg/g']]],Y$6,Y$2,FALSE)</f>
        <v>2.826100458884801E-3</v>
      </c>
      <c r="BC189">
        <f>_xlfn.NORM.DIST(Table2912[[#This Row],[CH4 '[ml/g']]],Z$6,Z$2,FALSE)</f>
        <v>2.449198414025382E-2</v>
      </c>
      <c r="BD189">
        <f>_xlfn.NORM.DIST(Table2912[[#This Row],[CH4 '[% GP']]],AA$6,AA$2,FALSE)</f>
        <v>8.7300696263947028E-2</v>
      </c>
      <c r="BE189">
        <f>_xlfn.NORM.DIST(Table2912[[#This Row],[CH4 '[g/g DDM']]],AB$6,AB$2,FALSE)</f>
        <v>1.5062580145084358E-2</v>
      </c>
      <c r="BG189">
        <f>IF(Table2912[[#This Row],[GP '[ml/g']]]&lt;O$10,_xlfn.NORM.DIST(Table2912[[#This Row],[GP '[ml/g']]],O$6,O$2,FALSE),-100)</f>
        <v>-100</v>
      </c>
      <c r="BH189">
        <f>IF(Table2912[[#This Row],[SCFA '[mmol/g']]]&lt;P$10,_xlfn.NORM.DIST(Table2912[[#This Row],[SCFA '[mmol/g']]],P$6,P$2,FALSE),-100)</f>
        <v>-100</v>
      </c>
      <c r="BI189">
        <f>IF(Table2912[[#This Row],[Acetate '[%']]]&lt;Q$10,_xlfn.NORM.DIST(Table2912[[#This Row],[Acetate '[%']]],Q$6,Q$2,FALSE),-100)</f>
        <v>-100</v>
      </c>
      <c r="BJ189">
        <f>IF(Table2912[[#This Row],[Propionate '[%']]]&lt;R$10,_xlfn.NORM.DIST(Table2912[[#This Row],[Propionate '[%']]],R$6,R$2,FALSE),-100)</f>
        <v>-100</v>
      </c>
      <c r="BK189">
        <f>IF(Table2912[[#This Row],[Butyrate '[%']]]&lt;S$10,_xlfn.NORM.DIST(Table2912[[#This Row],[Butyrate '[%']]],S$6,S$2,FALSE),-100)</f>
        <v>-100</v>
      </c>
      <c r="BL189">
        <f>IF(Table2912[[#This Row],[Valerate '[%']]]&lt;T$10,_xlfn.NORM.DIST(Table2912[[#This Row],[Valerate '[%']]],T$6,T$2,FALSE),-100)</f>
        <v>-100</v>
      </c>
      <c r="BM189">
        <f>IF(Table2912[[#This Row],[Caproate '[%']]]&lt;U$10,_xlfn.NORM.DIST(Table2912[[#This Row],[Caproate '[%']]],U$6,U$2,FALSE),-100)</f>
        <v>-100</v>
      </c>
      <c r="BN189">
        <f>IF(Table2912[[#This Row],[Isobutyrate '[%']]]&lt;V$10,_xlfn.NORM.DIST(Table2912[[#This Row],[Isobutyrate '[%']]],V$6,V$2,FALSE),-100)</f>
        <v>-100</v>
      </c>
      <c r="BO189">
        <f>IF(Table2912[[#This Row],[Isovalerate '[%']]]&lt;W$10,_xlfn.NORM.DIST(Table2912[[#This Row],[Isovalerate '[%']]],W$6,W$2,FALSE),-100)</f>
        <v>-100</v>
      </c>
      <c r="BP189">
        <f>IF(Table2912[[#This Row],[CH4 '[g/mmol SCFA']]]&lt;X$10,_xlfn.NORM.DIST(Table2912[[#This Row],[CH4 '[g/mmol SCFA']]],X$6,X$2,FALSE),-100)</f>
        <v>-100</v>
      </c>
      <c r="BQ189">
        <f>IF(Table2912[[#This Row],[DMD '[mg/g']]]&gt;Y$10,_xlfn.NORM.DIST(Table2912[[#This Row],[DMD '[mg/g']]],Y$6,Y$2,FALSE),-100)</f>
        <v>-100</v>
      </c>
      <c r="BR189">
        <f>IF(Table2912[[#This Row],[CH4 '[ml/g']]]&lt;Z$10,_xlfn.NORM.DIST(Table2912[[#This Row],[CH4 '[ml/g']]],Z$6,Z$2,FALSE),-100)</f>
        <v>-100</v>
      </c>
      <c r="BS189">
        <f>IF(Table2912[[#This Row],[CH4 '[% GP']]]&lt;AA$10,_xlfn.NORM.DIST(Table2912[[#This Row],[CH4 '[% GP']]],AA$6,AA$2,FALSE),-100)</f>
        <v>-100</v>
      </c>
      <c r="BT189">
        <f>IF(Table2912[[#This Row],[CH4 '[g/g DDM']]]&lt;AB$10,_xlfn.NORM.DIST(Table2912[[#This Row],[CH4 '[g/g DDM']]],AB$6,AB$2,FALSE),-100)</f>
        <v>-100</v>
      </c>
    </row>
    <row r="190" spans="1:72" x14ac:dyDescent="0.25">
      <c r="A190" s="12" t="s">
        <v>86</v>
      </c>
      <c r="B190" s="13">
        <v>1057</v>
      </c>
      <c r="C190" s="104" t="s">
        <v>265</v>
      </c>
      <c r="D190" s="104" t="s">
        <v>115</v>
      </c>
      <c r="E190" s="104" t="s">
        <v>266</v>
      </c>
      <c r="F190" s="104" t="s">
        <v>267</v>
      </c>
      <c r="G190" s="23" t="s">
        <v>73</v>
      </c>
      <c r="H190" s="23" t="s">
        <v>74</v>
      </c>
      <c r="I190" s="105" t="s">
        <v>75</v>
      </c>
      <c r="J190" s="70">
        <v>1</v>
      </c>
      <c r="K190" s="70"/>
      <c r="L190" s="70"/>
      <c r="M190" t="s">
        <v>267</v>
      </c>
      <c r="N190" t="s">
        <v>84</v>
      </c>
      <c r="O190" s="18">
        <v>243.94735449735444</v>
      </c>
      <c r="P190" s="18">
        <v>7.8810074955908291</v>
      </c>
      <c r="Q190" s="97">
        <v>0.69711569565917531</v>
      </c>
      <c r="R190" s="97">
        <v>0.15050399233908995</v>
      </c>
      <c r="S190" s="97">
        <v>8.6711525420463342E-2</v>
      </c>
      <c r="T190" s="97">
        <v>1.8135359543049331E-2</v>
      </c>
      <c r="U190" s="97">
        <v>9.348987285140544E-4</v>
      </c>
      <c r="V190" s="97">
        <v>1.6783366790707972E-2</v>
      </c>
      <c r="W190" s="97">
        <v>2.9815161519000127E-2</v>
      </c>
      <c r="X190" s="51">
        <f t="shared" si="11"/>
        <v>3.7146815814823628</v>
      </c>
      <c r="Y190" s="18">
        <v>741.84303350970004</v>
      </c>
      <c r="Z190" s="18">
        <v>29.275433387395697</v>
      </c>
      <c r="AA190" s="18">
        <f t="shared" si="12"/>
        <v>12.000717715392639</v>
      </c>
      <c r="AB190" s="18">
        <f t="shared" si="13"/>
        <v>39.463110206605322</v>
      </c>
      <c r="AC190" s="18">
        <f>$CP$15*Table2912[[#This Row],[DMD '[mg/g']]]+$CS$15*Table2912[[#This Row],[CH4 '[ml/g']]]+$CR$15*Table2912[[#This Row],[CH4 '[% GP']]]+$CQ$15*Table2912[[#This Row],[CH4 '[g/g DDM']]]</f>
        <v>18.551731168722924</v>
      </c>
      <c r="AD190" s="18">
        <f>_xlfn.RANK.AVG(Table2912[[#This Row],[Index]],Table2912[Index])</f>
        <v>189</v>
      </c>
      <c r="AE19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7.3634712963174751</v>
      </c>
      <c r="AF190" s="18">
        <f>Table2912[[#This Row],[CH4 '[ml/g']]]/Table2912[[#This Row],[APB]]</f>
        <v>3.9757652619677559</v>
      </c>
      <c r="AG190" s="18">
        <f>Table2912[[#This Row],[Propionate '[%']]]/Table2912[[#This Row],[Acetate '[%']]]</f>
        <v>0.21589528578434475</v>
      </c>
      <c r="AH190" s="51"/>
      <c r="AI190" s="18"/>
      <c r="AJ190" s="18"/>
      <c r="AK190" s="18">
        <f>(Table2912[[#This Row],[DMD '[mg/g']]]-$AK$15)/$AK$15*100</f>
        <v>51.307259914183469</v>
      </c>
      <c r="AL190" s="18">
        <f>(Table2912[[#This Row],[CH4 '[ml/g']]]-AL$15)/AL$15*100</f>
        <v>-25.568802430892379</v>
      </c>
      <c r="AM190" s="18">
        <f>(Table2912[[#This Row],[CH4 '[% GP']]]-AM$15)/AM$15*100</f>
        <v>-22.687513244455619</v>
      </c>
      <c r="AN190" s="18">
        <f>(Table2912[[#This Row],[CH4 '[g/g DDM']]]-AN$15)/AN$15*100</f>
        <v>-22.946977346517038</v>
      </c>
      <c r="AO190" s="18"/>
      <c r="AP190" s="18"/>
      <c r="AR190">
        <f>_xlfn.NORM.DIST(Table2912[[#This Row],[GP '[ml/g']]],O$6,O$2,FALSE)</f>
        <v>7.3067443455628036E-3</v>
      </c>
      <c r="AS190">
        <f>_xlfn.NORM.DIST(Table2912[[#This Row],[SCFA '[mmol/g']]],P$6,P$2,FALSE)</f>
        <v>0.17759529424255788</v>
      </c>
      <c r="AT190">
        <f>_xlfn.NORM.DIST(Table2912[[#This Row],[Acetate '[%']]],Q$6,Q$2,FALSE)</f>
        <v>9.827788752493575</v>
      </c>
      <c r="AU190">
        <f>_xlfn.NORM.DIST(Table2912[[#This Row],[Propionate '[%']]],R$6,R$2,FALSE)</f>
        <v>11.20764675231251</v>
      </c>
      <c r="AV190">
        <f>_xlfn.NORM.DIST(Table2912[[#This Row],[Butyrate '[%']]],S$6,S$2,FALSE)</f>
        <v>21.596613372212683</v>
      </c>
      <c r="AW190">
        <f>_xlfn.NORM.DIST(Table2912[[#This Row],[Valerate '[%']]],T$6,T$2,FALSE)</f>
        <v>77.065526922522253</v>
      </c>
      <c r="AX190">
        <f>_xlfn.NORM.DIST(Table2912[[#This Row],[Caproate '[%']]],U$6,U$2,FALSE)</f>
        <v>374.70384219139436</v>
      </c>
      <c r="AY190">
        <f>_xlfn.NORM.DIST(Table2912[[#This Row],[Isobutyrate '[%']]],V$6,V$2,FALSE)</f>
        <v>85.345412918451544</v>
      </c>
      <c r="AZ190">
        <f>_xlfn.NORM.DIST(Table2912[[#This Row],[Isovalerate '[%']]],W$6,W$2,FALSE)</f>
        <v>44.356832882225675</v>
      </c>
      <c r="BA190">
        <f>_xlfn.NORM.DIST(Table2912[[#This Row],[CH4 '[g/mmol SCFA']]],X$6,X$2,FALSE)</f>
        <v>4.7585442401919857E-2</v>
      </c>
      <c r="BB190">
        <f>_xlfn.NORM.DIST(Table2912[[#This Row],[DMD '[mg/g']]],Y$6,Y$2,FALSE)</f>
        <v>2.8265879893463559E-3</v>
      </c>
      <c r="BC190">
        <f>_xlfn.NORM.DIST(Table2912[[#This Row],[CH4 '[ml/g']]],Z$6,Z$2,FALSE)</f>
        <v>1.9953672677727033E-2</v>
      </c>
      <c r="BD190">
        <f>_xlfn.NORM.DIST(Table2912[[#This Row],[CH4 '[% GP']]],AA$6,AA$2,FALSE)</f>
        <v>5.2449571038755929E-2</v>
      </c>
      <c r="BE190">
        <f>_xlfn.NORM.DIST(Table2912[[#This Row],[CH4 '[g/g DDM']]],AB$6,AB$2,FALSE)</f>
        <v>1.7077467459097696E-2</v>
      </c>
      <c r="BG190">
        <f>IF(Table2912[[#This Row],[GP '[ml/g']]]&lt;O$10,_xlfn.NORM.DIST(Table2912[[#This Row],[GP '[ml/g']]],O$6,O$2,FALSE),-100)</f>
        <v>-100</v>
      </c>
      <c r="BH190">
        <f>IF(Table2912[[#This Row],[SCFA '[mmol/g']]]&lt;P$10,_xlfn.NORM.DIST(Table2912[[#This Row],[SCFA '[mmol/g']]],P$6,P$2,FALSE),-100)</f>
        <v>-100</v>
      </c>
      <c r="BI190">
        <f>IF(Table2912[[#This Row],[Acetate '[%']]]&lt;Q$10,_xlfn.NORM.DIST(Table2912[[#This Row],[Acetate '[%']]],Q$6,Q$2,FALSE),-100)</f>
        <v>-100</v>
      </c>
      <c r="BJ190">
        <f>IF(Table2912[[#This Row],[Propionate '[%']]]&lt;R$10,_xlfn.NORM.DIST(Table2912[[#This Row],[Propionate '[%']]],R$6,R$2,FALSE),-100)</f>
        <v>-100</v>
      </c>
      <c r="BK190">
        <f>IF(Table2912[[#This Row],[Butyrate '[%']]]&lt;S$10,_xlfn.NORM.DIST(Table2912[[#This Row],[Butyrate '[%']]],S$6,S$2,FALSE),-100)</f>
        <v>-100</v>
      </c>
      <c r="BL190">
        <f>IF(Table2912[[#This Row],[Valerate '[%']]]&lt;T$10,_xlfn.NORM.DIST(Table2912[[#This Row],[Valerate '[%']]],T$6,T$2,FALSE),-100)</f>
        <v>-100</v>
      </c>
      <c r="BM190">
        <f>IF(Table2912[[#This Row],[Caproate '[%']]]&lt;U$10,_xlfn.NORM.DIST(Table2912[[#This Row],[Caproate '[%']]],U$6,U$2,FALSE),-100)</f>
        <v>-100</v>
      </c>
      <c r="BN190">
        <f>IF(Table2912[[#This Row],[Isobutyrate '[%']]]&lt;V$10,_xlfn.NORM.DIST(Table2912[[#This Row],[Isobutyrate '[%']]],V$6,V$2,FALSE),-100)</f>
        <v>-100</v>
      </c>
      <c r="BO190">
        <f>IF(Table2912[[#This Row],[Isovalerate '[%']]]&lt;W$10,_xlfn.NORM.DIST(Table2912[[#This Row],[Isovalerate '[%']]],W$6,W$2,FALSE),-100)</f>
        <v>-100</v>
      </c>
      <c r="BP190">
        <f>IF(Table2912[[#This Row],[CH4 '[g/mmol SCFA']]]&lt;X$10,_xlfn.NORM.DIST(Table2912[[#This Row],[CH4 '[g/mmol SCFA']]],X$6,X$2,FALSE),-100)</f>
        <v>4.7585442401919857E-2</v>
      </c>
      <c r="BQ190">
        <f>IF(Table2912[[#This Row],[DMD '[mg/g']]]&gt;Y$10,_xlfn.NORM.DIST(Table2912[[#This Row],[DMD '[mg/g']]],Y$6,Y$2,FALSE),-100)</f>
        <v>-100</v>
      </c>
      <c r="BR190">
        <f>IF(Table2912[[#This Row],[CH4 '[ml/g']]]&lt;Z$10,_xlfn.NORM.DIST(Table2912[[#This Row],[CH4 '[ml/g']]],Z$6,Z$2,FALSE),-100)</f>
        <v>1.9953672677727033E-2</v>
      </c>
      <c r="BS190">
        <f>IF(Table2912[[#This Row],[CH4 '[% GP']]]&lt;AA$10,_xlfn.NORM.DIST(Table2912[[#This Row],[CH4 '[% GP']]],AA$6,AA$2,FALSE),-100)</f>
        <v>-100</v>
      </c>
      <c r="BT190">
        <f>IF(Table2912[[#This Row],[CH4 '[g/g DDM']]]&lt;AB$10,_xlfn.NORM.DIST(Table2912[[#This Row],[CH4 '[g/g DDM']]],AB$6,AB$2,FALSE),-100)</f>
        <v>-100</v>
      </c>
    </row>
    <row r="191" spans="1:72" x14ac:dyDescent="0.25">
      <c r="A191" s="12" t="s">
        <v>200</v>
      </c>
      <c r="B191" s="13">
        <v>1139</v>
      </c>
      <c r="C191" s="117" t="s">
        <v>268</v>
      </c>
      <c r="D191" s="117" t="s">
        <v>233</v>
      </c>
      <c r="E191" s="117" t="s">
        <v>234</v>
      </c>
      <c r="F191" s="117" t="s">
        <v>235</v>
      </c>
      <c r="G191" t="s">
        <v>73</v>
      </c>
      <c r="H191" t="s">
        <v>74</v>
      </c>
      <c r="I191" t="s">
        <v>75</v>
      </c>
      <c r="J191" s="70">
        <v>1</v>
      </c>
      <c r="K191" s="70"/>
      <c r="L191" s="70"/>
      <c r="M191" t="s">
        <v>269</v>
      </c>
      <c r="N191" t="s">
        <v>171</v>
      </c>
      <c r="O191" s="18">
        <v>244.63533157663511</v>
      </c>
      <c r="P191" s="18">
        <v>5.9399687794866427</v>
      </c>
      <c r="Q191" s="97">
        <v>0.69082929354568556</v>
      </c>
      <c r="R191" s="97">
        <v>0.1664811546872712</v>
      </c>
      <c r="S191" s="97">
        <v>8.8937380341428451E-2</v>
      </c>
      <c r="T191" s="97">
        <v>1.5035706998370334E-2</v>
      </c>
      <c r="U191" s="97">
        <v>1.1155064743527277E-3</v>
      </c>
      <c r="V191" s="97">
        <v>1.3029965646067841E-2</v>
      </c>
      <c r="W191" s="97">
        <v>2.4570992306823917E-2</v>
      </c>
      <c r="X191" s="51">
        <f t="shared" si="11"/>
        <v>7.1591130638107314</v>
      </c>
      <c r="Y191" s="18">
        <v>743.92939293929408</v>
      </c>
      <c r="Z191" s="18">
        <v>42.524908087850712</v>
      </c>
      <c r="AA191" s="18">
        <f t="shared" si="12"/>
        <v>17.382978907333037</v>
      </c>
      <c r="AB191" s="18">
        <f t="shared" si="13"/>
        <v>57.162559365792951</v>
      </c>
      <c r="AC191" s="18">
        <f>$CP$15*Table2912[[#This Row],[DMD '[mg/g']]]+$CS$15*Table2912[[#This Row],[CH4 '[ml/g']]]+$CR$15*Table2912[[#This Row],[CH4 '[% GP']]]+$CQ$15*Table2912[[#This Row],[CH4 '[g/g DDM']]]</f>
        <v>9.237997686828102</v>
      </c>
      <c r="AD191" s="18">
        <f>_xlfn.RANK.AVG(Table2912[[#This Row],[Index]],Table2912[Index])</f>
        <v>365</v>
      </c>
      <c r="AE19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5.620682559388877</v>
      </c>
      <c r="AF191" s="18">
        <f>Table2912[[#This Row],[CH4 '[ml/g']]]/Table2912[[#This Row],[APB]]</f>
        <v>7.5657907449009789</v>
      </c>
      <c r="AG191" s="18">
        <f>Table2912[[#This Row],[Propionate '[%']]]/Table2912[[#This Row],[Acetate '[%']]]</f>
        <v>0.24098739911969522</v>
      </c>
      <c r="AH191" s="51"/>
      <c r="AI191" s="18"/>
      <c r="AJ191" s="18"/>
      <c r="AK191" s="18">
        <f>(Table2912[[#This Row],[DMD '[mg/g']]]-$AK$15)/$AK$15*100</f>
        <v>51.732796468721808</v>
      </c>
      <c r="AL191" s="18">
        <f>(Table2912[[#This Row],[CH4 '[ml/g']]]-AL$15)/AL$15*100</f>
        <v>8.1172665699187103</v>
      </c>
      <c r="AM191" s="18">
        <f>(Table2912[[#This Row],[CH4 '[% GP']]]-AM$15)/AM$15*100</f>
        <v>11.986745994476745</v>
      </c>
      <c r="AN191" s="18">
        <f>(Table2912[[#This Row],[CH4 '[g/g DDM']]]-AN$15)/AN$15*100</f>
        <v>11.611780183668269</v>
      </c>
      <c r="AO191" s="18"/>
      <c r="AP191" s="18"/>
      <c r="AR191">
        <f>_xlfn.NORM.DIST(Table2912[[#This Row],[GP '[ml/g']]],O$6,O$2,FALSE)</f>
        <v>7.3265600679937974E-3</v>
      </c>
      <c r="AS191">
        <f>_xlfn.NORM.DIST(Table2912[[#This Row],[SCFA '[mmol/g']]],P$6,P$2,FALSE)</f>
        <v>0.29388599995064607</v>
      </c>
      <c r="AT191">
        <f>_xlfn.NORM.DIST(Table2912[[#This Row],[Acetate '[%']]],Q$6,Q$2,FALSE)</f>
        <v>11.556301198219641</v>
      </c>
      <c r="AU191">
        <f>_xlfn.NORM.DIST(Table2912[[#This Row],[Propionate '[%']]],R$6,R$2,FALSE)</f>
        <v>16.36508732024954</v>
      </c>
      <c r="AV191">
        <f>_xlfn.NORM.DIST(Table2912[[#This Row],[Butyrate '[%']]],S$6,S$2,FALSE)</f>
        <v>22.428826048280708</v>
      </c>
      <c r="AW191">
        <f>_xlfn.NORM.DIST(Table2912[[#This Row],[Valerate '[%']]],T$6,T$2,FALSE)</f>
        <v>67.994045683392002</v>
      </c>
      <c r="AX191">
        <f>_xlfn.NORM.DIST(Table2912[[#This Row],[Caproate '[%']]],U$6,U$2,FALSE)</f>
        <v>397.01818956130666</v>
      </c>
      <c r="AY191">
        <f>_xlfn.NORM.DIST(Table2912[[#This Row],[Isobutyrate '[%']]],V$6,V$2,FALSE)</f>
        <v>78.879626488304339</v>
      </c>
      <c r="AZ191">
        <f>_xlfn.NORM.DIST(Table2912[[#This Row],[Isovalerate '[%']]],W$6,W$2,FALSE)</f>
        <v>42.288948335617938</v>
      </c>
      <c r="BA191">
        <f>_xlfn.NORM.DIST(Table2912[[#This Row],[CH4 '[g/mmol SCFA']]],X$6,X$2,FALSE)</f>
        <v>0.240250774368443</v>
      </c>
      <c r="BB191">
        <f>_xlfn.NORM.DIST(Table2912[[#This Row],[DMD '[mg/g']]],Y$6,Y$2,FALSE)</f>
        <v>2.8370397996050766E-3</v>
      </c>
      <c r="BC191">
        <f>_xlfn.NORM.DIST(Table2912[[#This Row],[CH4 '[ml/g']]],Z$6,Z$2,FALSE)</f>
        <v>3.3356314554691499E-2</v>
      </c>
      <c r="BD191">
        <f>_xlfn.NORM.DIST(Table2912[[#This Row],[CH4 '[% GP']]],AA$6,AA$2,FALSE)</f>
        <v>0.12207386506899898</v>
      </c>
      <c r="BE191">
        <f>_xlfn.NORM.DIST(Table2912[[#This Row],[CH4 '[g/g DDM']]],AB$6,AB$2,FALSE)</f>
        <v>3.127565818058553E-2</v>
      </c>
      <c r="BG191">
        <f>IF(Table2912[[#This Row],[GP '[ml/g']]]&lt;O$10,_xlfn.NORM.DIST(Table2912[[#This Row],[GP '[ml/g']]],O$6,O$2,FALSE),-100)</f>
        <v>-100</v>
      </c>
      <c r="BH191">
        <f>IF(Table2912[[#This Row],[SCFA '[mmol/g']]]&lt;P$10,_xlfn.NORM.DIST(Table2912[[#This Row],[SCFA '[mmol/g']]],P$6,P$2,FALSE),-100)</f>
        <v>-100</v>
      </c>
      <c r="BI191">
        <f>IF(Table2912[[#This Row],[Acetate '[%']]]&lt;Q$10,_xlfn.NORM.DIST(Table2912[[#This Row],[Acetate '[%']]],Q$6,Q$2,FALSE),-100)</f>
        <v>-100</v>
      </c>
      <c r="BJ191">
        <f>IF(Table2912[[#This Row],[Propionate '[%']]]&lt;R$10,_xlfn.NORM.DIST(Table2912[[#This Row],[Propionate '[%']]],R$6,R$2,FALSE),-100)</f>
        <v>-100</v>
      </c>
      <c r="BK191">
        <f>IF(Table2912[[#This Row],[Butyrate '[%']]]&lt;S$10,_xlfn.NORM.DIST(Table2912[[#This Row],[Butyrate '[%']]],S$6,S$2,FALSE),-100)</f>
        <v>-100</v>
      </c>
      <c r="BL191">
        <f>IF(Table2912[[#This Row],[Valerate '[%']]]&lt;T$10,_xlfn.NORM.DIST(Table2912[[#This Row],[Valerate '[%']]],T$6,T$2,FALSE),-100)</f>
        <v>-100</v>
      </c>
      <c r="BM191">
        <f>IF(Table2912[[#This Row],[Caproate '[%']]]&lt;U$10,_xlfn.NORM.DIST(Table2912[[#This Row],[Caproate '[%']]],U$6,U$2,FALSE),-100)</f>
        <v>-100</v>
      </c>
      <c r="BN191">
        <f>IF(Table2912[[#This Row],[Isobutyrate '[%']]]&lt;V$10,_xlfn.NORM.DIST(Table2912[[#This Row],[Isobutyrate '[%']]],V$6,V$2,FALSE),-100)</f>
        <v>-100</v>
      </c>
      <c r="BO191">
        <f>IF(Table2912[[#This Row],[Isovalerate '[%']]]&lt;W$10,_xlfn.NORM.DIST(Table2912[[#This Row],[Isovalerate '[%']]],W$6,W$2,FALSE),-100)</f>
        <v>-100</v>
      </c>
      <c r="BP191">
        <f>IF(Table2912[[#This Row],[CH4 '[g/mmol SCFA']]]&lt;X$10,_xlfn.NORM.DIST(Table2912[[#This Row],[CH4 '[g/mmol SCFA']]],X$6,X$2,FALSE),-100)</f>
        <v>-100</v>
      </c>
      <c r="BQ191">
        <f>IF(Table2912[[#This Row],[DMD '[mg/g']]]&gt;Y$10,_xlfn.NORM.DIST(Table2912[[#This Row],[DMD '[mg/g']]],Y$6,Y$2,FALSE),-100)</f>
        <v>-100</v>
      </c>
      <c r="BR191">
        <f>IF(Table2912[[#This Row],[CH4 '[ml/g']]]&lt;Z$10,_xlfn.NORM.DIST(Table2912[[#This Row],[CH4 '[ml/g']]],Z$6,Z$2,FALSE),-100)</f>
        <v>-100</v>
      </c>
      <c r="BS191">
        <f>IF(Table2912[[#This Row],[CH4 '[% GP']]]&lt;AA$10,_xlfn.NORM.DIST(Table2912[[#This Row],[CH4 '[% GP']]],AA$6,AA$2,FALSE),-100)</f>
        <v>-100</v>
      </c>
      <c r="BT191">
        <f>IF(Table2912[[#This Row],[CH4 '[g/g DDM']]]&lt;AB$10,_xlfn.NORM.DIST(Table2912[[#This Row],[CH4 '[g/g DDM']]],AB$6,AB$2,FALSE),-100)</f>
        <v>-100</v>
      </c>
    </row>
    <row r="192" spans="1:72" x14ac:dyDescent="0.25">
      <c r="A192" s="12" t="s">
        <v>70</v>
      </c>
      <c r="B192" s="13">
        <v>1031</v>
      </c>
      <c r="C192" s="96" t="s">
        <v>209</v>
      </c>
      <c r="D192" s="116"/>
      <c r="E192" s="116"/>
      <c r="F192" s="96" t="s">
        <v>210</v>
      </c>
      <c r="G192" t="s">
        <v>73</v>
      </c>
      <c r="H192" t="s">
        <v>74</v>
      </c>
      <c r="I192" t="s">
        <v>75</v>
      </c>
      <c r="J192" s="70">
        <v>1</v>
      </c>
      <c r="K192" s="70"/>
      <c r="L192" s="70"/>
      <c r="M192" t="s">
        <v>210</v>
      </c>
      <c r="N192" t="s">
        <v>80</v>
      </c>
      <c r="O192" s="18">
        <v>242.75202717510376</v>
      </c>
      <c r="P192" s="18">
        <v>6.3253425970584551</v>
      </c>
      <c r="Q192" s="97">
        <v>0.64720114227021597</v>
      </c>
      <c r="R192" s="97">
        <v>0.17222941737804576</v>
      </c>
      <c r="S192" s="97">
        <v>0.10054992070317678</v>
      </c>
      <c r="T192" s="97">
        <v>2.1411884285908261E-2</v>
      </c>
      <c r="U192" s="97">
        <v>2.0439004988125377E-3</v>
      </c>
      <c r="V192" s="97">
        <v>1.9741285792518097E-2</v>
      </c>
      <c r="W192" s="97">
        <v>3.6822449071322538E-2</v>
      </c>
      <c r="X192" s="51">
        <f t="shared" si="11"/>
        <v>5.1965993158798724</v>
      </c>
      <c r="Y192" s="18">
        <v>744.81796488219516</v>
      </c>
      <c r="Z192" s="18">
        <v>32.870271012579785</v>
      </c>
      <c r="AA192" s="18">
        <f t="shared" si="12"/>
        <v>13.540678277784082</v>
      </c>
      <c r="AB192" s="18">
        <f t="shared" si="13"/>
        <v>44.131952453347097</v>
      </c>
      <c r="AC192" s="18">
        <f>$CP$15*Table2912[[#This Row],[DMD '[mg/g']]]+$CS$15*Table2912[[#This Row],[CH4 '[ml/g']]]+$CR$15*Table2912[[#This Row],[CH4 '[% GP']]]+$CQ$15*Table2912[[#This Row],[CH4 '[g/g DDM']]]</f>
        <v>16.247487583283998</v>
      </c>
      <c r="AD192" s="18">
        <f>_xlfn.RANK.AVG(Table2912[[#This Row],[Index]],Table2912[Index])</f>
        <v>249</v>
      </c>
      <c r="AE19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5.8191917208292532</v>
      </c>
      <c r="AF192" s="18">
        <f>Table2912[[#This Row],[CH4 '[ml/g']]]/Table2912[[#This Row],[APB]]</f>
        <v>5.6485973636035602</v>
      </c>
      <c r="AG192" s="18">
        <f>Table2912[[#This Row],[Propionate '[%']]]/Table2912[[#This Row],[Acetate '[%']]]</f>
        <v>0.26611420488831189</v>
      </c>
      <c r="AH192" s="51"/>
      <c r="AI192" s="18"/>
      <c r="AJ192" s="18"/>
      <c r="AK192" s="18">
        <f>(Table2912[[#This Row],[DMD '[mg/g']]]-$AK$15)/$AK$15*100</f>
        <v>51.914030745844975</v>
      </c>
      <c r="AL192" s="18">
        <f>(Table2912[[#This Row],[CH4 '[ml/g']]]-AL$15)/AL$15*100</f>
        <v>-16.429123234063212</v>
      </c>
      <c r="AM192" s="18">
        <f>(Table2912[[#This Row],[CH4 '[% GP']]]-AM$15)/AM$15*100</f>
        <v>-12.766591562309898</v>
      </c>
      <c r="AN192" s="18">
        <f>(Table2912[[#This Row],[CH4 '[g/g DDM']]]-AN$15)/AN$15*100</f>
        <v>-13.830909060963666</v>
      </c>
      <c r="AO192" s="18"/>
      <c r="AP192" s="18"/>
      <c r="AR192">
        <f>_xlfn.NORM.DIST(Table2912[[#This Row],[GP '[ml/g']]],O$6,O$2,FALSE)</f>
        <v>7.2695658468928089E-3</v>
      </c>
      <c r="AS192">
        <f>_xlfn.NORM.DIST(Table2912[[#This Row],[SCFA '[mmol/g']]],P$6,P$2,FALSE)</f>
        <v>0.32757596099296493</v>
      </c>
      <c r="AT192">
        <f>_xlfn.NORM.DIST(Table2912[[#This Row],[Acetate '[%']]],Q$6,Q$2,FALSE)</f>
        <v>9.2587836572125699</v>
      </c>
      <c r="AU192">
        <f>_xlfn.NORM.DIST(Table2912[[#This Row],[Propionate '[%']]],R$6,R$2,FALSE)</f>
        <v>16.789133404034533</v>
      </c>
      <c r="AV192">
        <f>_xlfn.NORM.DIST(Table2912[[#This Row],[Butyrate '[%']]],S$6,S$2,FALSE)</f>
        <v>20.901990721029982</v>
      </c>
      <c r="AW192">
        <f>_xlfn.NORM.DIST(Table2912[[#This Row],[Valerate '[%']]],T$6,T$2,FALSE)</f>
        <v>59.376205452565607</v>
      </c>
      <c r="AX192">
        <f>_xlfn.NORM.DIST(Table2912[[#This Row],[Caproate '[%']]],U$6,U$2,FALSE)</f>
        <v>312.86091803941878</v>
      </c>
      <c r="AY192">
        <f>_xlfn.NORM.DIST(Table2912[[#This Row],[Isobutyrate '[%']]],V$6,V$2,FALSE)</f>
        <v>54.699448123388414</v>
      </c>
      <c r="AZ192">
        <f>_xlfn.NORM.DIST(Table2912[[#This Row],[Isovalerate '[%']]],W$6,W$2,FALSE)</f>
        <v>27.096995729667572</v>
      </c>
      <c r="BA192">
        <f>_xlfn.NORM.DIST(Table2912[[#This Row],[CH4 '[g/mmol SCFA']]],X$6,X$2,FALSE)</f>
        <v>0.21428164043915529</v>
      </c>
      <c r="BB192">
        <f>_xlfn.NORM.DIST(Table2912[[#This Row],[DMD '[mg/g']]],Y$6,Y$2,FALSE)</f>
        <v>2.8413022573780151E-3</v>
      </c>
      <c r="BC192">
        <f>_xlfn.NORM.DIST(Table2912[[#This Row],[CH4 '[ml/g']]],Z$6,Z$2,FALSE)</f>
        <v>2.5925695104200921E-2</v>
      </c>
      <c r="BD192">
        <f>_xlfn.NORM.DIST(Table2912[[#This Row],[CH4 '[% GP']]],AA$6,AA$2,FALSE)</f>
        <v>9.3589470509000947E-2</v>
      </c>
      <c r="BE192">
        <f>_xlfn.NORM.DIST(Table2912[[#This Row],[CH4 '[g/g DDM']]],AB$6,AB$2,FALSE)</f>
        <v>2.462218239206963E-2</v>
      </c>
      <c r="BG192">
        <f>IF(Table2912[[#This Row],[GP '[ml/g']]]&lt;O$10,_xlfn.NORM.DIST(Table2912[[#This Row],[GP '[ml/g']]],O$6,O$2,FALSE),-100)</f>
        <v>-100</v>
      </c>
      <c r="BH192">
        <f>IF(Table2912[[#This Row],[SCFA '[mmol/g']]]&lt;P$10,_xlfn.NORM.DIST(Table2912[[#This Row],[SCFA '[mmol/g']]],P$6,P$2,FALSE),-100)</f>
        <v>-100</v>
      </c>
      <c r="BI192">
        <f>IF(Table2912[[#This Row],[Acetate '[%']]]&lt;Q$10,_xlfn.NORM.DIST(Table2912[[#This Row],[Acetate '[%']]],Q$6,Q$2,FALSE),-100)</f>
        <v>-100</v>
      </c>
      <c r="BJ192">
        <f>IF(Table2912[[#This Row],[Propionate '[%']]]&lt;R$10,_xlfn.NORM.DIST(Table2912[[#This Row],[Propionate '[%']]],R$6,R$2,FALSE),-100)</f>
        <v>-100</v>
      </c>
      <c r="BK192">
        <f>IF(Table2912[[#This Row],[Butyrate '[%']]]&lt;S$10,_xlfn.NORM.DIST(Table2912[[#This Row],[Butyrate '[%']]],S$6,S$2,FALSE),-100)</f>
        <v>-100</v>
      </c>
      <c r="BL192">
        <f>IF(Table2912[[#This Row],[Valerate '[%']]]&lt;T$10,_xlfn.NORM.DIST(Table2912[[#This Row],[Valerate '[%']]],T$6,T$2,FALSE),-100)</f>
        <v>-100</v>
      </c>
      <c r="BM192">
        <f>IF(Table2912[[#This Row],[Caproate '[%']]]&lt;U$10,_xlfn.NORM.DIST(Table2912[[#This Row],[Caproate '[%']]],U$6,U$2,FALSE),-100)</f>
        <v>-100</v>
      </c>
      <c r="BN192">
        <f>IF(Table2912[[#This Row],[Isobutyrate '[%']]]&lt;V$10,_xlfn.NORM.DIST(Table2912[[#This Row],[Isobutyrate '[%']]],V$6,V$2,FALSE),-100)</f>
        <v>-100</v>
      </c>
      <c r="BO192">
        <f>IF(Table2912[[#This Row],[Isovalerate '[%']]]&lt;W$10,_xlfn.NORM.DIST(Table2912[[#This Row],[Isovalerate '[%']]],W$6,W$2,FALSE),-100)</f>
        <v>-100</v>
      </c>
      <c r="BP192">
        <f>IF(Table2912[[#This Row],[CH4 '[g/mmol SCFA']]]&lt;X$10,_xlfn.NORM.DIST(Table2912[[#This Row],[CH4 '[g/mmol SCFA']]],X$6,X$2,FALSE),-100)</f>
        <v>-100</v>
      </c>
      <c r="BQ192">
        <f>IF(Table2912[[#This Row],[DMD '[mg/g']]]&gt;Y$10,_xlfn.NORM.DIST(Table2912[[#This Row],[DMD '[mg/g']]],Y$6,Y$2,FALSE),-100)</f>
        <v>-100</v>
      </c>
      <c r="BR192">
        <f>IF(Table2912[[#This Row],[CH4 '[ml/g']]]&lt;Z$10,_xlfn.NORM.DIST(Table2912[[#This Row],[CH4 '[ml/g']]],Z$6,Z$2,FALSE),-100)</f>
        <v>-100</v>
      </c>
      <c r="BS192">
        <f>IF(Table2912[[#This Row],[CH4 '[% GP']]]&lt;AA$10,_xlfn.NORM.DIST(Table2912[[#This Row],[CH4 '[% GP']]],AA$6,AA$2,FALSE),-100)</f>
        <v>-100</v>
      </c>
      <c r="BT192">
        <f>IF(Table2912[[#This Row],[CH4 '[g/g DDM']]]&lt;AB$10,_xlfn.NORM.DIST(Table2912[[#This Row],[CH4 '[g/g DDM']]],AB$6,AB$2,FALSE),-100)</f>
        <v>-100</v>
      </c>
    </row>
    <row r="193" spans="1:72" x14ac:dyDescent="0.25">
      <c r="A193" s="12" t="s">
        <v>86</v>
      </c>
      <c r="B193" s="13">
        <v>1070</v>
      </c>
      <c r="C193" s="32">
        <v>7985</v>
      </c>
      <c r="D193" s="104" t="s">
        <v>161</v>
      </c>
      <c r="E193" t="s">
        <v>242</v>
      </c>
      <c r="F193" t="s">
        <v>147</v>
      </c>
      <c r="G193" s="32" t="s">
        <v>73</v>
      </c>
      <c r="H193" s="32" t="s">
        <v>74</v>
      </c>
      <c r="I193" s="105" t="s">
        <v>44</v>
      </c>
      <c r="J193" s="70">
        <v>1</v>
      </c>
      <c r="K193" s="70"/>
      <c r="L193" s="70"/>
      <c r="M193" t="s">
        <v>147</v>
      </c>
      <c r="N193" t="s">
        <v>145</v>
      </c>
      <c r="O193" s="18">
        <v>254.09531698696702</v>
      </c>
      <c r="P193" s="18">
        <v>6.4070024298652539</v>
      </c>
      <c r="Q193" s="97">
        <v>0.65146787567446418</v>
      </c>
      <c r="R193" s="97">
        <v>0.16621558723646326</v>
      </c>
      <c r="S193" s="97">
        <v>9.3140719543519115E-2</v>
      </c>
      <c r="T193" s="97">
        <v>2.6823423951455802E-2</v>
      </c>
      <c r="U193" s="97">
        <v>3.4477408677963762E-4</v>
      </c>
      <c r="V193" s="97">
        <v>2.1048457997896876E-2</v>
      </c>
      <c r="W193" s="97">
        <v>4.0959161509420951E-2</v>
      </c>
      <c r="X193" s="51">
        <f t="shared" si="11"/>
        <v>5.8134519262340385</v>
      </c>
      <c r="Y193" s="18">
        <v>745.08504528385254</v>
      </c>
      <c r="Z193" s="18">
        <v>37.246800617286326</v>
      </c>
      <c r="AA193" s="18">
        <f t="shared" si="12"/>
        <v>14.65859389262053</v>
      </c>
      <c r="AB193" s="18">
        <f t="shared" si="13"/>
        <v>49.989998931056974</v>
      </c>
      <c r="AC193" s="18">
        <f>$CP$15*Table2912[[#This Row],[DMD '[mg/g']]]+$CS$15*Table2912[[#This Row],[CH4 '[ml/g']]]+$CR$15*Table2912[[#This Row],[CH4 '[% GP']]]+$CQ$15*Table2912[[#This Row],[CH4 '[g/g DDM']]]</f>
        <v>13.336487429705869</v>
      </c>
      <c r="AD193" s="18">
        <f>_xlfn.RANK.AVG(Table2912[[#This Row],[Index]],Table2912[Index])</f>
        <v>296</v>
      </c>
      <c r="AE19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5.8356527501656723</v>
      </c>
      <c r="AF193" s="18">
        <f>Table2912[[#This Row],[CH4 '[ml/g']]]/Table2912[[#This Row],[APB]]</f>
        <v>6.3826279958534036</v>
      </c>
      <c r="AG193" s="18">
        <f>Table2912[[#This Row],[Propionate '[%']]]/Table2912[[#This Row],[Acetate '[%']]]</f>
        <v>0.255140112725252</v>
      </c>
      <c r="AH193" s="51"/>
      <c r="AI193" s="18"/>
      <c r="AJ193" s="18"/>
      <c r="AK193" s="18">
        <f>(Table2912[[#This Row],[DMD '[mg/g']]]-$AK$15)/$AK$15*100</f>
        <v>51.968504808316617</v>
      </c>
      <c r="AL193" s="18">
        <f>(Table2912[[#This Row],[CH4 '[ml/g']]]-AL$15)/AL$15*100</f>
        <v>-5.3020346829092544</v>
      </c>
      <c r="AM193" s="18">
        <f>(Table2912[[#This Row],[CH4 '[% GP']]]-AM$15)/AM$15*100</f>
        <v>-5.5646192956843938</v>
      </c>
      <c r="AN193" s="18">
        <f>(Table2912[[#This Row],[CH4 '[g/g DDM']]]-AN$15)/AN$15*100</f>
        <v>-2.3928803402425287</v>
      </c>
      <c r="AO193" s="18"/>
      <c r="AP193" s="18"/>
      <c r="AR193">
        <f>_xlfn.NORM.DIST(Table2912[[#This Row],[GP '[ml/g']]],O$6,O$2,FALSE)</f>
        <v>7.4773088326710252E-3</v>
      </c>
      <c r="AS193">
        <f>_xlfn.NORM.DIST(Table2912[[#This Row],[SCFA '[mmol/g']]],P$6,P$2,FALSE)</f>
        <v>0.33077925136938569</v>
      </c>
      <c r="AT193">
        <f>_xlfn.NORM.DIST(Table2912[[#This Row],[Acetate '[%']]],Q$6,Q$2,FALSE)</f>
        <v>10.496694712315255</v>
      </c>
      <c r="AU193">
        <f>_xlfn.NORM.DIST(Table2912[[#This Row],[Propionate '[%']]],R$6,R$2,FALSE)</f>
        <v>16.32265115960001</v>
      </c>
      <c r="AV193">
        <f>_xlfn.NORM.DIST(Table2912[[#This Row],[Butyrate '[%']]],S$6,S$2,FALSE)</f>
        <v>23.028212780917286</v>
      </c>
      <c r="AW193">
        <f>_xlfn.NORM.DIST(Table2912[[#This Row],[Valerate '[%']]],T$6,T$2,FALSE)</f>
        <v>15.934109223893378</v>
      </c>
      <c r="AX193">
        <f>_xlfn.NORM.DIST(Table2912[[#This Row],[Caproate '[%']]],U$6,U$2,FALSE)</f>
        <v>244.82254442489148</v>
      </c>
      <c r="AY193">
        <f>_xlfn.NORM.DIST(Table2912[[#This Row],[Isobutyrate '[%']]],V$6,V$2,FALSE)</f>
        <v>38.973865583346559</v>
      </c>
      <c r="AZ193">
        <f>_xlfn.NORM.DIST(Table2912[[#This Row],[Isovalerate '[%']]],W$6,W$2,FALSE)</f>
        <v>15.02285332237034</v>
      </c>
      <c r="BA193">
        <f>_xlfn.NORM.DIST(Table2912[[#This Row],[CH4 '[g/mmol SCFA']]],X$6,X$2,FALSE)</f>
        <v>0.27975251009819474</v>
      </c>
      <c r="BB193">
        <f>_xlfn.NORM.DIST(Table2912[[#This Row],[DMD '[mg/g']]],Y$6,Y$2,FALSE)</f>
        <v>2.842561248694424E-3</v>
      </c>
      <c r="BC193">
        <f>_xlfn.NORM.DIST(Table2912[[#This Row],[CH4 '[ml/g']]],Z$6,Z$2,FALSE)</f>
        <v>3.1530178818534774E-2</v>
      </c>
      <c r="BD193">
        <f>_xlfn.NORM.DIST(Table2912[[#This Row],[CH4 '[% GP']]],AA$6,AA$2,FALSE)</f>
        <v>0.12028623603332082</v>
      </c>
      <c r="BE193">
        <f>_xlfn.NORM.DIST(Table2912[[#This Row],[CH4 '[g/g DDM']]],AB$6,AB$2,FALSE)</f>
        <v>3.1615352146266928E-2</v>
      </c>
      <c r="BG193">
        <f>IF(Table2912[[#This Row],[GP '[ml/g']]]&lt;O$10,_xlfn.NORM.DIST(Table2912[[#This Row],[GP '[ml/g']]],O$6,O$2,FALSE),-100)</f>
        <v>-100</v>
      </c>
      <c r="BH193">
        <f>IF(Table2912[[#This Row],[SCFA '[mmol/g']]]&lt;P$10,_xlfn.NORM.DIST(Table2912[[#This Row],[SCFA '[mmol/g']]],P$6,P$2,FALSE),-100)</f>
        <v>-100</v>
      </c>
      <c r="BI193">
        <f>IF(Table2912[[#This Row],[Acetate '[%']]]&lt;Q$10,_xlfn.NORM.DIST(Table2912[[#This Row],[Acetate '[%']]],Q$6,Q$2,FALSE),-100)</f>
        <v>-100</v>
      </c>
      <c r="BJ193">
        <f>IF(Table2912[[#This Row],[Propionate '[%']]]&lt;R$10,_xlfn.NORM.DIST(Table2912[[#This Row],[Propionate '[%']]],R$6,R$2,FALSE),-100)</f>
        <v>-100</v>
      </c>
      <c r="BK193">
        <f>IF(Table2912[[#This Row],[Butyrate '[%']]]&lt;S$10,_xlfn.NORM.DIST(Table2912[[#This Row],[Butyrate '[%']]],S$6,S$2,FALSE),-100)</f>
        <v>-100</v>
      </c>
      <c r="BL193">
        <f>IF(Table2912[[#This Row],[Valerate '[%']]]&lt;T$10,_xlfn.NORM.DIST(Table2912[[#This Row],[Valerate '[%']]],T$6,T$2,FALSE),-100)</f>
        <v>-100</v>
      </c>
      <c r="BM193">
        <f>IF(Table2912[[#This Row],[Caproate '[%']]]&lt;U$10,_xlfn.NORM.DIST(Table2912[[#This Row],[Caproate '[%']]],U$6,U$2,FALSE),-100)</f>
        <v>244.82254442489148</v>
      </c>
      <c r="BN193">
        <f>IF(Table2912[[#This Row],[Isobutyrate '[%']]]&lt;V$10,_xlfn.NORM.DIST(Table2912[[#This Row],[Isobutyrate '[%']]],V$6,V$2,FALSE),-100)</f>
        <v>-100</v>
      </c>
      <c r="BO193">
        <f>IF(Table2912[[#This Row],[Isovalerate '[%']]]&lt;W$10,_xlfn.NORM.DIST(Table2912[[#This Row],[Isovalerate '[%']]],W$6,W$2,FALSE),-100)</f>
        <v>-100</v>
      </c>
      <c r="BP193">
        <f>IF(Table2912[[#This Row],[CH4 '[g/mmol SCFA']]]&lt;X$10,_xlfn.NORM.DIST(Table2912[[#This Row],[CH4 '[g/mmol SCFA']]],X$6,X$2,FALSE),-100)</f>
        <v>-100</v>
      </c>
      <c r="BQ193">
        <f>IF(Table2912[[#This Row],[DMD '[mg/g']]]&gt;Y$10,_xlfn.NORM.DIST(Table2912[[#This Row],[DMD '[mg/g']]],Y$6,Y$2,FALSE),-100)</f>
        <v>-100</v>
      </c>
      <c r="BR193">
        <f>IF(Table2912[[#This Row],[CH4 '[ml/g']]]&lt;Z$10,_xlfn.NORM.DIST(Table2912[[#This Row],[CH4 '[ml/g']]],Z$6,Z$2,FALSE),-100)</f>
        <v>-100</v>
      </c>
      <c r="BS193">
        <f>IF(Table2912[[#This Row],[CH4 '[% GP']]]&lt;AA$10,_xlfn.NORM.DIST(Table2912[[#This Row],[CH4 '[% GP']]],AA$6,AA$2,FALSE),-100)</f>
        <v>-100</v>
      </c>
      <c r="BT193">
        <f>IF(Table2912[[#This Row],[CH4 '[g/g DDM']]]&lt;AB$10,_xlfn.NORM.DIST(Table2912[[#This Row],[CH4 '[g/g DDM']]],AB$6,AB$2,FALSE),-100)</f>
        <v>-100</v>
      </c>
    </row>
    <row r="194" spans="1:72" x14ac:dyDescent="0.25">
      <c r="A194" s="12" t="s">
        <v>200</v>
      </c>
      <c r="B194" s="13">
        <v>1143</v>
      </c>
      <c r="C194" s="117" t="s">
        <v>270</v>
      </c>
      <c r="D194" s="117" t="s">
        <v>233</v>
      </c>
      <c r="E194" s="117" t="s">
        <v>234</v>
      </c>
      <c r="F194" s="117" t="s">
        <v>235</v>
      </c>
      <c r="G194" t="s">
        <v>73</v>
      </c>
      <c r="H194" t="s">
        <v>74</v>
      </c>
      <c r="I194" t="s">
        <v>75</v>
      </c>
      <c r="J194" s="70">
        <v>2</v>
      </c>
      <c r="K194" s="70"/>
      <c r="L194" s="70"/>
      <c r="M194" t="s">
        <v>271</v>
      </c>
      <c r="N194" t="s">
        <v>237</v>
      </c>
      <c r="O194" s="18">
        <v>276.07537953795349</v>
      </c>
      <c r="P194" s="18">
        <v>8.1072650572143807</v>
      </c>
      <c r="Q194" s="97">
        <v>0.69117913216691096</v>
      </c>
      <c r="R194" s="97">
        <v>0.16016732572227191</v>
      </c>
      <c r="S194" s="97">
        <v>9.2973332090474051E-2</v>
      </c>
      <c r="T194" s="97">
        <v>1.4213248375484971E-2</v>
      </c>
      <c r="U194" s="97">
        <v>1.204803310920809E-3</v>
      </c>
      <c r="V194" s="97">
        <v>1.3972092471780231E-2</v>
      </c>
      <c r="W194" s="97">
        <v>2.6290065862157229E-2</v>
      </c>
      <c r="X194" s="51">
        <f t="shared" si="11"/>
        <v>5.9392219269737341</v>
      </c>
      <c r="Y194" s="18">
        <v>745.86527550392861</v>
      </c>
      <c r="Z194" s="18">
        <v>48.150846395595615</v>
      </c>
      <c r="AA194" s="18">
        <f t="shared" si="12"/>
        <v>17.44119539967021</v>
      </c>
      <c r="AB194" s="18">
        <f t="shared" si="13"/>
        <v>64.557029234352655</v>
      </c>
      <c r="AC194" s="18">
        <f>$CP$15*Table2912[[#This Row],[DMD '[mg/g']]]+$CS$15*Table2912[[#This Row],[CH4 '[ml/g']]]+$CR$15*Table2912[[#This Row],[CH4 '[% GP']]]+$CQ$15*Table2912[[#This Row],[CH4 '[g/g DDM']]]</f>
        <v>6.1156095258284751</v>
      </c>
      <c r="AD194" s="18">
        <f>_xlfn.RANK.AVG(Table2912[[#This Row],[Index]],Table2912[Index])</f>
        <v>396</v>
      </c>
      <c r="AE19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7.6558508361380948</v>
      </c>
      <c r="AF194" s="18">
        <f>Table2912[[#This Row],[CH4 '[ml/g']]]/Table2912[[#This Row],[APB]]</f>
        <v>6.2894180446029626</v>
      </c>
      <c r="AG194" s="18">
        <f>Table2912[[#This Row],[Propionate '[%']]]/Table2912[[#This Row],[Acetate '[%']]]</f>
        <v>0.2317305576343609</v>
      </c>
      <c r="AH194" s="51"/>
      <c r="AI194" s="18"/>
      <c r="AJ194" s="18"/>
      <c r="AK194" s="18">
        <f>(Table2912[[#This Row],[DMD '[mg/g']]]-$AK$15)/$AK$15*100</f>
        <v>52.127641568209647</v>
      </c>
      <c r="AL194" s="18">
        <f>(Table2912[[#This Row],[CH4 '[ml/g']]]-AL$15)/AL$15*100</f>
        <v>22.420908813372545</v>
      </c>
      <c r="AM194" s="18">
        <f>(Table2912[[#This Row],[CH4 '[% GP']]]-AM$15)/AM$15*100</f>
        <v>12.361795378981389</v>
      </c>
      <c r="AN194" s="18">
        <f>(Table2912[[#This Row],[CH4 '[g/g DDM']]]-AN$15)/AN$15*100</f>
        <v>26.049726187155365</v>
      </c>
      <c r="AO194" s="18"/>
      <c r="AP194" s="18"/>
      <c r="AR194">
        <f>_xlfn.NORM.DIST(Table2912[[#This Row],[GP '[ml/g']]],O$6,O$2,FALSE)</f>
        <v>6.9429745423487234E-3</v>
      </c>
      <c r="AS194">
        <f>_xlfn.NORM.DIST(Table2912[[#This Row],[SCFA '[mmol/g']]],P$6,P$2,FALSE)</f>
        <v>0.14120742371554945</v>
      </c>
      <c r="AT194">
        <f>_xlfn.NORM.DIST(Table2912[[#This Row],[Acetate '[%']]],Q$6,Q$2,FALSE)</f>
        <v>11.467286564165352</v>
      </c>
      <c r="AU194">
        <f>_xlfn.NORM.DIST(Table2912[[#This Row],[Propionate '[%']]],R$6,R$2,FALSE)</f>
        <v>14.873711999985215</v>
      </c>
      <c r="AV194">
        <f>_xlfn.NORM.DIST(Table2912[[#This Row],[Butyrate '[%']]],S$6,S$2,FALSE)</f>
        <v>23.029949654211364</v>
      </c>
      <c r="AW194">
        <f>_xlfn.NORM.DIST(Table2912[[#This Row],[Valerate '[%']]],T$6,T$2,FALSE)</f>
        <v>61.897936624382773</v>
      </c>
      <c r="AX194">
        <f>_xlfn.NORM.DIST(Table2912[[#This Row],[Caproate '[%']]],U$6,U$2,FALSE)</f>
        <v>403.44710278119851</v>
      </c>
      <c r="AY194">
        <f>_xlfn.NORM.DIST(Table2912[[#This Row],[Isobutyrate '[%']]],V$6,V$2,FALSE)</f>
        <v>86.084869745517437</v>
      </c>
      <c r="AZ194">
        <f>_xlfn.NORM.DIST(Table2912[[#This Row],[Isovalerate '[%']]],W$6,W$2,FALSE)</f>
        <v>44.677369778411617</v>
      </c>
      <c r="BA194">
        <f>_xlfn.NORM.DIST(Table2912[[#This Row],[CH4 '[g/mmol SCFA']]],X$6,X$2,FALSE)</f>
        <v>0.28781318809942419</v>
      </c>
      <c r="BB194">
        <f>_xlfn.NORM.DIST(Table2912[[#This Row],[DMD '[mg/g']]],Y$6,Y$2,FALSE)</f>
        <v>2.8461802443084808E-3</v>
      </c>
      <c r="BC194">
        <f>_xlfn.NORM.DIST(Table2912[[#This Row],[CH4 '[ml/g']]],Z$6,Z$2,FALSE)</f>
        <v>2.852836068369026E-2</v>
      </c>
      <c r="BD194">
        <f>_xlfn.NORM.DIST(Table2912[[#This Row],[CH4 '[% GP']]],AA$6,AA$2,FALSE)</f>
        <v>0.12098969787273013</v>
      </c>
      <c r="BE194">
        <f>_xlfn.NORM.DIST(Table2912[[#This Row],[CH4 '[g/g DDM']]],AB$6,AB$2,FALSE)</f>
        <v>2.1466266900071952E-2</v>
      </c>
      <c r="BG194">
        <f>IF(Table2912[[#This Row],[GP '[ml/g']]]&lt;O$10,_xlfn.NORM.DIST(Table2912[[#This Row],[GP '[ml/g']]],O$6,O$2,FALSE),-100)</f>
        <v>-100</v>
      </c>
      <c r="BH194">
        <f>IF(Table2912[[#This Row],[SCFA '[mmol/g']]]&lt;P$10,_xlfn.NORM.DIST(Table2912[[#This Row],[SCFA '[mmol/g']]],P$6,P$2,FALSE),-100)</f>
        <v>-100</v>
      </c>
      <c r="BI194">
        <f>IF(Table2912[[#This Row],[Acetate '[%']]]&lt;Q$10,_xlfn.NORM.DIST(Table2912[[#This Row],[Acetate '[%']]],Q$6,Q$2,FALSE),-100)</f>
        <v>-100</v>
      </c>
      <c r="BJ194">
        <f>IF(Table2912[[#This Row],[Propionate '[%']]]&lt;R$10,_xlfn.NORM.DIST(Table2912[[#This Row],[Propionate '[%']]],R$6,R$2,FALSE),-100)</f>
        <v>-100</v>
      </c>
      <c r="BK194">
        <f>IF(Table2912[[#This Row],[Butyrate '[%']]]&lt;S$10,_xlfn.NORM.DIST(Table2912[[#This Row],[Butyrate '[%']]],S$6,S$2,FALSE),-100)</f>
        <v>-100</v>
      </c>
      <c r="BL194">
        <f>IF(Table2912[[#This Row],[Valerate '[%']]]&lt;T$10,_xlfn.NORM.DIST(Table2912[[#This Row],[Valerate '[%']]],T$6,T$2,FALSE),-100)</f>
        <v>-100</v>
      </c>
      <c r="BM194">
        <f>IF(Table2912[[#This Row],[Caproate '[%']]]&lt;U$10,_xlfn.NORM.DIST(Table2912[[#This Row],[Caproate '[%']]],U$6,U$2,FALSE),-100)</f>
        <v>-100</v>
      </c>
      <c r="BN194">
        <f>IF(Table2912[[#This Row],[Isobutyrate '[%']]]&lt;V$10,_xlfn.NORM.DIST(Table2912[[#This Row],[Isobutyrate '[%']]],V$6,V$2,FALSE),-100)</f>
        <v>-100</v>
      </c>
      <c r="BO194">
        <f>IF(Table2912[[#This Row],[Isovalerate '[%']]]&lt;W$10,_xlfn.NORM.DIST(Table2912[[#This Row],[Isovalerate '[%']]],W$6,W$2,FALSE),-100)</f>
        <v>-100</v>
      </c>
      <c r="BP194">
        <f>IF(Table2912[[#This Row],[CH4 '[g/mmol SCFA']]]&lt;X$10,_xlfn.NORM.DIST(Table2912[[#This Row],[CH4 '[g/mmol SCFA']]],X$6,X$2,FALSE),-100)</f>
        <v>-100</v>
      </c>
      <c r="BQ194">
        <f>IF(Table2912[[#This Row],[DMD '[mg/g']]]&gt;Y$10,_xlfn.NORM.DIST(Table2912[[#This Row],[DMD '[mg/g']]],Y$6,Y$2,FALSE),-100)</f>
        <v>-100</v>
      </c>
      <c r="BR194">
        <f>IF(Table2912[[#This Row],[CH4 '[ml/g']]]&lt;Z$10,_xlfn.NORM.DIST(Table2912[[#This Row],[CH4 '[ml/g']]],Z$6,Z$2,FALSE),-100)</f>
        <v>-100</v>
      </c>
      <c r="BS194">
        <f>IF(Table2912[[#This Row],[CH4 '[% GP']]]&lt;AA$10,_xlfn.NORM.DIST(Table2912[[#This Row],[CH4 '[% GP']]],AA$6,AA$2,FALSE),-100)</f>
        <v>-100</v>
      </c>
      <c r="BT194">
        <f>IF(Table2912[[#This Row],[CH4 '[g/g DDM']]]&lt;AB$10,_xlfn.NORM.DIST(Table2912[[#This Row],[CH4 '[g/g DDM']]],AB$6,AB$2,FALSE),-100)</f>
        <v>-100</v>
      </c>
    </row>
    <row r="195" spans="1:72" x14ac:dyDescent="0.25">
      <c r="A195" s="12" t="s">
        <v>70</v>
      </c>
      <c r="B195" s="13">
        <v>1037</v>
      </c>
      <c r="C195" s="96" t="s">
        <v>272</v>
      </c>
      <c r="D195" s="96"/>
      <c r="E195" s="96"/>
      <c r="F195" s="96" t="s">
        <v>273</v>
      </c>
      <c r="G195" s="15" t="s">
        <v>73</v>
      </c>
      <c r="H195" s="15" t="s">
        <v>74</v>
      </c>
      <c r="I195" s="99" t="s">
        <v>274</v>
      </c>
      <c r="J195" s="107">
        <v>2</v>
      </c>
      <c r="K195" s="107"/>
      <c r="L195" s="107"/>
      <c r="M195" t="s">
        <v>273</v>
      </c>
      <c r="N195" t="s">
        <v>85</v>
      </c>
      <c r="O195" s="18">
        <v>245.69489909070623</v>
      </c>
      <c r="P195" s="18">
        <v>6.6370460137925207</v>
      </c>
      <c r="Q195" s="97">
        <v>0.66466186017084183</v>
      </c>
      <c r="R195" s="97">
        <v>0.19250513601413846</v>
      </c>
      <c r="S195" s="97">
        <v>8.6459698127618417E-2</v>
      </c>
      <c r="T195" s="97">
        <v>1.5805863647799314E-2</v>
      </c>
      <c r="U195" s="97">
        <v>1.4761230792138087E-3</v>
      </c>
      <c r="V195" s="97">
        <v>1.3811558392588828E-2</v>
      </c>
      <c r="W195" s="97">
        <v>2.5279760567799382E-2</v>
      </c>
      <c r="X195" s="51">
        <f t="shared" si="11"/>
        <v>4.5772635625800344</v>
      </c>
      <c r="Y195" s="18">
        <v>746.45748186167339</v>
      </c>
      <c r="Z195" s="18">
        <v>30.379508882099572</v>
      </c>
      <c r="AA195" s="18">
        <f t="shared" si="12"/>
        <v>12.364729180187005</v>
      </c>
      <c r="AB195" s="18">
        <f t="shared" si="13"/>
        <v>40.698244200503872</v>
      </c>
      <c r="AC195" s="18">
        <f>$CP$15*Table2912[[#This Row],[DMD '[mg/g']]]+$CS$15*Table2912[[#This Row],[CH4 '[ml/g']]]+$CR$15*Table2912[[#This Row],[CH4 '[% GP']]]+$CQ$15*Table2912[[#This Row],[CH4 '[g/g DDM']]]</f>
        <v>18.250401714103916</v>
      </c>
      <c r="AD195" s="18">
        <f>_xlfn.RANK.AVG(Table2912[[#This Row],[Index]],Table2912[Index])</f>
        <v>198</v>
      </c>
      <c r="AE19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6.2628937899956467</v>
      </c>
      <c r="AF195" s="18">
        <f>Table2912[[#This Row],[CH4 '[ml/g']]]/Table2912[[#This Row],[APB]]</f>
        <v>4.8507143663569439</v>
      </c>
      <c r="AG195" s="18">
        <f>Table2912[[#This Row],[Propionate '[%']]]/Table2912[[#This Row],[Acetate '[%']]]</f>
        <v>0.28962867820436961</v>
      </c>
      <c r="AH195" s="51"/>
      <c r="AI195" s="18"/>
      <c r="AJ195" s="18"/>
      <c r="AK195" s="18">
        <f>(Table2912[[#This Row],[DMD '[mg/g']]]-$AK$15)/$AK$15*100</f>
        <v>52.248428739142824</v>
      </c>
      <c r="AL195" s="18">
        <f>(Table2912[[#This Row],[CH4 '[ml/g']]]-AL$15)/AL$15*100</f>
        <v>-22.761750518455269</v>
      </c>
      <c r="AM195" s="18">
        <f>(Table2912[[#This Row],[CH4 '[% GP']]]-AM$15)/AM$15*100</f>
        <v>-20.342434206834074</v>
      </c>
      <c r="AN195" s="18">
        <f>(Table2912[[#This Row],[CH4 '[g/g DDM']]]-AN$15)/AN$15*100</f>
        <v>-20.535337536231072</v>
      </c>
      <c r="AO195" s="18"/>
      <c r="AP195" s="18"/>
      <c r="AR195">
        <f>_xlfn.NORM.DIST(Table2912[[#This Row],[GP '[ml/g']]],O$6,O$2,FALSE)</f>
        <v>7.3547897735586256E-3</v>
      </c>
      <c r="AS195">
        <f>_xlfn.NORM.DIST(Table2912[[#This Row],[SCFA '[mmol/g']]],P$6,P$2,FALSE)</f>
        <v>0.33159811573343762</v>
      </c>
      <c r="AT195">
        <f>_xlfn.NORM.DIST(Table2912[[#This Row],[Acetate '[%']]],Q$6,Q$2,FALSE)</f>
        <v>13.419443524155096</v>
      </c>
      <c r="AU195">
        <f>_xlfn.NORM.DIST(Table2912[[#This Row],[Propionate '[%']]],R$6,R$2,FALSE)</f>
        <v>11.514408982287257</v>
      </c>
      <c r="AV195">
        <f>_xlfn.NORM.DIST(Table2912[[#This Row],[Butyrate '[%']]],S$6,S$2,FALSE)</f>
        <v>21.48207965725388</v>
      </c>
      <c r="AW195">
        <f>_xlfn.NORM.DIST(Table2912[[#This Row],[Valerate '[%']]],T$6,T$2,FALSE)</f>
        <v>72.551617114862182</v>
      </c>
      <c r="AX195">
        <f>_xlfn.NORM.DIST(Table2912[[#This Row],[Caproate '[%']]],U$6,U$2,FALSE)</f>
        <v>402.60511161563915</v>
      </c>
      <c r="AY195">
        <f>_xlfn.NORM.DIST(Table2912[[#This Row],[Isobutyrate '[%']]],V$6,V$2,FALSE)</f>
        <v>85.084375304911006</v>
      </c>
      <c r="AZ195">
        <f>_xlfn.NORM.DIST(Table2912[[#This Row],[Isovalerate '[%']]],W$6,W$2,FALSE)</f>
        <v>43.459123884384354</v>
      </c>
      <c r="BA195">
        <f>_xlfn.NORM.DIST(Table2912[[#This Row],[CH4 '[g/mmol SCFA']]],X$6,X$2,FALSE)</f>
        <v>0.13253634024517866</v>
      </c>
      <c r="BB195">
        <f>_xlfn.NORM.DIST(Table2912[[#This Row],[DMD '[mg/g']]],Y$6,Y$2,FALSE)</f>
        <v>2.8488683350617861E-3</v>
      </c>
      <c r="BC195">
        <f>_xlfn.NORM.DIST(Table2912[[#This Row],[CH4 '[ml/g']]],Z$6,Z$2,FALSE)</f>
        <v>2.1835233844084697E-2</v>
      </c>
      <c r="BD195">
        <f>_xlfn.NORM.DIST(Table2912[[#This Row],[CH4 '[% GP']]],AA$6,AA$2,FALSE)</f>
        <v>6.1629218988002034E-2</v>
      </c>
      <c r="BE195">
        <f>_xlfn.NORM.DIST(Table2912[[#This Row],[CH4 '[g/g DDM']]],AB$6,AB$2,FALSE)</f>
        <v>1.9085611833415853E-2</v>
      </c>
      <c r="BG195">
        <f>IF(Table2912[[#This Row],[GP '[ml/g']]]&lt;O$10,_xlfn.NORM.DIST(Table2912[[#This Row],[GP '[ml/g']]],O$6,O$2,FALSE),-100)</f>
        <v>-100</v>
      </c>
      <c r="BH195">
        <f>IF(Table2912[[#This Row],[SCFA '[mmol/g']]]&lt;P$10,_xlfn.NORM.DIST(Table2912[[#This Row],[SCFA '[mmol/g']]],P$6,P$2,FALSE),-100)</f>
        <v>-100</v>
      </c>
      <c r="BI195">
        <f>IF(Table2912[[#This Row],[Acetate '[%']]]&lt;Q$10,_xlfn.NORM.DIST(Table2912[[#This Row],[Acetate '[%']]],Q$6,Q$2,FALSE),-100)</f>
        <v>-100</v>
      </c>
      <c r="BJ195">
        <f>IF(Table2912[[#This Row],[Propionate '[%']]]&lt;R$10,_xlfn.NORM.DIST(Table2912[[#This Row],[Propionate '[%']]],R$6,R$2,FALSE),-100)</f>
        <v>-100</v>
      </c>
      <c r="BK195">
        <f>IF(Table2912[[#This Row],[Butyrate '[%']]]&lt;S$10,_xlfn.NORM.DIST(Table2912[[#This Row],[Butyrate '[%']]],S$6,S$2,FALSE),-100)</f>
        <v>-100</v>
      </c>
      <c r="BL195">
        <f>IF(Table2912[[#This Row],[Valerate '[%']]]&lt;T$10,_xlfn.NORM.DIST(Table2912[[#This Row],[Valerate '[%']]],T$6,T$2,FALSE),-100)</f>
        <v>-100</v>
      </c>
      <c r="BM195">
        <f>IF(Table2912[[#This Row],[Caproate '[%']]]&lt;U$10,_xlfn.NORM.DIST(Table2912[[#This Row],[Caproate '[%']]],U$6,U$2,FALSE),-100)</f>
        <v>-100</v>
      </c>
      <c r="BN195">
        <f>IF(Table2912[[#This Row],[Isobutyrate '[%']]]&lt;V$10,_xlfn.NORM.DIST(Table2912[[#This Row],[Isobutyrate '[%']]],V$6,V$2,FALSE),-100)</f>
        <v>-100</v>
      </c>
      <c r="BO195">
        <f>IF(Table2912[[#This Row],[Isovalerate '[%']]]&lt;W$10,_xlfn.NORM.DIST(Table2912[[#This Row],[Isovalerate '[%']]],W$6,W$2,FALSE),-100)</f>
        <v>-100</v>
      </c>
      <c r="BP195">
        <f>IF(Table2912[[#This Row],[CH4 '[g/mmol SCFA']]]&lt;X$10,_xlfn.NORM.DIST(Table2912[[#This Row],[CH4 '[g/mmol SCFA']]],X$6,X$2,FALSE),-100)</f>
        <v>0.13253634024517866</v>
      </c>
      <c r="BQ195">
        <f>IF(Table2912[[#This Row],[DMD '[mg/g']]]&gt;Y$10,_xlfn.NORM.DIST(Table2912[[#This Row],[DMD '[mg/g']]],Y$6,Y$2,FALSE),-100)</f>
        <v>-100</v>
      </c>
      <c r="BR195">
        <f>IF(Table2912[[#This Row],[CH4 '[ml/g']]]&lt;Z$10,_xlfn.NORM.DIST(Table2912[[#This Row],[CH4 '[ml/g']]],Z$6,Z$2,FALSE),-100)</f>
        <v>-100</v>
      </c>
      <c r="BS195">
        <f>IF(Table2912[[#This Row],[CH4 '[% GP']]]&lt;AA$10,_xlfn.NORM.DIST(Table2912[[#This Row],[CH4 '[% GP']]],AA$6,AA$2,FALSE),-100)</f>
        <v>-100</v>
      </c>
      <c r="BT195">
        <f>IF(Table2912[[#This Row],[CH4 '[g/g DDM']]]&lt;AB$10,_xlfn.NORM.DIST(Table2912[[#This Row],[CH4 '[g/g DDM']]],AB$6,AB$2,FALSE),-100)</f>
        <v>-100</v>
      </c>
    </row>
    <row r="196" spans="1:72" x14ac:dyDescent="0.25">
      <c r="A196" s="12" t="s">
        <v>70</v>
      </c>
      <c r="B196" s="13">
        <v>999</v>
      </c>
      <c r="C196" s="96" t="s">
        <v>240</v>
      </c>
      <c r="D196" s="96"/>
      <c r="E196" s="96"/>
      <c r="F196" s="96" t="s">
        <v>241</v>
      </c>
      <c r="G196" t="s">
        <v>73</v>
      </c>
      <c r="H196" t="s">
        <v>74</v>
      </c>
      <c r="I196" t="s">
        <v>75</v>
      </c>
      <c r="J196" s="70">
        <v>3</v>
      </c>
      <c r="K196" s="70"/>
      <c r="L196" s="70"/>
      <c r="M196" t="s">
        <v>241</v>
      </c>
      <c r="N196" t="s">
        <v>85</v>
      </c>
      <c r="O196" s="18">
        <v>267.92599955820651</v>
      </c>
      <c r="P196" s="18">
        <v>6.7458699945541269</v>
      </c>
      <c r="Q196" s="97">
        <v>0.67599243610641624</v>
      </c>
      <c r="R196" s="97">
        <v>0.14601664017022412</v>
      </c>
      <c r="S196" s="97">
        <v>0.1221753808962848</v>
      </c>
      <c r="T196" s="97">
        <v>1.3899063115839425E-2</v>
      </c>
      <c r="U196" s="97">
        <v>1.3826896132959048E-3</v>
      </c>
      <c r="V196" s="97">
        <v>1.3831824923217675E-2</v>
      </c>
      <c r="W196" s="97">
        <v>2.6701965174721877E-2</v>
      </c>
      <c r="X196" s="51">
        <f t="shared" si="11"/>
        <v>5.9892664213575673</v>
      </c>
      <c r="Y196" s="18">
        <v>747.26317562173733</v>
      </c>
      <c r="Z196" s="18">
        <v>40.402812641226589</v>
      </c>
      <c r="AA196" s="18">
        <f t="shared" si="12"/>
        <v>15.07984022000416</v>
      </c>
      <c r="AB196" s="18">
        <f t="shared" si="13"/>
        <v>54.067715310085596</v>
      </c>
      <c r="AC196" s="18">
        <f>$CP$15*Table2912[[#This Row],[DMD '[mg/g']]]+$CS$15*Table2912[[#This Row],[CH4 '[ml/g']]]+$CR$15*Table2912[[#This Row],[CH4 '[% GP']]]+$CQ$15*Table2912[[#This Row],[CH4 '[g/g DDM']]]</f>
        <v>11.588732824034544</v>
      </c>
      <c r="AD196" s="18">
        <f>_xlfn.RANK.AVG(Table2912[[#This Row],[Index]],Table2912[Index])</f>
        <v>329</v>
      </c>
      <c r="AE19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6.3693455989672119</v>
      </c>
      <c r="AF196" s="18">
        <f>Table2912[[#This Row],[CH4 '[ml/g']]]/Table2912[[#This Row],[APB]]</f>
        <v>6.3433224047032235</v>
      </c>
      <c r="AG196" s="18">
        <f>Table2912[[#This Row],[Propionate '[%']]]/Table2912[[#This Row],[Acetate '[%']]]</f>
        <v>0.21600336390041774</v>
      </c>
      <c r="AH196" s="51"/>
      <c r="AI196" s="18"/>
      <c r="AJ196" s="18"/>
      <c r="AK196" s="18">
        <f>(Table2912[[#This Row],[DMD '[mg/g']]]-$AK$15)/$AK$15*100</f>
        <v>52.412759075424987</v>
      </c>
      <c r="AL196" s="18">
        <f>(Table2912[[#This Row],[CH4 '[ml/g']]]-AL$15)/AL$15*100</f>
        <v>2.7219542833997381</v>
      </c>
      <c r="AM196" s="18">
        <f>(Table2912[[#This Row],[CH4 '[% GP']]]-AM$15)/AM$15*100</f>
        <v>-2.8508148483973814</v>
      </c>
      <c r="AN196" s="18">
        <f>(Table2912[[#This Row],[CH4 '[g/g DDM']]]-AN$15)/AN$15*100</f>
        <v>5.5689952160125431</v>
      </c>
      <c r="AO196" s="18"/>
      <c r="AP196" s="18"/>
      <c r="AR196">
        <f>_xlfn.NORM.DIST(Table2912[[#This Row],[GP '[ml/g']]],O$6,O$2,FALSE)</f>
        <v>7.2792698246157755E-3</v>
      </c>
      <c r="AS196">
        <f>_xlfn.NORM.DIST(Table2912[[#This Row],[SCFA '[mmol/g']]],P$6,P$2,FALSE)</f>
        <v>0.32775501058554174</v>
      </c>
      <c r="AT196">
        <f>_xlfn.NORM.DIST(Table2912[[#This Row],[Acetate '[%']]],Q$6,Q$2,FALSE)</f>
        <v>13.955789049777714</v>
      </c>
      <c r="AU196">
        <f>_xlfn.NORM.DIST(Table2912[[#This Row],[Propionate '[%']]],R$6,R$2,FALSE)</f>
        <v>9.2899807461189141</v>
      </c>
      <c r="AV196">
        <f>_xlfn.NORM.DIST(Table2912[[#This Row],[Butyrate '[%']]],S$6,S$2,FALSE)</f>
        <v>5.5337917733662696</v>
      </c>
      <c r="AW196">
        <f>_xlfn.NORM.DIST(Table2912[[#This Row],[Valerate '[%']]],T$6,T$2,FALSE)</f>
        <v>59.316252057740186</v>
      </c>
      <c r="AX196">
        <f>_xlfn.NORM.DIST(Table2912[[#This Row],[Caproate '[%']]],U$6,U$2,FALSE)</f>
        <v>406.39328034045155</v>
      </c>
      <c r="AY196">
        <f>_xlfn.NORM.DIST(Table2912[[#This Row],[Isobutyrate '[%']]],V$6,V$2,FALSE)</f>
        <v>85.216223935737403</v>
      </c>
      <c r="AZ196">
        <f>_xlfn.NORM.DIST(Table2912[[#This Row],[Isovalerate '[%']]],W$6,W$2,FALSE)</f>
        <v>45.012496969630831</v>
      </c>
      <c r="BA196">
        <f>_xlfn.NORM.DIST(Table2912[[#This Row],[CH4 '[g/mmol SCFA']]],X$6,X$2,FALSE)</f>
        <v>0.29037398823844335</v>
      </c>
      <c r="BB196">
        <f>_xlfn.NORM.DIST(Table2912[[#This Row],[DMD '[mg/g']]],Y$6,Y$2,FALSE)</f>
        <v>2.8524437215177848E-3</v>
      </c>
      <c r="BC196">
        <f>_xlfn.NORM.DIST(Table2912[[#This Row],[CH4 '[ml/g']]],Z$6,Z$2,FALSE)</f>
        <v>3.3389170326428269E-2</v>
      </c>
      <c r="BD196">
        <f>_xlfn.NORM.DIST(Table2912[[#This Row],[CH4 '[% GP']]],AA$6,AA$2,FALSE)</f>
        <v>0.12741775250654871</v>
      </c>
      <c r="BE196">
        <f>_xlfn.NORM.DIST(Table2912[[#This Row],[CH4 '[g/g DDM']]],AB$6,AB$2,FALSE)</f>
        <v>3.2795469067661884E-2</v>
      </c>
      <c r="BG196">
        <f>IF(Table2912[[#This Row],[GP '[ml/g']]]&lt;O$10,_xlfn.NORM.DIST(Table2912[[#This Row],[GP '[ml/g']]],O$6,O$2,FALSE),-100)</f>
        <v>-100</v>
      </c>
      <c r="BH196">
        <f>IF(Table2912[[#This Row],[SCFA '[mmol/g']]]&lt;P$10,_xlfn.NORM.DIST(Table2912[[#This Row],[SCFA '[mmol/g']]],P$6,P$2,FALSE),-100)</f>
        <v>-100</v>
      </c>
      <c r="BI196">
        <f>IF(Table2912[[#This Row],[Acetate '[%']]]&lt;Q$10,_xlfn.NORM.DIST(Table2912[[#This Row],[Acetate '[%']]],Q$6,Q$2,FALSE),-100)</f>
        <v>-100</v>
      </c>
      <c r="BJ196">
        <f>IF(Table2912[[#This Row],[Propionate '[%']]]&lt;R$10,_xlfn.NORM.DIST(Table2912[[#This Row],[Propionate '[%']]],R$6,R$2,FALSE),-100)</f>
        <v>9.2899807461189141</v>
      </c>
      <c r="BK196">
        <f>IF(Table2912[[#This Row],[Butyrate '[%']]]&lt;S$10,_xlfn.NORM.DIST(Table2912[[#This Row],[Butyrate '[%']]],S$6,S$2,FALSE),-100)</f>
        <v>-100</v>
      </c>
      <c r="BL196">
        <f>IF(Table2912[[#This Row],[Valerate '[%']]]&lt;T$10,_xlfn.NORM.DIST(Table2912[[#This Row],[Valerate '[%']]],T$6,T$2,FALSE),-100)</f>
        <v>-100</v>
      </c>
      <c r="BM196">
        <f>IF(Table2912[[#This Row],[Caproate '[%']]]&lt;U$10,_xlfn.NORM.DIST(Table2912[[#This Row],[Caproate '[%']]],U$6,U$2,FALSE),-100)</f>
        <v>-100</v>
      </c>
      <c r="BN196">
        <f>IF(Table2912[[#This Row],[Isobutyrate '[%']]]&lt;V$10,_xlfn.NORM.DIST(Table2912[[#This Row],[Isobutyrate '[%']]],V$6,V$2,FALSE),-100)</f>
        <v>-100</v>
      </c>
      <c r="BO196">
        <f>IF(Table2912[[#This Row],[Isovalerate '[%']]]&lt;W$10,_xlfn.NORM.DIST(Table2912[[#This Row],[Isovalerate '[%']]],W$6,W$2,FALSE),-100)</f>
        <v>-100</v>
      </c>
      <c r="BP196">
        <f>IF(Table2912[[#This Row],[CH4 '[g/mmol SCFA']]]&lt;X$10,_xlfn.NORM.DIST(Table2912[[#This Row],[CH4 '[g/mmol SCFA']]],X$6,X$2,FALSE),-100)</f>
        <v>-100</v>
      </c>
      <c r="BQ196">
        <f>IF(Table2912[[#This Row],[DMD '[mg/g']]]&gt;Y$10,_xlfn.NORM.DIST(Table2912[[#This Row],[DMD '[mg/g']]],Y$6,Y$2,FALSE),-100)</f>
        <v>-100</v>
      </c>
      <c r="BR196">
        <f>IF(Table2912[[#This Row],[CH4 '[ml/g']]]&lt;Z$10,_xlfn.NORM.DIST(Table2912[[#This Row],[CH4 '[ml/g']]],Z$6,Z$2,FALSE),-100)</f>
        <v>-100</v>
      </c>
      <c r="BS196">
        <f>IF(Table2912[[#This Row],[CH4 '[% GP']]]&lt;AA$10,_xlfn.NORM.DIST(Table2912[[#This Row],[CH4 '[% GP']]],AA$6,AA$2,FALSE),-100)</f>
        <v>-100</v>
      </c>
      <c r="BT196">
        <f>IF(Table2912[[#This Row],[CH4 '[g/g DDM']]]&lt;AB$10,_xlfn.NORM.DIST(Table2912[[#This Row],[CH4 '[g/g DDM']]],AB$6,AB$2,FALSE),-100)</f>
        <v>-100</v>
      </c>
    </row>
    <row r="197" spans="1:72" x14ac:dyDescent="0.25">
      <c r="A197" s="12" t="s">
        <v>86</v>
      </c>
      <c r="B197" s="13">
        <v>1065</v>
      </c>
      <c r="C197" s="104" t="s">
        <v>275</v>
      </c>
      <c r="D197" s="104" t="s">
        <v>276</v>
      </c>
      <c r="E197" s="104" t="s">
        <v>277</v>
      </c>
      <c r="F197" s="104" t="s">
        <v>278</v>
      </c>
      <c r="G197" s="32" t="s">
        <v>73</v>
      </c>
      <c r="H197" s="32" t="s">
        <v>74</v>
      </c>
      <c r="I197" s="104" t="s">
        <v>106</v>
      </c>
      <c r="J197" s="70">
        <v>3</v>
      </c>
      <c r="K197" s="70"/>
      <c r="L197" s="70"/>
      <c r="M197" t="s">
        <v>278</v>
      </c>
      <c r="N197" t="s">
        <v>98</v>
      </c>
      <c r="O197" s="18">
        <v>257.18044532627829</v>
      </c>
      <c r="P197" s="18">
        <v>7.1826263067258465</v>
      </c>
      <c r="Q197" s="97">
        <v>0.66357460314813954</v>
      </c>
      <c r="R197" s="97">
        <v>0.17616794382931453</v>
      </c>
      <c r="S197" s="97">
        <v>7.6772513249021374E-2</v>
      </c>
      <c r="T197" s="97">
        <v>2.3939450170925816E-2</v>
      </c>
      <c r="U197" s="97">
        <v>1.0061928938703898E-3</v>
      </c>
      <c r="V197" s="97">
        <v>2.1223168458024116E-2</v>
      </c>
      <c r="W197" s="97">
        <v>3.7316128250704225E-2</v>
      </c>
      <c r="X197" s="51">
        <f t="shared" si="11"/>
        <v>7.4323728487904708</v>
      </c>
      <c r="Y197" s="18">
        <v>747.3874145452404</v>
      </c>
      <c r="Z197" s="18">
        <v>53.383956745117359</v>
      </c>
      <c r="AA197" s="18">
        <f t="shared" si="12"/>
        <v>20.757393384784947</v>
      </c>
      <c r="AB197" s="18">
        <f t="shared" si="13"/>
        <v>71.42742265415275</v>
      </c>
      <c r="AC197" s="18">
        <f>$CP$15*Table2912[[#This Row],[DMD '[mg/g']]]+$CS$15*Table2912[[#This Row],[CH4 '[ml/g']]]+$CR$15*Table2912[[#This Row],[CH4 '[% GP']]]+$CQ$15*Table2912[[#This Row],[CH4 '[g/g DDM']]]</f>
        <v>2.2227983063130807</v>
      </c>
      <c r="AD197" s="18">
        <f>_xlfn.RANK.AVG(Table2912[[#This Row],[Index]],Table2912[Index])</f>
        <v>431</v>
      </c>
      <c r="AE19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6.5829851820931058</v>
      </c>
      <c r="AF197" s="18">
        <f>Table2912[[#This Row],[CH4 '[ml/g']]]/Table2912[[#This Row],[APB]]</f>
        <v>8.1093843094666607</v>
      </c>
      <c r="AG197" s="18">
        <f>Table2912[[#This Row],[Propionate '[%']]]/Table2912[[#This Row],[Acetate '[%']]]</f>
        <v>0.26548325236308956</v>
      </c>
      <c r="AH197" s="51"/>
      <c r="AI197" s="18"/>
      <c r="AJ197" s="18"/>
      <c r="AK197" s="18">
        <f>(Table2912[[#This Row],[DMD '[mg/g']]]-$AK$15)/$AK$15*100</f>
        <v>52.438099006166141</v>
      </c>
      <c r="AL197" s="18">
        <f>(Table2912[[#This Row],[CH4 '[ml/g']]]-AL$15)/AL$15*100</f>
        <v>35.725807332616796</v>
      </c>
      <c r="AM197" s="18">
        <f>(Table2912[[#This Row],[CH4 '[% GP']]]-AM$15)/AM$15*100</f>
        <v>33.725810339028115</v>
      </c>
      <c r="AN197" s="18">
        <f>(Table2912[[#This Row],[CH4 '[g/g DDM']]]-AN$15)/AN$15*100</f>
        <v>39.464395660561159</v>
      </c>
      <c r="AO197" s="18"/>
      <c r="AP197" s="18"/>
      <c r="AR197">
        <f>_xlfn.NORM.DIST(Table2912[[#This Row],[GP '[ml/g']]],O$6,O$2,FALSE)</f>
        <v>7.4761077206280469E-3</v>
      </c>
      <c r="AS197">
        <f>_xlfn.NORM.DIST(Table2912[[#This Row],[SCFA '[mmol/g']]],P$6,P$2,FALSE)</f>
        <v>0.28789542511993965</v>
      </c>
      <c r="AT197">
        <f>_xlfn.NORM.DIST(Table2912[[#This Row],[Acetate '[%']]],Q$6,Q$2,FALSE)</f>
        <v>13.257966593472384</v>
      </c>
      <c r="AU197">
        <f>_xlfn.NORM.DIST(Table2912[[#This Row],[Propionate '[%']]],R$6,R$2,FALSE)</f>
        <v>16.518269692048015</v>
      </c>
      <c r="AV197">
        <f>_xlfn.NORM.DIST(Table2912[[#This Row],[Butyrate '[%']]],S$6,S$2,FALSE)</f>
        <v>14.913133990022981</v>
      </c>
      <c r="AW197">
        <f>_xlfn.NORM.DIST(Table2912[[#This Row],[Valerate '[%']]],T$6,T$2,FALSE)</f>
        <v>36.843145609016815</v>
      </c>
      <c r="AX197">
        <f>_xlfn.NORM.DIST(Table2912[[#This Row],[Caproate '[%']]],U$6,U$2,FALSE)</f>
        <v>384.91575243202442</v>
      </c>
      <c r="AY197">
        <f>_xlfn.NORM.DIST(Table2912[[#This Row],[Isobutyrate '[%']]],V$6,V$2,FALSE)</f>
        <v>37.002141410869783</v>
      </c>
      <c r="AZ197">
        <f>_xlfn.NORM.DIST(Table2912[[#This Row],[Isovalerate '[%']]],W$6,W$2,FALSE)</f>
        <v>25.55136453230924</v>
      </c>
      <c r="BA197">
        <f>_xlfn.NORM.DIST(Table2912[[#This Row],[CH4 '[g/mmol SCFA']]],X$6,X$2,FALSE)</f>
        <v>0.20599317686571605</v>
      </c>
      <c r="BB197">
        <f>_xlfn.NORM.DIST(Table2912[[#This Row],[DMD '[mg/g']]],Y$6,Y$2,FALSE)</f>
        <v>2.8529866440378674E-3</v>
      </c>
      <c r="BC197">
        <f>_xlfn.NORM.DIST(Table2912[[#This Row],[CH4 '[ml/g']]],Z$6,Z$2,FALSE)</f>
        <v>2.0187111033261474E-2</v>
      </c>
      <c r="BD197">
        <f>_xlfn.NORM.DIST(Table2912[[#This Row],[CH4 '[% GP']]],AA$6,AA$2,FALSE)</f>
        <v>3.845636158101777E-2</v>
      </c>
      <c r="BE197">
        <f>_xlfn.NORM.DIST(Table2912[[#This Row],[CH4 '[g/g DDM']]],AB$6,AB$2,FALSE)</f>
        <v>1.0853661543143206E-2</v>
      </c>
      <c r="BG197">
        <f>IF(Table2912[[#This Row],[GP '[ml/g']]]&lt;O$10,_xlfn.NORM.DIST(Table2912[[#This Row],[GP '[ml/g']]],O$6,O$2,FALSE),-100)</f>
        <v>-100</v>
      </c>
      <c r="BH197">
        <f>IF(Table2912[[#This Row],[SCFA '[mmol/g']]]&lt;P$10,_xlfn.NORM.DIST(Table2912[[#This Row],[SCFA '[mmol/g']]],P$6,P$2,FALSE),-100)</f>
        <v>-100</v>
      </c>
      <c r="BI197">
        <f>IF(Table2912[[#This Row],[Acetate '[%']]]&lt;Q$10,_xlfn.NORM.DIST(Table2912[[#This Row],[Acetate '[%']]],Q$6,Q$2,FALSE),-100)</f>
        <v>-100</v>
      </c>
      <c r="BJ197">
        <f>IF(Table2912[[#This Row],[Propionate '[%']]]&lt;R$10,_xlfn.NORM.DIST(Table2912[[#This Row],[Propionate '[%']]],R$6,R$2,FALSE),-100)</f>
        <v>-100</v>
      </c>
      <c r="BK197">
        <f>IF(Table2912[[#This Row],[Butyrate '[%']]]&lt;S$10,_xlfn.NORM.DIST(Table2912[[#This Row],[Butyrate '[%']]],S$6,S$2,FALSE),-100)</f>
        <v>-100</v>
      </c>
      <c r="BL197">
        <f>IF(Table2912[[#This Row],[Valerate '[%']]]&lt;T$10,_xlfn.NORM.DIST(Table2912[[#This Row],[Valerate '[%']]],T$6,T$2,FALSE),-100)</f>
        <v>-100</v>
      </c>
      <c r="BM197">
        <f>IF(Table2912[[#This Row],[Caproate '[%']]]&lt;U$10,_xlfn.NORM.DIST(Table2912[[#This Row],[Caproate '[%']]],U$6,U$2,FALSE),-100)</f>
        <v>-100</v>
      </c>
      <c r="BN197">
        <f>IF(Table2912[[#This Row],[Isobutyrate '[%']]]&lt;V$10,_xlfn.NORM.DIST(Table2912[[#This Row],[Isobutyrate '[%']]],V$6,V$2,FALSE),-100)</f>
        <v>-100</v>
      </c>
      <c r="BO197">
        <f>IF(Table2912[[#This Row],[Isovalerate '[%']]]&lt;W$10,_xlfn.NORM.DIST(Table2912[[#This Row],[Isovalerate '[%']]],W$6,W$2,FALSE),-100)</f>
        <v>-100</v>
      </c>
      <c r="BP197">
        <f>IF(Table2912[[#This Row],[CH4 '[g/mmol SCFA']]]&lt;X$10,_xlfn.NORM.DIST(Table2912[[#This Row],[CH4 '[g/mmol SCFA']]],X$6,X$2,FALSE),-100)</f>
        <v>-100</v>
      </c>
      <c r="BQ197">
        <f>IF(Table2912[[#This Row],[DMD '[mg/g']]]&gt;Y$10,_xlfn.NORM.DIST(Table2912[[#This Row],[DMD '[mg/g']]],Y$6,Y$2,FALSE),-100)</f>
        <v>-100</v>
      </c>
      <c r="BR197">
        <f>IF(Table2912[[#This Row],[CH4 '[ml/g']]]&lt;Z$10,_xlfn.NORM.DIST(Table2912[[#This Row],[CH4 '[ml/g']]],Z$6,Z$2,FALSE),-100)</f>
        <v>-100</v>
      </c>
      <c r="BS197">
        <f>IF(Table2912[[#This Row],[CH4 '[% GP']]]&lt;AA$10,_xlfn.NORM.DIST(Table2912[[#This Row],[CH4 '[% GP']]],AA$6,AA$2,FALSE),-100)</f>
        <v>-100</v>
      </c>
      <c r="BT197">
        <f>IF(Table2912[[#This Row],[CH4 '[g/g DDM']]]&lt;AB$10,_xlfn.NORM.DIST(Table2912[[#This Row],[CH4 '[g/g DDM']]],AB$6,AB$2,FALSE),-100)</f>
        <v>-100</v>
      </c>
    </row>
    <row r="198" spans="1:72" x14ac:dyDescent="0.25">
      <c r="A198" s="12" t="s">
        <v>200</v>
      </c>
      <c r="B198" s="13">
        <v>1139</v>
      </c>
      <c r="C198" s="117" t="s">
        <v>268</v>
      </c>
      <c r="D198" s="117" t="s">
        <v>233</v>
      </c>
      <c r="E198" s="117" t="s">
        <v>234</v>
      </c>
      <c r="F198" s="117" t="s">
        <v>235</v>
      </c>
      <c r="G198" t="s">
        <v>73</v>
      </c>
      <c r="H198" t="s">
        <v>74</v>
      </c>
      <c r="I198" t="s">
        <v>75</v>
      </c>
      <c r="J198" s="70">
        <v>2</v>
      </c>
      <c r="K198" s="70"/>
      <c r="L198" s="70"/>
      <c r="M198" t="s">
        <v>269</v>
      </c>
      <c r="N198" t="s">
        <v>245</v>
      </c>
      <c r="O198" s="18">
        <v>269.39767237593372</v>
      </c>
      <c r="P198" s="18">
        <v>6.7444776439341663</v>
      </c>
      <c r="Q198" s="97">
        <v>0.67903660024611601</v>
      </c>
      <c r="R198" s="97">
        <v>0.15577750332713197</v>
      </c>
      <c r="S198" s="97">
        <v>9.8760044572319627E-2</v>
      </c>
      <c r="T198" s="97">
        <v>1.7308488663961188E-2</v>
      </c>
      <c r="U198" s="97">
        <v>1.648027414087515E-3</v>
      </c>
      <c r="V198" s="97">
        <v>1.5876690178697715E-2</v>
      </c>
      <c r="W198" s="97">
        <v>3.1592645597685785E-2</v>
      </c>
      <c r="X198" s="51">
        <f t="shared" si="11"/>
        <v>6.951549021730167</v>
      </c>
      <c r="Y198" s="18">
        <v>747.65294421091539</v>
      </c>
      <c r="Z198" s="18">
        <v>46.884566967771534</v>
      </c>
      <c r="AA198" s="18">
        <f t="shared" si="12"/>
        <v>17.403478862410505</v>
      </c>
      <c r="AB198" s="18">
        <f t="shared" si="13"/>
        <v>62.708997979342193</v>
      </c>
      <c r="AC198" s="18">
        <f>$CP$15*Table2912[[#This Row],[DMD '[mg/g']]]+$CS$15*Table2912[[#This Row],[CH4 '[ml/g']]]+$CR$15*Table2912[[#This Row],[CH4 '[% GP']]]+$CQ$15*Table2912[[#This Row],[CH4 '[g/g DDM']]]</f>
        <v>7.1069722424991966</v>
      </c>
      <c r="AD198" s="18">
        <f>_xlfn.RANK.AVG(Table2912[[#This Row],[Index]],Table2912[Index])</f>
        <v>383</v>
      </c>
      <c r="AE19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6.2964699711226642</v>
      </c>
      <c r="AF198" s="18">
        <f>Table2912[[#This Row],[CH4 '[ml/g']]]/Table2912[[#This Row],[APB]]</f>
        <v>7.446167008307353</v>
      </c>
      <c r="AG198" s="18">
        <f>Table2912[[#This Row],[Propionate '[%']]]/Table2912[[#This Row],[Acetate '[%']]]</f>
        <v>0.22940958303377257</v>
      </c>
      <c r="AH198" s="51"/>
      <c r="AI198" s="18"/>
      <c r="AJ198" s="18"/>
      <c r="AK198" s="18">
        <f>(Table2912[[#This Row],[DMD '[mg/g']]]-$AK$15)/$AK$15*100</f>
        <v>52.492256778530908</v>
      </c>
      <c r="AL198" s="18">
        <f>(Table2912[[#This Row],[CH4 '[ml/g']]]-AL$15)/AL$15*100</f>
        <v>19.201462220631424</v>
      </c>
      <c r="AM198" s="18">
        <f>(Table2912[[#This Row],[CH4 '[% GP']]]-AM$15)/AM$15*100</f>
        <v>12.11881330436632</v>
      </c>
      <c r="AN198" s="18">
        <f>(Table2912[[#This Row],[CH4 '[g/g DDM']]]-AN$15)/AN$15*100</f>
        <v>22.44138428477709</v>
      </c>
      <c r="AO198" s="18"/>
      <c r="AP198" s="18"/>
      <c r="AR198">
        <f>_xlfn.NORM.DIST(Table2912[[#This Row],[GP '[ml/g']]],O$6,O$2,FALSE)</f>
        <v>7.2298339816424112E-3</v>
      </c>
      <c r="AS198">
        <f>_xlfn.NORM.DIST(Table2912[[#This Row],[SCFA '[mmol/g']]],P$6,P$2,FALSE)</f>
        <v>0.32782095481216811</v>
      </c>
      <c r="AT198">
        <f>_xlfn.NORM.DIST(Table2912[[#This Row],[Acetate '[%']]],Q$6,Q$2,FALSE)</f>
        <v>13.727142231465093</v>
      </c>
      <c r="AU198">
        <f>_xlfn.NORM.DIST(Table2912[[#This Row],[Propionate '[%']]],R$6,R$2,FALSE)</f>
        <v>13.350319879063983</v>
      </c>
      <c r="AV198">
        <f>_xlfn.NORM.DIST(Table2912[[#This Row],[Butyrate '[%']]],S$6,S$2,FALSE)</f>
        <v>21.758534714494331</v>
      </c>
      <c r="AW198">
        <f>_xlfn.NORM.DIST(Table2912[[#This Row],[Valerate '[%']]],T$6,T$2,FALSE)</f>
        <v>77.216474892031769</v>
      </c>
      <c r="AX198">
        <f>_xlfn.NORM.DIST(Table2912[[#This Row],[Caproate '[%']]],U$6,U$2,FALSE)</f>
        <v>386.4485421269959</v>
      </c>
      <c r="AY198">
        <f>_xlfn.NORM.DIST(Table2912[[#This Row],[Isobutyrate '[%']]],V$6,V$2,FALSE)</f>
        <v>89.441690016517583</v>
      </c>
      <c r="AZ198">
        <f>_xlfn.NORM.DIST(Table2912[[#This Row],[Isovalerate '[%']]],W$6,W$2,FALSE)</f>
        <v>41.576043150986884</v>
      </c>
      <c r="BA198">
        <f>_xlfn.NORM.DIST(Table2912[[#This Row],[CH4 '[g/mmol SCFA']]],X$6,X$2,FALSE)</f>
        <v>0.26264554685121416</v>
      </c>
      <c r="BB198">
        <f>_xlfn.NORM.DIST(Table2912[[#This Row],[DMD '[mg/g']]],Y$6,Y$2,FALSE)</f>
        <v>2.8541394606864902E-3</v>
      </c>
      <c r="BC198">
        <f>_xlfn.NORM.DIST(Table2912[[#This Row],[CH4 '[ml/g']]],Z$6,Z$2,FALSE)</f>
        <v>3.0131162704263297E-2</v>
      </c>
      <c r="BD198">
        <f>_xlfn.NORM.DIST(Table2912[[#This Row],[CH4 '[% GP']]],AA$6,AA$2,FALSE)</f>
        <v>0.12169635488509904</v>
      </c>
      <c r="BE198">
        <f>_xlfn.NORM.DIST(Table2912[[#This Row],[CH4 '[g/g DDM']]],AB$6,AB$2,FALSE)</f>
        <v>2.4417397425599868E-2</v>
      </c>
      <c r="BG198">
        <f>IF(Table2912[[#This Row],[GP '[ml/g']]]&lt;O$10,_xlfn.NORM.DIST(Table2912[[#This Row],[GP '[ml/g']]],O$6,O$2,FALSE),-100)</f>
        <v>-100</v>
      </c>
      <c r="BH198">
        <f>IF(Table2912[[#This Row],[SCFA '[mmol/g']]]&lt;P$10,_xlfn.NORM.DIST(Table2912[[#This Row],[SCFA '[mmol/g']]],P$6,P$2,FALSE),-100)</f>
        <v>-100</v>
      </c>
      <c r="BI198">
        <f>IF(Table2912[[#This Row],[Acetate '[%']]]&lt;Q$10,_xlfn.NORM.DIST(Table2912[[#This Row],[Acetate '[%']]],Q$6,Q$2,FALSE),-100)</f>
        <v>-100</v>
      </c>
      <c r="BJ198">
        <f>IF(Table2912[[#This Row],[Propionate '[%']]]&lt;R$10,_xlfn.NORM.DIST(Table2912[[#This Row],[Propionate '[%']]],R$6,R$2,FALSE),-100)</f>
        <v>-100</v>
      </c>
      <c r="BK198">
        <f>IF(Table2912[[#This Row],[Butyrate '[%']]]&lt;S$10,_xlfn.NORM.DIST(Table2912[[#This Row],[Butyrate '[%']]],S$6,S$2,FALSE),-100)</f>
        <v>-100</v>
      </c>
      <c r="BL198">
        <f>IF(Table2912[[#This Row],[Valerate '[%']]]&lt;T$10,_xlfn.NORM.DIST(Table2912[[#This Row],[Valerate '[%']]],T$6,T$2,FALSE),-100)</f>
        <v>-100</v>
      </c>
      <c r="BM198">
        <f>IF(Table2912[[#This Row],[Caproate '[%']]]&lt;U$10,_xlfn.NORM.DIST(Table2912[[#This Row],[Caproate '[%']]],U$6,U$2,FALSE),-100)</f>
        <v>-100</v>
      </c>
      <c r="BN198">
        <f>IF(Table2912[[#This Row],[Isobutyrate '[%']]]&lt;V$10,_xlfn.NORM.DIST(Table2912[[#This Row],[Isobutyrate '[%']]],V$6,V$2,FALSE),-100)</f>
        <v>-100</v>
      </c>
      <c r="BO198">
        <f>IF(Table2912[[#This Row],[Isovalerate '[%']]]&lt;W$10,_xlfn.NORM.DIST(Table2912[[#This Row],[Isovalerate '[%']]],W$6,W$2,FALSE),-100)</f>
        <v>-100</v>
      </c>
      <c r="BP198">
        <f>IF(Table2912[[#This Row],[CH4 '[g/mmol SCFA']]]&lt;X$10,_xlfn.NORM.DIST(Table2912[[#This Row],[CH4 '[g/mmol SCFA']]],X$6,X$2,FALSE),-100)</f>
        <v>-100</v>
      </c>
      <c r="BQ198">
        <f>IF(Table2912[[#This Row],[DMD '[mg/g']]]&gt;Y$10,_xlfn.NORM.DIST(Table2912[[#This Row],[DMD '[mg/g']]],Y$6,Y$2,FALSE),-100)</f>
        <v>-100</v>
      </c>
      <c r="BR198">
        <f>IF(Table2912[[#This Row],[CH4 '[ml/g']]]&lt;Z$10,_xlfn.NORM.DIST(Table2912[[#This Row],[CH4 '[ml/g']]],Z$6,Z$2,FALSE),-100)</f>
        <v>-100</v>
      </c>
      <c r="BS198">
        <f>IF(Table2912[[#This Row],[CH4 '[% GP']]]&lt;AA$10,_xlfn.NORM.DIST(Table2912[[#This Row],[CH4 '[% GP']]],AA$6,AA$2,FALSE),-100)</f>
        <v>-100</v>
      </c>
      <c r="BT198">
        <f>IF(Table2912[[#This Row],[CH4 '[g/g DDM']]]&lt;AB$10,_xlfn.NORM.DIST(Table2912[[#This Row],[CH4 '[g/g DDM']]],AB$6,AB$2,FALSE),-100)</f>
        <v>-100</v>
      </c>
    </row>
    <row r="199" spans="1:72" x14ac:dyDescent="0.25">
      <c r="A199" s="12" t="s">
        <v>70</v>
      </c>
      <c r="B199" s="13">
        <v>1008</v>
      </c>
      <c r="C199" s="96" t="s">
        <v>259</v>
      </c>
      <c r="D199" s="96"/>
      <c r="E199" s="96"/>
      <c r="F199" s="96" t="s">
        <v>260</v>
      </c>
      <c r="G199" t="s">
        <v>73</v>
      </c>
      <c r="H199" t="s">
        <v>74</v>
      </c>
      <c r="I199" t="s">
        <v>75</v>
      </c>
      <c r="J199" s="70">
        <v>1</v>
      </c>
      <c r="K199" s="70"/>
      <c r="L199" s="70"/>
      <c r="M199" t="s">
        <v>260</v>
      </c>
      <c r="N199" t="s">
        <v>85</v>
      </c>
      <c r="O199" s="18">
        <v>299.63888888888778</v>
      </c>
      <c r="P199" s="18">
        <v>7.1837856205474306</v>
      </c>
      <c r="Q199" s="97">
        <v>0.65236698661207826</v>
      </c>
      <c r="R199" s="97">
        <v>0.16424879633513154</v>
      </c>
      <c r="S199" s="97">
        <v>0.11736684935701276</v>
      </c>
      <c r="T199" s="97">
        <v>2.2525761254535641E-2</v>
      </c>
      <c r="U199" s="97">
        <v>2.9342965019089973E-3</v>
      </c>
      <c r="V199" s="97">
        <v>1.3929837051175526E-2</v>
      </c>
      <c r="W199" s="97">
        <v>2.6627472888157304E-2</v>
      </c>
      <c r="X199" s="51">
        <f t="shared" si="11"/>
        <v>5.7217117576143579</v>
      </c>
      <c r="Y199" s="18">
        <v>747.81405074365694</v>
      </c>
      <c r="Z199" s="18">
        <v>41.103550649267191</v>
      </c>
      <c r="AA199" s="18">
        <f t="shared" si="12"/>
        <v>13.717695590744642</v>
      </c>
      <c r="AB199" s="18">
        <f t="shared" si="13"/>
        <v>54.964934943910364</v>
      </c>
      <c r="AC199" s="18">
        <f>$CP$15*Table2912[[#This Row],[DMD '[mg/g']]]+$CS$15*Table2912[[#This Row],[CH4 '[ml/g']]]+$CR$15*Table2912[[#This Row],[CH4 '[% GP']]]+$CQ$15*Table2912[[#This Row],[CH4 '[g/g DDM']]]</f>
        <v>11.648972332901337</v>
      </c>
      <c r="AD199" s="18">
        <f>_xlfn.RANK.AVG(Table2912[[#This Row],[Index]],Table2912[Index])</f>
        <v>328</v>
      </c>
      <c r="AE19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6.7095310037881122</v>
      </c>
      <c r="AF199" s="18">
        <f>Table2912[[#This Row],[CH4 '[ml/g']]]/Table2912[[#This Row],[APB]]</f>
        <v>6.1261436344896048</v>
      </c>
      <c r="AG199" s="18">
        <f>Table2912[[#This Row],[Propionate '[%']]]/Table2912[[#This Row],[Acetate '[%']]]</f>
        <v>0.25177361777321206</v>
      </c>
      <c r="AH199" s="51"/>
      <c r="AI199" s="18"/>
      <c r="AJ199" s="18"/>
      <c r="AK199" s="18">
        <f>(Table2912[[#This Row],[DMD '[mg/g']]]-$AK$15)/$AK$15*100</f>
        <v>52.525116274303308</v>
      </c>
      <c r="AL199" s="18">
        <f>(Table2912[[#This Row],[CH4 '[ml/g']]]-AL$15)/AL$15*100</f>
        <v>4.5035425670119169</v>
      </c>
      <c r="AM199" s="18">
        <f>(Table2912[[#This Row],[CH4 '[% GP']]]-AM$15)/AM$15*100</f>
        <v>-11.626189047366017</v>
      </c>
      <c r="AN199" s="18">
        <f>(Table2912[[#This Row],[CH4 '[g/g DDM']]]-AN$15)/AN$15*100</f>
        <v>7.3208461068396442</v>
      </c>
      <c r="AO199" s="18"/>
      <c r="AP199" s="18"/>
      <c r="AR199">
        <f>_xlfn.NORM.DIST(Table2912[[#This Row],[GP '[ml/g']]],O$6,O$2,FALSE)</f>
        <v>5.3101449985618401E-3</v>
      </c>
      <c r="AS199">
        <f>_xlfn.NORM.DIST(Table2912[[#This Row],[SCFA '[mmol/g']]],P$6,P$2,FALSE)</f>
        <v>0.28774553457010688</v>
      </c>
      <c r="AT199">
        <f>_xlfn.NORM.DIST(Table2912[[#This Row],[Acetate '[%']]],Q$6,Q$2,FALSE)</f>
        <v>10.747067861370327</v>
      </c>
      <c r="AU199">
        <f>_xlfn.NORM.DIST(Table2912[[#This Row],[Propionate '[%']]],R$6,R$2,FALSE)</f>
        <v>15.949627961195176</v>
      </c>
      <c r="AV199">
        <f>_xlfn.NORM.DIST(Table2912[[#This Row],[Butyrate '[%']]],S$6,S$2,FALSE)</f>
        <v>8.5089409797687647</v>
      </c>
      <c r="AW199">
        <f>_xlfn.NORM.DIST(Table2912[[#This Row],[Valerate '[%']]],T$6,T$2,FALSE)</f>
        <v>49.561661092234196</v>
      </c>
      <c r="AX199">
        <f>_xlfn.NORM.DIST(Table2912[[#This Row],[Caproate '[%']]],U$6,U$2,FALSE)</f>
        <v>107.21964832380546</v>
      </c>
      <c r="AY199">
        <f>_xlfn.NORM.DIST(Table2912[[#This Row],[Isobutyrate '[%']]],V$6,V$2,FALSE)</f>
        <v>85.831340573647182</v>
      </c>
      <c r="AZ199">
        <f>_xlfn.NORM.DIST(Table2912[[#This Row],[Isovalerate '[%']]],W$6,W$2,FALSE)</f>
        <v>44.959029547779366</v>
      </c>
      <c r="BA199">
        <f>_xlfn.NORM.DIST(Table2912[[#This Row],[CH4 '[g/mmol SCFA']]],X$6,X$2,FALSE)</f>
        <v>0.27250040335152176</v>
      </c>
      <c r="BB199">
        <f>_xlfn.NORM.DIST(Table2912[[#This Row],[DMD '[mg/g']]],Y$6,Y$2,FALSE)</f>
        <v>2.8548339016809562E-3</v>
      </c>
      <c r="BC199">
        <f>_xlfn.NORM.DIST(Table2912[[#This Row],[CH4 '[ml/g']]],Z$6,Z$2,FALSE)</f>
        <v>3.3495775308671975E-2</v>
      </c>
      <c r="BD199">
        <f>_xlfn.NORM.DIST(Table2912[[#This Row],[CH4 '[% GP']]],AA$6,AA$2,FALSE)</f>
        <v>9.8312583270804152E-2</v>
      </c>
      <c r="BE199">
        <f>_xlfn.NORM.DIST(Table2912[[#This Row],[CH4 '[g/g DDM']]],AB$6,AB$2,FALSE)</f>
        <v>3.2564397503423222E-2</v>
      </c>
      <c r="BG199">
        <f>IF(Table2912[[#This Row],[GP '[ml/g']]]&lt;O$10,_xlfn.NORM.DIST(Table2912[[#This Row],[GP '[ml/g']]],O$6,O$2,FALSE),-100)</f>
        <v>-100</v>
      </c>
      <c r="BH199">
        <f>IF(Table2912[[#This Row],[SCFA '[mmol/g']]]&lt;P$10,_xlfn.NORM.DIST(Table2912[[#This Row],[SCFA '[mmol/g']]],P$6,P$2,FALSE),-100)</f>
        <v>-100</v>
      </c>
      <c r="BI199">
        <f>IF(Table2912[[#This Row],[Acetate '[%']]]&lt;Q$10,_xlfn.NORM.DIST(Table2912[[#This Row],[Acetate '[%']]],Q$6,Q$2,FALSE),-100)</f>
        <v>-100</v>
      </c>
      <c r="BJ199">
        <f>IF(Table2912[[#This Row],[Propionate '[%']]]&lt;R$10,_xlfn.NORM.DIST(Table2912[[#This Row],[Propionate '[%']]],R$6,R$2,FALSE),-100)</f>
        <v>-100</v>
      </c>
      <c r="BK199">
        <f>IF(Table2912[[#This Row],[Butyrate '[%']]]&lt;S$10,_xlfn.NORM.DIST(Table2912[[#This Row],[Butyrate '[%']]],S$6,S$2,FALSE),-100)</f>
        <v>-100</v>
      </c>
      <c r="BL199">
        <f>IF(Table2912[[#This Row],[Valerate '[%']]]&lt;T$10,_xlfn.NORM.DIST(Table2912[[#This Row],[Valerate '[%']]],T$6,T$2,FALSE),-100)</f>
        <v>-100</v>
      </c>
      <c r="BM199">
        <f>IF(Table2912[[#This Row],[Caproate '[%']]]&lt;U$10,_xlfn.NORM.DIST(Table2912[[#This Row],[Caproate '[%']]],U$6,U$2,FALSE),-100)</f>
        <v>-100</v>
      </c>
      <c r="BN199">
        <f>IF(Table2912[[#This Row],[Isobutyrate '[%']]]&lt;V$10,_xlfn.NORM.DIST(Table2912[[#This Row],[Isobutyrate '[%']]],V$6,V$2,FALSE),-100)</f>
        <v>-100</v>
      </c>
      <c r="BO199">
        <f>IF(Table2912[[#This Row],[Isovalerate '[%']]]&lt;W$10,_xlfn.NORM.DIST(Table2912[[#This Row],[Isovalerate '[%']]],W$6,W$2,FALSE),-100)</f>
        <v>-100</v>
      </c>
      <c r="BP199">
        <f>IF(Table2912[[#This Row],[CH4 '[g/mmol SCFA']]]&lt;X$10,_xlfn.NORM.DIST(Table2912[[#This Row],[CH4 '[g/mmol SCFA']]],X$6,X$2,FALSE),-100)</f>
        <v>-100</v>
      </c>
      <c r="BQ199">
        <f>IF(Table2912[[#This Row],[DMD '[mg/g']]]&gt;Y$10,_xlfn.NORM.DIST(Table2912[[#This Row],[DMD '[mg/g']]],Y$6,Y$2,FALSE),-100)</f>
        <v>-100</v>
      </c>
      <c r="BR199">
        <f>IF(Table2912[[#This Row],[CH4 '[ml/g']]]&lt;Z$10,_xlfn.NORM.DIST(Table2912[[#This Row],[CH4 '[ml/g']]],Z$6,Z$2,FALSE),-100)</f>
        <v>-100</v>
      </c>
      <c r="BS199">
        <f>IF(Table2912[[#This Row],[CH4 '[% GP']]]&lt;AA$10,_xlfn.NORM.DIST(Table2912[[#This Row],[CH4 '[% GP']]],AA$6,AA$2,FALSE),-100)</f>
        <v>-100</v>
      </c>
      <c r="BT199">
        <f>IF(Table2912[[#This Row],[CH4 '[g/g DDM']]]&lt;AB$10,_xlfn.NORM.DIST(Table2912[[#This Row],[CH4 '[g/g DDM']]],AB$6,AB$2,FALSE),-100)</f>
        <v>-100</v>
      </c>
    </row>
    <row r="200" spans="1:72" x14ac:dyDescent="0.25">
      <c r="A200" s="12" t="s">
        <v>70</v>
      </c>
      <c r="B200" s="13">
        <v>1001</v>
      </c>
      <c r="C200" s="96" t="s">
        <v>279</v>
      </c>
      <c r="D200" s="96"/>
      <c r="E200" s="96"/>
      <c r="F200" s="96" t="s">
        <v>280</v>
      </c>
      <c r="G200" t="s">
        <v>73</v>
      </c>
      <c r="H200" t="s">
        <v>74</v>
      </c>
      <c r="I200" t="s">
        <v>75</v>
      </c>
      <c r="J200" s="107">
        <v>2</v>
      </c>
      <c r="K200" s="107"/>
      <c r="L200" s="107"/>
      <c r="M200" t="s">
        <v>280</v>
      </c>
      <c r="N200" t="s">
        <v>180</v>
      </c>
      <c r="O200" s="18">
        <v>274.86939454424504</v>
      </c>
      <c r="P200" s="18">
        <v>6.4128409846972714</v>
      </c>
      <c r="Q200" s="97">
        <v>0.67022723711251853</v>
      </c>
      <c r="R200" s="97">
        <v>0.17284552878758952</v>
      </c>
      <c r="S200" s="97">
        <v>8.8835351398641127E-2</v>
      </c>
      <c r="T200" s="97">
        <v>1.6848906779722728E-2</v>
      </c>
      <c r="U200" s="97">
        <v>1.0707600087085465E-3</v>
      </c>
      <c r="V200" s="97">
        <v>1.6678774985126099E-2</v>
      </c>
      <c r="W200" s="97">
        <v>3.3493440927693505E-2</v>
      </c>
      <c r="X200" s="51">
        <f t="shared" si="11"/>
        <v>5.9932993314183225</v>
      </c>
      <c r="Y200" s="18">
        <v>749.0574406742071</v>
      </c>
      <c r="Z200" s="18">
        <v>38.434075586078173</v>
      </c>
      <c r="AA200" s="18">
        <f t="shared" si="12"/>
        <v>13.982668259521899</v>
      </c>
      <c r="AB200" s="18">
        <f t="shared" si="13"/>
        <v>51.309917636602954</v>
      </c>
      <c r="AC200" s="18">
        <f>$CP$15*Table2912[[#This Row],[DMD '[mg/g']]]+$CS$15*Table2912[[#This Row],[CH4 '[ml/g']]]+$CR$15*Table2912[[#This Row],[CH4 '[% GP']]]+$CQ$15*Table2912[[#This Row],[CH4 '[g/g DDM']]]</f>
        <v>13.287554626742129</v>
      </c>
      <c r="AD200" s="18">
        <f>_xlfn.RANK.AVG(Table2912[[#This Row],[Index]],Table2912[Index])</f>
        <v>297</v>
      </c>
      <c r="AE20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5.9761785685854916</v>
      </c>
      <c r="AF200" s="18">
        <f>Table2912[[#This Row],[CH4 '[ml/g']]]/Table2912[[#This Row],[APB]]</f>
        <v>6.4312127131059231</v>
      </c>
      <c r="AG200" s="18">
        <f>Table2912[[#This Row],[Propionate '[%']]]/Table2912[[#This Row],[Acetate '[%']]]</f>
        <v>0.25789093491969206</v>
      </c>
      <c r="AH200" s="51"/>
      <c r="AI200" s="18"/>
      <c r="AJ200" s="18"/>
      <c r="AK200" s="18">
        <f>(Table2912[[#This Row],[DMD '[mg/g']]]-$AK$15)/$AK$15*100</f>
        <v>52.778719684860874</v>
      </c>
      <c r="AL200" s="18">
        <f>(Table2912[[#This Row],[CH4 '[ml/g']]]-AL$15)/AL$15*100</f>
        <v>-2.283452631480114</v>
      </c>
      <c r="AM200" s="18">
        <f>(Table2912[[#This Row],[CH4 '[% GP']]]-AM$15)/AM$15*100</f>
        <v>-9.9191498159417879</v>
      </c>
      <c r="AN200" s="18">
        <f>(Table2912[[#This Row],[CH4 '[g/g DDM']]]-AN$15)/AN$15*100</f>
        <v>0.18430441247286139</v>
      </c>
      <c r="AO200" s="18"/>
      <c r="AP200" s="18"/>
      <c r="AR200">
        <f>_xlfn.NORM.DIST(Table2912[[#This Row],[GP '[ml/g']]],O$6,O$2,FALSE)</f>
        <v>7.0020420173574982E-3</v>
      </c>
      <c r="AS200">
        <f>_xlfn.NORM.DIST(Table2912[[#This Row],[SCFA '[mmol/g']]],P$6,P$2,FALSE)</f>
        <v>0.33095066461747069</v>
      </c>
      <c r="AT200">
        <f>_xlfn.NORM.DIST(Table2912[[#This Row],[Acetate '[%']]],Q$6,Q$2,FALSE)</f>
        <v>13.954285721672084</v>
      </c>
      <c r="AU200">
        <f>_xlfn.NORM.DIST(Table2912[[#This Row],[Propionate '[%']]],R$6,R$2,FALSE)</f>
        <v>16.776860910754159</v>
      </c>
      <c r="AV200">
        <f>_xlfn.NORM.DIST(Table2912[[#This Row],[Butyrate '[%']]],S$6,S$2,FALSE)</f>
        <v>22.398072587336785</v>
      </c>
      <c r="AW200">
        <f>_xlfn.NORM.DIST(Table2912[[#This Row],[Valerate '[%']]],T$6,T$2,FALSE)</f>
        <v>76.445229680774361</v>
      </c>
      <c r="AX200">
        <f>_xlfn.NORM.DIST(Table2912[[#This Row],[Caproate '[%']]],U$6,U$2,FALSE)</f>
        <v>392.60844068112249</v>
      </c>
      <c r="AY200">
        <f>_xlfn.NORM.DIST(Table2912[[#This Row],[Isobutyrate '[%']]],V$6,V$2,FALSE)</f>
        <v>85.992232938508423</v>
      </c>
      <c r="AZ200">
        <f>_xlfn.NORM.DIST(Table2912[[#This Row],[Isovalerate '[%']]],W$6,W$2,FALSE)</f>
        <v>37.075527500977316</v>
      </c>
      <c r="BA200">
        <f>_xlfn.NORM.DIST(Table2912[[#This Row],[CH4 '[g/mmol SCFA']]],X$6,X$2,FALSE)</f>
        <v>0.29056373420299342</v>
      </c>
      <c r="BB200">
        <f>_xlfn.NORM.DIST(Table2912[[#This Row],[DMD '[mg/g']]],Y$6,Y$2,FALSE)</f>
        <v>2.860065723346935E-3</v>
      </c>
      <c r="BC200">
        <f>_xlfn.NORM.DIST(Table2912[[#This Row],[CH4 '[ml/g']]],Z$6,Z$2,FALSE)</f>
        <v>3.2483749394569224E-2</v>
      </c>
      <c r="BD200">
        <f>_xlfn.NORM.DIST(Table2912[[#This Row],[CH4 '[% GP']]],AA$6,AA$2,FALSE)</f>
        <v>0.10512729590228012</v>
      </c>
      <c r="BE200">
        <f>_xlfn.NORM.DIST(Table2912[[#This Row],[CH4 '[g/g DDM']]],AB$6,AB$2,FALSE)</f>
        <v>3.2389922003482056E-2</v>
      </c>
      <c r="BG200">
        <f>IF(Table2912[[#This Row],[GP '[ml/g']]]&lt;O$10,_xlfn.NORM.DIST(Table2912[[#This Row],[GP '[ml/g']]],O$6,O$2,FALSE),-100)</f>
        <v>-100</v>
      </c>
      <c r="BH200">
        <f>IF(Table2912[[#This Row],[SCFA '[mmol/g']]]&lt;P$10,_xlfn.NORM.DIST(Table2912[[#This Row],[SCFA '[mmol/g']]],P$6,P$2,FALSE),-100)</f>
        <v>-100</v>
      </c>
      <c r="BI200">
        <f>IF(Table2912[[#This Row],[Acetate '[%']]]&lt;Q$10,_xlfn.NORM.DIST(Table2912[[#This Row],[Acetate '[%']]],Q$6,Q$2,FALSE),-100)</f>
        <v>-100</v>
      </c>
      <c r="BJ200">
        <f>IF(Table2912[[#This Row],[Propionate '[%']]]&lt;R$10,_xlfn.NORM.DIST(Table2912[[#This Row],[Propionate '[%']]],R$6,R$2,FALSE),-100)</f>
        <v>-100</v>
      </c>
      <c r="BK200">
        <f>IF(Table2912[[#This Row],[Butyrate '[%']]]&lt;S$10,_xlfn.NORM.DIST(Table2912[[#This Row],[Butyrate '[%']]],S$6,S$2,FALSE),-100)</f>
        <v>-100</v>
      </c>
      <c r="BL200">
        <f>IF(Table2912[[#This Row],[Valerate '[%']]]&lt;T$10,_xlfn.NORM.DIST(Table2912[[#This Row],[Valerate '[%']]],T$6,T$2,FALSE),-100)</f>
        <v>-100</v>
      </c>
      <c r="BM200">
        <f>IF(Table2912[[#This Row],[Caproate '[%']]]&lt;U$10,_xlfn.NORM.DIST(Table2912[[#This Row],[Caproate '[%']]],U$6,U$2,FALSE),-100)</f>
        <v>-100</v>
      </c>
      <c r="BN200">
        <f>IF(Table2912[[#This Row],[Isobutyrate '[%']]]&lt;V$10,_xlfn.NORM.DIST(Table2912[[#This Row],[Isobutyrate '[%']]],V$6,V$2,FALSE),-100)</f>
        <v>-100</v>
      </c>
      <c r="BO200">
        <f>IF(Table2912[[#This Row],[Isovalerate '[%']]]&lt;W$10,_xlfn.NORM.DIST(Table2912[[#This Row],[Isovalerate '[%']]],W$6,W$2,FALSE),-100)</f>
        <v>-100</v>
      </c>
      <c r="BP200">
        <f>IF(Table2912[[#This Row],[CH4 '[g/mmol SCFA']]]&lt;X$10,_xlfn.NORM.DIST(Table2912[[#This Row],[CH4 '[g/mmol SCFA']]],X$6,X$2,FALSE),-100)</f>
        <v>-100</v>
      </c>
      <c r="BQ200">
        <f>IF(Table2912[[#This Row],[DMD '[mg/g']]]&gt;Y$10,_xlfn.NORM.DIST(Table2912[[#This Row],[DMD '[mg/g']]],Y$6,Y$2,FALSE),-100)</f>
        <v>-100</v>
      </c>
      <c r="BR200">
        <f>IF(Table2912[[#This Row],[CH4 '[ml/g']]]&lt;Z$10,_xlfn.NORM.DIST(Table2912[[#This Row],[CH4 '[ml/g']]],Z$6,Z$2,FALSE),-100)</f>
        <v>-100</v>
      </c>
      <c r="BS200">
        <f>IF(Table2912[[#This Row],[CH4 '[% GP']]]&lt;AA$10,_xlfn.NORM.DIST(Table2912[[#This Row],[CH4 '[% GP']]],AA$6,AA$2,FALSE),-100)</f>
        <v>-100</v>
      </c>
      <c r="BT200">
        <f>IF(Table2912[[#This Row],[CH4 '[g/g DDM']]]&lt;AB$10,_xlfn.NORM.DIST(Table2912[[#This Row],[CH4 '[g/g DDM']]],AB$6,AB$2,FALSE),-100)</f>
        <v>-100</v>
      </c>
    </row>
    <row r="201" spans="1:72" x14ac:dyDescent="0.25">
      <c r="A201" s="12" t="s">
        <v>70</v>
      </c>
      <c r="B201" s="13">
        <v>994</v>
      </c>
      <c r="C201" s="96" t="s">
        <v>255</v>
      </c>
      <c r="D201" s="96"/>
      <c r="E201" s="96"/>
      <c r="F201" s="96" t="s">
        <v>256</v>
      </c>
      <c r="G201" t="s">
        <v>73</v>
      </c>
      <c r="H201" t="s">
        <v>74</v>
      </c>
      <c r="I201" t="s">
        <v>75</v>
      </c>
      <c r="J201" s="100">
        <v>1</v>
      </c>
      <c r="K201" s="100"/>
      <c r="L201" s="100"/>
      <c r="M201" t="s">
        <v>256</v>
      </c>
      <c r="N201" t="s">
        <v>85</v>
      </c>
      <c r="O201" s="18">
        <v>273.73694885361471</v>
      </c>
      <c r="P201" s="18">
        <v>6.6482583774250443</v>
      </c>
      <c r="Q201" s="97">
        <v>0.67381442041205197</v>
      </c>
      <c r="R201" s="97">
        <v>0.16445779053603546</v>
      </c>
      <c r="S201" s="97">
        <v>0.10852496794391608</v>
      </c>
      <c r="T201" s="97">
        <v>1.4341987138646452E-2</v>
      </c>
      <c r="U201" s="97">
        <v>1.5763789865310145E-3</v>
      </c>
      <c r="V201" s="97">
        <v>1.2500694120156985E-2</v>
      </c>
      <c r="W201" s="97">
        <v>2.4783760862662034E-2</v>
      </c>
      <c r="X201" s="51">
        <f t="shared" si="11"/>
        <v>5.2500905077601461</v>
      </c>
      <c r="Y201" s="18">
        <v>749.22839506172863</v>
      </c>
      <c r="Z201" s="18">
        <v>34.903958200456096</v>
      </c>
      <c r="AA201" s="18">
        <f t="shared" si="12"/>
        <v>12.750912270568762</v>
      </c>
      <c r="AB201" s="18">
        <f t="shared" si="13"/>
        <v>46.586539472493392</v>
      </c>
      <c r="AC201" s="18">
        <f>$CP$15*Table2912[[#This Row],[DMD '[mg/g']]]+$CS$15*Table2912[[#This Row],[CH4 '[ml/g']]]+$CR$15*Table2912[[#This Row],[CH4 '[% GP']]]+$CQ$15*Table2912[[#This Row],[CH4 '[g/g DDM']]]</f>
        <v>15.753923938142698</v>
      </c>
      <c r="AD201" s="18">
        <f>_xlfn.RANK.AVG(Table2912[[#This Row],[Index]],Table2912[Index])</f>
        <v>257</v>
      </c>
      <c r="AE20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6.2945522762911601</v>
      </c>
      <c r="AF201" s="18">
        <f>Table2912[[#This Row],[CH4 '[ml/g']]]/Table2912[[#This Row],[APB]]</f>
        <v>5.5451057785196447</v>
      </c>
      <c r="AG201" s="18">
        <f>Table2912[[#This Row],[Propionate '[%']]]/Table2912[[#This Row],[Acetate '[%']]]</f>
        <v>0.24406985893158237</v>
      </c>
      <c r="AH201" s="51"/>
      <c r="AI201" s="18"/>
      <c r="AJ201" s="18"/>
      <c r="AK201" s="18">
        <f>(Table2912[[#This Row],[DMD '[mg/g']]]-$AK$15)/$AK$15*100</f>
        <v>52.813587761769028</v>
      </c>
      <c r="AL201" s="18">
        <f>(Table2912[[#This Row],[CH4 '[ml/g']]]-AL$15)/AL$15*100</f>
        <v>-11.258584138312179</v>
      </c>
      <c r="AM201" s="18">
        <f>(Table2912[[#This Row],[CH4 '[% GP']]]-AM$15)/AM$15*100</f>
        <v>-17.854518419759181</v>
      </c>
      <c r="AN201" s="18">
        <f>(Table2912[[#This Row],[CH4 '[g/g DDM']]]-AN$15)/AN$15*100</f>
        <v>-9.0382470482374728</v>
      </c>
      <c r="AO201" s="18"/>
      <c r="AP201" s="18"/>
      <c r="AR201">
        <f>_xlfn.NORM.DIST(Table2912[[#This Row],[GP '[ml/g']]],O$6,O$2,FALSE)</f>
        <v>7.054680635359481E-3</v>
      </c>
      <c r="AS201">
        <f>_xlfn.NORM.DIST(Table2912[[#This Row],[SCFA '[mmol/g']]],P$6,P$2,FALSE)</f>
        <v>0.33132618676554138</v>
      </c>
      <c r="AT201">
        <f>_xlfn.NORM.DIST(Table2912[[#This Row],[Acetate '[%']]],Q$6,Q$2,FALSE)</f>
        <v>14.022778604853979</v>
      </c>
      <c r="AU201">
        <f>_xlfn.NORM.DIST(Table2912[[#This Row],[Propionate '[%']]],R$6,R$2,FALSE)</f>
        <v>15.994061256610342</v>
      </c>
      <c r="AV201">
        <f>_xlfn.NORM.DIST(Table2912[[#This Row],[Butyrate '[%']]],S$6,S$2,FALSE)</f>
        <v>15.350346758892282</v>
      </c>
      <c r="AW201">
        <f>_xlfn.NORM.DIST(Table2912[[#This Row],[Valerate '[%']]],T$6,T$2,FALSE)</f>
        <v>62.920421340054766</v>
      </c>
      <c r="AX201">
        <f>_xlfn.NORM.DIST(Table2912[[#This Row],[Caproate '[%']]],U$6,U$2,FALSE)</f>
        <v>394.57374517722599</v>
      </c>
      <c r="AY201">
        <f>_xlfn.NORM.DIST(Table2912[[#This Row],[Isobutyrate '[%']]],V$6,V$2,FALSE)</f>
        <v>73.620976963478697</v>
      </c>
      <c r="AZ201">
        <f>_xlfn.NORM.DIST(Table2912[[#This Row],[Isovalerate '[%']]],W$6,W$2,FALSE)</f>
        <v>42.666064934053679</v>
      </c>
      <c r="BA201">
        <f>_xlfn.NORM.DIST(Table2912[[#This Row],[CH4 '[g/mmol SCFA']]],X$6,X$2,FALSE)</f>
        <v>0.22113752882218357</v>
      </c>
      <c r="BB201">
        <f>_xlfn.NORM.DIST(Table2912[[#This Row],[DMD '[mg/g']]],Y$6,Y$2,FALSE)</f>
        <v>2.8607673205853176E-3</v>
      </c>
      <c r="BC201">
        <f>_xlfn.NORM.DIST(Table2912[[#This Row],[CH4 '[ml/g']]],Z$6,Z$2,FALSE)</f>
        <v>2.8875163120394402E-2</v>
      </c>
      <c r="BD201">
        <f>_xlfn.NORM.DIST(Table2912[[#This Row],[CH4 '[% GP']]],AA$6,AA$2,FALSE)</f>
        <v>7.19323119026406E-2</v>
      </c>
      <c r="BE201">
        <f>_xlfn.NORM.DIST(Table2912[[#This Row],[CH4 '[g/g DDM']]],AB$6,AB$2,FALSE)</f>
        <v>2.8126828976612551E-2</v>
      </c>
      <c r="BG201">
        <f>IF(Table2912[[#This Row],[GP '[ml/g']]]&lt;O$10,_xlfn.NORM.DIST(Table2912[[#This Row],[GP '[ml/g']]],O$6,O$2,FALSE),-100)</f>
        <v>-100</v>
      </c>
      <c r="BH201">
        <f>IF(Table2912[[#This Row],[SCFA '[mmol/g']]]&lt;P$10,_xlfn.NORM.DIST(Table2912[[#This Row],[SCFA '[mmol/g']]],P$6,P$2,FALSE),-100)</f>
        <v>-100</v>
      </c>
      <c r="BI201">
        <f>IF(Table2912[[#This Row],[Acetate '[%']]]&lt;Q$10,_xlfn.NORM.DIST(Table2912[[#This Row],[Acetate '[%']]],Q$6,Q$2,FALSE),-100)</f>
        <v>-100</v>
      </c>
      <c r="BJ201">
        <f>IF(Table2912[[#This Row],[Propionate '[%']]]&lt;R$10,_xlfn.NORM.DIST(Table2912[[#This Row],[Propionate '[%']]],R$6,R$2,FALSE),-100)</f>
        <v>-100</v>
      </c>
      <c r="BK201">
        <f>IF(Table2912[[#This Row],[Butyrate '[%']]]&lt;S$10,_xlfn.NORM.DIST(Table2912[[#This Row],[Butyrate '[%']]],S$6,S$2,FALSE),-100)</f>
        <v>-100</v>
      </c>
      <c r="BL201">
        <f>IF(Table2912[[#This Row],[Valerate '[%']]]&lt;T$10,_xlfn.NORM.DIST(Table2912[[#This Row],[Valerate '[%']]],T$6,T$2,FALSE),-100)</f>
        <v>-100</v>
      </c>
      <c r="BM201">
        <f>IF(Table2912[[#This Row],[Caproate '[%']]]&lt;U$10,_xlfn.NORM.DIST(Table2912[[#This Row],[Caproate '[%']]],U$6,U$2,FALSE),-100)</f>
        <v>-100</v>
      </c>
      <c r="BN201">
        <f>IF(Table2912[[#This Row],[Isobutyrate '[%']]]&lt;V$10,_xlfn.NORM.DIST(Table2912[[#This Row],[Isobutyrate '[%']]],V$6,V$2,FALSE),-100)</f>
        <v>-100</v>
      </c>
      <c r="BO201">
        <f>IF(Table2912[[#This Row],[Isovalerate '[%']]]&lt;W$10,_xlfn.NORM.DIST(Table2912[[#This Row],[Isovalerate '[%']]],W$6,W$2,FALSE),-100)</f>
        <v>-100</v>
      </c>
      <c r="BP201">
        <f>IF(Table2912[[#This Row],[CH4 '[g/mmol SCFA']]]&lt;X$10,_xlfn.NORM.DIST(Table2912[[#This Row],[CH4 '[g/mmol SCFA']]],X$6,X$2,FALSE),-100)</f>
        <v>-100</v>
      </c>
      <c r="BQ201">
        <f>IF(Table2912[[#This Row],[DMD '[mg/g']]]&gt;Y$10,_xlfn.NORM.DIST(Table2912[[#This Row],[DMD '[mg/g']]],Y$6,Y$2,FALSE),-100)</f>
        <v>-100</v>
      </c>
      <c r="BR201">
        <f>IF(Table2912[[#This Row],[CH4 '[ml/g']]]&lt;Z$10,_xlfn.NORM.DIST(Table2912[[#This Row],[CH4 '[ml/g']]],Z$6,Z$2,FALSE),-100)</f>
        <v>-100</v>
      </c>
      <c r="BS201">
        <f>IF(Table2912[[#This Row],[CH4 '[% GP']]]&lt;AA$10,_xlfn.NORM.DIST(Table2912[[#This Row],[CH4 '[% GP']]],AA$6,AA$2,FALSE),-100)</f>
        <v>-100</v>
      </c>
      <c r="BT201">
        <f>IF(Table2912[[#This Row],[CH4 '[g/g DDM']]]&lt;AB$10,_xlfn.NORM.DIST(Table2912[[#This Row],[CH4 '[g/g DDM']]],AB$6,AB$2,FALSE),-100)</f>
        <v>-100</v>
      </c>
    </row>
    <row r="202" spans="1:72" x14ac:dyDescent="0.25">
      <c r="A202" s="12" t="s">
        <v>86</v>
      </c>
      <c r="B202" s="13">
        <v>1057</v>
      </c>
      <c r="C202" s="104" t="s">
        <v>265</v>
      </c>
      <c r="D202" s="104" t="s">
        <v>115</v>
      </c>
      <c r="E202" s="104" t="s">
        <v>266</v>
      </c>
      <c r="F202" s="104" t="s">
        <v>267</v>
      </c>
      <c r="G202" s="23" t="s">
        <v>73</v>
      </c>
      <c r="H202" s="23" t="s">
        <v>74</v>
      </c>
      <c r="I202" s="105" t="s">
        <v>75</v>
      </c>
      <c r="J202" s="70">
        <v>2</v>
      </c>
      <c r="K202" s="70"/>
      <c r="L202" s="70"/>
      <c r="M202" t="s">
        <v>267</v>
      </c>
      <c r="N202" t="s">
        <v>98</v>
      </c>
      <c r="O202" s="18">
        <v>229.24309964726564</v>
      </c>
      <c r="P202" s="18">
        <v>6.3810751610875389</v>
      </c>
      <c r="Q202" s="97">
        <v>0.70167105495951931</v>
      </c>
      <c r="R202" s="97">
        <v>0.14774030530769205</v>
      </c>
      <c r="S202" s="97">
        <v>7.7459126719270618E-2</v>
      </c>
      <c r="T202" s="97">
        <v>1.8749323253213122E-2</v>
      </c>
      <c r="U202" s="97">
        <v>9.5234161164999345E-4</v>
      </c>
      <c r="V202" s="97">
        <v>1.934216186729882E-2</v>
      </c>
      <c r="W202" s="97">
        <v>3.4085686281355956E-2</v>
      </c>
      <c r="X202" s="51">
        <f t="shared" si="11"/>
        <v>5.7329615544386909</v>
      </c>
      <c r="Y202" s="18">
        <v>749.59837253566616</v>
      </c>
      <c r="Z202" s="18">
        <v>36.582458574498538</v>
      </c>
      <c r="AA202" s="18">
        <f t="shared" si="12"/>
        <v>15.957932269624539</v>
      </c>
      <c r="AB202" s="18">
        <f t="shared" si="13"/>
        <v>48.802745463215281</v>
      </c>
      <c r="AC202" s="18">
        <f>$CP$15*Table2912[[#This Row],[DMD '[mg/g']]]+$CS$15*Table2912[[#This Row],[CH4 '[ml/g']]]+$CR$15*Table2912[[#This Row],[CH4 '[% GP']]]+$CQ$15*Table2912[[#This Row],[CH4 '[g/g DDM']]]</f>
        <v>13.843742324857651</v>
      </c>
      <c r="AD202" s="18">
        <f>_xlfn.RANK.AVG(Table2912[[#This Row],[Index]],Table2912[Index])</f>
        <v>291</v>
      </c>
      <c r="AE20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5.9144302420545518</v>
      </c>
      <c r="AF202" s="18">
        <f>Table2912[[#This Row],[CH4 '[ml/g']]]/Table2912[[#This Row],[APB]]</f>
        <v>6.1852887053057106</v>
      </c>
      <c r="AG202" s="18">
        <f>Table2912[[#This Row],[Propionate '[%']]]/Table2912[[#This Row],[Acetate '[%']]]</f>
        <v>0.21055493776384357</v>
      </c>
      <c r="AH202" s="51"/>
      <c r="AI202" s="18"/>
      <c r="AJ202" s="18"/>
      <c r="AK202" s="18">
        <f>(Table2912[[#This Row],[DMD '[mg/g']]]-$AK$15)/$AK$15*100</f>
        <v>52.889048843538056</v>
      </c>
      <c r="AL202" s="18">
        <f>(Table2912[[#This Row],[CH4 '[ml/g']]]-AL$15)/AL$15*100</f>
        <v>-6.9910882038553073</v>
      </c>
      <c r="AM202" s="18">
        <f>(Table2912[[#This Row],[CH4 '[% GP']]]-AM$15)/AM$15*100</f>
        <v>2.8061368078647262</v>
      </c>
      <c r="AN202" s="18">
        <f>(Table2912[[#This Row],[CH4 '[g/g DDM']]]-AN$15)/AN$15*100</f>
        <v>-4.711031846144869</v>
      </c>
      <c r="AO202" s="18"/>
      <c r="AP202" s="18"/>
      <c r="AR202">
        <f>_xlfn.NORM.DIST(Table2912[[#This Row],[GP '[ml/g']]],O$6,O$2,FALSE)</f>
        <v>6.6268602472050516E-3</v>
      </c>
      <c r="AS202">
        <f>_xlfn.NORM.DIST(Table2912[[#This Row],[SCFA '[mmol/g']]],P$6,P$2,FALSE)</f>
        <v>0.32992459988893197</v>
      </c>
      <c r="AT202">
        <f>_xlfn.NORM.DIST(Table2912[[#This Row],[Acetate '[%']]],Q$6,Q$2,FALSE)</f>
        <v>8.4763736313919313</v>
      </c>
      <c r="AU202">
        <f>_xlfn.NORM.DIST(Table2912[[#This Row],[Propionate '[%']]],R$6,R$2,FALSE)</f>
        <v>10.026574886389998</v>
      </c>
      <c r="AV202">
        <f>_xlfn.NORM.DIST(Table2912[[#This Row],[Butyrate '[%']]],S$6,S$2,FALSE)</f>
        <v>15.462358552456459</v>
      </c>
      <c r="AW202">
        <f>_xlfn.NORM.DIST(Table2912[[#This Row],[Valerate '[%']]],T$6,T$2,FALSE)</f>
        <v>75.683195345850791</v>
      </c>
      <c r="AX202">
        <f>_xlfn.NORM.DIST(Table2912[[#This Row],[Caproate '[%']]],U$6,U$2,FALSE)</f>
        <v>377.36132303022475</v>
      </c>
      <c r="AY202">
        <f>_xlfn.NORM.DIST(Table2912[[#This Row],[Isobutyrate '[%']]],V$6,V$2,FALSE)</f>
        <v>59.618104951423007</v>
      </c>
      <c r="AZ202">
        <f>_xlfn.NORM.DIST(Table2912[[#This Row],[Isovalerate '[%']]],W$6,W$2,FALSE)</f>
        <v>35.434546666792485</v>
      </c>
      <c r="BA202">
        <f>_xlfn.NORM.DIST(Table2912[[#This Row],[CH4 '[g/mmol SCFA']]],X$6,X$2,FALSE)</f>
        <v>0.27344828846518893</v>
      </c>
      <c r="BB202">
        <f>_xlfn.NORM.DIST(Table2912[[#This Row],[DMD '[mg/g']]],Y$6,Y$2,FALSE)</f>
        <v>2.8622709956067235E-3</v>
      </c>
      <c r="BC202">
        <f>_xlfn.NORM.DIST(Table2912[[#This Row],[CH4 '[ml/g']]],Z$6,Z$2,FALSE)</f>
        <v>3.0874633225405981E-2</v>
      </c>
      <c r="BD202">
        <f>_xlfn.NORM.DIST(Table2912[[#This Row],[CH4 '[% GP']]],AA$6,AA$2,FALSE)</f>
        <v>0.1346233683807754</v>
      </c>
      <c r="BE202">
        <f>_xlfn.NORM.DIST(Table2912[[#This Row],[CH4 '[g/g DDM']]],AB$6,AB$2,FALSE)</f>
        <v>3.0623831002422063E-2</v>
      </c>
      <c r="BG202">
        <f>IF(Table2912[[#This Row],[GP '[ml/g']]]&lt;O$10,_xlfn.NORM.DIST(Table2912[[#This Row],[GP '[ml/g']]],O$6,O$2,FALSE),-100)</f>
        <v>-100</v>
      </c>
      <c r="BH202">
        <f>IF(Table2912[[#This Row],[SCFA '[mmol/g']]]&lt;P$10,_xlfn.NORM.DIST(Table2912[[#This Row],[SCFA '[mmol/g']]],P$6,P$2,FALSE),-100)</f>
        <v>-100</v>
      </c>
      <c r="BI202">
        <f>IF(Table2912[[#This Row],[Acetate '[%']]]&lt;Q$10,_xlfn.NORM.DIST(Table2912[[#This Row],[Acetate '[%']]],Q$6,Q$2,FALSE),-100)</f>
        <v>-100</v>
      </c>
      <c r="BJ202">
        <f>IF(Table2912[[#This Row],[Propionate '[%']]]&lt;R$10,_xlfn.NORM.DIST(Table2912[[#This Row],[Propionate '[%']]],R$6,R$2,FALSE),-100)</f>
        <v>10.026574886389998</v>
      </c>
      <c r="BK202">
        <f>IF(Table2912[[#This Row],[Butyrate '[%']]]&lt;S$10,_xlfn.NORM.DIST(Table2912[[#This Row],[Butyrate '[%']]],S$6,S$2,FALSE),-100)</f>
        <v>-100</v>
      </c>
      <c r="BL202">
        <f>IF(Table2912[[#This Row],[Valerate '[%']]]&lt;T$10,_xlfn.NORM.DIST(Table2912[[#This Row],[Valerate '[%']]],T$6,T$2,FALSE),-100)</f>
        <v>-100</v>
      </c>
      <c r="BM202">
        <f>IF(Table2912[[#This Row],[Caproate '[%']]]&lt;U$10,_xlfn.NORM.DIST(Table2912[[#This Row],[Caproate '[%']]],U$6,U$2,FALSE),-100)</f>
        <v>-100</v>
      </c>
      <c r="BN202">
        <f>IF(Table2912[[#This Row],[Isobutyrate '[%']]]&lt;V$10,_xlfn.NORM.DIST(Table2912[[#This Row],[Isobutyrate '[%']]],V$6,V$2,FALSE),-100)</f>
        <v>-100</v>
      </c>
      <c r="BO202">
        <f>IF(Table2912[[#This Row],[Isovalerate '[%']]]&lt;W$10,_xlfn.NORM.DIST(Table2912[[#This Row],[Isovalerate '[%']]],W$6,W$2,FALSE),-100)</f>
        <v>-100</v>
      </c>
      <c r="BP202">
        <f>IF(Table2912[[#This Row],[CH4 '[g/mmol SCFA']]]&lt;X$10,_xlfn.NORM.DIST(Table2912[[#This Row],[CH4 '[g/mmol SCFA']]],X$6,X$2,FALSE),-100)</f>
        <v>-100</v>
      </c>
      <c r="BQ202">
        <f>IF(Table2912[[#This Row],[DMD '[mg/g']]]&gt;Y$10,_xlfn.NORM.DIST(Table2912[[#This Row],[DMD '[mg/g']]],Y$6,Y$2,FALSE),-100)</f>
        <v>-100</v>
      </c>
      <c r="BR202">
        <f>IF(Table2912[[#This Row],[CH4 '[ml/g']]]&lt;Z$10,_xlfn.NORM.DIST(Table2912[[#This Row],[CH4 '[ml/g']]],Z$6,Z$2,FALSE),-100)</f>
        <v>-100</v>
      </c>
      <c r="BS202">
        <f>IF(Table2912[[#This Row],[CH4 '[% GP']]]&lt;AA$10,_xlfn.NORM.DIST(Table2912[[#This Row],[CH4 '[% GP']]],AA$6,AA$2,FALSE),-100)</f>
        <v>-100</v>
      </c>
      <c r="BT202">
        <f>IF(Table2912[[#This Row],[CH4 '[g/g DDM']]]&lt;AB$10,_xlfn.NORM.DIST(Table2912[[#This Row],[CH4 '[g/g DDM']]],AB$6,AB$2,FALSE),-100)</f>
        <v>-100</v>
      </c>
    </row>
    <row r="203" spans="1:72" x14ac:dyDescent="0.25">
      <c r="A203" s="12" t="s">
        <v>200</v>
      </c>
      <c r="B203" s="13">
        <v>1140</v>
      </c>
      <c r="C203" s="117" t="s">
        <v>249</v>
      </c>
      <c r="D203" s="117" t="s">
        <v>233</v>
      </c>
      <c r="E203" s="117" t="s">
        <v>234</v>
      </c>
      <c r="F203" s="117" t="s">
        <v>235</v>
      </c>
      <c r="G203" s="32" t="s">
        <v>73</v>
      </c>
      <c r="H203" s="32" t="s">
        <v>74</v>
      </c>
      <c r="I203" s="105" t="s">
        <v>48</v>
      </c>
      <c r="J203" s="70">
        <v>1</v>
      </c>
      <c r="K203" s="70"/>
      <c r="L203" s="70"/>
      <c r="M203" t="s">
        <v>250</v>
      </c>
      <c r="N203" t="s">
        <v>171</v>
      </c>
      <c r="O203" s="18">
        <v>258.49791111111102</v>
      </c>
      <c r="P203" s="18">
        <v>6.1313005754758745</v>
      </c>
      <c r="Q203" s="97">
        <v>0.69268402504832982</v>
      </c>
      <c r="R203" s="97">
        <v>0.15525511401312214</v>
      </c>
      <c r="S203" s="97">
        <v>9.2851410341685647E-2</v>
      </c>
      <c r="T203" s="97">
        <v>1.5754399413871051E-2</v>
      </c>
      <c r="U203" s="97">
        <v>1.1842301635569621E-3</v>
      </c>
      <c r="V203" s="97">
        <v>1.4765129794945028E-2</v>
      </c>
      <c r="W203" s="97">
        <v>2.7505691224489502E-2</v>
      </c>
      <c r="X203" s="51">
        <f t="shared" si="11"/>
        <v>8.0810671195590835</v>
      </c>
      <c r="Y203" s="18">
        <v>749.71226206285974</v>
      </c>
      <c r="Z203" s="18">
        <v>49.547451480611777</v>
      </c>
      <c r="AA203" s="18">
        <f t="shared" si="12"/>
        <v>19.167447530867911</v>
      </c>
      <c r="AB203" s="18">
        <f t="shared" si="13"/>
        <v>66.088623579772076</v>
      </c>
      <c r="AC203" s="18">
        <f>$CP$15*Table2912[[#This Row],[DMD '[mg/g']]]+$CS$15*Table2912[[#This Row],[CH4 '[ml/g']]]+$CR$15*Table2912[[#This Row],[CH4 '[% GP']]]+$CQ$15*Table2912[[#This Row],[CH4 '[g/g DDM']]]</f>
        <v>5.2746339661482367</v>
      </c>
      <c r="AD203" s="18">
        <f>_xlfn.RANK.AVG(Table2912[[#This Row],[Index]],Table2912[Index])</f>
        <v>406</v>
      </c>
      <c r="AE20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5.7682696369577222</v>
      </c>
      <c r="AF203" s="18">
        <f>Table2912[[#This Row],[CH4 '[ml/g']]]/Table2912[[#This Row],[APB]]</f>
        <v>8.5896559278639923</v>
      </c>
      <c r="AG203" s="18">
        <f>Table2912[[#This Row],[Propionate '[%']]]/Table2912[[#This Row],[Acetate '[%']]]</f>
        <v>0.22413554867573235</v>
      </c>
      <c r="AH203" s="51"/>
      <c r="AI203" s="18"/>
      <c r="AJ203" s="18"/>
      <c r="AK203" s="18">
        <f>(Table2912[[#This Row],[DMD '[mg/g']]]-$AK$15)/$AK$15*100</f>
        <v>52.912277898087581</v>
      </c>
      <c r="AL203" s="18">
        <f>(Table2912[[#This Row],[CH4 '[ml/g']]]-AL$15)/AL$15*100</f>
        <v>25.971701303215362</v>
      </c>
      <c r="AM203" s="18">
        <f>(Table2912[[#This Row],[CH4 '[% GP']]]-AM$15)/AM$15*100</f>
        <v>23.482867317768001</v>
      </c>
      <c r="AN203" s="18">
        <f>(Table2912[[#This Row],[CH4 '[g/g DDM']]]-AN$15)/AN$15*100</f>
        <v>29.040214599642322</v>
      </c>
      <c r="AO203" s="18"/>
      <c r="AP203" s="18"/>
      <c r="AR203">
        <f>_xlfn.NORM.DIST(Table2912[[#This Row],[GP '[ml/g']]],O$6,O$2,FALSE)</f>
        <v>7.4679774068597306E-3</v>
      </c>
      <c r="AS203">
        <f>_xlfn.NORM.DIST(Table2912[[#This Row],[SCFA '[mmol/g']]],P$6,P$2,FALSE)</f>
        <v>0.31418691475028726</v>
      </c>
      <c r="AT203">
        <f>_xlfn.NORM.DIST(Table2912[[#This Row],[Acetate '[%']]],Q$6,Q$2,FALSE)</f>
        <v>11.073006331423249</v>
      </c>
      <c r="AU203">
        <f>_xlfn.NORM.DIST(Table2912[[#This Row],[Propionate '[%']]],R$6,R$2,FALSE)</f>
        <v>13.14983087096345</v>
      </c>
      <c r="AV203">
        <f>_xlfn.NORM.DIST(Table2912[[#This Row],[Butyrate '[%']]],S$6,S$2,FALSE)</f>
        <v>23.029861251015856</v>
      </c>
      <c r="AW203">
        <f>_xlfn.NORM.DIST(Table2912[[#This Row],[Valerate '[%']]],T$6,T$2,FALSE)</f>
        <v>72.288057900702711</v>
      </c>
      <c r="AX203">
        <f>_xlfn.NORM.DIST(Table2912[[#This Row],[Caproate '[%']]],U$6,U$2,FALSE)</f>
        <v>402.25250784033921</v>
      </c>
      <c r="AY203">
        <f>_xlfn.NORM.DIST(Table2912[[#This Row],[Isobutyrate '[%']]],V$6,V$2,FALSE)</f>
        <v>89.458269611366447</v>
      </c>
      <c r="AZ203">
        <f>_xlfn.NORM.DIST(Table2912[[#This Row],[Isovalerate '[%']]],W$6,W$2,FALSE)</f>
        <v>45.385250825343313</v>
      </c>
      <c r="BA203">
        <f>_xlfn.NORM.DIST(Table2912[[#This Row],[CH4 '[g/mmol SCFA']]],X$6,X$2,FALSE)</f>
        <v>0.12107996939719916</v>
      </c>
      <c r="BB203">
        <f>_xlfn.NORM.DIST(Table2912[[#This Row],[DMD '[mg/g']]],Y$6,Y$2,FALSE)</f>
        <v>2.8627298140054898E-3</v>
      </c>
      <c r="BC203">
        <f>_xlfn.NORM.DIST(Table2912[[#This Row],[CH4 '[ml/g']]],Z$6,Z$2,FALSE)</f>
        <v>2.6509286684659225E-2</v>
      </c>
      <c r="BD203">
        <f>_xlfn.NORM.DIST(Table2912[[#This Row],[CH4 '[% GP']]],AA$6,AA$2,FALSE)</f>
        <v>7.7909402512425951E-2</v>
      </c>
      <c r="BE203">
        <f>_xlfn.NORM.DIST(Table2912[[#This Row],[CH4 '[g/g DDM']]],AB$6,AB$2,FALSE)</f>
        <v>1.8957045128348022E-2</v>
      </c>
      <c r="BG203">
        <f>IF(Table2912[[#This Row],[GP '[ml/g']]]&lt;O$10,_xlfn.NORM.DIST(Table2912[[#This Row],[GP '[ml/g']]],O$6,O$2,FALSE),-100)</f>
        <v>-100</v>
      </c>
      <c r="BH203">
        <f>IF(Table2912[[#This Row],[SCFA '[mmol/g']]]&lt;P$10,_xlfn.NORM.DIST(Table2912[[#This Row],[SCFA '[mmol/g']]],P$6,P$2,FALSE),-100)</f>
        <v>-100</v>
      </c>
      <c r="BI203">
        <f>IF(Table2912[[#This Row],[Acetate '[%']]]&lt;Q$10,_xlfn.NORM.DIST(Table2912[[#This Row],[Acetate '[%']]],Q$6,Q$2,FALSE),-100)</f>
        <v>-100</v>
      </c>
      <c r="BJ203">
        <f>IF(Table2912[[#This Row],[Propionate '[%']]]&lt;R$10,_xlfn.NORM.DIST(Table2912[[#This Row],[Propionate '[%']]],R$6,R$2,FALSE),-100)</f>
        <v>-100</v>
      </c>
      <c r="BK203">
        <f>IF(Table2912[[#This Row],[Butyrate '[%']]]&lt;S$10,_xlfn.NORM.DIST(Table2912[[#This Row],[Butyrate '[%']]],S$6,S$2,FALSE),-100)</f>
        <v>-100</v>
      </c>
      <c r="BL203">
        <f>IF(Table2912[[#This Row],[Valerate '[%']]]&lt;T$10,_xlfn.NORM.DIST(Table2912[[#This Row],[Valerate '[%']]],T$6,T$2,FALSE),-100)</f>
        <v>-100</v>
      </c>
      <c r="BM203">
        <f>IF(Table2912[[#This Row],[Caproate '[%']]]&lt;U$10,_xlfn.NORM.DIST(Table2912[[#This Row],[Caproate '[%']]],U$6,U$2,FALSE),-100)</f>
        <v>-100</v>
      </c>
      <c r="BN203">
        <f>IF(Table2912[[#This Row],[Isobutyrate '[%']]]&lt;V$10,_xlfn.NORM.DIST(Table2912[[#This Row],[Isobutyrate '[%']]],V$6,V$2,FALSE),-100)</f>
        <v>-100</v>
      </c>
      <c r="BO203">
        <f>IF(Table2912[[#This Row],[Isovalerate '[%']]]&lt;W$10,_xlfn.NORM.DIST(Table2912[[#This Row],[Isovalerate '[%']]],W$6,W$2,FALSE),-100)</f>
        <v>-100</v>
      </c>
      <c r="BP203">
        <f>IF(Table2912[[#This Row],[CH4 '[g/mmol SCFA']]]&lt;X$10,_xlfn.NORM.DIST(Table2912[[#This Row],[CH4 '[g/mmol SCFA']]],X$6,X$2,FALSE),-100)</f>
        <v>-100</v>
      </c>
      <c r="BQ203">
        <f>IF(Table2912[[#This Row],[DMD '[mg/g']]]&gt;Y$10,_xlfn.NORM.DIST(Table2912[[#This Row],[DMD '[mg/g']]],Y$6,Y$2,FALSE),-100)</f>
        <v>-100</v>
      </c>
      <c r="BR203">
        <f>IF(Table2912[[#This Row],[CH4 '[ml/g']]]&lt;Z$10,_xlfn.NORM.DIST(Table2912[[#This Row],[CH4 '[ml/g']]],Z$6,Z$2,FALSE),-100)</f>
        <v>-100</v>
      </c>
      <c r="BS203">
        <f>IF(Table2912[[#This Row],[CH4 '[% GP']]]&lt;AA$10,_xlfn.NORM.DIST(Table2912[[#This Row],[CH4 '[% GP']]],AA$6,AA$2,FALSE),-100)</f>
        <v>-100</v>
      </c>
      <c r="BT203">
        <f>IF(Table2912[[#This Row],[CH4 '[g/g DDM']]]&lt;AB$10,_xlfn.NORM.DIST(Table2912[[#This Row],[CH4 '[g/g DDM']]],AB$6,AB$2,FALSE),-100)</f>
        <v>-100</v>
      </c>
    </row>
    <row r="204" spans="1:72" x14ac:dyDescent="0.25">
      <c r="A204" s="12" t="s">
        <v>200</v>
      </c>
      <c r="B204" s="13">
        <v>1153</v>
      </c>
      <c r="C204" s="117" t="s">
        <v>281</v>
      </c>
      <c r="D204" s="117" t="s">
        <v>262</v>
      </c>
      <c r="E204" s="117" t="s">
        <v>282</v>
      </c>
      <c r="F204" s="117" t="s">
        <v>283</v>
      </c>
      <c r="G204" t="s">
        <v>73</v>
      </c>
      <c r="H204" t="s">
        <v>74</v>
      </c>
      <c r="I204" t="s">
        <v>75</v>
      </c>
      <c r="J204" s="70">
        <v>1</v>
      </c>
      <c r="K204" s="70"/>
      <c r="L204" s="70"/>
      <c r="M204" t="s">
        <v>283</v>
      </c>
      <c r="N204" t="s">
        <v>171</v>
      </c>
      <c r="O204" s="18">
        <v>198.11638120333785</v>
      </c>
      <c r="P204" s="18">
        <v>5.3551739628107509</v>
      </c>
      <c r="Q204" s="97">
        <v>0.65629749885620869</v>
      </c>
      <c r="R204" s="97">
        <v>0.20007546822248787</v>
      </c>
      <c r="S204" s="97">
        <v>8.1272301179380571E-2</v>
      </c>
      <c r="T204" s="97">
        <v>1.7167971594207652E-2</v>
      </c>
      <c r="U204" s="97">
        <v>1.655920768668336E-3</v>
      </c>
      <c r="V204" s="97">
        <v>1.5327720414518239E-2</v>
      </c>
      <c r="W204" s="97">
        <v>2.8203118964528547E-2</v>
      </c>
      <c r="X204" s="51">
        <f t="shared" si="11"/>
        <v>7.2772562294144398</v>
      </c>
      <c r="Y204" s="18">
        <v>750.5913137774146</v>
      </c>
      <c r="Z204" s="18">
        <v>38.970973080462549</v>
      </c>
      <c r="AA204" s="18">
        <f t="shared" si="12"/>
        <v>19.670747488802792</v>
      </c>
      <c r="AB204" s="18">
        <f t="shared" si="13"/>
        <v>51.920362473071819</v>
      </c>
      <c r="AC204" s="18">
        <f>$CP$15*Table2912[[#This Row],[DMD '[mg/g']]]+$CS$15*Table2912[[#This Row],[CH4 '[ml/g']]]+$CR$15*Table2912[[#This Row],[CH4 '[% GP']]]+$CQ$15*Table2912[[#This Row],[CH4 '[g/g DDM']]]</f>
        <v>11.438040629470038</v>
      </c>
      <c r="AD204" s="18">
        <f>_xlfn.RANK.AVG(Table2912[[#This Row],[Index]],Table2912[Index])</f>
        <v>335</v>
      </c>
      <c r="AE20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5.0212535269283567</v>
      </c>
      <c r="AF204" s="18">
        <f>Table2912[[#This Row],[CH4 '[ml/g']]]/Table2912[[#This Row],[APB]]</f>
        <v>7.7612040243469247</v>
      </c>
      <c r="AG204" s="18">
        <f>Table2912[[#This Row],[Propionate '[%']]]/Table2912[[#This Row],[Acetate '[%']]]</f>
        <v>0.30485483880584369</v>
      </c>
      <c r="AH204" s="51"/>
      <c r="AI204" s="18"/>
      <c r="AJ204" s="18"/>
      <c r="AK204" s="18">
        <f>(Table2912[[#This Row],[DMD '[mg/g']]]-$AK$15)/$AK$15*100</f>
        <v>53.091570417184094</v>
      </c>
      <c r="AL204" s="18">
        <f>(Table2912[[#This Row],[CH4 '[ml/g']]]-AL$15)/AL$15*100</f>
        <v>-0.91841994519757109</v>
      </c>
      <c r="AM204" s="18">
        <f>(Table2912[[#This Row],[CH4 '[% GP']]]-AM$15)/AM$15*100</f>
        <v>26.725287667510685</v>
      </c>
      <c r="AN204" s="18">
        <f>(Table2912[[#This Row],[CH4 '[g/g DDM']]]-AN$15)/AN$15*100</f>
        <v>1.3762180646630069</v>
      </c>
      <c r="AO204" s="18"/>
      <c r="AP204" s="18"/>
      <c r="AR204">
        <f>_xlfn.NORM.DIST(Table2912[[#This Row],[GP '[ml/g']]],O$6,O$2,FALSE)</f>
        <v>4.1939446858800279E-3</v>
      </c>
      <c r="AS204">
        <f>_xlfn.NORM.DIST(Table2912[[#This Row],[SCFA '[mmol/g']]],P$6,P$2,FALSE)</f>
        <v>0.20462134433385018</v>
      </c>
      <c r="AT204">
        <f>_xlfn.NORM.DIST(Table2912[[#This Row],[Acetate '[%']]],Q$6,Q$2,FALSE)</f>
        <v>11.774637906465156</v>
      </c>
      <c r="AU204">
        <f>_xlfn.NORM.DIST(Table2912[[#This Row],[Propionate '[%']]],R$6,R$2,FALSE)</f>
        <v>8.2984737313063128</v>
      </c>
      <c r="AV204">
        <f>_xlfn.NORM.DIST(Table2912[[#This Row],[Butyrate '[%']]],S$6,S$2,FALSE)</f>
        <v>18.369125683405116</v>
      </c>
      <c r="AW204">
        <f>_xlfn.NORM.DIST(Table2912[[#This Row],[Valerate '[%']]],T$6,T$2,FALSE)</f>
        <v>77.044819673852885</v>
      </c>
      <c r="AX204">
        <f>_xlfn.NORM.DIST(Table2912[[#This Row],[Caproate '[%']]],U$6,U$2,FALSE)</f>
        <v>385.43779725758327</v>
      </c>
      <c r="AY204">
        <f>_xlfn.NORM.DIST(Table2912[[#This Row],[Isobutyrate '[%']]],V$6,V$2,FALSE)</f>
        <v>90.158143928966908</v>
      </c>
      <c r="AZ204">
        <f>_xlfn.NORM.DIST(Table2912[[#This Row],[Isovalerate '[%']]],W$6,W$2,FALSE)</f>
        <v>45.401957710473631</v>
      </c>
      <c r="BA204">
        <f>_xlfn.NORM.DIST(Table2912[[#This Row],[CH4 '[g/mmol SCFA']]],X$6,X$2,FALSE)</f>
        <v>0.22593858419100263</v>
      </c>
      <c r="BB204">
        <f>_xlfn.NORM.DIST(Table2912[[#This Row],[DMD '[mg/g']]],Y$6,Y$2,FALSE)</f>
        <v>2.8662068276452146E-3</v>
      </c>
      <c r="BC204">
        <f>_xlfn.NORM.DIST(Table2912[[#This Row],[CH4 '[ml/g']]],Z$6,Z$2,FALSE)</f>
        <v>3.2817062071851505E-2</v>
      </c>
      <c r="BD204">
        <f>_xlfn.NORM.DIST(Table2912[[#This Row],[CH4 '[% GP']]],AA$6,AA$2,FALSE)</f>
        <v>6.4279219714422103E-2</v>
      </c>
      <c r="BE204">
        <f>_xlfn.NORM.DIST(Table2912[[#This Row],[CH4 '[g/g DDM']]],AB$6,AB$2,FALSE)</f>
        <v>3.2623933035898167E-2</v>
      </c>
      <c r="BG204">
        <f>IF(Table2912[[#This Row],[GP '[ml/g']]]&lt;O$10,_xlfn.NORM.DIST(Table2912[[#This Row],[GP '[ml/g']]],O$6,O$2,FALSE),-100)</f>
        <v>4.1939446858800279E-3</v>
      </c>
      <c r="BH204">
        <f>IF(Table2912[[#This Row],[SCFA '[mmol/g']]]&lt;P$10,_xlfn.NORM.DIST(Table2912[[#This Row],[SCFA '[mmol/g']]],P$6,P$2,FALSE),-100)</f>
        <v>-100</v>
      </c>
      <c r="BI204">
        <f>IF(Table2912[[#This Row],[Acetate '[%']]]&lt;Q$10,_xlfn.NORM.DIST(Table2912[[#This Row],[Acetate '[%']]],Q$6,Q$2,FALSE),-100)</f>
        <v>-100</v>
      </c>
      <c r="BJ204">
        <f>IF(Table2912[[#This Row],[Propionate '[%']]]&lt;R$10,_xlfn.NORM.DIST(Table2912[[#This Row],[Propionate '[%']]],R$6,R$2,FALSE),-100)</f>
        <v>-100</v>
      </c>
      <c r="BK204">
        <f>IF(Table2912[[#This Row],[Butyrate '[%']]]&lt;S$10,_xlfn.NORM.DIST(Table2912[[#This Row],[Butyrate '[%']]],S$6,S$2,FALSE),-100)</f>
        <v>-100</v>
      </c>
      <c r="BL204">
        <f>IF(Table2912[[#This Row],[Valerate '[%']]]&lt;T$10,_xlfn.NORM.DIST(Table2912[[#This Row],[Valerate '[%']]],T$6,T$2,FALSE),-100)</f>
        <v>-100</v>
      </c>
      <c r="BM204">
        <f>IF(Table2912[[#This Row],[Caproate '[%']]]&lt;U$10,_xlfn.NORM.DIST(Table2912[[#This Row],[Caproate '[%']]],U$6,U$2,FALSE),-100)</f>
        <v>-100</v>
      </c>
      <c r="BN204">
        <f>IF(Table2912[[#This Row],[Isobutyrate '[%']]]&lt;V$10,_xlfn.NORM.DIST(Table2912[[#This Row],[Isobutyrate '[%']]],V$6,V$2,FALSE),-100)</f>
        <v>-100</v>
      </c>
      <c r="BO204">
        <f>IF(Table2912[[#This Row],[Isovalerate '[%']]]&lt;W$10,_xlfn.NORM.DIST(Table2912[[#This Row],[Isovalerate '[%']]],W$6,W$2,FALSE),-100)</f>
        <v>-100</v>
      </c>
      <c r="BP204">
        <f>IF(Table2912[[#This Row],[CH4 '[g/mmol SCFA']]]&lt;X$10,_xlfn.NORM.DIST(Table2912[[#This Row],[CH4 '[g/mmol SCFA']]],X$6,X$2,FALSE),-100)</f>
        <v>-100</v>
      </c>
      <c r="BQ204">
        <f>IF(Table2912[[#This Row],[DMD '[mg/g']]]&gt;Y$10,_xlfn.NORM.DIST(Table2912[[#This Row],[DMD '[mg/g']]],Y$6,Y$2,FALSE),-100)</f>
        <v>-100</v>
      </c>
      <c r="BR204">
        <f>IF(Table2912[[#This Row],[CH4 '[ml/g']]]&lt;Z$10,_xlfn.NORM.DIST(Table2912[[#This Row],[CH4 '[ml/g']]],Z$6,Z$2,FALSE),-100)</f>
        <v>-100</v>
      </c>
      <c r="BS204">
        <f>IF(Table2912[[#This Row],[CH4 '[% GP']]]&lt;AA$10,_xlfn.NORM.DIST(Table2912[[#This Row],[CH4 '[% GP']]],AA$6,AA$2,FALSE),-100)</f>
        <v>-100</v>
      </c>
      <c r="BT204">
        <f>IF(Table2912[[#This Row],[CH4 '[g/g DDM']]]&lt;AB$10,_xlfn.NORM.DIST(Table2912[[#This Row],[CH4 '[g/g DDM']]],AB$6,AB$2,FALSE),-100)</f>
        <v>-100</v>
      </c>
    </row>
    <row r="205" spans="1:72" x14ac:dyDescent="0.25">
      <c r="A205" s="12" t="s">
        <v>200</v>
      </c>
      <c r="B205" s="13">
        <v>1143</v>
      </c>
      <c r="C205" s="117" t="s">
        <v>270</v>
      </c>
      <c r="D205" s="117" t="s">
        <v>233</v>
      </c>
      <c r="E205" s="117" t="s">
        <v>234</v>
      </c>
      <c r="F205" s="117" t="s">
        <v>235</v>
      </c>
      <c r="G205" s="32" t="s">
        <v>73</v>
      </c>
      <c r="H205" s="32" t="s">
        <v>74</v>
      </c>
      <c r="I205" s="104" t="s">
        <v>44</v>
      </c>
      <c r="J205" s="70">
        <v>3</v>
      </c>
      <c r="K205" s="70"/>
      <c r="L205" s="70"/>
      <c r="M205" t="s">
        <v>271</v>
      </c>
      <c r="N205" t="s">
        <v>245</v>
      </c>
      <c r="O205" s="18">
        <v>272.98318975038683</v>
      </c>
      <c r="P205" s="18">
        <v>6.7644135188866814</v>
      </c>
      <c r="Q205" s="97">
        <v>0.68041472773287603</v>
      </c>
      <c r="R205" s="97">
        <v>0.15695975181647481</v>
      </c>
      <c r="S205" s="97">
        <v>9.915911502979835E-2</v>
      </c>
      <c r="T205" s="97">
        <v>1.6360519226059269E-2</v>
      </c>
      <c r="U205" s="97">
        <v>1.6327863499061147E-3</v>
      </c>
      <c r="V205" s="97">
        <v>1.5315535962119355E-2</v>
      </c>
      <c r="W205" s="97">
        <v>3.0157563882765939E-2</v>
      </c>
      <c r="X205" s="51">
        <f t="shared" si="11"/>
        <v>8.2064400501317909</v>
      </c>
      <c r="Y205" s="18">
        <v>751.71195051910786</v>
      </c>
      <c r="Z205" s="18">
        <v>55.511754017044581</v>
      </c>
      <c r="AA205" s="18">
        <f t="shared" si="12"/>
        <v>20.335227992538289</v>
      </c>
      <c r="AB205" s="18">
        <f t="shared" si="13"/>
        <v>73.847108561610554</v>
      </c>
      <c r="AC205" s="18">
        <f>$CP$15*Table2912[[#This Row],[DMD '[mg/g']]]+$CS$15*Table2912[[#This Row],[CH4 '[ml/g']]]+$CR$15*Table2912[[#This Row],[CH4 '[% GP']]]+$CQ$15*Table2912[[#This Row],[CH4 '[g/g DDM']]]</f>
        <v>1.7004579837484499</v>
      </c>
      <c r="AD205" s="18">
        <f>_xlfn.RANK.AVG(Table2912[[#This Row],[Index]],Table2912[Index])</f>
        <v>435</v>
      </c>
      <c r="AE20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6.3351005080627356</v>
      </c>
      <c r="AF205" s="18">
        <f>Table2912[[#This Row],[CH4 '[ml/g']]]/Table2912[[#This Row],[APB]]</f>
        <v>8.7625687937222629</v>
      </c>
      <c r="AG205" s="18">
        <f>Table2912[[#This Row],[Propionate '[%']]]/Table2912[[#This Row],[Acetate '[%']]]</f>
        <v>0.23068247264350167</v>
      </c>
      <c r="AH205" s="51"/>
      <c r="AI205" s="18"/>
      <c r="AJ205" s="18"/>
      <c r="AK205" s="18">
        <f>(Table2912[[#This Row],[DMD '[mg/g']]]-$AK$15)/$AK$15*100</f>
        <v>53.320136929351193</v>
      </c>
      <c r="AL205" s="18">
        <f>(Table2912[[#This Row],[CH4 '[ml/g']]]-AL$15)/AL$15*100</f>
        <v>41.135616199938639</v>
      </c>
      <c r="AM205" s="18">
        <f>(Table2912[[#This Row],[CH4 '[% GP']]]-AM$15)/AM$15*100</f>
        <v>31.00608498003103</v>
      </c>
      <c r="AN205" s="18">
        <f>(Table2912[[#This Row],[CH4 '[g/g DDM']]]-AN$15)/AN$15*100</f>
        <v>44.188912103019682</v>
      </c>
      <c r="AO205" s="18"/>
      <c r="AP205" s="18"/>
      <c r="AR205">
        <f>_xlfn.NORM.DIST(Table2912[[#This Row],[GP '[ml/g']]],O$6,O$2,FALSE)</f>
        <v>7.0881646957219619E-3</v>
      </c>
      <c r="AS205">
        <f>_xlfn.NORM.DIST(Table2912[[#This Row],[SCFA '[mmol/g']]],P$6,P$2,FALSE)</f>
        <v>0.32683599015046277</v>
      </c>
      <c r="AT205">
        <f>_xlfn.NORM.DIST(Table2912[[#This Row],[Acetate '[%']]],Q$6,Q$2,FALSE)</f>
        <v>13.573636738241582</v>
      </c>
      <c r="AU205">
        <f>_xlfn.NORM.DIST(Table2912[[#This Row],[Propionate '[%']]],R$6,R$2,FALSE)</f>
        <v>13.790778343927888</v>
      </c>
      <c r="AV205">
        <f>_xlfn.NORM.DIST(Table2912[[#This Row],[Butyrate '[%']]],S$6,S$2,FALSE)</f>
        <v>21.584521440700637</v>
      </c>
      <c r="AW205">
        <f>_xlfn.NORM.DIST(Table2912[[#This Row],[Valerate '[%']]],T$6,T$2,FALSE)</f>
        <v>74.977993627382403</v>
      </c>
      <c r="AX205">
        <f>_xlfn.NORM.DIST(Table2912[[#This Row],[Caproate '[%']]],U$6,U$2,FALSE)</f>
        <v>388.33643546991902</v>
      </c>
      <c r="AY205">
        <f>_xlfn.NORM.DIST(Table2912[[#This Row],[Isobutyrate '[%']]],V$6,V$2,FALSE)</f>
        <v>90.158367401345544</v>
      </c>
      <c r="AZ205">
        <f>_xlfn.NORM.DIST(Table2912[[#This Row],[Isovalerate '[%']]],W$6,W$2,FALSE)</f>
        <v>43.946860611208074</v>
      </c>
      <c r="BA205">
        <f>_xlfn.NORM.DIST(Table2912[[#This Row],[CH4 '[g/mmol SCFA']]],X$6,X$2,FALSE)</f>
        <v>0.10635495752721275</v>
      </c>
      <c r="BB205">
        <f>_xlfn.NORM.DIST(Table2912[[#This Row],[DMD '[mg/g']]],Y$6,Y$2,FALSE)</f>
        <v>2.8704736900041069E-3</v>
      </c>
      <c r="BC205">
        <f>_xlfn.NORM.DIST(Table2912[[#This Row],[CH4 '[ml/g']]],Z$6,Z$2,FALSE)</f>
        <v>1.6596279042278252E-2</v>
      </c>
      <c r="BD205">
        <f>_xlfn.NORM.DIST(Table2912[[#This Row],[CH4 '[% GP']]],AA$6,AA$2,FALSE)</f>
        <v>4.7707901832371037E-2</v>
      </c>
      <c r="BE205">
        <f>_xlfn.NORM.DIST(Table2912[[#This Row],[CH4 '[g/g DDM']]],AB$6,AB$2,FALSE)</f>
        <v>7.9097648025087137E-3</v>
      </c>
      <c r="BG205">
        <f>IF(Table2912[[#This Row],[GP '[ml/g']]]&lt;O$10,_xlfn.NORM.DIST(Table2912[[#This Row],[GP '[ml/g']]],O$6,O$2,FALSE),-100)</f>
        <v>-100</v>
      </c>
      <c r="BH205">
        <f>IF(Table2912[[#This Row],[SCFA '[mmol/g']]]&lt;P$10,_xlfn.NORM.DIST(Table2912[[#This Row],[SCFA '[mmol/g']]],P$6,P$2,FALSE),-100)</f>
        <v>-100</v>
      </c>
      <c r="BI205">
        <f>IF(Table2912[[#This Row],[Acetate '[%']]]&lt;Q$10,_xlfn.NORM.DIST(Table2912[[#This Row],[Acetate '[%']]],Q$6,Q$2,FALSE),-100)</f>
        <v>-100</v>
      </c>
      <c r="BJ205">
        <f>IF(Table2912[[#This Row],[Propionate '[%']]]&lt;R$10,_xlfn.NORM.DIST(Table2912[[#This Row],[Propionate '[%']]],R$6,R$2,FALSE),-100)</f>
        <v>-100</v>
      </c>
      <c r="BK205">
        <f>IF(Table2912[[#This Row],[Butyrate '[%']]]&lt;S$10,_xlfn.NORM.DIST(Table2912[[#This Row],[Butyrate '[%']]],S$6,S$2,FALSE),-100)</f>
        <v>-100</v>
      </c>
      <c r="BL205">
        <f>IF(Table2912[[#This Row],[Valerate '[%']]]&lt;T$10,_xlfn.NORM.DIST(Table2912[[#This Row],[Valerate '[%']]],T$6,T$2,FALSE),-100)</f>
        <v>-100</v>
      </c>
      <c r="BM205">
        <f>IF(Table2912[[#This Row],[Caproate '[%']]]&lt;U$10,_xlfn.NORM.DIST(Table2912[[#This Row],[Caproate '[%']]],U$6,U$2,FALSE),-100)</f>
        <v>-100</v>
      </c>
      <c r="BN205">
        <f>IF(Table2912[[#This Row],[Isobutyrate '[%']]]&lt;V$10,_xlfn.NORM.DIST(Table2912[[#This Row],[Isobutyrate '[%']]],V$6,V$2,FALSE),-100)</f>
        <v>-100</v>
      </c>
      <c r="BO205">
        <f>IF(Table2912[[#This Row],[Isovalerate '[%']]]&lt;W$10,_xlfn.NORM.DIST(Table2912[[#This Row],[Isovalerate '[%']]],W$6,W$2,FALSE),-100)</f>
        <v>-100</v>
      </c>
      <c r="BP205">
        <f>IF(Table2912[[#This Row],[CH4 '[g/mmol SCFA']]]&lt;X$10,_xlfn.NORM.DIST(Table2912[[#This Row],[CH4 '[g/mmol SCFA']]],X$6,X$2,FALSE),-100)</f>
        <v>-100</v>
      </c>
      <c r="BQ205">
        <f>IF(Table2912[[#This Row],[DMD '[mg/g']]]&gt;Y$10,_xlfn.NORM.DIST(Table2912[[#This Row],[DMD '[mg/g']]],Y$6,Y$2,FALSE),-100)</f>
        <v>-100</v>
      </c>
      <c r="BR205">
        <f>IF(Table2912[[#This Row],[CH4 '[ml/g']]]&lt;Z$10,_xlfn.NORM.DIST(Table2912[[#This Row],[CH4 '[ml/g']]],Z$6,Z$2,FALSE),-100)</f>
        <v>-100</v>
      </c>
      <c r="BS205">
        <f>IF(Table2912[[#This Row],[CH4 '[% GP']]]&lt;AA$10,_xlfn.NORM.DIST(Table2912[[#This Row],[CH4 '[% GP']]],AA$6,AA$2,FALSE),-100)</f>
        <v>-100</v>
      </c>
      <c r="BT205">
        <f>IF(Table2912[[#This Row],[CH4 '[g/g DDM']]]&lt;AB$10,_xlfn.NORM.DIST(Table2912[[#This Row],[CH4 '[g/g DDM']]],AB$6,AB$2,FALSE),-100)</f>
        <v>-100</v>
      </c>
    </row>
    <row r="206" spans="1:72" x14ac:dyDescent="0.25">
      <c r="A206" s="12" t="s">
        <v>86</v>
      </c>
      <c r="B206" s="13">
        <v>1085</v>
      </c>
      <c r="C206" s="104" t="s">
        <v>246</v>
      </c>
      <c r="D206" s="104" t="s">
        <v>164</v>
      </c>
      <c r="E206" s="104" t="s">
        <v>247</v>
      </c>
      <c r="F206" s="104" t="s">
        <v>248</v>
      </c>
      <c r="G206" s="32" t="s">
        <v>143</v>
      </c>
      <c r="H206" s="32" t="s">
        <v>144</v>
      </c>
      <c r="I206" s="32" t="s">
        <v>52</v>
      </c>
      <c r="J206" s="100">
        <v>1</v>
      </c>
      <c r="K206" s="100"/>
      <c r="L206" s="100"/>
      <c r="M206" t="s">
        <v>248</v>
      </c>
      <c r="N206" t="s">
        <v>145</v>
      </c>
      <c r="O206" s="18">
        <v>305.80386569471955</v>
      </c>
      <c r="P206" s="18">
        <v>6.384470952065386</v>
      </c>
      <c r="Q206" s="97">
        <v>0.65387077242453073</v>
      </c>
      <c r="R206" s="97">
        <v>0.17187094541994638</v>
      </c>
      <c r="S206" s="97">
        <v>0.10627108381627885</v>
      </c>
      <c r="T206" s="97">
        <v>1.7403338811521493E-2</v>
      </c>
      <c r="U206" s="97">
        <v>5.5358532998875517E-4</v>
      </c>
      <c r="V206" s="97">
        <v>1.6624859441224802E-2</v>
      </c>
      <c r="W206" s="97">
        <v>3.3405414756508947E-2</v>
      </c>
      <c r="X206" s="51">
        <f t="shared" si="11"/>
        <v>6.4235934593114781</v>
      </c>
      <c r="Y206" s="18">
        <v>752.81643472498376</v>
      </c>
      <c r="Z206" s="18">
        <v>41.011245848851338</v>
      </c>
      <c r="AA206" s="18">
        <f t="shared" si="12"/>
        <v>13.410963839741774</v>
      </c>
      <c r="AB206" s="18">
        <f t="shared" si="13"/>
        <v>54.477086255208313</v>
      </c>
      <c r="AC206" s="18">
        <f>$CP$15*Table2912[[#This Row],[DMD '[mg/g']]]+$CS$15*Table2912[[#This Row],[CH4 '[ml/g']]]+$CR$15*Table2912[[#This Row],[CH4 '[% GP']]]+$CQ$15*Table2912[[#This Row],[CH4 '[g/g DDM']]]</f>
        <v>12.385157720259286</v>
      </c>
      <c r="AD206" s="18">
        <f>_xlfn.RANK.AVG(Table2912[[#This Row],[Index]],Table2912[Index])</f>
        <v>315</v>
      </c>
      <c r="AE20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5.9504086591561745</v>
      </c>
      <c r="AF206" s="18">
        <f>Table2912[[#This Row],[CH4 '[ml/g']]]/Table2912[[#This Row],[APB]]</f>
        <v>6.8921729914709973</v>
      </c>
      <c r="AG206" s="18">
        <f>Table2912[[#This Row],[Propionate '[%']]]/Table2912[[#This Row],[Acetate '[%']]]</f>
        <v>0.26285154906474062</v>
      </c>
      <c r="AH206" s="51"/>
      <c r="AI206" s="18"/>
      <c r="AJ206" s="18"/>
      <c r="AK206" s="18">
        <f>(Table2912[[#This Row],[DMD '[mg/g']]]-$AK$15)/$AK$15*100</f>
        <v>53.545408949523619</v>
      </c>
      <c r="AL206" s="18">
        <f>(Table2912[[#This Row],[CH4 '[ml/g']]]-AL$15)/AL$15*100</f>
        <v>4.2688626309229987</v>
      </c>
      <c r="AM206" s="18">
        <f>(Table2912[[#This Row],[CH4 '[% GP']]]-AM$15)/AM$15*100</f>
        <v>-13.602253729438935</v>
      </c>
      <c r="AN206" s="18">
        <f>(Table2912[[#This Row],[CH4 '[g/g DDM']]]-AN$15)/AN$15*100</f>
        <v>6.368305471668438</v>
      </c>
      <c r="AO206" s="18"/>
      <c r="AP206" s="18"/>
      <c r="AR206">
        <f>_xlfn.NORM.DIST(Table2912[[#This Row],[GP '[ml/g']]],O$6,O$2,FALSE)</f>
        <v>4.793490308895065E-3</v>
      </c>
      <c r="AS206">
        <f>_xlfn.NORM.DIST(Table2912[[#This Row],[SCFA '[mmol/g']]],P$6,P$2,FALSE)</f>
        <v>0.33004519448693476</v>
      </c>
      <c r="AT206">
        <f>_xlfn.NORM.DIST(Table2912[[#This Row],[Acetate '[%']]],Q$6,Q$2,FALSE)</f>
        <v>11.154300187400819</v>
      </c>
      <c r="AU206">
        <f>_xlfn.NORM.DIST(Table2912[[#This Row],[Propionate '[%']]],R$6,R$2,FALSE)</f>
        <v>16.791081341405249</v>
      </c>
      <c r="AV206">
        <f>_xlfn.NORM.DIST(Table2912[[#This Row],[Butyrate '[%']]],S$6,S$2,FALSE)</f>
        <v>17.113536066338906</v>
      </c>
      <c r="AW206">
        <f>_xlfn.NORM.DIST(Table2912[[#This Row],[Valerate '[%']]],T$6,T$2,FALSE)</f>
        <v>77.300078373987617</v>
      </c>
      <c r="AX206">
        <f>_xlfn.NORM.DIST(Table2912[[#This Row],[Caproate '[%']]],U$6,U$2,FALSE)</f>
        <v>296.64855359198316</v>
      </c>
      <c r="AY206">
        <f>_xlfn.NORM.DIST(Table2912[[#This Row],[Isobutyrate '[%']]],V$6,V$2,FALSE)</f>
        <v>86.308733967122961</v>
      </c>
      <c r="AZ206">
        <f>_xlfn.NORM.DIST(Table2912[[#This Row],[Isovalerate '[%']]],W$6,W$2,FALSE)</f>
        <v>37.311342551791064</v>
      </c>
      <c r="BA206">
        <f>_xlfn.NORM.DIST(Table2912[[#This Row],[CH4 '[g/mmol SCFA']]],X$6,X$2,FALSE)</f>
        <v>0.29577200030083023</v>
      </c>
      <c r="BB206">
        <f>_xlfn.NORM.DIST(Table2912[[#This Row],[DMD '[mg/g']]],Y$6,Y$2,FALSE)</f>
        <v>2.8744965407967041E-3</v>
      </c>
      <c r="BC206">
        <f>_xlfn.NORM.DIST(Table2912[[#This Row],[CH4 '[ml/g']]],Z$6,Z$2,FALSE)</f>
        <v>3.348834590975476E-2</v>
      </c>
      <c r="BD206">
        <f>_xlfn.NORM.DIST(Table2912[[#This Row],[CH4 '[% GP']]],AA$6,AA$2,FALSE)</f>
        <v>9.0068605305156632E-2</v>
      </c>
      <c r="BE206">
        <f>_xlfn.NORM.DIST(Table2912[[#This Row],[CH4 '[g/g DDM']]],AB$6,AB$2,FALSE)</f>
        <v>3.2711979371976035E-2</v>
      </c>
      <c r="BG206">
        <f>IF(Table2912[[#This Row],[GP '[ml/g']]]&lt;O$10,_xlfn.NORM.DIST(Table2912[[#This Row],[GP '[ml/g']]],O$6,O$2,FALSE),-100)</f>
        <v>-100</v>
      </c>
      <c r="BH206">
        <f>IF(Table2912[[#This Row],[SCFA '[mmol/g']]]&lt;P$10,_xlfn.NORM.DIST(Table2912[[#This Row],[SCFA '[mmol/g']]],P$6,P$2,FALSE),-100)</f>
        <v>-100</v>
      </c>
      <c r="BI206">
        <f>IF(Table2912[[#This Row],[Acetate '[%']]]&lt;Q$10,_xlfn.NORM.DIST(Table2912[[#This Row],[Acetate '[%']]],Q$6,Q$2,FALSE),-100)</f>
        <v>-100</v>
      </c>
      <c r="BJ206">
        <f>IF(Table2912[[#This Row],[Propionate '[%']]]&lt;R$10,_xlfn.NORM.DIST(Table2912[[#This Row],[Propionate '[%']]],R$6,R$2,FALSE),-100)</f>
        <v>-100</v>
      </c>
      <c r="BK206">
        <f>IF(Table2912[[#This Row],[Butyrate '[%']]]&lt;S$10,_xlfn.NORM.DIST(Table2912[[#This Row],[Butyrate '[%']]],S$6,S$2,FALSE),-100)</f>
        <v>-100</v>
      </c>
      <c r="BL206">
        <f>IF(Table2912[[#This Row],[Valerate '[%']]]&lt;T$10,_xlfn.NORM.DIST(Table2912[[#This Row],[Valerate '[%']]],T$6,T$2,FALSE),-100)</f>
        <v>-100</v>
      </c>
      <c r="BM206">
        <f>IF(Table2912[[#This Row],[Caproate '[%']]]&lt;U$10,_xlfn.NORM.DIST(Table2912[[#This Row],[Caproate '[%']]],U$6,U$2,FALSE),-100)</f>
        <v>-100</v>
      </c>
      <c r="BN206">
        <f>IF(Table2912[[#This Row],[Isobutyrate '[%']]]&lt;V$10,_xlfn.NORM.DIST(Table2912[[#This Row],[Isobutyrate '[%']]],V$6,V$2,FALSE),-100)</f>
        <v>-100</v>
      </c>
      <c r="BO206">
        <f>IF(Table2912[[#This Row],[Isovalerate '[%']]]&lt;W$10,_xlfn.NORM.DIST(Table2912[[#This Row],[Isovalerate '[%']]],W$6,W$2,FALSE),-100)</f>
        <v>-100</v>
      </c>
      <c r="BP206">
        <f>IF(Table2912[[#This Row],[CH4 '[g/mmol SCFA']]]&lt;X$10,_xlfn.NORM.DIST(Table2912[[#This Row],[CH4 '[g/mmol SCFA']]],X$6,X$2,FALSE),-100)</f>
        <v>-100</v>
      </c>
      <c r="BQ206">
        <f>IF(Table2912[[#This Row],[DMD '[mg/g']]]&gt;Y$10,_xlfn.NORM.DIST(Table2912[[#This Row],[DMD '[mg/g']]],Y$6,Y$2,FALSE),-100)</f>
        <v>-100</v>
      </c>
      <c r="BR206">
        <f>IF(Table2912[[#This Row],[CH4 '[ml/g']]]&lt;Z$10,_xlfn.NORM.DIST(Table2912[[#This Row],[CH4 '[ml/g']]],Z$6,Z$2,FALSE),-100)</f>
        <v>-100</v>
      </c>
      <c r="BS206">
        <f>IF(Table2912[[#This Row],[CH4 '[% GP']]]&lt;AA$10,_xlfn.NORM.DIST(Table2912[[#This Row],[CH4 '[% GP']]],AA$6,AA$2,FALSE),-100)</f>
        <v>-100</v>
      </c>
      <c r="BT206">
        <f>IF(Table2912[[#This Row],[CH4 '[g/g DDM']]]&lt;AB$10,_xlfn.NORM.DIST(Table2912[[#This Row],[CH4 '[g/g DDM']]],AB$6,AB$2,FALSE),-100)</f>
        <v>-100</v>
      </c>
    </row>
    <row r="207" spans="1:72" x14ac:dyDescent="0.25">
      <c r="A207" s="12" t="s">
        <v>86</v>
      </c>
      <c r="B207" s="13">
        <v>1044</v>
      </c>
      <c r="C207" s="104" t="s">
        <v>284</v>
      </c>
      <c r="D207" s="104" t="s">
        <v>285</v>
      </c>
      <c r="E207" s="104" t="s">
        <v>286</v>
      </c>
      <c r="F207" s="104" t="s">
        <v>287</v>
      </c>
      <c r="G207" s="32" t="s">
        <v>73</v>
      </c>
      <c r="H207" s="32" t="s">
        <v>74</v>
      </c>
      <c r="I207" s="99" t="s">
        <v>75</v>
      </c>
      <c r="J207" s="100">
        <v>1</v>
      </c>
      <c r="K207" s="100"/>
      <c r="L207" s="100"/>
      <c r="M207" t="s">
        <v>287</v>
      </c>
      <c r="N207" t="s">
        <v>84</v>
      </c>
      <c r="O207" s="18">
        <v>209.59360670194056</v>
      </c>
      <c r="P207" s="18">
        <v>5.9952436500992929</v>
      </c>
      <c r="Q207" s="97">
        <v>0.65386506262810551</v>
      </c>
      <c r="R207" s="97">
        <v>0.169581230500507</v>
      </c>
      <c r="S207" s="97">
        <v>0.11242380388867845</v>
      </c>
      <c r="T207" s="97">
        <v>1.7052201703112096E-2</v>
      </c>
      <c r="U207" s="97">
        <v>1.0521132900952602E-3</v>
      </c>
      <c r="V207" s="97">
        <v>1.5966055949852516E-2</v>
      </c>
      <c r="W207" s="97">
        <v>3.0059532039649228E-2</v>
      </c>
      <c r="X207" s="51">
        <f t="shared" si="11"/>
        <v>5.2271360918768881</v>
      </c>
      <c r="Y207" s="18">
        <v>753.61326361982537</v>
      </c>
      <c r="Z207" s="18">
        <v>31.33795446302975</v>
      </c>
      <c r="AA207" s="18">
        <f t="shared" si="12"/>
        <v>14.951770216729422</v>
      </c>
      <c r="AB207" s="18">
        <f t="shared" si="13"/>
        <v>41.583602592799885</v>
      </c>
      <c r="AC207" s="18">
        <f>$CP$15*Table2912[[#This Row],[DMD '[mg/g']]]+$CS$15*Table2912[[#This Row],[CH4 '[ml/g']]]+$CR$15*Table2912[[#This Row],[CH4 '[% GP']]]+$CQ$15*Table2912[[#This Row],[CH4 '[g/g DDM']]]</f>
        <v>17.639871779672958</v>
      </c>
      <c r="AD207" s="18">
        <f>_xlfn.RANK.AVG(Table2912[[#This Row],[Index]],Table2912[Index])</f>
        <v>213</v>
      </c>
      <c r="AE20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5.6107692564607232</v>
      </c>
      <c r="AF207" s="18">
        <f>Table2912[[#This Row],[CH4 '[ml/g']]]/Table2912[[#This Row],[APB]]</f>
        <v>5.5853222669858553</v>
      </c>
      <c r="AG207" s="18">
        <f>Table2912[[#This Row],[Propionate '[%']]]/Table2912[[#This Row],[Acetate '[%']]]</f>
        <v>0.25935202871813107</v>
      </c>
      <c r="AH207" s="51"/>
      <c r="AI207" s="18"/>
      <c r="AJ207" s="18"/>
      <c r="AK207" s="18">
        <f>(Table2912[[#This Row],[DMD '[mg/g']]]-$AK$15)/$AK$15*100</f>
        <v>53.70793119648539</v>
      </c>
      <c r="AL207" s="18">
        <f>(Table2912[[#This Row],[CH4 '[ml/g']]]-AL$15)/AL$15*100</f>
        <v>-20.324954743327091</v>
      </c>
      <c r="AM207" s="18">
        <f>(Table2912[[#This Row],[CH4 '[% GP']]]-AM$15)/AM$15*100</f>
        <v>-3.6758830373825062</v>
      </c>
      <c r="AN207" s="18">
        <f>(Table2912[[#This Row],[CH4 '[g/g DDM']]]-AN$15)/AN$15*100</f>
        <v>-18.806646110216267</v>
      </c>
      <c r="AO207" s="18"/>
      <c r="AP207" s="18"/>
      <c r="AR207">
        <f>_xlfn.NORM.DIST(Table2912[[#This Row],[GP '[ml/g']]],O$6,O$2,FALSE)</f>
        <v>5.1653309170520845E-3</v>
      </c>
      <c r="AS207">
        <f>_xlfn.NORM.DIST(Table2912[[#This Row],[SCFA '[mmol/g']]],P$6,P$2,FALSE)</f>
        <v>0.30039699393957536</v>
      </c>
      <c r="AT207">
        <f>_xlfn.NORM.DIST(Table2912[[#This Row],[Acetate '[%']]],Q$6,Q$2,FALSE)</f>
        <v>11.152784093581415</v>
      </c>
      <c r="AU207">
        <f>_xlfn.NORM.DIST(Table2912[[#This Row],[Propionate '[%']]],R$6,R$2,FALSE)</f>
        <v>16.7135228730622</v>
      </c>
      <c r="AV207">
        <f>_xlfn.NORM.DIST(Table2912[[#This Row],[Butyrate '[%']]],S$6,S$2,FALSE)</f>
        <v>12.220074820539585</v>
      </c>
      <c r="AW207">
        <f>_xlfn.NORM.DIST(Table2912[[#This Row],[Valerate '[%']]],T$6,T$2,FALSE)</f>
        <v>76.860755672544045</v>
      </c>
      <c r="AX207">
        <f>_xlfn.NORM.DIST(Table2912[[#This Row],[Caproate '[%']]],U$6,U$2,FALSE)</f>
        <v>390.54508460205153</v>
      </c>
      <c r="AY207">
        <f>_xlfn.NORM.DIST(Table2912[[#This Row],[Isobutyrate '[%']]],V$6,V$2,FALSE)</f>
        <v>89.195570345376396</v>
      </c>
      <c r="AZ207">
        <f>_xlfn.NORM.DIST(Table2912[[#This Row],[Isovalerate '[%']]],W$6,W$2,FALSE)</f>
        <v>44.070694321289047</v>
      </c>
      <c r="BA207">
        <f>_xlfn.NORM.DIST(Table2912[[#This Row],[CH4 '[g/mmol SCFA']]],X$6,X$2,FALSE)</f>
        <v>0.21821152714875974</v>
      </c>
      <c r="BB207">
        <f>_xlfn.NORM.DIST(Table2912[[#This Row],[DMD '[mg/g']]],Y$6,Y$2,FALSE)</f>
        <v>2.8772858691413356E-3</v>
      </c>
      <c r="BC207">
        <f>_xlfn.NORM.DIST(Table2912[[#This Row],[CH4 '[ml/g']]],Z$6,Z$2,FALSE)</f>
        <v>2.3447844763931316E-2</v>
      </c>
      <c r="BD207">
        <f>_xlfn.NORM.DIST(Table2912[[#This Row],[CH4 '[% GP']]],AA$6,AA$2,FALSE)</f>
        <v>0.12547429008091976</v>
      </c>
      <c r="BE207">
        <f>_xlfn.NORM.DIST(Table2912[[#This Row],[CH4 '[g/g DDM']]],AB$6,AB$2,FALSE)</f>
        <v>2.0537667878324881E-2</v>
      </c>
      <c r="BG207">
        <f>IF(Table2912[[#This Row],[GP '[ml/g']]]&lt;O$10,_xlfn.NORM.DIST(Table2912[[#This Row],[GP '[ml/g']]],O$6,O$2,FALSE),-100)</f>
        <v>-100</v>
      </c>
      <c r="BH207">
        <f>IF(Table2912[[#This Row],[SCFA '[mmol/g']]]&lt;P$10,_xlfn.NORM.DIST(Table2912[[#This Row],[SCFA '[mmol/g']]],P$6,P$2,FALSE),-100)</f>
        <v>-100</v>
      </c>
      <c r="BI207">
        <f>IF(Table2912[[#This Row],[Acetate '[%']]]&lt;Q$10,_xlfn.NORM.DIST(Table2912[[#This Row],[Acetate '[%']]],Q$6,Q$2,FALSE),-100)</f>
        <v>-100</v>
      </c>
      <c r="BJ207">
        <f>IF(Table2912[[#This Row],[Propionate '[%']]]&lt;R$10,_xlfn.NORM.DIST(Table2912[[#This Row],[Propionate '[%']]],R$6,R$2,FALSE),-100)</f>
        <v>-100</v>
      </c>
      <c r="BK207">
        <f>IF(Table2912[[#This Row],[Butyrate '[%']]]&lt;S$10,_xlfn.NORM.DIST(Table2912[[#This Row],[Butyrate '[%']]],S$6,S$2,FALSE),-100)</f>
        <v>-100</v>
      </c>
      <c r="BL207">
        <f>IF(Table2912[[#This Row],[Valerate '[%']]]&lt;T$10,_xlfn.NORM.DIST(Table2912[[#This Row],[Valerate '[%']]],T$6,T$2,FALSE),-100)</f>
        <v>-100</v>
      </c>
      <c r="BM207">
        <f>IF(Table2912[[#This Row],[Caproate '[%']]]&lt;U$10,_xlfn.NORM.DIST(Table2912[[#This Row],[Caproate '[%']]],U$6,U$2,FALSE),-100)</f>
        <v>-100</v>
      </c>
      <c r="BN207">
        <f>IF(Table2912[[#This Row],[Isobutyrate '[%']]]&lt;V$10,_xlfn.NORM.DIST(Table2912[[#This Row],[Isobutyrate '[%']]],V$6,V$2,FALSE),-100)</f>
        <v>-100</v>
      </c>
      <c r="BO207">
        <f>IF(Table2912[[#This Row],[Isovalerate '[%']]]&lt;W$10,_xlfn.NORM.DIST(Table2912[[#This Row],[Isovalerate '[%']]],W$6,W$2,FALSE),-100)</f>
        <v>-100</v>
      </c>
      <c r="BP207">
        <f>IF(Table2912[[#This Row],[CH4 '[g/mmol SCFA']]]&lt;X$10,_xlfn.NORM.DIST(Table2912[[#This Row],[CH4 '[g/mmol SCFA']]],X$6,X$2,FALSE),-100)</f>
        <v>-100</v>
      </c>
      <c r="BQ207">
        <f>IF(Table2912[[#This Row],[DMD '[mg/g']]]&gt;Y$10,_xlfn.NORM.DIST(Table2912[[#This Row],[DMD '[mg/g']]],Y$6,Y$2,FALSE),-100)</f>
        <v>-100</v>
      </c>
      <c r="BR207">
        <f>IF(Table2912[[#This Row],[CH4 '[ml/g']]]&lt;Z$10,_xlfn.NORM.DIST(Table2912[[#This Row],[CH4 '[ml/g']]],Z$6,Z$2,FALSE),-100)</f>
        <v>-100</v>
      </c>
      <c r="BS207">
        <f>IF(Table2912[[#This Row],[CH4 '[% GP']]]&lt;AA$10,_xlfn.NORM.DIST(Table2912[[#This Row],[CH4 '[% GP']]],AA$6,AA$2,FALSE),-100)</f>
        <v>-100</v>
      </c>
      <c r="BT207">
        <f>IF(Table2912[[#This Row],[CH4 '[g/g DDM']]]&lt;AB$10,_xlfn.NORM.DIST(Table2912[[#This Row],[CH4 '[g/g DDM']]],AB$6,AB$2,FALSE),-100)</f>
        <v>-100</v>
      </c>
    </row>
    <row r="208" spans="1:72" x14ac:dyDescent="0.25">
      <c r="A208" s="12" t="s">
        <v>86</v>
      </c>
      <c r="B208" s="13">
        <v>1088</v>
      </c>
      <c r="C208" s="104" t="s">
        <v>288</v>
      </c>
      <c r="D208" s="104" t="s">
        <v>289</v>
      </c>
      <c r="E208" s="104" t="s">
        <v>290</v>
      </c>
      <c r="F208" s="104" t="s">
        <v>291</v>
      </c>
      <c r="G208" s="32" t="s">
        <v>143</v>
      </c>
      <c r="H208" s="32" t="s">
        <v>144</v>
      </c>
      <c r="I208" s="32" t="s">
        <v>52</v>
      </c>
      <c r="J208" s="100">
        <v>1</v>
      </c>
      <c r="K208" s="100"/>
      <c r="L208" s="100"/>
      <c r="M208" t="s">
        <v>291</v>
      </c>
      <c r="N208" t="s">
        <v>145</v>
      </c>
      <c r="O208" s="18">
        <v>312.61930638391766</v>
      </c>
      <c r="P208" s="18">
        <v>6.4588268587858009</v>
      </c>
      <c r="Q208" s="97">
        <v>0.64560986507932849</v>
      </c>
      <c r="R208" s="97">
        <v>0.17223682002946</v>
      </c>
      <c r="S208" s="97">
        <v>9.6603653081048652E-2</v>
      </c>
      <c r="T208" s="97">
        <v>2.3180813469802317E-2</v>
      </c>
      <c r="U208" s="97">
        <v>1.4151625965370355E-3</v>
      </c>
      <c r="V208" s="97">
        <v>2.0903414759774121E-2</v>
      </c>
      <c r="W208" s="97">
        <v>4.005027098404941E-2</v>
      </c>
      <c r="X208" s="51">
        <f t="shared" si="11"/>
        <v>7.4193805935514474</v>
      </c>
      <c r="Y208" s="18">
        <v>755.52132964182397</v>
      </c>
      <c r="Z208" s="18">
        <v>47.920494653184228</v>
      </c>
      <c r="AA208" s="18">
        <f t="shared" si="12"/>
        <v>15.32870608903937</v>
      </c>
      <c r="AB208" s="18">
        <f t="shared" si="13"/>
        <v>63.427057282290463</v>
      </c>
      <c r="AC208" s="18">
        <f>$CP$15*Table2912[[#This Row],[DMD '[mg/g']]]+$CS$15*Table2912[[#This Row],[CH4 '[ml/g']]]+$CR$15*Table2912[[#This Row],[CH4 '[% GP']]]+$CQ$15*Table2912[[#This Row],[CH4 '[g/g DDM']]]</f>
        <v>8.1290106445790187</v>
      </c>
      <c r="AD208" s="18">
        <f>_xlfn.RANK.AVG(Table2912[[#This Row],[Index]],Table2912[Index])</f>
        <v>371</v>
      </c>
      <c r="AE20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5.9062764053262793</v>
      </c>
      <c r="AF208" s="18">
        <f>Table2912[[#This Row],[CH4 '[ml/g']]]/Table2912[[#This Row],[APB]]</f>
        <v>8.1134866309286728</v>
      </c>
      <c r="AG208" s="18">
        <f>Table2912[[#This Row],[Propionate '[%']]]/Table2912[[#This Row],[Acetate '[%']]]</f>
        <v>0.26678158024784304</v>
      </c>
      <c r="AH208" s="51"/>
      <c r="AI208" s="18"/>
      <c r="AJ208" s="18"/>
      <c r="AK208" s="18">
        <f>(Table2912[[#This Row],[DMD '[mg/g']]]-$AK$15)/$AK$15*100</f>
        <v>54.097102798135531</v>
      </c>
      <c r="AL208" s="18">
        <f>(Table2912[[#This Row],[CH4 '[ml/g']]]-AL$15)/AL$15*100</f>
        <v>21.835252033405219</v>
      </c>
      <c r="AM208" s="18">
        <f>(Table2912[[#This Row],[CH4 '[% GP']]]-AM$15)/AM$15*100</f>
        <v>-1.2475408059613093</v>
      </c>
      <c r="AN208" s="18">
        <f>(Table2912[[#This Row],[CH4 '[g/g DDM']]]-AN$15)/AN$15*100</f>
        <v>23.843418727753061</v>
      </c>
      <c r="AO208" s="18"/>
      <c r="AP208" s="18"/>
      <c r="AR208">
        <f>_xlfn.NORM.DIST(Table2912[[#This Row],[GP '[ml/g']]],O$6,O$2,FALSE)</f>
        <v>4.2145754534388567E-3</v>
      </c>
      <c r="AS208">
        <f>_xlfn.NORM.DIST(Table2912[[#This Row],[SCFA '[mmol/g']]],P$6,P$2,FALSE)</f>
        <v>0.33202851651356624</v>
      </c>
      <c r="AT208">
        <f>_xlfn.NORM.DIST(Table2912[[#This Row],[Acetate '[%']]],Q$6,Q$2,FALSE)</f>
        <v>8.7846872381285799</v>
      </c>
      <c r="AU208">
        <f>_xlfn.NORM.DIST(Table2912[[#This Row],[Propionate '[%']]],R$6,R$2,FALSE)</f>
        <v>16.78905290372786</v>
      </c>
      <c r="AV208">
        <f>_xlfn.NORM.DIST(Table2912[[#This Row],[Butyrate '[%']]],S$6,S$2,FALSE)</f>
        <v>22.515691147419641</v>
      </c>
      <c r="AW208">
        <f>_xlfn.NORM.DIST(Table2912[[#This Row],[Valerate '[%']]],T$6,T$2,FALSE)</f>
        <v>43.604468602827602</v>
      </c>
      <c r="AX208">
        <f>_xlfn.NORM.DIST(Table2912[[#This Row],[Caproate '[%']]],U$6,U$2,FALSE)</f>
        <v>405.49000379000893</v>
      </c>
      <c r="AY208">
        <f>_xlfn.NORM.DIST(Table2912[[#This Row],[Isobutyrate '[%']]],V$6,V$2,FALSE)</f>
        <v>40.642195532595281</v>
      </c>
      <c r="AZ208">
        <f>_xlfn.NORM.DIST(Table2912[[#This Row],[Isovalerate '[%']]],W$6,W$2,FALSE)</f>
        <v>17.429992699644192</v>
      </c>
      <c r="BA208">
        <f>_xlfn.NORM.DIST(Table2912[[#This Row],[CH4 '[g/mmol SCFA']]],X$6,X$2,FALSE)</f>
        <v>0.20770048734019014</v>
      </c>
      <c r="BB208">
        <f>_xlfn.NORM.DIST(Table2912[[#This Row],[DMD '[mg/g']]],Y$6,Y$2,FALSE)</f>
        <v>2.8835785283718878E-3</v>
      </c>
      <c r="BC208">
        <f>_xlfn.NORM.DIST(Table2912[[#This Row],[CH4 '[ml/g']]],Z$6,Z$2,FALSE)</f>
        <v>2.8837709093341123E-2</v>
      </c>
      <c r="BD208">
        <f>_xlfn.NORM.DIST(Table2912[[#This Row],[CH4 '[% GP']]],AA$6,AA$2,FALSE)</f>
        <v>0.13058051994329581</v>
      </c>
      <c r="BE208">
        <f>_xlfn.NORM.DIST(Table2912[[#This Row],[CH4 '[g/g DDM']]],AB$6,AB$2,FALSE)</f>
        <v>2.3289349471991596E-2</v>
      </c>
      <c r="BG208">
        <f>IF(Table2912[[#This Row],[GP '[ml/g']]]&lt;O$10,_xlfn.NORM.DIST(Table2912[[#This Row],[GP '[ml/g']]],O$6,O$2,FALSE),-100)</f>
        <v>-100</v>
      </c>
      <c r="BH208">
        <f>IF(Table2912[[#This Row],[SCFA '[mmol/g']]]&lt;P$10,_xlfn.NORM.DIST(Table2912[[#This Row],[SCFA '[mmol/g']]],P$6,P$2,FALSE),-100)</f>
        <v>-100</v>
      </c>
      <c r="BI208">
        <f>IF(Table2912[[#This Row],[Acetate '[%']]]&lt;Q$10,_xlfn.NORM.DIST(Table2912[[#This Row],[Acetate '[%']]],Q$6,Q$2,FALSE),-100)</f>
        <v>-100</v>
      </c>
      <c r="BJ208">
        <f>IF(Table2912[[#This Row],[Propionate '[%']]]&lt;R$10,_xlfn.NORM.DIST(Table2912[[#This Row],[Propionate '[%']]],R$6,R$2,FALSE),-100)</f>
        <v>-100</v>
      </c>
      <c r="BK208">
        <f>IF(Table2912[[#This Row],[Butyrate '[%']]]&lt;S$10,_xlfn.NORM.DIST(Table2912[[#This Row],[Butyrate '[%']]],S$6,S$2,FALSE),-100)</f>
        <v>-100</v>
      </c>
      <c r="BL208">
        <f>IF(Table2912[[#This Row],[Valerate '[%']]]&lt;T$10,_xlfn.NORM.DIST(Table2912[[#This Row],[Valerate '[%']]],T$6,T$2,FALSE),-100)</f>
        <v>-100</v>
      </c>
      <c r="BM208">
        <f>IF(Table2912[[#This Row],[Caproate '[%']]]&lt;U$10,_xlfn.NORM.DIST(Table2912[[#This Row],[Caproate '[%']]],U$6,U$2,FALSE),-100)</f>
        <v>-100</v>
      </c>
      <c r="BN208">
        <f>IF(Table2912[[#This Row],[Isobutyrate '[%']]]&lt;V$10,_xlfn.NORM.DIST(Table2912[[#This Row],[Isobutyrate '[%']]],V$6,V$2,FALSE),-100)</f>
        <v>-100</v>
      </c>
      <c r="BO208">
        <f>IF(Table2912[[#This Row],[Isovalerate '[%']]]&lt;W$10,_xlfn.NORM.DIST(Table2912[[#This Row],[Isovalerate '[%']]],W$6,W$2,FALSE),-100)</f>
        <v>-100</v>
      </c>
      <c r="BP208">
        <f>IF(Table2912[[#This Row],[CH4 '[g/mmol SCFA']]]&lt;X$10,_xlfn.NORM.DIST(Table2912[[#This Row],[CH4 '[g/mmol SCFA']]],X$6,X$2,FALSE),-100)</f>
        <v>-100</v>
      </c>
      <c r="BQ208">
        <f>IF(Table2912[[#This Row],[DMD '[mg/g']]]&gt;Y$10,_xlfn.NORM.DIST(Table2912[[#This Row],[DMD '[mg/g']]],Y$6,Y$2,FALSE),-100)</f>
        <v>-100</v>
      </c>
      <c r="BR208">
        <f>IF(Table2912[[#This Row],[CH4 '[ml/g']]]&lt;Z$10,_xlfn.NORM.DIST(Table2912[[#This Row],[CH4 '[ml/g']]],Z$6,Z$2,FALSE),-100)</f>
        <v>-100</v>
      </c>
      <c r="BS208">
        <f>IF(Table2912[[#This Row],[CH4 '[% GP']]]&lt;AA$10,_xlfn.NORM.DIST(Table2912[[#This Row],[CH4 '[% GP']]],AA$6,AA$2,FALSE),-100)</f>
        <v>-100</v>
      </c>
      <c r="BT208">
        <f>IF(Table2912[[#This Row],[CH4 '[g/g DDM']]]&lt;AB$10,_xlfn.NORM.DIST(Table2912[[#This Row],[CH4 '[g/g DDM']]],AB$6,AB$2,FALSE),-100)</f>
        <v>-100</v>
      </c>
    </row>
    <row r="209" spans="1:72" x14ac:dyDescent="0.25">
      <c r="A209" s="12" t="s">
        <v>86</v>
      </c>
      <c r="B209" s="13">
        <v>1057</v>
      </c>
      <c r="C209" s="104" t="s">
        <v>265</v>
      </c>
      <c r="D209" s="104" t="s">
        <v>115</v>
      </c>
      <c r="E209" s="104" t="s">
        <v>266</v>
      </c>
      <c r="F209" s="104" t="s">
        <v>267</v>
      </c>
      <c r="G209" s="32" t="s">
        <v>73</v>
      </c>
      <c r="H209" s="32" t="s">
        <v>74</v>
      </c>
      <c r="I209" s="105" t="s">
        <v>75</v>
      </c>
      <c r="J209" s="70">
        <v>3</v>
      </c>
      <c r="K209" s="70"/>
      <c r="L209" s="70"/>
      <c r="M209" t="s">
        <v>267</v>
      </c>
      <c r="N209" t="s">
        <v>124</v>
      </c>
      <c r="O209" s="18">
        <v>250.13333333333347</v>
      </c>
      <c r="P209" s="18">
        <v>6.2332766594595341</v>
      </c>
      <c r="Q209" s="97">
        <v>0.69876545718255412</v>
      </c>
      <c r="R209" s="97">
        <v>0.14933893593723657</v>
      </c>
      <c r="S209" s="97">
        <v>8.2180658065315423E-2</v>
      </c>
      <c r="T209" s="97">
        <v>1.8329333157094816E-2</v>
      </c>
      <c r="U209" s="97">
        <v>8.603760933811916E-4</v>
      </c>
      <c r="V209" s="97">
        <v>1.7456102892344845E-2</v>
      </c>
      <c r="W209" s="97">
        <v>3.3069136672073146E-2</v>
      </c>
      <c r="X209" s="51">
        <f t="shared" si="11"/>
        <v>7.0164453370361652</v>
      </c>
      <c r="Y209" s="18">
        <v>755.73105615672739</v>
      </c>
      <c r="Z209" s="18">
        <v>43.735444951721213</v>
      </c>
      <c r="AA209" s="18">
        <f t="shared" si="12"/>
        <v>17.48485272590133</v>
      </c>
      <c r="AB209" s="18">
        <f t="shared" si="13"/>
        <v>57.871705278512636</v>
      </c>
      <c r="AC209" s="18">
        <f>$CP$15*Table2912[[#This Row],[DMD '[mg/g']]]+$CS$15*Table2912[[#This Row],[CH4 '[ml/g']]]+$CR$15*Table2912[[#This Row],[CH4 '[% GP']]]+$CQ$15*Table2912[[#This Row],[CH4 '[g/g DDM']]]</f>
        <v>9.9273204264646751</v>
      </c>
      <c r="AD209" s="18">
        <f>_xlfn.RANK.AVG(Table2912[[#This Row],[Index]],Table2912[Index])</f>
        <v>359</v>
      </c>
      <c r="AE20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5.7987240961962403</v>
      </c>
      <c r="AF209" s="18">
        <f>Table2912[[#This Row],[CH4 '[ml/g']]]/Table2912[[#This Row],[APB]]</f>
        <v>7.5422531277889444</v>
      </c>
      <c r="AG209" s="18">
        <f>Table2912[[#This Row],[Propionate '[%']]]/Table2912[[#This Row],[Acetate '[%']]]</f>
        <v>0.21371825753862561</v>
      </c>
      <c r="AH209" s="51"/>
      <c r="AI209" s="18"/>
      <c r="AJ209" s="18"/>
      <c r="AK209" s="18">
        <f>(Table2912[[#This Row],[DMD '[mg/g']]]-$AK$15)/$AK$15*100</f>
        <v>54.139878888046702</v>
      </c>
      <c r="AL209" s="18">
        <f>(Table2912[[#This Row],[CH4 '[ml/g']]]-AL$15)/AL$15*100</f>
        <v>11.19499072474628</v>
      </c>
      <c r="AM209" s="18">
        <f>(Table2912[[#This Row],[CH4 '[% GP']]]-AM$15)/AM$15*100</f>
        <v>12.643049928590258</v>
      </c>
      <c r="AN209" s="18">
        <f>(Table2912[[#This Row],[CH4 '[g/g DDM']]]-AN$15)/AN$15*100</f>
        <v>12.996410938602249</v>
      </c>
      <c r="AO209" s="18"/>
      <c r="AP209" s="18"/>
      <c r="AR209">
        <f>_xlfn.NORM.DIST(Table2912[[#This Row],[GP '[ml/g']]],O$6,O$2,FALSE)</f>
        <v>7.4422389783508538E-3</v>
      </c>
      <c r="AS209">
        <f>_xlfn.NORM.DIST(Table2912[[#This Row],[SCFA '[mmol/g']]],P$6,P$2,FALSE)</f>
        <v>0.32220414051784202</v>
      </c>
      <c r="AT209">
        <f>_xlfn.NORM.DIST(Table2912[[#This Row],[Acetate '[%']]],Q$6,Q$2,FALSE)</f>
        <v>9.3427665303760055</v>
      </c>
      <c r="AU209">
        <f>_xlfn.NORM.DIST(Table2912[[#This Row],[Propionate '[%']]],R$6,R$2,FALSE)</f>
        <v>10.711333283947372</v>
      </c>
      <c r="AV209">
        <f>_xlfn.NORM.DIST(Table2912[[#This Row],[Butyrate '[%']]],S$6,S$2,FALSE)</f>
        <v>19.002312273421563</v>
      </c>
      <c r="AW209">
        <f>_xlfn.NORM.DIST(Table2912[[#This Row],[Valerate '[%']]],T$6,T$2,FALSE)</f>
        <v>76.743653877119982</v>
      </c>
      <c r="AX209">
        <f>_xlfn.NORM.DIST(Table2912[[#This Row],[Caproate '[%']]],U$6,U$2,FALSE)</f>
        <v>362.26543096134776</v>
      </c>
      <c r="AY209">
        <f>_xlfn.NORM.DIST(Table2912[[#This Row],[Isobutyrate '[%']]],V$6,V$2,FALSE)</f>
        <v>80.221313553870672</v>
      </c>
      <c r="AZ209">
        <f>_xlfn.NORM.DIST(Table2912[[#This Row],[Isovalerate '[%']]],W$6,W$2,FALSE)</f>
        <v>38.19074858609239</v>
      </c>
      <c r="BA209">
        <f>_xlfn.NORM.DIST(Table2912[[#This Row],[CH4 '[g/mmol SCFA']]],X$6,X$2,FALSE)</f>
        <v>0.25608604661624806</v>
      </c>
      <c r="BB209">
        <f>_xlfn.NORM.DIST(Table2912[[#This Row],[DMD '[mg/g']]],Y$6,Y$2,FALSE)</f>
        <v>2.8842368071848234E-3</v>
      </c>
      <c r="BC209">
        <f>_xlfn.NORM.DIST(Table2912[[#This Row],[CH4 '[ml/g']]],Z$6,Z$2,FALSE)</f>
        <v>3.2866599295010984E-2</v>
      </c>
      <c r="BD209">
        <f>_xlfn.NORM.DIST(Table2912[[#This Row],[CH4 '[% GP']]],AA$6,AA$2,FALSE)</f>
        <v>0.12015251687683511</v>
      </c>
      <c r="BE209">
        <f>_xlfn.NORM.DIST(Table2912[[#This Row],[CH4 '[g/g DDM']]],AB$6,AB$2,FALSE)</f>
        <v>3.0655773450618446E-2</v>
      </c>
      <c r="BG209">
        <f>IF(Table2912[[#This Row],[GP '[ml/g']]]&lt;O$10,_xlfn.NORM.DIST(Table2912[[#This Row],[GP '[ml/g']]],O$6,O$2,FALSE),-100)</f>
        <v>-100</v>
      </c>
      <c r="BH209">
        <f>IF(Table2912[[#This Row],[SCFA '[mmol/g']]]&lt;P$10,_xlfn.NORM.DIST(Table2912[[#This Row],[SCFA '[mmol/g']]],P$6,P$2,FALSE),-100)</f>
        <v>-100</v>
      </c>
      <c r="BI209">
        <f>IF(Table2912[[#This Row],[Acetate '[%']]]&lt;Q$10,_xlfn.NORM.DIST(Table2912[[#This Row],[Acetate '[%']]],Q$6,Q$2,FALSE),-100)</f>
        <v>-100</v>
      </c>
      <c r="BJ209">
        <f>IF(Table2912[[#This Row],[Propionate '[%']]]&lt;R$10,_xlfn.NORM.DIST(Table2912[[#This Row],[Propionate '[%']]],R$6,R$2,FALSE),-100)</f>
        <v>-100</v>
      </c>
      <c r="BK209">
        <f>IF(Table2912[[#This Row],[Butyrate '[%']]]&lt;S$10,_xlfn.NORM.DIST(Table2912[[#This Row],[Butyrate '[%']]],S$6,S$2,FALSE),-100)</f>
        <v>-100</v>
      </c>
      <c r="BL209">
        <f>IF(Table2912[[#This Row],[Valerate '[%']]]&lt;T$10,_xlfn.NORM.DIST(Table2912[[#This Row],[Valerate '[%']]],T$6,T$2,FALSE),-100)</f>
        <v>-100</v>
      </c>
      <c r="BM209">
        <f>IF(Table2912[[#This Row],[Caproate '[%']]]&lt;U$10,_xlfn.NORM.DIST(Table2912[[#This Row],[Caproate '[%']]],U$6,U$2,FALSE),-100)</f>
        <v>-100</v>
      </c>
      <c r="BN209">
        <f>IF(Table2912[[#This Row],[Isobutyrate '[%']]]&lt;V$10,_xlfn.NORM.DIST(Table2912[[#This Row],[Isobutyrate '[%']]],V$6,V$2,FALSE),-100)</f>
        <v>-100</v>
      </c>
      <c r="BO209">
        <f>IF(Table2912[[#This Row],[Isovalerate '[%']]]&lt;W$10,_xlfn.NORM.DIST(Table2912[[#This Row],[Isovalerate '[%']]],W$6,W$2,FALSE),-100)</f>
        <v>-100</v>
      </c>
      <c r="BP209">
        <f>IF(Table2912[[#This Row],[CH4 '[g/mmol SCFA']]]&lt;X$10,_xlfn.NORM.DIST(Table2912[[#This Row],[CH4 '[g/mmol SCFA']]],X$6,X$2,FALSE),-100)</f>
        <v>-100</v>
      </c>
      <c r="BQ209">
        <f>IF(Table2912[[#This Row],[DMD '[mg/g']]]&gt;Y$10,_xlfn.NORM.DIST(Table2912[[#This Row],[DMD '[mg/g']]],Y$6,Y$2,FALSE),-100)</f>
        <v>-100</v>
      </c>
      <c r="BR209">
        <f>IF(Table2912[[#This Row],[CH4 '[ml/g']]]&lt;Z$10,_xlfn.NORM.DIST(Table2912[[#This Row],[CH4 '[ml/g']]],Z$6,Z$2,FALSE),-100)</f>
        <v>-100</v>
      </c>
      <c r="BS209">
        <f>IF(Table2912[[#This Row],[CH4 '[% GP']]]&lt;AA$10,_xlfn.NORM.DIST(Table2912[[#This Row],[CH4 '[% GP']]],AA$6,AA$2,FALSE),-100)</f>
        <v>-100</v>
      </c>
      <c r="BT209">
        <f>IF(Table2912[[#This Row],[CH4 '[g/g DDM']]]&lt;AB$10,_xlfn.NORM.DIST(Table2912[[#This Row],[CH4 '[g/g DDM']]],AB$6,AB$2,FALSE),-100)</f>
        <v>-100</v>
      </c>
    </row>
    <row r="210" spans="1:72" x14ac:dyDescent="0.25">
      <c r="A210" s="12" t="s">
        <v>70</v>
      </c>
      <c r="B210" s="13">
        <v>1008</v>
      </c>
      <c r="C210" s="96" t="s">
        <v>259</v>
      </c>
      <c r="D210" s="96"/>
      <c r="E210" s="96"/>
      <c r="F210" s="96" t="s">
        <v>260</v>
      </c>
      <c r="G210" t="s">
        <v>73</v>
      </c>
      <c r="H210" t="s">
        <v>74</v>
      </c>
      <c r="I210" t="s">
        <v>75</v>
      </c>
      <c r="J210" s="70">
        <v>2</v>
      </c>
      <c r="K210" s="70"/>
      <c r="L210" s="70"/>
      <c r="M210" t="s">
        <v>260</v>
      </c>
      <c r="N210" t="s">
        <v>81</v>
      </c>
      <c r="O210" s="18">
        <v>316.94869929453296</v>
      </c>
      <c r="P210" s="18">
        <v>8.5214947089947071</v>
      </c>
      <c r="Q210" s="97">
        <v>0.65955217509410535</v>
      </c>
      <c r="R210" s="97">
        <v>0.16466814130673807</v>
      </c>
      <c r="S210" s="97">
        <v>0.11323683495673095</v>
      </c>
      <c r="T210" s="97">
        <v>2.0450929411308161E-2</v>
      </c>
      <c r="U210" s="97">
        <v>2.3542499385566639E-3</v>
      </c>
      <c r="V210" s="97">
        <v>1.4940432302378829E-2</v>
      </c>
      <c r="W210" s="97">
        <v>2.4797236990182003E-2</v>
      </c>
      <c r="X210" s="51">
        <f t="shared" si="11"/>
        <v>5.1883717123379833</v>
      </c>
      <c r="Y210" s="18">
        <v>755.73192239858895</v>
      </c>
      <c r="Z210" s="18">
        <v>44.212682094985936</v>
      </c>
      <c r="AA210" s="18">
        <f t="shared" si="12"/>
        <v>13.949475796365435</v>
      </c>
      <c r="AB210" s="18">
        <f t="shared" si="13"/>
        <v>58.50312893315526</v>
      </c>
      <c r="AC210" s="18">
        <f>$CP$15*Table2912[[#This Row],[DMD '[mg/g']]]+$CS$15*Table2912[[#This Row],[CH4 '[ml/g']]]+$CR$15*Table2912[[#This Row],[CH4 '[% GP']]]+$CQ$15*Table2912[[#This Row],[CH4 '[g/g DDM']]]</f>
        <v>10.714037632321848</v>
      </c>
      <c r="AD210" s="18">
        <f>_xlfn.RANK.AVG(Table2912[[#This Row],[Index]],Table2912[Index])</f>
        <v>350</v>
      </c>
      <c r="AE21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7.9885361552028202</v>
      </c>
      <c r="AF210" s="18">
        <f>Table2912[[#This Row],[CH4 '[ml/g']]]/Table2912[[#This Row],[APB]]</f>
        <v>5.5345161160960439</v>
      </c>
      <c r="AG210" s="18">
        <f>Table2912[[#This Row],[Propionate '[%']]]/Table2912[[#This Row],[Acetate '[%']]]</f>
        <v>0.24966658821683532</v>
      </c>
      <c r="AH210" s="51"/>
      <c r="AI210" s="18"/>
      <c r="AJ210" s="18"/>
      <c r="AK210" s="18">
        <f>(Table2912[[#This Row],[DMD '[mg/g']]]-$AK$15)/$AK$15*100</f>
        <v>54.140055567851697</v>
      </c>
      <c r="AL210" s="18">
        <f>(Table2912[[#This Row],[CH4 '[ml/g']]]-AL$15)/AL$15*100</f>
        <v>12.408340212270744</v>
      </c>
      <c r="AM210" s="18">
        <f>(Table2912[[#This Row],[CH4 '[% GP']]]-AM$15)/AM$15*100</f>
        <v>-10.132986348808194</v>
      </c>
      <c r="AN210" s="18">
        <f>(Table2912[[#This Row],[CH4 '[g/g DDM']]]-AN$15)/AN$15*100</f>
        <v>14.229286424350951</v>
      </c>
      <c r="AO210" s="18"/>
      <c r="AP210" s="18"/>
      <c r="AR210">
        <f>_xlfn.NORM.DIST(Table2912[[#This Row],[GP '[ml/g']]],O$6,O$2,FALSE)</f>
        <v>3.8509013332039144E-3</v>
      </c>
      <c r="AS210">
        <f>_xlfn.NORM.DIST(Table2912[[#This Row],[SCFA '[mmol/g']]],P$6,P$2,FALSE)</f>
        <v>8.4621522869461993E-2</v>
      </c>
      <c r="AT210">
        <f>_xlfn.NORM.DIST(Table2912[[#This Row],[Acetate '[%']]],Q$6,Q$2,FALSE)</f>
        <v>12.517235560914225</v>
      </c>
      <c r="AU210">
        <f>_xlfn.NORM.DIST(Table2912[[#This Row],[Propionate '[%']]],R$6,R$2,FALSE)</f>
        <v>16.037654874063016</v>
      </c>
      <c r="AV210">
        <f>_xlfn.NORM.DIST(Table2912[[#This Row],[Butyrate '[%']]],S$6,S$2,FALSE)</f>
        <v>11.578379531351258</v>
      </c>
      <c r="AW210">
        <f>_xlfn.NORM.DIST(Table2912[[#This Row],[Valerate '[%']]],T$6,T$2,FALSE)</f>
        <v>66.836193322413891</v>
      </c>
      <c r="AX210">
        <f>_xlfn.NORM.DIST(Table2912[[#This Row],[Caproate '[%']]],U$6,U$2,FALSE)</f>
        <v>236.54612965651225</v>
      </c>
      <c r="AY210">
        <f>_xlfn.NORM.DIST(Table2912[[#This Row],[Isobutyrate '[%']]],V$6,V$2,FALSE)</f>
        <v>89.831374306877123</v>
      </c>
      <c r="AZ210">
        <f>_xlfn.NORM.DIST(Table2912[[#This Row],[Isovalerate '[%']]],W$6,W$2,FALSE)</f>
        <v>42.689219393620313</v>
      </c>
      <c r="BA210">
        <f>_xlfn.NORM.DIST(Table2912[[#This Row],[CH4 '[g/mmol SCFA']]],X$6,X$2,FALSE)</f>
        <v>0.21321606058058626</v>
      </c>
      <c r="BB210">
        <f>_xlfn.NORM.DIST(Table2912[[#This Row],[DMD '[mg/g']]],Y$6,Y$2,FALSE)</f>
        <v>2.8842395123560957E-3</v>
      </c>
      <c r="BC210">
        <f>_xlfn.NORM.DIST(Table2912[[#This Row],[CH4 '[ml/g']]],Z$6,Z$2,FALSE)</f>
        <v>3.2582824110129187E-2</v>
      </c>
      <c r="BD210">
        <f>_xlfn.NORM.DIST(Table2912[[#This Row],[CH4 '[% GP']]],AA$6,AA$2,FALSE)</f>
        <v>0.10429414040147779</v>
      </c>
      <c r="BE210">
        <f>_xlfn.NORM.DIST(Table2912[[#This Row],[CH4 '[g/g DDM']]],AB$6,AB$2,FALSE)</f>
        <v>3.0027870760221245E-2</v>
      </c>
      <c r="BG210">
        <f>IF(Table2912[[#This Row],[GP '[ml/g']]]&lt;O$10,_xlfn.NORM.DIST(Table2912[[#This Row],[GP '[ml/g']]],O$6,O$2,FALSE),-100)</f>
        <v>-100</v>
      </c>
      <c r="BH210">
        <f>IF(Table2912[[#This Row],[SCFA '[mmol/g']]]&lt;P$10,_xlfn.NORM.DIST(Table2912[[#This Row],[SCFA '[mmol/g']]],P$6,P$2,FALSE),-100)</f>
        <v>-100</v>
      </c>
      <c r="BI210">
        <f>IF(Table2912[[#This Row],[Acetate '[%']]]&lt;Q$10,_xlfn.NORM.DIST(Table2912[[#This Row],[Acetate '[%']]],Q$6,Q$2,FALSE),-100)</f>
        <v>-100</v>
      </c>
      <c r="BJ210">
        <f>IF(Table2912[[#This Row],[Propionate '[%']]]&lt;R$10,_xlfn.NORM.DIST(Table2912[[#This Row],[Propionate '[%']]],R$6,R$2,FALSE),-100)</f>
        <v>-100</v>
      </c>
      <c r="BK210">
        <f>IF(Table2912[[#This Row],[Butyrate '[%']]]&lt;S$10,_xlfn.NORM.DIST(Table2912[[#This Row],[Butyrate '[%']]],S$6,S$2,FALSE),-100)</f>
        <v>-100</v>
      </c>
      <c r="BL210">
        <f>IF(Table2912[[#This Row],[Valerate '[%']]]&lt;T$10,_xlfn.NORM.DIST(Table2912[[#This Row],[Valerate '[%']]],T$6,T$2,FALSE),-100)</f>
        <v>-100</v>
      </c>
      <c r="BM210">
        <f>IF(Table2912[[#This Row],[Caproate '[%']]]&lt;U$10,_xlfn.NORM.DIST(Table2912[[#This Row],[Caproate '[%']]],U$6,U$2,FALSE),-100)</f>
        <v>-100</v>
      </c>
      <c r="BN210">
        <f>IF(Table2912[[#This Row],[Isobutyrate '[%']]]&lt;V$10,_xlfn.NORM.DIST(Table2912[[#This Row],[Isobutyrate '[%']]],V$6,V$2,FALSE),-100)</f>
        <v>-100</v>
      </c>
      <c r="BO210">
        <f>IF(Table2912[[#This Row],[Isovalerate '[%']]]&lt;W$10,_xlfn.NORM.DIST(Table2912[[#This Row],[Isovalerate '[%']]],W$6,W$2,FALSE),-100)</f>
        <v>-100</v>
      </c>
      <c r="BP210">
        <f>IF(Table2912[[#This Row],[CH4 '[g/mmol SCFA']]]&lt;X$10,_xlfn.NORM.DIST(Table2912[[#This Row],[CH4 '[g/mmol SCFA']]],X$6,X$2,FALSE),-100)</f>
        <v>-100</v>
      </c>
      <c r="BQ210">
        <f>IF(Table2912[[#This Row],[DMD '[mg/g']]]&gt;Y$10,_xlfn.NORM.DIST(Table2912[[#This Row],[DMD '[mg/g']]],Y$6,Y$2,FALSE),-100)</f>
        <v>-100</v>
      </c>
      <c r="BR210">
        <f>IF(Table2912[[#This Row],[CH4 '[ml/g']]]&lt;Z$10,_xlfn.NORM.DIST(Table2912[[#This Row],[CH4 '[ml/g']]],Z$6,Z$2,FALSE),-100)</f>
        <v>-100</v>
      </c>
      <c r="BS210">
        <f>IF(Table2912[[#This Row],[CH4 '[% GP']]]&lt;AA$10,_xlfn.NORM.DIST(Table2912[[#This Row],[CH4 '[% GP']]],AA$6,AA$2,FALSE),-100)</f>
        <v>-100</v>
      </c>
      <c r="BT210">
        <f>IF(Table2912[[#This Row],[CH4 '[g/g DDM']]]&lt;AB$10,_xlfn.NORM.DIST(Table2912[[#This Row],[CH4 '[g/g DDM']]],AB$6,AB$2,FALSE),-100)</f>
        <v>-100</v>
      </c>
    </row>
    <row r="211" spans="1:72" x14ac:dyDescent="0.25">
      <c r="A211" s="12" t="s">
        <v>86</v>
      </c>
      <c r="B211" s="13">
        <v>1081</v>
      </c>
      <c r="C211" s="104" t="s">
        <v>292</v>
      </c>
      <c r="D211" s="104" t="s">
        <v>293</v>
      </c>
      <c r="E211" s="104" t="s">
        <v>294</v>
      </c>
      <c r="F211" s="104" t="s">
        <v>295</v>
      </c>
      <c r="G211" s="23" t="s">
        <v>143</v>
      </c>
      <c r="H211" s="23" t="s">
        <v>144</v>
      </c>
      <c r="I211" s="32" t="s">
        <v>52</v>
      </c>
      <c r="J211" s="100">
        <v>2</v>
      </c>
      <c r="K211" s="100"/>
      <c r="L211" s="100"/>
      <c r="M211" s="118" t="s">
        <v>295</v>
      </c>
      <c r="N211" t="s">
        <v>145</v>
      </c>
      <c r="O211" s="18">
        <v>370.13306982872274</v>
      </c>
      <c r="P211" s="18">
        <v>6.9777636333950621</v>
      </c>
      <c r="Q211" s="97">
        <v>0.65720302053983959</v>
      </c>
      <c r="R211" s="97">
        <v>0.15205613222019621</v>
      </c>
      <c r="S211" s="97">
        <v>0.12121249289468025</v>
      </c>
      <c r="T211" s="97">
        <v>1.9038914660944085E-2</v>
      </c>
      <c r="U211" s="97">
        <v>2.2690588360771676E-3</v>
      </c>
      <c r="V211" s="97">
        <v>1.6551653004973979E-2</v>
      </c>
      <c r="W211" s="97">
        <v>3.1668727843288669E-2</v>
      </c>
      <c r="X211" s="51">
        <f t="shared" si="11"/>
        <v>8.8522651655297935</v>
      </c>
      <c r="Y211" s="18">
        <v>755.75816074130512</v>
      </c>
      <c r="Z211" s="18">
        <v>61.769013945203717</v>
      </c>
      <c r="AA211" s="18">
        <f t="shared" si="12"/>
        <v>16.688326167069327</v>
      </c>
      <c r="AB211" s="18">
        <f t="shared" si="13"/>
        <v>81.731190152966363</v>
      </c>
      <c r="AC211" s="18">
        <f>$CP$15*Table2912[[#This Row],[DMD '[mg/g']]]+$CS$15*Table2912[[#This Row],[CH4 '[ml/g']]]+$CR$15*Table2912[[#This Row],[CH4 '[% GP']]]+$CQ$15*Table2912[[#This Row],[CH4 '[g/g DDM']]]</f>
        <v>-0.25521513628952164</v>
      </c>
      <c r="AD211" s="18">
        <f>_xlfn.RANK.AVG(Table2912[[#This Row],[Index]],Table2912[Index])</f>
        <v>447</v>
      </c>
      <c r="AE21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6.4926112109547347</v>
      </c>
      <c r="AF211" s="18">
        <f>Table2912[[#This Row],[CH4 '[ml/g']]]/Table2912[[#This Row],[APB]]</f>
        <v>9.5137398402946438</v>
      </c>
      <c r="AG211" s="18">
        <f>Table2912[[#This Row],[Propionate '[%']]]/Table2912[[#This Row],[Acetate '[%']]]</f>
        <v>0.23136858393513512</v>
      </c>
      <c r="AH211" s="51"/>
      <c r="AI211" s="18"/>
      <c r="AJ211" s="18"/>
      <c r="AK211" s="18">
        <f>(Table2912[[#This Row],[DMD '[mg/g']]]-$AK$15)/$AK$15*100</f>
        <v>54.145407174002514</v>
      </c>
      <c r="AL211" s="18">
        <f>(Table2912[[#This Row],[CH4 '[ml/g']]]-AL$15)/AL$15*100</f>
        <v>57.044359335901632</v>
      </c>
      <c r="AM211" s="18">
        <f>(Table2912[[#This Row],[CH4 '[% GP']]]-AM$15)/AM$15*100</f>
        <v>7.5115694212909716</v>
      </c>
      <c r="AN211" s="18">
        <f>(Table2912[[#This Row],[CH4 '[g/g DDM']]]-AN$15)/AN$15*100</f>
        <v>59.582841123823648</v>
      </c>
      <c r="AO211" s="18"/>
      <c r="AP211" s="18"/>
      <c r="AR211">
        <f>_xlfn.NORM.DIST(Table2912[[#This Row],[GP '[ml/g']]],O$6,O$2,FALSE)</f>
        <v>7.4237046621201952E-4</v>
      </c>
      <c r="AS211">
        <f>_xlfn.NORM.DIST(Table2912[[#This Row],[SCFA '[mmol/g']]],P$6,P$2,FALSE)</f>
        <v>0.31104682219366236</v>
      </c>
      <c r="AT211">
        <f>_xlfn.NORM.DIST(Table2912[[#This Row],[Acetate '[%']]],Q$6,Q$2,FALSE)</f>
        <v>11.992463697755863</v>
      </c>
      <c r="AU211">
        <f>_xlfn.NORM.DIST(Table2912[[#This Row],[Propionate '[%']]],R$6,R$2,FALSE)</f>
        <v>11.860378182098886</v>
      </c>
      <c r="AV211">
        <f>_xlfn.NORM.DIST(Table2912[[#This Row],[Butyrate '[%']]],S$6,S$2,FALSE)</f>
        <v>6.0690241369211888</v>
      </c>
      <c r="AW211">
        <f>_xlfn.NORM.DIST(Table2912[[#This Row],[Valerate '[%']]],T$6,T$2,FALSE)</f>
        <v>74.671228552329296</v>
      </c>
      <c r="AX211">
        <f>_xlfn.NORM.DIST(Table2912[[#This Row],[Caproate '[%']]],U$6,U$2,FALSE)</f>
        <v>257.97836677842452</v>
      </c>
      <c r="AY211">
        <f>_xlfn.NORM.DIST(Table2912[[#This Row],[Isobutyrate '[%']]],V$6,V$2,FALSE)</f>
        <v>86.71973291637444</v>
      </c>
      <c r="AZ211">
        <f>_xlfn.NORM.DIST(Table2912[[#This Row],[Isovalerate '[%']]],W$6,W$2,FALSE)</f>
        <v>41.423093460557091</v>
      </c>
      <c r="BA211">
        <f>_xlfn.NORM.DIST(Table2912[[#This Row],[CH4 '[g/mmol SCFA']]],X$6,X$2,FALSE)</f>
        <v>4.7485643534228725E-2</v>
      </c>
      <c r="BB211">
        <f>_xlfn.NORM.DIST(Table2912[[#This Row],[DMD '[mg/g']]],Y$6,Y$2,FALSE)</f>
        <v>2.8843213980133974E-3</v>
      </c>
      <c r="BC211">
        <f>_xlfn.NORM.DIST(Table2912[[#This Row],[CH4 '[ml/g']]],Z$6,Z$2,FALSE)</f>
        <v>7.7534892981934072E-3</v>
      </c>
      <c r="BD211">
        <f>_xlfn.NORM.DIST(Table2912[[#This Row],[CH4 '[% GP']]],AA$6,AA$2,FALSE)</f>
        <v>0.13179590416300715</v>
      </c>
      <c r="BE211">
        <f>_xlfn.NORM.DIST(Table2912[[#This Row],[CH4 '[g/g DDM']]],AB$6,AB$2,FALSE)</f>
        <v>2.1419502999226749E-3</v>
      </c>
      <c r="BG211">
        <f>IF(Table2912[[#This Row],[GP '[ml/g']]]&lt;O$10,_xlfn.NORM.DIST(Table2912[[#This Row],[GP '[ml/g']]],O$6,O$2,FALSE),-100)</f>
        <v>-100</v>
      </c>
      <c r="BH211">
        <f>IF(Table2912[[#This Row],[SCFA '[mmol/g']]]&lt;P$10,_xlfn.NORM.DIST(Table2912[[#This Row],[SCFA '[mmol/g']]],P$6,P$2,FALSE),-100)</f>
        <v>-100</v>
      </c>
      <c r="BI211">
        <f>IF(Table2912[[#This Row],[Acetate '[%']]]&lt;Q$10,_xlfn.NORM.DIST(Table2912[[#This Row],[Acetate '[%']]],Q$6,Q$2,FALSE),-100)</f>
        <v>-100</v>
      </c>
      <c r="BJ211">
        <f>IF(Table2912[[#This Row],[Propionate '[%']]]&lt;R$10,_xlfn.NORM.DIST(Table2912[[#This Row],[Propionate '[%']]],R$6,R$2,FALSE),-100)</f>
        <v>-100</v>
      </c>
      <c r="BK211">
        <f>IF(Table2912[[#This Row],[Butyrate '[%']]]&lt;S$10,_xlfn.NORM.DIST(Table2912[[#This Row],[Butyrate '[%']]],S$6,S$2,FALSE),-100)</f>
        <v>-100</v>
      </c>
      <c r="BL211">
        <f>IF(Table2912[[#This Row],[Valerate '[%']]]&lt;T$10,_xlfn.NORM.DIST(Table2912[[#This Row],[Valerate '[%']]],T$6,T$2,FALSE),-100)</f>
        <v>-100</v>
      </c>
      <c r="BM211">
        <f>IF(Table2912[[#This Row],[Caproate '[%']]]&lt;U$10,_xlfn.NORM.DIST(Table2912[[#This Row],[Caproate '[%']]],U$6,U$2,FALSE),-100)</f>
        <v>-100</v>
      </c>
      <c r="BN211">
        <f>IF(Table2912[[#This Row],[Isobutyrate '[%']]]&lt;V$10,_xlfn.NORM.DIST(Table2912[[#This Row],[Isobutyrate '[%']]],V$6,V$2,FALSE),-100)</f>
        <v>-100</v>
      </c>
      <c r="BO211">
        <f>IF(Table2912[[#This Row],[Isovalerate '[%']]]&lt;W$10,_xlfn.NORM.DIST(Table2912[[#This Row],[Isovalerate '[%']]],W$6,W$2,FALSE),-100)</f>
        <v>-100</v>
      </c>
      <c r="BP211">
        <f>IF(Table2912[[#This Row],[CH4 '[g/mmol SCFA']]]&lt;X$10,_xlfn.NORM.DIST(Table2912[[#This Row],[CH4 '[g/mmol SCFA']]],X$6,X$2,FALSE),-100)</f>
        <v>-100</v>
      </c>
      <c r="BQ211">
        <f>IF(Table2912[[#This Row],[DMD '[mg/g']]]&gt;Y$10,_xlfn.NORM.DIST(Table2912[[#This Row],[DMD '[mg/g']]],Y$6,Y$2,FALSE),-100)</f>
        <v>-100</v>
      </c>
      <c r="BR211">
        <f>IF(Table2912[[#This Row],[CH4 '[ml/g']]]&lt;Z$10,_xlfn.NORM.DIST(Table2912[[#This Row],[CH4 '[ml/g']]],Z$6,Z$2,FALSE),-100)</f>
        <v>-100</v>
      </c>
      <c r="BS211">
        <f>IF(Table2912[[#This Row],[CH4 '[% GP']]]&lt;AA$10,_xlfn.NORM.DIST(Table2912[[#This Row],[CH4 '[% GP']]],AA$6,AA$2,FALSE),-100)</f>
        <v>-100</v>
      </c>
      <c r="BT211">
        <f>IF(Table2912[[#This Row],[CH4 '[g/g DDM']]]&lt;AB$10,_xlfn.NORM.DIST(Table2912[[#This Row],[CH4 '[g/g DDM']]],AB$6,AB$2,FALSE),-100)</f>
        <v>-100</v>
      </c>
    </row>
    <row r="212" spans="1:72" x14ac:dyDescent="0.25">
      <c r="A212" s="12" t="s">
        <v>70</v>
      </c>
      <c r="B212" s="13">
        <v>1011</v>
      </c>
      <c r="C212" s="96" t="s">
        <v>222</v>
      </c>
      <c r="D212" s="96"/>
      <c r="E212" s="96"/>
      <c r="F212" s="96" t="s">
        <v>223</v>
      </c>
      <c r="G212" t="s">
        <v>73</v>
      </c>
      <c r="H212" t="s">
        <v>74</v>
      </c>
      <c r="I212" t="s">
        <v>75</v>
      </c>
      <c r="J212" s="70">
        <v>2</v>
      </c>
      <c r="K212" s="70"/>
      <c r="L212" s="70"/>
      <c r="M212" t="s">
        <v>223</v>
      </c>
      <c r="N212" t="s">
        <v>85</v>
      </c>
      <c r="O212" s="18">
        <v>259.70959595959641</v>
      </c>
      <c r="P212" s="18">
        <v>6.4132715613693883</v>
      </c>
      <c r="Q212" s="97">
        <v>0.68272887085556033</v>
      </c>
      <c r="R212" s="97">
        <v>0.15743505843627842</v>
      </c>
      <c r="S212" s="97">
        <v>0.11296238008129808</v>
      </c>
      <c r="T212" s="97">
        <v>1.3838491320569926E-2</v>
      </c>
      <c r="U212" s="97">
        <v>2.4872201782795648E-3</v>
      </c>
      <c r="V212" s="97">
        <v>1.053291072917475E-2</v>
      </c>
      <c r="W212" s="97">
        <v>2.0015068398838889E-2</v>
      </c>
      <c r="X212" s="51">
        <f t="shared" ref="X212:X220" si="14">Z212/P212</f>
        <v>5.6380871704349875</v>
      </c>
      <c r="Y212" s="18">
        <v>755.98287917128471</v>
      </c>
      <c r="Z212" s="18">
        <v>36.158584110672308</v>
      </c>
      <c r="AA212" s="18">
        <f t="shared" ref="AA212:AA220" si="15">Z212/O212*100</f>
        <v>13.922698534519141</v>
      </c>
      <c r="AB212" s="18">
        <f t="shared" ref="AB212:AB220" si="16">Z212/Y212*1000</f>
        <v>47.829898145722133</v>
      </c>
      <c r="AC212" s="18">
        <f>$CP$15*Table2912[[#This Row],[DMD '[mg/g']]]+$CS$15*Table2912[[#This Row],[CH4 '[ml/g']]]+$CR$15*Table2912[[#This Row],[CH4 '[% GP']]]+$CQ$15*Table2912[[#This Row],[CH4 '[g/g DDM']]]</f>
        <v>15.405942346812083</v>
      </c>
      <c r="AD212" s="18">
        <f>_xlfn.RANK.AVG(Table2912[[#This Row],[Index]],Table2912[Index])</f>
        <v>262</v>
      </c>
      <c r="AE21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6.1126578542957004</v>
      </c>
      <c r="AF212" s="18">
        <f>Table2912[[#This Row],[CH4 '[ml/g']]]/Table2912[[#This Row],[APB]]</f>
        <v>5.9153620196919228</v>
      </c>
      <c r="AG212" s="18">
        <f>Table2912[[#This Row],[Propionate '[%']]]/Table2912[[#This Row],[Acetate '[%']]]</f>
        <v>0.23059674953981218</v>
      </c>
      <c r="AH212" s="51"/>
      <c r="AI212" s="18"/>
      <c r="AJ212" s="18"/>
      <c r="AK212" s="18">
        <f>(Table2912[[#This Row],[DMD '[mg/g']]]-$AK$15)/$AK$15*100</f>
        <v>54.191241034208169</v>
      </c>
      <c r="AL212" s="18">
        <f>(Table2912[[#This Row],[CH4 '[ml/g']]]-AL$15)/AL$15*100</f>
        <v>-8.0687659804423184</v>
      </c>
      <c r="AM212" s="18">
        <f>(Table2912[[#This Row],[CH4 '[% GP']]]-AM$15)/AM$15*100</f>
        <v>-10.305494089673232</v>
      </c>
      <c r="AN212" s="18">
        <f>(Table2912[[#This Row],[CH4 '[g/g DDM']]]-AN$15)/AN$15*100</f>
        <v>-6.6105482806258182</v>
      </c>
      <c r="AO212" s="18"/>
      <c r="AP212" s="18"/>
      <c r="AR212">
        <f>_xlfn.NORM.DIST(Table2912[[#This Row],[GP '[ml/g']]],O$6,O$2,FALSE)</f>
        <v>7.4564902166982094E-3</v>
      </c>
      <c r="AS212">
        <f>_xlfn.NORM.DIST(Table2912[[#This Row],[SCFA '[mmol/g']]],P$6,P$2,FALSE)</f>
        <v>0.33096299862227063</v>
      </c>
      <c r="AT212">
        <f>_xlfn.NORM.DIST(Table2912[[#This Row],[Acetate '[%']]],Q$6,Q$2,FALSE)</f>
        <v>13.249560239752395</v>
      </c>
      <c r="AU212">
        <f>_xlfn.NORM.DIST(Table2912[[#This Row],[Propionate '[%']]],R$6,R$2,FALSE)</f>
        <v>13.962180918655417</v>
      </c>
      <c r="AV212">
        <f>_xlfn.NORM.DIST(Table2912[[#This Row],[Butyrate '[%']]],S$6,S$2,FALSE)</f>
        <v>11.794042511637047</v>
      </c>
      <c r="AW212">
        <f>_xlfn.NORM.DIST(Table2912[[#This Row],[Valerate '[%']]],T$6,T$2,FALSE)</f>
        <v>58.805925984093463</v>
      </c>
      <c r="AX212">
        <f>_xlfn.NORM.DIST(Table2912[[#This Row],[Caproate '[%']]],U$6,U$2,FALSE)</f>
        <v>203.50227280882473</v>
      </c>
      <c r="AY212">
        <f>_xlfn.NORM.DIST(Table2912[[#This Row],[Isobutyrate '[%']]],V$6,V$2,FALSE)</f>
        <v>50.246577259512009</v>
      </c>
      <c r="AZ212">
        <f>_xlfn.NORM.DIST(Table2912[[#This Row],[Isovalerate '[%']]],W$6,W$2,FALSE)</f>
        <v>30.373060037427489</v>
      </c>
      <c r="BA212">
        <f>_xlfn.NORM.DIST(Table2912[[#This Row],[CH4 '[g/mmol SCFA']]],X$6,X$2,FALSE)</f>
        <v>0.26497178498233037</v>
      </c>
      <c r="BB212">
        <f>_xlfn.NORM.DIST(Table2912[[#This Row],[DMD '[mg/g']]],Y$6,Y$2,FALSE)</f>
        <v>2.8850184570162309E-3</v>
      </c>
      <c r="BC212">
        <f>_xlfn.NORM.DIST(Table2912[[#This Row],[CH4 '[ml/g']]],Z$6,Z$2,FALSE)</f>
        <v>3.0413992123272855E-2</v>
      </c>
      <c r="BD212">
        <f>_xlfn.NORM.DIST(Table2912[[#This Row],[CH4 '[% GP']]],AA$6,AA$2,FALSE)</f>
        <v>0.10361733835319352</v>
      </c>
      <c r="BE212">
        <f>_xlfn.NORM.DIST(Table2912[[#This Row],[CH4 '[g/g DDM']]],AB$6,AB$2,FALSE)</f>
        <v>2.9622771325808019E-2</v>
      </c>
      <c r="BG212">
        <f>IF(Table2912[[#This Row],[GP '[ml/g']]]&lt;O$10,_xlfn.NORM.DIST(Table2912[[#This Row],[GP '[ml/g']]],O$6,O$2,FALSE),-100)</f>
        <v>-100</v>
      </c>
      <c r="BH212">
        <f>IF(Table2912[[#This Row],[SCFA '[mmol/g']]]&lt;P$10,_xlfn.NORM.DIST(Table2912[[#This Row],[SCFA '[mmol/g']]],P$6,P$2,FALSE),-100)</f>
        <v>-100</v>
      </c>
      <c r="BI212">
        <f>IF(Table2912[[#This Row],[Acetate '[%']]]&lt;Q$10,_xlfn.NORM.DIST(Table2912[[#This Row],[Acetate '[%']]],Q$6,Q$2,FALSE),-100)</f>
        <v>-100</v>
      </c>
      <c r="BJ212">
        <f>IF(Table2912[[#This Row],[Propionate '[%']]]&lt;R$10,_xlfn.NORM.DIST(Table2912[[#This Row],[Propionate '[%']]],R$6,R$2,FALSE),-100)</f>
        <v>-100</v>
      </c>
      <c r="BK212">
        <f>IF(Table2912[[#This Row],[Butyrate '[%']]]&lt;S$10,_xlfn.NORM.DIST(Table2912[[#This Row],[Butyrate '[%']]],S$6,S$2,FALSE),-100)</f>
        <v>-100</v>
      </c>
      <c r="BL212">
        <f>IF(Table2912[[#This Row],[Valerate '[%']]]&lt;T$10,_xlfn.NORM.DIST(Table2912[[#This Row],[Valerate '[%']]],T$6,T$2,FALSE),-100)</f>
        <v>-100</v>
      </c>
      <c r="BM212">
        <f>IF(Table2912[[#This Row],[Caproate '[%']]]&lt;U$10,_xlfn.NORM.DIST(Table2912[[#This Row],[Caproate '[%']]],U$6,U$2,FALSE),-100)</f>
        <v>-100</v>
      </c>
      <c r="BN212">
        <f>IF(Table2912[[#This Row],[Isobutyrate '[%']]]&lt;V$10,_xlfn.NORM.DIST(Table2912[[#This Row],[Isobutyrate '[%']]],V$6,V$2,FALSE),-100)</f>
        <v>50.246577259512009</v>
      </c>
      <c r="BO212">
        <f>IF(Table2912[[#This Row],[Isovalerate '[%']]]&lt;W$10,_xlfn.NORM.DIST(Table2912[[#This Row],[Isovalerate '[%']]],W$6,W$2,FALSE),-100)</f>
        <v>-100</v>
      </c>
      <c r="BP212">
        <f>IF(Table2912[[#This Row],[CH4 '[g/mmol SCFA']]]&lt;X$10,_xlfn.NORM.DIST(Table2912[[#This Row],[CH4 '[g/mmol SCFA']]],X$6,X$2,FALSE),-100)</f>
        <v>-100</v>
      </c>
      <c r="BQ212">
        <f>IF(Table2912[[#This Row],[DMD '[mg/g']]]&gt;Y$10,_xlfn.NORM.DIST(Table2912[[#This Row],[DMD '[mg/g']]],Y$6,Y$2,FALSE),-100)</f>
        <v>-100</v>
      </c>
      <c r="BR212">
        <f>IF(Table2912[[#This Row],[CH4 '[ml/g']]]&lt;Z$10,_xlfn.NORM.DIST(Table2912[[#This Row],[CH4 '[ml/g']]],Z$6,Z$2,FALSE),-100)</f>
        <v>-100</v>
      </c>
      <c r="BS212">
        <f>IF(Table2912[[#This Row],[CH4 '[% GP']]]&lt;AA$10,_xlfn.NORM.DIST(Table2912[[#This Row],[CH4 '[% GP']]],AA$6,AA$2,FALSE),-100)</f>
        <v>-100</v>
      </c>
      <c r="BT212">
        <f>IF(Table2912[[#This Row],[CH4 '[g/g DDM']]]&lt;AB$10,_xlfn.NORM.DIST(Table2912[[#This Row],[CH4 '[g/g DDM']]],AB$6,AB$2,FALSE),-100)</f>
        <v>-100</v>
      </c>
    </row>
    <row r="213" spans="1:72" x14ac:dyDescent="0.25">
      <c r="A213" s="12" t="s">
        <v>70</v>
      </c>
      <c r="B213" s="13">
        <v>1043</v>
      </c>
      <c r="C213" s="96" t="s">
        <v>230</v>
      </c>
      <c r="D213" s="96"/>
      <c r="E213" s="96"/>
      <c r="F213" s="96" t="s">
        <v>231</v>
      </c>
      <c r="G213" t="s">
        <v>143</v>
      </c>
      <c r="H213" t="s">
        <v>144</v>
      </c>
      <c r="I213" t="s">
        <v>52</v>
      </c>
      <c r="J213" s="100">
        <v>3</v>
      </c>
      <c r="K213" s="100"/>
      <c r="L213" s="100"/>
      <c r="M213" t="s">
        <v>231</v>
      </c>
      <c r="N213" t="s">
        <v>84</v>
      </c>
      <c r="O213" s="18">
        <v>281.37919716123184</v>
      </c>
      <c r="P213" s="18">
        <v>6.9081836327345325</v>
      </c>
      <c r="Q213" s="97">
        <v>0.64961957045169982</v>
      </c>
      <c r="R213" s="97">
        <v>0.21328939568295149</v>
      </c>
      <c r="S213" s="97">
        <v>9.720333368204484E-2</v>
      </c>
      <c r="T213" s="97">
        <v>1.361718450326045E-2</v>
      </c>
      <c r="U213" s="97">
        <v>3.6614708651532582E-4</v>
      </c>
      <c r="V213" s="97">
        <v>1.166440004184538E-2</v>
      </c>
      <c r="W213" s="97">
        <v>2.2056003068661297E-2</v>
      </c>
      <c r="X213" s="51">
        <f t="shared" si="14"/>
        <v>5.5269348661449422</v>
      </c>
      <c r="Y213" s="18">
        <v>756.85835058523946</v>
      </c>
      <c r="Z213" s="18">
        <v>38.181080981492315</v>
      </c>
      <c r="AA213" s="18">
        <f t="shared" si="15"/>
        <v>13.569262179539997</v>
      </c>
      <c r="AB213" s="18">
        <f t="shared" si="16"/>
        <v>50.446798865294753</v>
      </c>
      <c r="AC213" s="18">
        <f>$CP$15*Table2912[[#This Row],[DMD '[mg/g']]]+$CS$15*Table2912[[#This Row],[CH4 '[ml/g']]]+$CR$15*Table2912[[#This Row],[CH4 '[% GP']]]+$CQ$15*Table2912[[#This Row],[CH4 '[g/g DDM']]]</f>
        <v>14.442100955632554</v>
      </c>
      <c r="AD213" s="18">
        <f>_xlfn.RANK.AVG(Table2912[[#This Row],[Index]],Table2912[Index])</f>
        <v>282</v>
      </c>
      <c r="AE21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6.6326320751808101</v>
      </c>
      <c r="AF213" s="18">
        <f>Table2912[[#This Row],[CH4 '[ml/g']]]/Table2912[[#This Row],[APB]]</f>
        <v>5.7565504235287275</v>
      </c>
      <c r="AG213" s="18">
        <f>Table2912[[#This Row],[Propionate '[%']]]/Table2912[[#This Row],[Acetate '[%']]]</f>
        <v>0.32832969538563167</v>
      </c>
      <c r="AH213" s="51"/>
      <c r="AI213" s="18"/>
      <c r="AJ213" s="18"/>
      <c r="AK213" s="18">
        <f>(Table2912[[#This Row],[DMD '[mg/g']]]-$AK$15)/$AK$15*100</f>
        <v>54.369803310586228</v>
      </c>
      <c r="AL213" s="18">
        <f>(Table2912[[#This Row],[CH4 '[ml/g']]]-AL$15)/AL$15*100</f>
        <v>-2.9266776573461923</v>
      </c>
      <c r="AM213" s="18">
        <f>(Table2912[[#This Row],[CH4 '[% GP']]]-AM$15)/AM$15*100</f>
        <v>-12.582444865559294</v>
      </c>
      <c r="AN213" s="18">
        <f>(Table2912[[#This Row],[CH4 '[g/g DDM']]]-AN$15)/AN$15*100</f>
        <v>-1.5009634209561795</v>
      </c>
      <c r="AO213" s="18"/>
      <c r="AP213" s="18"/>
      <c r="AR213">
        <f>_xlfn.NORM.DIST(Table2912[[#This Row],[GP '[ml/g']]],O$6,O$2,FALSE)</f>
        <v>6.6485883391996948E-3</v>
      </c>
      <c r="AS213">
        <f>_xlfn.NORM.DIST(Table2912[[#This Row],[SCFA '[mmol/g']]],P$6,P$2,FALSE)</f>
        <v>0.31721233185433756</v>
      </c>
      <c r="AT213">
        <f>_xlfn.NORM.DIST(Table2912[[#This Row],[Acetate '[%']]],Q$6,Q$2,FALSE)</f>
        <v>9.9688318696417149</v>
      </c>
      <c r="AU213">
        <f>_xlfn.NORM.DIST(Table2912[[#This Row],[Propionate '[%']]],R$6,R$2,FALSE)</f>
        <v>3.673387640610787</v>
      </c>
      <c r="AV213">
        <f>_xlfn.NORM.DIST(Table2912[[#This Row],[Butyrate '[%']]],S$6,S$2,FALSE)</f>
        <v>22.337242195106064</v>
      </c>
      <c r="AW213">
        <f>_xlfn.NORM.DIST(Table2912[[#This Row],[Valerate '[%']]],T$6,T$2,FALSE)</f>
        <v>56.911578516966507</v>
      </c>
      <c r="AX213">
        <f>_xlfn.NORM.DIST(Table2912[[#This Row],[Caproate '[%']]],U$6,U$2,FALSE)</f>
        <v>250.20267976195592</v>
      </c>
      <c r="AY213">
        <f>_xlfn.NORM.DIST(Table2912[[#This Row],[Isobutyrate '[%']]],V$6,V$2,FALSE)</f>
        <v>64.119730403739794</v>
      </c>
      <c r="AZ213">
        <f>_xlfn.NORM.DIST(Table2912[[#This Row],[Isovalerate '[%']]],W$6,W$2,FALSE)</f>
        <v>36.419450587060091</v>
      </c>
      <c r="BA213">
        <f>_xlfn.NORM.DIST(Table2912[[#This Row],[CH4 '[g/mmol SCFA']]],X$6,X$2,FALSE)</f>
        <v>0.25375468206088836</v>
      </c>
      <c r="BB213">
        <f>_xlfn.NORM.DIST(Table2912[[#This Row],[DMD '[mg/g']]],Y$6,Y$2,FALSE)</f>
        <v>2.8876614054338424E-3</v>
      </c>
      <c r="BC213">
        <f>_xlfn.NORM.DIST(Table2912[[#This Row],[CH4 '[ml/g']]],Z$6,Z$2,FALSE)</f>
        <v>3.230508564142421E-2</v>
      </c>
      <c r="BD213">
        <f>_xlfn.NORM.DIST(Table2912[[#This Row],[CH4 '[% GP']]],AA$6,AA$2,FALSE)</f>
        <v>9.4359304235166835E-2</v>
      </c>
      <c r="BE213">
        <f>_xlfn.NORM.DIST(Table2912[[#This Row],[CH4 '[g/g DDM']]],AB$6,AB$2,FALSE)</f>
        <v>3.192394607937455E-2</v>
      </c>
      <c r="BG213">
        <f>IF(Table2912[[#This Row],[GP '[ml/g']]]&lt;O$10,_xlfn.NORM.DIST(Table2912[[#This Row],[GP '[ml/g']]],O$6,O$2,FALSE),-100)</f>
        <v>-100</v>
      </c>
      <c r="BH213">
        <f>IF(Table2912[[#This Row],[SCFA '[mmol/g']]]&lt;P$10,_xlfn.NORM.DIST(Table2912[[#This Row],[SCFA '[mmol/g']]],P$6,P$2,FALSE),-100)</f>
        <v>-100</v>
      </c>
      <c r="BI213">
        <f>IF(Table2912[[#This Row],[Acetate '[%']]]&lt;Q$10,_xlfn.NORM.DIST(Table2912[[#This Row],[Acetate '[%']]],Q$6,Q$2,FALSE),-100)</f>
        <v>-100</v>
      </c>
      <c r="BJ213">
        <f>IF(Table2912[[#This Row],[Propionate '[%']]]&lt;R$10,_xlfn.NORM.DIST(Table2912[[#This Row],[Propionate '[%']]],R$6,R$2,FALSE),-100)</f>
        <v>-100</v>
      </c>
      <c r="BK213">
        <f>IF(Table2912[[#This Row],[Butyrate '[%']]]&lt;S$10,_xlfn.NORM.DIST(Table2912[[#This Row],[Butyrate '[%']]],S$6,S$2,FALSE),-100)</f>
        <v>-100</v>
      </c>
      <c r="BL213">
        <f>IF(Table2912[[#This Row],[Valerate '[%']]]&lt;T$10,_xlfn.NORM.DIST(Table2912[[#This Row],[Valerate '[%']]],T$6,T$2,FALSE),-100)</f>
        <v>-100</v>
      </c>
      <c r="BM213">
        <f>IF(Table2912[[#This Row],[Caproate '[%']]]&lt;U$10,_xlfn.NORM.DIST(Table2912[[#This Row],[Caproate '[%']]],U$6,U$2,FALSE),-100)</f>
        <v>-100</v>
      </c>
      <c r="BN213">
        <f>IF(Table2912[[#This Row],[Isobutyrate '[%']]]&lt;V$10,_xlfn.NORM.DIST(Table2912[[#This Row],[Isobutyrate '[%']]],V$6,V$2,FALSE),-100)</f>
        <v>-100</v>
      </c>
      <c r="BO213">
        <f>IF(Table2912[[#This Row],[Isovalerate '[%']]]&lt;W$10,_xlfn.NORM.DIST(Table2912[[#This Row],[Isovalerate '[%']]],W$6,W$2,FALSE),-100)</f>
        <v>-100</v>
      </c>
      <c r="BP213">
        <f>IF(Table2912[[#This Row],[CH4 '[g/mmol SCFA']]]&lt;X$10,_xlfn.NORM.DIST(Table2912[[#This Row],[CH4 '[g/mmol SCFA']]],X$6,X$2,FALSE),-100)</f>
        <v>-100</v>
      </c>
      <c r="BQ213">
        <f>IF(Table2912[[#This Row],[DMD '[mg/g']]]&gt;Y$10,_xlfn.NORM.DIST(Table2912[[#This Row],[DMD '[mg/g']]],Y$6,Y$2,FALSE),-100)</f>
        <v>-100</v>
      </c>
      <c r="BR213">
        <f>IF(Table2912[[#This Row],[CH4 '[ml/g']]]&lt;Z$10,_xlfn.NORM.DIST(Table2912[[#This Row],[CH4 '[ml/g']]],Z$6,Z$2,FALSE),-100)</f>
        <v>-100</v>
      </c>
      <c r="BS213">
        <f>IF(Table2912[[#This Row],[CH4 '[% GP']]]&lt;AA$10,_xlfn.NORM.DIST(Table2912[[#This Row],[CH4 '[% GP']]],AA$6,AA$2,FALSE),-100)</f>
        <v>-100</v>
      </c>
      <c r="BT213">
        <f>IF(Table2912[[#This Row],[CH4 '[g/g DDM']]]&lt;AB$10,_xlfn.NORM.DIST(Table2912[[#This Row],[CH4 '[g/g DDM']]],AB$6,AB$2,FALSE),-100)</f>
        <v>-100</v>
      </c>
    </row>
    <row r="214" spans="1:72" x14ac:dyDescent="0.25">
      <c r="A214" s="12" t="s">
        <v>70</v>
      </c>
      <c r="B214" s="13">
        <v>1007</v>
      </c>
      <c r="C214" s="96" t="s">
        <v>216</v>
      </c>
      <c r="D214" s="96"/>
      <c r="E214" s="96"/>
      <c r="F214" s="96" t="s">
        <v>217</v>
      </c>
      <c r="G214" t="s">
        <v>73</v>
      </c>
      <c r="H214" t="s">
        <v>74</v>
      </c>
      <c r="I214" t="s">
        <v>75</v>
      </c>
      <c r="J214" s="107">
        <v>1</v>
      </c>
      <c r="K214" s="107"/>
      <c r="L214" s="107"/>
      <c r="M214" t="s">
        <v>217</v>
      </c>
      <c r="N214" t="s">
        <v>85</v>
      </c>
      <c r="O214" s="18">
        <v>285.19725516029877</v>
      </c>
      <c r="P214" s="18">
        <v>6.7198850622980189</v>
      </c>
      <c r="Q214" s="97">
        <v>0.70576225151992589</v>
      </c>
      <c r="R214" s="97">
        <v>0.14378030357577382</v>
      </c>
      <c r="S214" s="97">
        <v>0.10276947255888114</v>
      </c>
      <c r="T214" s="97">
        <v>1.2857417953976769E-2</v>
      </c>
      <c r="U214" s="97">
        <v>9.0280146520484812E-4</v>
      </c>
      <c r="V214" s="97">
        <v>1.1783150395019704E-2</v>
      </c>
      <c r="W214" s="97">
        <v>2.2144602531217868E-2</v>
      </c>
      <c r="X214" s="51">
        <f t="shared" si="14"/>
        <v>6.5101845229540505</v>
      </c>
      <c r="Y214" s="18">
        <v>760.48375667291339</v>
      </c>
      <c r="Z214" s="18">
        <v>43.747691728602675</v>
      </c>
      <c r="AA214" s="18">
        <f t="shared" si="15"/>
        <v>15.339450481041176</v>
      </c>
      <c r="AB214" s="18">
        <f t="shared" si="16"/>
        <v>57.526135627139638</v>
      </c>
      <c r="AC214" s="18">
        <f>$CP$15*Table2912[[#This Row],[DMD '[mg/g']]]+$CS$15*Table2912[[#This Row],[CH4 '[ml/g']]]+$CR$15*Table2912[[#This Row],[CH4 '[% GP']]]+$CQ$15*Table2912[[#This Row],[CH4 '[g/g DDM']]]</f>
        <v>11.138812229345923</v>
      </c>
      <c r="AD214" s="18">
        <f>_xlfn.RANK.AVG(Table2912[[#This Row],[Index]],Table2912[Index])</f>
        <v>344</v>
      </c>
      <c r="AE21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6.3994273692827557</v>
      </c>
      <c r="AF214" s="18">
        <f>Table2912[[#This Row],[CH4 '[ml/g']]]/Table2912[[#This Row],[APB]]</f>
        <v>6.8361884906439512</v>
      </c>
      <c r="AG214" s="18">
        <f>Table2912[[#This Row],[Propionate '[%']]]/Table2912[[#This Row],[Acetate '[%']]]</f>
        <v>0.203723425652377</v>
      </c>
      <c r="AH214" s="51"/>
      <c r="AI214" s="18"/>
      <c r="AJ214" s="18"/>
      <c r="AK214" s="18">
        <f>(Table2912[[#This Row],[DMD '[mg/g']]]-$AK$15)/$AK$15*100</f>
        <v>55.109245802358267</v>
      </c>
      <c r="AL214" s="18">
        <f>(Table2912[[#This Row],[CH4 '[ml/g']]]-AL$15)/AL$15*100</f>
        <v>11.226127489062852</v>
      </c>
      <c r="AM214" s="18">
        <f>(Table2912[[#This Row],[CH4 '[% GP']]]-AM$15)/AM$15*100</f>
        <v>-1.178321973885079</v>
      </c>
      <c r="AN214" s="18">
        <f>(Table2912[[#This Row],[CH4 '[g/g DDM']]]-AN$15)/AN$15*100</f>
        <v>12.321674810704682</v>
      </c>
      <c r="AO214" s="18"/>
      <c r="AP214" s="18"/>
      <c r="AR214">
        <f>_xlfn.NORM.DIST(Table2912[[#This Row],[GP '[ml/g']]],O$6,O$2,FALSE)</f>
        <v>6.4050969723719762E-3</v>
      </c>
      <c r="AS214">
        <f>_xlfn.NORM.DIST(Table2912[[#This Row],[SCFA '[mmol/g']]],P$6,P$2,FALSE)</f>
        <v>0.32891477445841222</v>
      </c>
      <c r="AT214">
        <f>_xlfn.NORM.DIST(Table2912[[#This Row],[Acetate '[%']]],Q$6,Q$2,FALSE)</f>
        <v>7.261300055530767</v>
      </c>
      <c r="AU214">
        <f>_xlfn.NORM.DIST(Table2912[[#This Row],[Propionate '[%']]],R$6,R$2,FALSE)</f>
        <v>8.348610454812615</v>
      </c>
      <c r="AV214">
        <f>_xlfn.NORM.DIST(Table2912[[#This Row],[Butyrate '[%']]],S$6,S$2,FALSE)</f>
        <v>19.593803999832186</v>
      </c>
      <c r="AW214">
        <f>_xlfn.NORM.DIST(Table2912[[#This Row],[Valerate '[%']]],T$6,T$2,FALSE)</f>
        <v>50.152051501524824</v>
      </c>
      <c r="AX214">
        <f>_xlfn.NORM.DIST(Table2912[[#This Row],[Caproate '[%']]],U$6,U$2,FALSE)</f>
        <v>369.55672237159405</v>
      </c>
      <c r="AY214">
        <f>_xlfn.NORM.DIST(Table2912[[#This Row],[Isobutyrate '[%']]],V$6,V$2,FALSE)</f>
        <v>65.532666973307911</v>
      </c>
      <c r="AZ214">
        <f>_xlfn.NORM.DIST(Table2912[[#This Row],[Isovalerate '[%']]],W$6,W$2,FALSE)</f>
        <v>36.662734049333274</v>
      </c>
      <c r="BA214">
        <f>_xlfn.NORM.DIST(Table2912[[#This Row],[CH4 '[g/mmol SCFA']]],X$6,X$2,FALSE)</f>
        <v>0.29316246160862847</v>
      </c>
      <c r="BB214">
        <f>_xlfn.NORM.DIST(Table2912[[#This Row],[DMD '[mg/g']]],Y$6,Y$2,FALSE)</f>
        <v>2.8973686284023904E-3</v>
      </c>
      <c r="BC214">
        <f>_xlfn.NORM.DIST(Table2912[[#This Row],[CH4 '[ml/g']]],Z$6,Z$2,FALSE)</f>
        <v>3.2859946268831153E-2</v>
      </c>
      <c r="BD214">
        <f>_xlfn.NORM.DIST(Table2912[[#This Row],[CH4 '[% GP']]],AA$6,AA$2,FALSE)</f>
        <v>0.13069803403778624</v>
      </c>
      <c r="BE214">
        <f>_xlfn.NORM.DIST(Table2912[[#This Row],[CH4 '[g/g DDM']]],AB$6,AB$2,FALSE)</f>
        <v>3.096948586858142E-2</v>
      </c>
      <c r="BG214">
        <f>IF(Table2912[[#This Row],[GP '[ml/g']]]&lt;O$10,_xlfn.NORM.DIST(Table2912[[#This Row],[GP '[ml/g']]],O$6,O$2,FALSE),-100)</f>
        <v>-100</v>
      </c>
      <c r="BH214">
        <f>IF(Table2912[[#This Row],[SCFA '[mmol/g']]]&lt;P$10,_xlfn.NORM.DIST(Table2912[[#This Row],[SCFA '[mmol/g']]],P$6,P$2,FALSE),-100)</f>
        <v>-100</v>
      </c>
      <c r="BI214">
        <f>IF(Table2912[[#This Row],[Acetate '[%']]]&lt;Q$10,_xlfn.NORM.DIST(Table2912[[#This Row],[Acetate '[%']]],Q$6,Q$2,FALSE),-100)</f>
        <v>-100</v>
      </c>
      <c r="BJ214">
        <f>IF(Table2912[[#This Row],[Propionate '[%']]]&lt;R$10,_xlfn.NORM.DIST(Table2912[[#This Row],[Propionate '[%']]],R$6,R$2,FALSE),-100)</f>
        <v>8.348610454812615</v>
      </c>
      <c r="BK214">
        <f>IF(Table2912[[#This Row],[Butyrate '[%']]]&lt;S$10,_xlfn.NORM.DIST(Table2912[[#This Row],[Butyrate '[%']]],S$6,S$2,FALSE),-100)</f>
        <v>-100</v>
      </c>
      <c r="BL214">
        <f>IF(Table2912[[#This Row],[Valerate '[%']]]&lt;T$10,_xlfn.NORM.DIST(Table2912[[#This Row],[Valerate '[%']]],T$6,T$2,FALSE),-100)</f>
        <v>-100</v>
      </c>
      <c r="BM214">
        <f>IF(Table2912[[#This Row],[Caproate '[%']]]&lt;U$10,_xlfn.NORM.DIST(Table2912[[#This Row],[Caproate '[%']]],U$6,U$2,FALSE),-100)</f>
        <v>-100</v>
      </c>
      <c r="BN214">
        <f>IF(Table2912[[#This Row],[Isobutyrate '[%']]]&lt;V$10,_xlfn.NORM.DIST(Table2912[[#This Row],[Isobutyrate '[%']]],V$6,V$2,FALSE),-100)</f>
        <v>-100</v>
      </c>
      <c r="BO214">
        <f>IF(Table2912[[#This Row],[Isovalerate '[%']]]&lt;W$10,_xlfn.NORM.DIST(Table2912[[#This Row],[Isovalerate '[%']]],W$6,W$2,FALSE),-100)</f>
        <v>-100</v>
      </c>
      <c r="BP214">
        <f>IF(Table2912[[#This Row],[CH4 '[g/mmol SCFA']]]&lt;X$10,_xlfn.NORM.DIST(Table2912[[#This Row],[CH4 '[g/mmol SCFA']]],X$6,X$2,FALSE),-100)</f>
        <v>-100</v>
      </c>
      <c r="BQ214">
        <f>IF(Table2912[[#This Row],[DMD '[mg/g']]]&gt;Y$10,_xlfn.NORM.DIST(Table2912[[#This Row],[DMD '[mg/g']]],Y$6,Y$2,FALSE),-100)</f>
        <v>-100</v>
      </c>
      <c r="BR214">
        <f>IF(Table2912[[#This Row],[CH4 '[ml/g']]]&lt;Z$10,_xlfn.NORM.DIST(Table2912[[#This Row],[CH4 '[ml/g']]],Z$6,Z$2,FALSE),-100)</f>
        <v>-100</v>
      </c>
      <c r="BS214">
        <f>IF(Table2912[[#This Row],[CH4 '[% GP']]]&lt;AA$10,_xlfn.NORM.DIST(Table2912[[#This Row],[CH4 '[% GP']]],AA$6,AA$2,FALSE),-100)</f>
        <v>-100</v>
      </c>
      <c r="BT214">
        <f>IF(Table2912[[#This Row],[CH4 '[g/g DDM']]]&lt;AB$10,_xlfn.NORM.DIST(Table2912[[#This Row],[CH4 '[g/g DDM']]],AB$6,AB$2,FALSE),-100)</f>
        <v>-100</v>
      </c>
    </row>
    <row r="215" spans="1:72" x14ac:dyDescent="0.25">
      <c r="A215" s="12" t="s">
        <v>200</v>
      </c>
      <c r="B215" s="13">
        <v>1139</v>
      </c>
      <c r="C215" s="117" t="s">
        <v>268</v>
      </c>
      <c r="D215" s="117" t="s">
        <v>233</v>
      </c>
      <c r="E215" s="117" t="s">
        <v>234</v>
      </c>
      <c r="F215" s="117" t="s">
        <v>235</v>
      </c>
      <c r="G215" t="s">
        <v>73</v>
      </c>
      <c r="H215" t="s">
        <v>74</v>
      </c>
      <c r="I215" t="s">
        <v>75</v>
      </c>
      <c r="J215" s="70">
        <v>3</v>
      </c>
      <c r="K215" s="70"/>
      <c r="L215" s="70"/>
      <c r="M215" t="s">
        <v>269</v>
      </c>
      <c r="N215" t="s">
        <v>237</v>
      </c>
      <c r="O215" s="18">
        <v>273.80046296296251</v>
      </c>
      <c r="P215" s="18">
        <v>7.3881787160772667</v>
      </c>
      <c r="Q215" s="97">
        <v>0.69063740614878788</v>
      </c>
      <c r="R215" s="97">
        <v>0.15864033465047106</v>
      </c>
      <c r="S215" s="97">
        <v>9.262932435992588E-2</v>
      </c>
      <c r="T215" s="97">
        <v>1.486416412737223E-2</v>
      </c>
      <c r="U215" s="97">
        <v>1.2196136496493643E-3</v>
      </c>
      <c r="V215" s="97">
        <v>1.4444715005018292E-2</v>
      </c>
      <c r="W215" s="97">
        <v>2.7564442058775278E-2</v>
      </c>
      <c r="X215" s="51">
        <f t="shared" si="14"/>
        <v>6.6209581376605806</v>
      </c>
      <c r="Y215" s="18">
        <v>760.57896076012003</v>
      </c>
      <c r="Z215" s="18">
        <v>48.916821992702481</v>
      </c>
      <c r="AA215" s="18">
        <f t="shared" si="15"/>
        <v>17.865865332491985</v>
      </c>
      <c r="AB215" s="18">
        <f t="shared" si="16"/>
        <v>64.315244723329158</v>
      </c>
      <c r="AC215" s="18">
        <f>$CP$15*Table2912[[#This Row],[DMD '[mg/g']]]+$CS$15*Table2912[[#This Row],[CH4 '[ml/g']]]+$CR$15*Table2912[[#This Row],[CH4 '[% GP']]]+$CQ$15*Table2912[[#This Row],[CH4 '[g/g DDM']]]</f>
        <v>7.4409640478515655</v>
      </c>
      <c r="AD215" s="18">
        <f>_xlfn.RANK.AVG(Table2912[[#This Row],[Index]],Table2912[Index])</f>
        <v>379</v>
      </c>
      <c r="AE21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6.9589777313318919</v>
      </c>
      <c r="AF215" s="18">
        <f>Table2912[[#This Row],[CH4 '[ml/g']]]/Table2912[[#This Row],[APB]]</f>
        <v>7.0293114709163174</v>
      </c>
      <c r="AG215" s="18">
        <f>Table2912[[#This Row],[Propionate '[%']]]/Table2912[[#This Row],[Acetate '[%']]]</f>
        <v>0.22970133566193529</v>
      </c>
      <c r="AH215" s="51"/>
      <c r="AI215" s="18"/>
      <c r="AJ215" s="18"/>
      <c r="AK215" s="18">
        <f>(Table2912[[#This Row],[DMD '[mg/g']]]-$AK$15)/$AK$15*100</f>
        <v>55.12866375051869</v>
      </c>
      <c r="AL215" s="18">
        <f>(Table2912[[#This Row],[CH4 '[ml/g']]]-AL$15)/AL$15*100</f>
        <v>24.368360119966098</v>
      </c>
      <c r="AM215" s="18">
        <f>(Table2912[[#This Row],[CH4 '[% GP']]]-AM$15)/AM$15*100</f>
        <v>15.09765579461714</v>
      </c>
      <c r="AN215" s="18">
        <f>(Table2912[[#This Row],[CH4 '[g/g DDM']]]-AN$15)/AN$15*100</f>
        <v>25.577633964631136</v>
      </c>
      <c r="AO215" s="18"/>
      <c r="AP215" s="18"/>
      <c r="AR215">
        <f>_xlfn.NORM.DIST(Table2912[[#This Row],[GP '[ml/g']]],O$6,O$2,FALSE)</f>
        <v>7.0518020601043315E-3</v>
      </c>
      <c r="AS215">
        <f>_xlfn.NORM.DIST(Table2912[[#This Row],[SCFA '[mmol/g']]],P$6,P$2,FALSE)</f>
        <v>0.25869429113456371</v>
      </c>
      <c r="AT215">
        <f>_xlfn.NORM.DIST(Table2912[[#This Row],[Acetate '[%']]],Q$6,Q$2,FALSE)</f>
        <v>11.60467338854076</v>
      </c>
      <c r="AU215">
        <f>_xlfn.NORM.DIST(Table2912[[#This Row],[Propionate '[%']]],R$6,R$2,FALSE)</f>
        <v>14.38060857731509</v>
      </c>
      <c r="AV215">
        <f>_xlfn.NORM.DIST(Table2912[[#This Row],[Butyrate '[%']]],S$6,S$2,FALSE)</f>
        <v>23.026768722935248</v>
      </c>
      <c r="AW215">
        <f>_xlfn.NORM.DIST(Table2912[[#This Row],[Valerate '[%']]],T$6,T$2,FALSE)</f>
        <v>66.815120305413956</v>
      </c>
      <c r="AX215">
        <f>_xlfn.NORM.DIST(Table2912[[#This Row],[Caproate '[%']]],U$6,U$2,FALSE)</f>
        <v>404.19907307640159</v>
      </c>
      <c r="AY215">
        <f>_xlfn.NORM.DIST(Table2912[[#This Row],[Isobutyrate '[%']]],V$6,V$2,FALSE)</f>
        <v>88.420943122549403</v>
      </c>
      <c r="AZ215">
        <f>_xlfn.NORM.DIST(Table2912[[#This Row],[Isovalerate '[%']]],W$6,W$2,FALSE)</f>
        <v>45.397701538610363</v>
      </c>
      <c r="BA215">
        <f>_xlfn.NORM.DIST(Table2912[[#This Row],[CH4 '[g/mmol SCFA']]],X$6,X$2,FALSE)</f>
        <v>0.28810209104948553</v>
      </c>
      <c r="BB215">
        <f>_xlfn.NORM.DIST(Table2912[[#This Row],[DMD '[mg/g']]],Y$6,Y$2,FALSE)</f>
        <v>2.8975965628130333E-3</v>
      </c>
      <c r="BC215">
        <f>_xlfn.NORM.DIST(Table2912[[#This Row],[CH4 '[ml/g']]],Z$6,Z$2,FALSE)</f>
        <v>2.7449385346160718E-2</v>
      </c>
      <c r="BD215">
        <f>_xlfn.NORM.DIST(Table2912[[#This Row],[CH4 '[% GP']]],AA$6,AA$2,FALSE)</f>
        <v>0.11204922405297102</v>
      </c>
      <c r="BE215">
        <f>_xlfn.NORM.DIST(Table2912[[#This Row],[CH4 '[g/g DDM']]],AB$6,AB$2,FALSE)</f>
        <v>2.1859871415395193E-2</v>
      </c>
      <c r="BG215">
        <f>IF(Table2912[[#This Row],[GP '[ml/g']]]&lt;O$10,_xlfn.NORM.DIST(Table2912[[#This Row],[GP '[ml/g']]],O$6,O$2,FALSE),-100)</f>
        <v>-100</v>
      </c>
      <c r="BH215">
        <f>IF(Table2912[[#This Row],[SCFA '[mmol/g']]]&lt;P$10,_xlfn.NORM.DIST(Table2912[[#This Row],[SCFA '[mmol/g']]],P$6,P$2,FALSE),-100)</f>
        <v>-100</v>
      </c>
      <c r="BI215">
        <f>IF(Table2912[[#This Row],[Acetate '[%']]]&lt;Q$10,_xlfn.NORM.DIST(Table2912[[#This Row],[Acetate '[%']]],Q$6,Q$2,FALSE),-100)</f>
        <v>-100</v>
      </c>
      <c r="BJ215">
        <f>IF(Table2912[[#This Row],[Propionate '[%']]]&lt;R$10,_xlfn.NORM.DIST(Table2912[[#This Row],[Propionate '[%']]],R$6,R$2,FALSE),-100)</f>
        <v>-100</v>
      </c>
      <c r="BK215">
        <f>IF(Table2912[[#This Row],[Butyrate '[%']]]&lt;S$10,_xlfn.NORM.DIST(Table2912[[#This Row],[Butyrate '[%']]],S$6,S$2,FALSE),-100)</f>
        <v>-100</v>
      </c>
      <c r="BL215">
        <f>IF(Table2912[[#This Row],[Valerate '[%']]]&lt;T$10,_xlfn.NORM.DIST(Table2912[[#This Row],[Valerate '[%']]],T$6,T$2,FALSE),-100)</f>
        <v>-100</v>
      </c>
      <c r="BM215">
        <f>IF(Table2912[[#This Row],[Caproate '[%']]]&lt;U$10,_xlfn.NORM.DIST(Table2912[[#This Row],[Caproate '[%']]],U$6,U$2,FALSE),-100)</f>
        <v>-100</v>
      </c>
      <c r="BN215">
        <f>IF(Table2912[[#This Row],[Isobutyrate '[%']]]&lt;V$10,_xlfn.NORM.DIST(Table2912[[#This Row],[Isobutyrate '[%']]],V$6,V$2,FALSE),-100)</f>
        <v>-100</v>
      </c>
      <c r="BO215">
        <f>IF(Table2912[[#This Row],[Isovalerate '[%']]]&lt;W$10,_xlfn.NORM.DIST(Table2912[[#This Row],[Isovalerate '[%']]],W$6,W$2,FALSE),-100)</f>
        <v>-100</v>
      </c>
      <c r="BP215">
        <f>IF(Table2912[[#This Row],[CH4 '[g/mmol SCFA']]]&lt;X$10,_xlfn.NORM.DIST(Table2912[[#This Row],[CH4 '[g/mmol SCFA']]],X$6,X$2,FALSE),-100)</f>
        <v>-100</v>
      </c>
      <c r="BQ215">
        <f>IF(Table2912[[#This Row],[DMD '[mg/g']]]&gt;Y$10,_xlfn.NORM.DIST(Table2912[[#This Row],[DMD '[mg/g']]],Y$6,Y$2,FALSE),-100)</f>
        <v>-100</v>
      </c>
      <c r="BR215">
        <f>IF(Table2912[[#This Row],[CH4 '[ml/g']]]&lt;Z$10,_xlfn.NORM.DIST(Table2912[[#This Row],[CH4 '[ml/g']]],Z$6,Z$2,FALSE),-100)</f>
        <v>-100</v>
      </c>
      <c r="BS215">
        <f>IF(Table2912[[#This Row],[CH4 '[% GP']]]&lt;AA$10,_xlfn.NORM.DIST(Table2912[[#This Row],[CH4 '[% GP']]],AA$6,AA$2,FALSE),-100)</f>
        <v>-100</v>
      </c>
      <c r="BT215">
        <f>IF(Table2912[[#This Row],[CH4 '[g/g DDM']]]&lt;AB$10,_xlfn.NORM.DIST(Table2912[[#This Row],[CH4 '[g/g DDM']]],AB$6,AB$2,FALSE),-100)</f>
        <v>-100</v>
      </c>
    </row>
    <row r="216" spans="1:72" x14ac:dyDescent="0.25">
      <c r="A216" s="12" t="s">
        <v>70</v>
      </c>
      <c r="B216" s="13">
        <v>1035</v>
      </c>
      <c r="C216" s="96" t="s">
        <v>296</v>
      </c>
      <c r="D216" s="96"/>
      <c r="E216" s="96"/>
      <c r="F216" s="96" t="s">
        <v>297</v>
      </c>
      <c r="G216" s="15" t="s">
        <v>73</v>
      </c>
      <c r="H216" s="15" t="s">
        <v>74</v>
      </c>
      <c r="I216" s="99" t="s">
        <v>79</v>
      </c>
      <c r="J216" s="70">
        <v>1</v>
      </c>
      <c r="K216" s="70"/>
      <c r="L216" s="70"/>
      <c r="M216" t="s">
        <v>297</v>
      </c>
      <c r="N216" t="s">
        <v>81</v>
      </c>
      <c r="O216" s="18">
        <v>276.5382618261832</v>
      </c>
      <c r="P216" s="18">
        <v>7.5001981944226186</v>
      </c>
      <c r="Q216" s="97">
        <v>0.65950707447685697</v>
      </c>
      <c r="R216" s="97">
        <v>0.18559460128849004</v>
      </c>
      <c r="S216" s="97">
        <v>9.4056581730093014E-2</v>
      </c>
      <c r="T216" s="97">
        <v>1.5704647492037239E-2</v>
      </c>
      <c r="U216" s="97">
        <v>6.9181147958753285E-4</v>
      </c>
      <c r="V216" s="97">
        <v>1.6606487739138247E-2</v>
      </c>
      <c r="W216" s="97">
        <v>2.7838795793796868E-2</v>
      </c>
      <c r="X216" s="51">
        <f t="shared" si="14"/>
        <v>5.0457583420584307</v>
      </c>
      <c r="Y216" s="18">
        <v>761.29620898597773</v>
      </c>
      <c r="Z216" s="18">
        <v>37.844187606599505</v>
      </c>
      <c r="AA216" s="18">
        <f t="shared" si="15"/>
        <v>13.68497341260729</v>
      </c>
      <c r="AB216" s="18">
        <f t="shared" si="16"/>
        <v>49.71020104908542</v>
      </c>
      <c r="AC216" s="18">
        <f>$CP$15*Table2912[[#This Row],[DMD '[mg/g']]]+$CS$15*Table2912[[#This Row],[CH4 '[ml/g']]]+$CR$15*Table2912[[#This Row],[CH4 '[% GP']]]+$CQ$15*Table2912[[#This Row],[CH4 '[g/g DDM']]]</f>
        <v>15.096401194094767</v>
      </c>
      <c r="AD216" s="18">
        <f>_xlfn.RANK.AVG(Table2912[[#This Row],[Index]],Table2912[Index])</f>
        <v>267</v>
      </c>
      <c r="AE21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7.0438730671443919</v>
      </c>
      <c r="AF216" s="18">
        <f>Table2912[[#This Row],[CH4 '[ml/g']]]/Table2912[[#This Row],[APB]]</f>
        <v>5.3726390645965543</v>
      </c>
      <c r="AG216" s="18">
        <f>Table2912[[#This Row],[Propionate '[%']]]/Table2912[[#This Row],[Acetate '[%']]]</f>
        <v>0.28141411740838396</v>
      </c>
      <c r="AH216" s="51"/>
      <c r="AI216" s="18"/>
      <c r="AJ216" s="18"/>
      <c r="AK216" s="18">
        <f>(Table2912[[#This Row],[DMD '[mg/g']]]-$AK$15)/$AK$15*100</f>
        <v>55.27495462180908</v>
      </c>
      <c r="AL216" s="18">
        <f>(Table2912[[#This Row],[CH4 '[ml/g']]]-AL$15)/AL$15*100</f>
        <v>-3.7832107448176213</v>
      </c>
      <c r="AM216" s="18">
        <f>(Table2912[[#This Row],[CH4 '[% GP']]]-AM$15)/AM$15*100</f>
        <v>-11.836995852746639</v>
      </c>
      <c r="AN216" s="18">
        <f>(Table2912[[#This Row],[CH4 '[g/g DDM']]]-AN$15)/AN$15*100</f>
        <v>-2.9391949217612989</v>
      </c>
      <c r="AO216" s="18"/>
      <c r="AP216" s="18"/>
      <c r="AR216">
        <f>_xlfn.NORM.DIST(Table2912[[#This Row],[GP '[ml/g']]],O$6,O$2,FALSE)</f>
        <v>6.9194961867338157E-3</v>
      </c>
      <c r="AS216">
        <f>_xlfn.NORM.DIST(Table2912[[#This Row],[SCFA '[mmol/g']]],P$6,P$2,FALSE)</f>
        <v>0.24104621722426639</v>
      </c>
      <c r="AT216">
        <f>_xlfn.NORM.DIST(Table2912[[#This Row],[Acetate '[%']]],Q$6,Q$2,FALSE)</f>
        <v>12.507750956657926</v>
      </c>
      <c r="AU216">
        <f>_xlfn.NORM.DIST(Table2912[[#This Row],[Propionate '[%']]],R$6,R$2,FALSE)</f>
        <v>14.209975824274933</v>
      </c>
      <c r="AV216">
        <f>_xlfn.NORM.DIST(Table2912[[#This Row],[Butyrate '[%']]],S$6,S$2,FALSE)</f>
        <v>22.98069104777823</v>
      </c>
      <c r="AW216">
        <f>_xlfn.NORM.DIST(Table2912[[#This Row],[Valerate '[%']]],T$6,T$2,FALSE)</f>
        <v>72.027352174727426</v>
      </c>
      <c r="AX216">
        <f>_xlfn.NORM.DIST(Table2912[[#This Row],[Caproate '[%']]],U$6,U$2,FALSE)</f>
        <v>328.55438991957533</v>
      </c>
      <c r="AY216">
        <f>_xlfn.NORM.DIST(Table2912[[#This Row],[Isobutyrate '[%']]],V$6,V$2,FALSE)</f>
        <v>86.413916811307033</v>
      </c>
      <c r="AZ216">
        <f>_xlfn.NORM.DIST(Table2912[[#This Row],[Isovalerate '[%']]],W$6,W$2,FALSE)</f>
        <v>45.428962021912604</v>
      </c>
      <c r="BA216">
        <f>_xlfn.NORM.DIST(Table2912[[#This Row],[CH4 '[g/mmol SCFA']]],X$6,X$2,FALSE)</f>
        <v>0.1943998564393723</v>
      </c>
      <c r="BB216">
        <f>_xlfn.NORM.DIST(Table2912[[#This Row],[DMD '[mg/g']]],Y$6,Y$2,FALSE)</f>
        <v>2.8992692171407467E-3</v>
      </c>
      <c r="BC216">
        <f>_xlfn.NORM.DIST(Table2912[[#This Row],[CH4 '[ml/g']]],Z$6,Z$2,FALSE)</f>
        <v>3.2046228345408573E-2</v>
      </c>
      <c r="BD216">
        <f>_xlfn.NORM.DIST(Table2912[[#This Row],[CH4 '[% GP']]],AA$6,AA$2,FALSE)</f>
        <v>9.7448122263147002E-2</v>
      </c>
      <c r="BE216">
        <f>_xlfn.NORM.DIST(Table2912[[#This Row],[CH4 '[g/g DDM']]],AB$6,AB$2,FALSE)</f>
        <v>3.1405853992018319E-2</v>
      </c>
      <c r="BG216">
        <f>IF(Table2912[[#This Row],[GP '[ml/g']]]&lt;O$10,_xlfn.NORM.DIST(Table2912[[#This Row],[GP '[ml/g']]],O$6,O$2,FALSE),-100)</f>
        <v>-100</v>
      </c>
      <c r="BH216">
        <f>IF(Table2912[[#This Row],[SCFA '[mmol/g']]]&lt;P$10,_xlfn.NORM.DIST(Table2912[[#This Row],[SCFA '[mmol/g']]],P$6,P$2,FALSE),-100)</f>
        <v>-100</v>
      </c>
      <c r="BI216">
        <f>IF(Table2912[[#This Row],[Acetate '[%']]]&lt;Q$10,_xlfn.NORM.DIST(Table2912[[#This Row],[Acetate '[%']]],Q$6,Q$2,FALSE),-100)</f>
        <v>-100</v>
      </c>
      <c r="BJ216">
        <f>IF(Table2912[[#This Row],[Propionate '[%']]]&lt;R$10,_xlfn.NORM.DIST(Table2912[[#This Row],[Propionate '[%']]],R$6,R$2,FALSE),-100)</f>
        <v>-100</v>
      </c>
      <c r="BK216">
        <f>IF(Table2912[[#This Row],[Butyrate '[%']]]&lt;S$10,_xlfn.NORM.DIST(Table2912[[#This Row],[Butyrate '[%']]],S$6,S$2,FALSE),-100)</f>
        <v>-100</v>
      </c>
      <c r="BL216">
        <f>IF(Table2912[[#This Row],[Valerate '[%']]]&lt;T$10,_xlfn.NORM.DIST(Table2912[[#This Row],[Valerate '[%']]],T$6,T$2,FALSE),-100)</f>
        <v>-100</v>
      </c>
      <c r="BM216">
        <f>IF(Table2912[[#This Row],[Caproate '[%']]]&lt;U$10,_xlfn.NORM.DIST(Table2912[[#This Row],[Caproate '[%']]],U$6,U$2,FALSE),-100)</f>
        <v>-100</v>
      </c>
      <c r="BN216">
        <f>IF(Table2912[[#This Row],[Isobutyrate '[%']]]&lt;V$10,_xlfn.NORM.DIST(Table2912[[#This Row],[Isobutyrate '[%']]],V$6,V$2,FALSE),-100)</f>
        <v>-100</v>
      </c>
      <c r="BO216">
        <f>IF(Table2912[[#This Row],[Isovalerate '[%']]]&lt;W$10,_xlfn.NORM.DIST(Table2912[[#This Row],[Isovalerate '[%']]],W$6,W$2,FALSE),-100)</f>
        <v>-100</v>
      </c>
      <c r="BP216">
        <f>IF(Table2912[[#This Row],[CH4 '[g/mmol SCFA']]]&lt;X$10,_xlfn.NORM.DIST(Table2912[[#This Row],[CH4 '[g/mmol SCFA']]],X$6,X$2,FALSE),-100)</f>
        <v>-100</v>
      </c>
      <c r="BQ216">
        <f>IF(Table2912[[#This Row],[DMD '[mg/g']]]&gt;Y$10,_xlfn.NORM.DIST(Table2912[[#This Row],[DMD '[mg/g']]],Y$6,Y$2,FALSE),-100)</f>
        <v>-100</v>
      </c>
      <c r="BR216">
        <f>IF(Table2912[[#This Row],[CH4 '[ml/g']]]&lt;Z$10,_xlfn.NORM.DIST(Table2912[[#This Row],[CH4 '[ml/g']]],Z$6,Z$2,FALSE),-100)</f>
        <v>-100</v>
      </c>
      <c r="BS216">
        <f>IF(Table2912[[#This Row],[CH4 '[% GP']]]&lt;AA$10,_xlfn.NORM.DIST(Table2912[[#This Row],[CH4 '[% GP']]],AA$6,AA$2,FALSE),-100)</f>
        <v>-100</v>
      </c>
      <c r="BT216">
        <f>IF(Table2912[[#This Row],[CH4 '[g/g DDM']]]&lt;AB$10,_xlfn.NORM.DIST(Table2912[[#This Row],[CH4 '[g/g DDM']]],AB$6,AB$2,FALSE),-100)</f>
        <v>-100</v>
      </c>
    </row>
    <row r="217" spans="1:72" x14ac:dyDescent="0.25">
      <c r="A217" s="12" t="s">
        <v>70</v>
      </c>
      <c r="B217" s="13">
        <v>1022</v>
      </c>
      <c r="C217" s="96" t="s">
        <v>174</v>
      </c>
      <c r="D217" s="96"/>
      <c r="E217" s="96"/>
      <c r="F217" s="96" t="s">
        <v>175</v>
      </c>
      <c r="G217" t="s">
        <v>73</v>
      </c>
      <c r="H217" t="s">
        <v>74</v>
      </c>
      <c r="I217" t="s">
        <v>75</v>
      </c>
      <c r="J217" s="100">
        <v>2</v>
      </c>
      <c r="K217" s="100"/>
      <c r="L217" s="100"/>
      <c r="M217" t="s">
        <v>175</v>
      </c>
      <c r="N217" t="s">
        <v>76</v>
      </c>
      <c r="O217" s="18">
        <v>217.82444444444459</v>
      </c>
      <c r="P217" s="18">
        <v>6.4833888888888875</v>
      </c>
      <c r="Q217" s="97">
        <v>0.66439400460861453</v>
      </c>
      <c r="R217" s="97">
        <v>0.16678789573992955</v>
      </c>
      <c r="S217" s="97">
        <v>9.6812704899688962E-2</v>
      </c>
      <c r="T217" s="97">
        <v>2.48245754891692E-2</v>
      </c>
      <c r="U217" s="97">
        <v>1.3111269509714456E-3</v>
      </c>
      <c r="V217" s="97">
        <v>1.5535497793897669E-2</v>
      </c>
      <c r="W217" s="97">
        <v>3.0334194517728758E-2</v>
      </c>
      <c r="X217" s="51">
        <f t="shared" si="14"/>
        <v>4.7129843681466559</v>
      </c>
      <c r="Y217" s="18">
        <v>761.5555555555552</v>
      </c>
      <c r="Z217" s="18">
        <v>30.556110485949045</v>
      </c>
      <c r="AA217" s="18">
        <f t="shared" si="15"/>
        <v>14.027861089641059</v>
      </c>
      <c r="AB217" s="18">
        <f t="shared" si="16"/>
        <v>40.1232848516985</v>
      </c>
      <c r="AC217" s="18">
        <f>$CP$15*Table2912[[#This Row],[DMD '[mg/g']]]+$CS$15*Table2912[[#This Row],[CH4 '[ml/g']]]+$CR$15*Table2912[[#This Row],[CH4 '[% GP']]]+$CQ$15*Table2912[[#This Row],[CH4 '[g/g DDM']]]</f>
        <v>19.170624207340872</v>
      </c>
      <c r="AD217" s="18">
        <f>_xlfn.RANK.AVG(Table2912[[#This Row],[Index]],Table2912[Index])</f>
        <v>179</v>
      </c>
      <c r="AE21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6.0165499126152238</v>
      </c>
      <c r="AF217" s="18">
        <f>Table2912[[#This Row],[CH4 '[ml/g']]]/Table2912[[#This Row],[APB]]</f>
        <v>5.0786764723550961</v>
      </c>
      <c r="AG217" s="18">
        <f>Table2912[[#This Row],[Propionate '[%']]]/Table2912[[#This Row],[Acetate '[%']]]</f>
        <v>0.2510376291522709</v>
      </c>
      <c r="AH217" s="51"/>
      <c r="AI217" s="18"/>
      <c r="AJ217" s="18"/>
      <c r="AK217" s="18">
        <f>(Table2912[[#This Row],[DMD '[mg/g']]]-$AK$15)/$AK$15*100</f>
        <v>55.327851281935772</v>
      </c>
      <c r="AL217" s="18">
        <f>(Table2912[[#This Row],[CH4 '[ml/g']]]-AL$15)/AL$15*100</f>
        <v>-22.312750543179042</v>
      </c>
      <c r="AM217" s="18">
        <f>(Table2912[[#This Row],[CH4 '[% GP']]]-AM$15)/AM$15*100</f>
        <v>-9.6280030559816261</v>
      </c>
      <c r="AN217" s="18">
        <f>(Table2912[[#This Row],[CH4 '[g/g DDM']]]-AN$15)/AN$15*100</f>
        <v>-21.657964604812118</v>
      </c>
      <c r="AO217" s="18"/>
      <c r="AP217" s="18"/>
      <c r="AR217">
        <f>_xlfn.NORM.DIST(Table2912[[#This Row],[GP '[ml/g']]],O$6,O$2,FALSE)</f>
        <v>5.8290751203631981E-3</v>
      </c>
      <c r="AS217">
        <f>_xlfn.NORM.DIST(Table2912[[#This Row],[SCFA '[mmol/g']]],P$6,P$2,FALSE)</f>
        <v>0.33240524886805711</v>
      </c>
      <c r="AT217">
        <f>_xlfn.NORM.DIST(Table2912[[#This Row],[Acetate '[%']]],Q$6,Q$2,FALSE)</f>
        <v>13.381295829982243</v>
      </c>
      <c r="AU217">
        <f>_xlfn.NORM.DIST(Table2912[[#This Row],[Propionate '[%']]],R$6,R$2,FALSE)</f>
        <v>16.411688024066862</v>
      </c>
      <c r="AV217">
        <f>_xlfn.NORM.DIST(Table2912[[#This Row],[Butyrate '[%']]],S$6,S$2,FALSE)</f>
        <v>22.45637701755555</v>
      </c>
      <c r="AW217">
        <f>_xlfn.NORM.DIST(Table2912[[#This Row],[Valerate '[%']]],T$6,T$2,FALSE)</f>
        <v>29.450405107720954</v>
      </c>
      <c r="AX217">
        <f>_xlfn.NORM.DIST(Table2912[[#This Row],[Caproate '[%']]],U$6,U$2,FALSE)</f>
        <v>406.81243926095391</v>
      </c>
      <c r="AY217">
        <f>_xlfn.NORM.DIST(Table2912[[#This Row],[Isobutyrate '[%']]],V$6,V$2,FALSE)</f>
        <v>90.049175572715896</v>
      </c>
      <c r="AZ217">
        <f>_xlfn.NORM.DIST(Table2912[[#This Row],[Isovalerate '[%']]],W$6,W$2,FALSE)</f>
        <v>43.710866909117939</v>
      </c>
      <c r="BA217">
        <f>_xlfn.NORM.DIST(Table2912[[#This Row],[CH4 '[g/mmol SCFA']]],X$6,X$2,FALSE)</f>
        <v>0.14996138528929068</v>
      </c>
      <c r="BB217">
        <f>_xlfn.NORM.DIST(Table2912[[#This Row],[DMD '[mg/g']]],Y$6,Y$2,FALSE)</f>
        <v>2.8998546416940441E-3</v>
      </c>
      <c r="BC217">
        <f>_xlfn.NORM.DIST(Table2912[[#This Row],[CH4 '[ml/g']]],Z$6,Z$2,FALSE)</f>
        <v>2.2134577146311497E-2</v>
      </c>
      <c r="BD217">
        <f>_xlfn.NORM.DIST(Table2912[[#This Row],[CH4 '[% GP']]],AA$6,AA$2,FALSE)</f>
        <v>0.10625091770456097</v>
      </c>
      <c r="BE217">
        <f>_xlfn.NORM.DIST(Table2912[[#This Row],[CH4 '[g/g DDM']]],AB$6,AB$2,FALSE)</f>
        <v>1.8146349950837932E-2</v>
      </c>
      <c r="BG217">
        <f>IF(Table2912[[#This Row],[GP '[ml/g']]]&lt;O$10,_xlfn.NORM.DIST(Table2912[[#This Row],[GP '[ml/g']]],O$6,O$2,FALSE),-100)</f>
        <v>-100</v>
      </c>
      <c r="BH217">
        <f>IF(Table2912[[#This Row],[SCFA '[mmol/g']]]&lt;P$10,_xlfn.NORM.DIST(Table2912[[#This Row],[SCFA '[mmol/g']]],P$6,P$2,FALSE),-100)</f>
        <v>-100</v>
      </c>
      <c r="BI217">
        <f>IF(Table2912[[#This Row],[Acetate '[%']]]&lt;Q$10,_xlfn.NORM.DIST(Table2912[[#This Row],[Acetate '[%']]],Q$6,Q$2,FALSE),-100)</f>
        <v>-100</v>
      </c>
      <c r="BJ217">
        <f>IF(Table2912[[#This Row],[Propionate '[%']]]&lt;R$10,_xlfn.NORM.DIST(Table2912[[#This Row],[Propionate '[%']]],R$6,R$2,FALSE),-100)</f>
        <v>-100</v>
      </c>
      <c r="BK217">
        <f>IF(Table2912[[#This Row],[Butyrate '[%']]]&lt;S$10,_xlfn.NORM.DIST(Table2912[[#This Row],[Butyrate '[%']]],S$6,S$2,FALSE),-100)</f>
        <v>-100</v>
      </c>
      <c r="BL217">
        <f>IF(Table2912[[#This Row],[Valerate '[%']]]&lt;T$10,_xlfn.NORM.DIST(Table2912[[#This Row],[Valerate '[%']]],T$6,T$2,FALSE),-100)</f>
        <v>-100</v>
      </c>
      <c r="BM217">
        <f>IF(Table2912[[#This Row],[Caproate '[%']]]&lt;U$10,_xlfn.NORM.DIST(Table2912[[#This Row],[Caproate '[%']]],U$6,U$2,FALSE),-100)</f>
        <v>-100</v>
      </c>
      <c r="BN217">
        <f>IF(Table2912[[#This Row],[Isobutyrate '[%']]]&lt;V$10,_xlfn.NORM.DIST(Table2912[[#This Row],[Isobutyrate '[%']]],V$6,V$2,FALSE),-100)</f>
        <v>-100</v>
      </c>
      <c r="BO217">
        <f>IF(Table2912[[#This Row],[Isovalerate '[%']]]&lt;W$10,_xlfn.NORM.DIST(Table2912[[#This Row],[Isovalerate '[%']]],W$6,W$2,FALSE),-100)</f>
        <v>-100</v>
      </c>
      <c r="BP217">
        <f>IF(Table2912[[#This Row],[CH4 '[g/mmol SCFA']]]&lt;X$10,_xlfn.NORM.DIST(Table2912[[#This Row],[CH4 '[g/mmol SCFA']]],X$6,X$2,FALSE),-100)</f>
        <v>0.14996138528929068</v>
      </c>
      <c r="BQ217">
        <f>IF(Table2912[[#This Row],[DMD '[mg/g']]]&gt;Y$10,_xlfn.NORM.DIST(Table2912[[#This Row],[DMD '[mg/g']]],Y$6,Y$2,FALSE),-100)</f>
        <v>-100</v>
      </c>
      <c r="BR217">
        <f>IF(Table2912[[#This Row],[CH4 '[ml/g']]]&lt;Z$10,_xlfn.NORM.DIST(Table2912[[#This Row],[CH4 '[ml/g']]],Z$6,Z$2,FALSE),-100)</f>
        <v>-100</v>
      </c>
      <c r="BS217">
        <f>IF(Table2912[[#This Row],[CH4 '[% GP']]]&lt;AA$10,_xlfn.NORM.DIST(Table2912[[#This Row],[CH4 '[% GP']]],AA$6,AA$2,FALSE),-100)</f>
        <v>-100</v>
      </c>
      <c r="BT217">
        <f>IF(Table2912[[#This Row],[CH4 '[g/g DDM']]]&lt;AB$10,_xlfn.NORM.DIST(Table2912[[#This Row],[CH4 '[g/g DDM']]],AB$6,AB$2,FALSE),-100)</f>
        <v>-100</v>
      </c>
    </row>
    <row r="218" spans="1:72" x14ac:dyDescent="0.25">
      <c r="A218" s="12" t="s">
        <v>200</v>
      </c>
      <c r="B218" s="13">
        <v>1153</v>
      </c>
      <c r="C218" s="117" t="s">
        <v>281</v>
      </c>
      <c r="D218" s="117" t="s">
        <v>262</v>
      </c>
      <c r="E218" s="117" t="s">
        <v>282</v>
      </c>
      <c r="F218" s="117" t="s">
        <v>283</v>
      </c>
      <c r="G218" t="s">
        <v>73</v>
      </c>
      <c r="H218" t="s">
        <v>74</v>
      </c>
      <c r="I218" t="s">
        <v>75</v>
      </c>
      <c r="J218" s="70">
        <v>2</v>
      </c>
      <c r="K218" s="70"/>
      <c r="L218" s="70"/>
      <c r="M218" t="s">
        <v>283</v>
      </c>
      <c r="N218" t="s">
        <v>245</v>
      </c>
      <c r="O218" s="18">
        <v>230.10127865961178</v>
      </c>
      <c r="P218" s="18">
        <v>6.1156856261022936</v>
      </c>
      <c r="Q218" s="97">
        <v>0.64434621386571056</v>
      </c>
      <c r="R218" s="97">
        <v>0.18697355296281132</v>
      </c>
      <c r="S218" s="97">
        <v>9.0927977184388484E-2</v>
      </c>
      <c r="T218" s="97">
        <v>1.9999426216737386E-2</v>
      </c>
      <c r="U218" s="97">
        <v>2.2723141564599545E-3</v>
      </c>
      <c r="V218" s="97">
        <v>1.8618755325491919E-2</v>
      </c>
      <c r="W218" s="97">
        <v>3.6861760288400269E-2</v>
      </c>
      <c r="X218" s="51">
        <f t="shared" si="14"/>
        <v>6.8505361972179291</v>
      </c>
      <c r="Y218" s="18">
        <v>761.57407407407391</v>
      </c>
      <c r="Z218" s="18">
        <v>41.895725752419153</v>
      </c>
      <c r="AA218" s="18">
        <f t="shared" si="15"/>
        <v>18.207515402117949</v>
      </c>
      <c r="AB218" s="18">
        <f t="shared" si="16"/>
        <v>55.012016793450087</v>
      </c>
      <c r="AC218" s="18">
        <f>$CP$15*Table2912[[#This Row],[DMD '[mg/g']]]+$CS$15*Table2912[[#This Row],[CH4 '[ml/g']]]+$CR$15*Table2912[[#This Row],[CH4 '[% GP']]]+$CQ$15*Table2912[[#This Row],[CH4 '[g/g DDM']]]</f>
        <v>11.462020941457929</v>
      </c>
      <c r="AD218" s="18">
        <f>_xlfn.RANK.AVG(Table2912[[#This Row],[Index]],Table2912[Index])</f>
        <v>334</v>
      </c>
      <c r="AE21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5.6401772717650234</v>
      </c>
      <c r="AF218" s="18">
        <f>Table2912[[#This Row],[CH4 '[ml/g']]]/Table2912[[#This Row],[APB]]</f>
        <v>7.4280866954574298</v>
      </c>
      <c r="AG218" s="18">
        <f>Table2912[[#This Row],[Propionate '[%']]]/Table2912[[#This Row],[Acetate '[%']]]</f>
        <v>0.29017560581457663</v>
      </c>
      <c r="AH218" s="51"/>
      <c r="AI218" s="18"/>
      <c r="AJ218" s="18"/>
      <c r="AK218" s="18">
        <f>(Table2912[[#This Row],[DMD '[mg/g']]]-$AK$15)/$AK$15*100</f>
        <v>55.331628342807363</v>
      </c>
      <c r="AL218" s="18">
        <f>(Table2912[[#This Row],[CH4 '[ml/g']]]-AL$15)/AL$15*100</f>
        <v>6.5176046931568283</v>
      </c>
      <c r="AM218" s="18">
        <f>(Table2912[[#This Row],[CH4 '[% GP']]]-AM$15)/AM$15*100</f>
        <v>17.298675526054417</v>
      </c>
      <c r="AN218" s="18">
        <f>(Table2912[[#This Row],[CH4 '[g/g DDM']]]-AN$15)/AN$15*100</f>
        <v>7.4127749690139408</v>
      </c>
      <c r="AO218" s="18"/>
      <c r="AP218" s="18"/>
      <c r="AR218">
        <f>_xlfn.NORM.DIST(Table2912[[#This Row],[GP '[ml/g']]],O$6,O$2,FALSE)</f>
        <v>6.6786758708558859E-3</v>
      </c>
      <c r="AS218">
        <f>_xlfn.NORM.DIST(Table2912[[#This Row],[SCFA '[mmol/g']]],P$6,P$2,FALSE)</f>
        <v>0.31277719620828326</v>
      </c>
      <c r="AT218">
        <f>_xlfn.NORM.DIST(Table2912[[#This Row],[Acetate '[%']]],Q$6,Q$2,FALSE)</f>
        <v>8.4067893718810112</v>
      </c>
      <c r="AU218">
        <f>_xlfn.NORM.DIST(Table2912[[#This Row],[Propionate '[%']]],R$6,R$2,FALSE)</f>
        <v>13.718256332365968</v>
      </c>
      <c r="AV218">
        <f>_xlfn.NORM.DIST(Table2912[[#This Row],[Butyrate '[%']]],S$6,S$2,FALSE)</f>
        <v>22.87800430650087</v>
      </c>
      <c r="AW218">
        <f>_xlfn.NORM.DIST(Table2912[[#This Row],[Valerate '[%']]],T$6,T$2,FALSE)</f>
        <v>69.815143777841072</v>
      </c>
      <c r="AX218">
        <f>_xlfn.NORM.DIST(Table2912[[#This Row],[Caproate '[%']]],U$6,U$2,FALSE)</f>
        <v>257.16046272436944</v>
      </c>
      <c r="AY218">
        <f>_xlfn.NORM.DIST(Table2912[[#This Row],[Isobutyrate '[%']]],V$6,V$2,FALSE)</f>
        <v>68.25753335813377</v>
      </c>
      <c r="AZ218">
        <f>_xlfn.NORM.DIST(Table2912[[#This Row],[Isovalerate '[%']]],W$6,W$2,FALSE)</f>
        <v>26.973688474889048</v>
      </c>
      <c r="BA218">
        <f>_xlfn.NORM.DIST(Table2912[[#This Row],[CH4 '[g/mmol SCFA']]],X$6,X$2,FALSE)</f>
        <v>0.27192218760182318</v>
      </c>
      <c r="BB218">
        <f>_xlfn.NORM.DIST(Table2912[[#This Row],[DMD '[mg/g']]],Y$6,Y$2,FALSE)</f>
        <v>2.899896049552798E-3</v>
      </c>
      <c r="BC218">
        <f>_xlfn.NORM.DIST(Table2912[[#This Row],[CH4 '[ml/g']]],Z$6,Z$2,FALSE)</f>
        <v>3.3476773923349364E-2</v>
      </c>
      <c r="BD218">
        <f>_xlfn.NORM.DIST(Table2912[[#This Row],[CH4 '[% GP']]],AA$6,AA$2,FALSE)</f>
        <v>0.10377770079703029</v>
      </c>
      <c r="BE218">
        <f>_xlfn.NORM.DIST(Table2912[[#This Row],[CH4 '[g/g DDM']]],AB$6,AB$2,FALSE)</f>
        <v>3.254741030861525E-2</v>
      </c>
      <c r="BG218">
        <f>IF(Table2912[[#This Row],[GP '[ml/g']]]&lt;O$10,_xlfn.NORM.DIST(Table2912[[#This Row],[GP '[ml/g']]],O$6,O$2,FALSE),-100)</f>
        <v>-100</v>
      </c>
      <c r="BH218">
        <f>IF(Table2912[[#This Row],[SCFA '[mmol/g']]]&lt;P$10,_xlfn.NORM.DIST(Table2912[[#This Row],[SCFA '[mmol/g']]],P$6,P$2,FALSE),-100)</f>
        <v>-100</v>
      </c>
      <c r="BI218">
        <f>IF(Table2912[[#This Row],[Acetate '[%']]]&lt;Q$10,_xlfn.NORM.DIST(Table2912[[#This Row],[Acetate '[%']]],Q$6,Q$2,FALSE),-100)</f>
        <v>8.4067893718810112</v>
      </c>
      <c r="BJ218">
        <f>IF(Table2912[[#This Row],[Propionate '[%']]]&lt;R$10,_xlfn.NORM.DIST(Table2912[[#This Row],[Propionate '[%']]],R$6,R$2,FALSE),-100)</f>
        <v>-100</v>
      </c>
      <c r="BK218">
        <f>IF(Table2912[[#This Row],[Butyrate '[%']]]&lt;S$10,_xlfn.NORM.DIST(Table2912[[#This Row],[Butyrate '[%']]],S$6,S$2,FALSE),-100)</f>
        <v>-100</v>
      </c>
      <c r="BL218">
        <f>IF(Table2912[[#This Row],[Valerate '[%']]]&lt;T$10,_xlfn.NORM.DIST(Table2912[[#This Row],[Valerate '[%']]],T$6,T$2,FALSE),-100)</f>
        <v>-100</v>
      </c>
      <c r="BM218">
        <f>IF(Table2912[[#This Row],[Caproate '[%']]]&lt;U$10,_xlfn.NORM.DIST(Table2912[[#This Row],[Caproate '[%']]],U$6,U$2,FALSE),-100)</f>
        <v>-100</v>
      </c>
      <c r="BN218">
        <f>IF(Table2912[[#This Row],[Isobutyrate '[%']]]&lt;V$10,_xlfn.NORM.DIST(Table2912[[#This Row],[Isobutyrate '[%']]],V$6,V$2,FALSE),-100)</f>
        <v>-100</v>
      </c>
      <c r="BO218">
        <f>IF(Table2912[[#This Row],[Isovalerate '[%']]]&lt;W$10,_xlfn.NORM.DIST(Table2912[[#This Row],[Isovalerate '[%']]],W$6,W$2,FALSE),-100)</f>
        <v>-100</v>
      </c>
      <c r="BP218">
        <f>IF(Table2912[[#This Row],[CH4 '[g/mmol SCFA']]]&lt;X$10,_xlfn.NORM.DIST(Table2912[[#This Row],[CH4 '[g/mmol SCFA']]],X$6,X$2,FALSE),-100)</f>
        <v>-100</v>
      </c>
      <c r="BQ218">
        <f>IF(Table2912[[#This Row],[DMD '[mg/g']]]&gt;Y$10,_xlfn.NORM.DIST(Table2912[[#This Row],[DMD '[mg/g']]],Y$6,Y$2,FALSE),-100)</f>
        <v>-100</v>
      </c>
      <c r="BR218">
        <f>IF(Table2912[[#This Row],[CH4 '[ml/g']]]&lt;Z$10,_xlfn.NORM.DIST(Table2912[[#This Row],[CH4 '[ml/g']]],Z$6,Z$2,FALSE),-100)</f>
        <v>-100</v>
      </c>
      <c r="BS218">
        <f>IF(Table2912[[#This Row],[CH4 '[% GP']]]&lt;AA$10,_xlfn.NORM.DIST(Table2912[[#This Row],[CH4 '[% GP']]],AA$6,AA$2,FALSE),-100)</f>
        <v>-100</v>
      </c>
      <c r="BT218">
        <f>IF(Table2912[[#This Row],[CH4 '[g/g DDM']]]&lt;AB$10,_xlfn.NORM.DIST(Table2912[[#This Row],[CH4 '[g/g DDM']]],AB$6,AB$2,FALSE),-100)</f>
        <v>-100</v>
      </c>
    </row>
    <row r="219" spans="1:72" x14ac:dyDescent="0.25">
      <c r="A219" s="12" t="s">
        <v>200</v>
      </c>
      <c r="B219" s="13">
        <v>1153</v>
      </c>
      <c r="C219" s="117" t="s">
        <v>281</v>
      </c>
      <c r="D219" s="117" t="s">
        <v>262</v>
      </c>
      <c r="E219" s="117" t="s">
        <v>282</v>
      </c>
      <c r="F219" s="117" t="s">
        <v>283</v>
      </c>
      <c r="G219" s="15" t="s">
        <v>73</v>
      </c>
      <c r="H219" s="15" t="s">
        <v>74</v>
      </c>
      <c r="I219" t="s">
        <v>75</v>
      </c>
      <c r="J219" s="70">
        <v>3</v>
      </c>
      <c r="K219" s="70"/>
      <c r="L219" s="70"/>
      <c r="M219" t="s">
        <v>283</v>
      </c>
      <c r="N219" t="s">
        <v>237</v>
      </c>
      <c r="O219" s="18">
        <v>229.95785288270309</v>
      </c>
      <c r="P219" s="18">
        <v>6.4427184150258743</v>
      </c>
      <c r="Q219" s="97">
        <v>0.65537507301865716</v>
      </c>
      <c r="R219" s="97">
        <v>0.19103257487945741</v>
      </c>
      <c r="S219" s="97">
        <v>8.5528622593383813E-2</v>
      </c>
      <c r="T219" s="97">
        <v>1.7287372305193414E-2</v>
      </c>
      <c r="U219" s="97">
        <v>1.7728837787798195E-3</v>
      </c>
      <c r="V219" s="97">
        <v>1.6820474073729996E-2</v>
      </c>
      <c r="W219" s="97">
        <v>3.2182999350798394E-2</v>
      </c>
      <c r="X219" s="51">
        <f t="shared" si="14"/>
        <v>6.5835998124564385</v>
      </c>
      <c r="Y219" s="18">
        <v>761.87320521316542</v>
      </c>
      <c r="Z219" s="18">
        <v>42.41627974887399</v>
      </c>
      <c r="AA219" s="18">
        <f t="shared" si="15"/>
        <v>18.445240820068747</v>
      </c>
      <c r="AB219" s="18">
        <f t="shared" si="16"/>
        <v>55.673673071369258</v>
      </c>
      <c r="AC219" s="18">
        <f>$CP$15*Table2912[[#This Row],[DMD '[mg/g']]]+$CS$15*Table2912[[#This Row],[CH4 '[ml/g']]]+$CR$15*Table2912[[#This Row],[CH4 '[% GP']]]+$CQ$15*Table2912[[#This Row],[CH4 '[g/g DDM']]]</f>
        <v>11.129602772981059</v>
      </c>
      <c r="AD219" s="18">
        <f>_xlfn.RANK.AVG(Table2912[[#This Row],[Index]],Table2912[Index])</f>
        <v>345</v>
      </c>
      <c r="AE21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6.0042029715261105</v>
      </c>
      <c r="AF219" s="18">
        <f>Table2912[[#This Row],[CH4 '[ml/g']]]/Table2912[[#This Row],[APB]]</f>
        <v>7.0644313575050388</v>
      </c>
      <c r="AG219" s="18">
        <f>Table2912[[#This Row],[Propionate '[%']]]/Table2912[[#This Row],[Acetate '[%']]]</f>
        <v>0.29148587235636153</v>
      </c>
      <c r="AH219" s="51"/>
      <c r="AI219" s="18"/>
      <c r="AJ219" s="18"/>
      <c r="AK219" s="18">
        <f>(Table2912[[#This Row],[DMD '[mg/g']]]-$AK$15)/$AK$15*100</f>
        <v>55.392639514937429</v>
      </c>
      <c r="AL219" s="18">
        <f>(Table2912[[#This Row],[CH4 '[ml/g']]]-AL$15)/AL$15*100</f>
        <v>7.8410849246126002</v>
      </c>
      <c r="AM219" s="18">
        <f>(Table2912[[#This Row],[CH4 '[% GP']]]-AM$15)/AM$15*100</f>
        <v>18.83017919630603</v>
      </c>
      <c r="AN219" s="18">
        <f>(Table2912[[#This Row],[CH4 '[g/g DDM']]]-AN$15)/AN$15*100</f>
        <v>8.7046806476188578</v>
      </c>
      <c r="AO219" s="18"/>
      <c r="AP219" s="18"/>
      <c r="AR219">
        <f>_xlfn.NORM.DIST(Table2912[[#This Row],[GP '[ml/g']]],O$6,O$2,FALSE)</f>
        <v>6.6701080999055336E-3</v>
      </c>
      <c r="AS219">
        <f>_xlfn.NORM.DIST(Table2912[[#This Row],[SCFA '[mmol/g']]],P$6,P$2,FALSE)</f>
        <v>0.33170608000759527</v>
      </c>
      <c r="AT219">
        <f>_xlfn.NORM.DIST(Table2912[[#This Row],[Acetate '[%']]],Q$6,Q$2,FALSE)</f>
        <v>11.544774563175336</v>
      </c>
      <c r="AU219">
        <f>_xlfn.NORM.DIST(Table2912[[#This Row],[Propionate '[%']]],R$6,R$2,FALSE)</f>
        <v>12.127969147042661</v>
      </c>
      <c r="AV219">
        <f>_xlfn.NORM.DIST(Table2912[[#This Row],[Butyrate '[%']]],S$6,S$2,FALSE)</f>
        <v>21.025245952363186</v>
      </c>
      <c r="AW219">
        <f>_xlfn.NORM.DIST(Table2912[[#This Row],[Valerate '[%']]],T$6,T$2,FALSE)</f>
        <v>77.194317331875752</v>
      </c>
      <c r="AX219">
        <f>_xlfn.NORM.DIST(Table2912[[#This Row],[Caproate '[%']]],U$6,U$2,FALSE)</f>
        <v>367.96091402935588</v>
      </c>
      <c r="AY219">
        <f>_xlfn.NORM.DIST(Table2912[[#This Row],[Isobutyrate '[%']]],V$6,V$2,FALSE)</f>
        <v>85.105675861367672</v>
      </c>
      <c r="AZ219">
        <f>_xlfn.NORM.DIST(Table2912[[#This Row],[Isovalerate '[%']]],W$6,W$2,FALSE)</f>
        <v>40.324437645281556</v>
      </c>
      <c r="BA219">
        <f>_xlfn.NORM.DIST(Table2912[[#This Row],[CH4 '[g/mmol SCFA']]],X$6,X$2,FALSE)</f>
        <v>0.29001980723045151</v>
      </c>
      <c r="BB219">
        <f>_xlfn.NORM.DIST(Table2912[[#This Row],[DMD '[mg/g']]],Y$6,Y$2,FALSE)</f>
        <v>2.900557633351307E-3</v>
      </c>
      <c r="BC219">
        <f>_xlfn.NORM.DIST(Table2912[[#This Row],[CH4 '[ml/g']]],Z$6,Z$2,FALSE)</f>
        <v>3.3383738137224589E-2</v>
      </c>
      <c r="BD219">
        <f>_xlfn.NORM.DIST(Table2912[[#This Row],[CH4 '[% GP']]],AA$6,AA$2,FALSE)</f>
        <v>9.7615678167775527E-2</v>
      </c>
      <c r="BE219">
        <f>_xlfn.NORM.DIST(Table2912[[#This Row],[CH4 '[g/g DDM']]],AB$6,AB$2,FALSE)</f>
        <v>3.2258287762312682E-2</v>
      </c>
      <c r="BG219">
        <f>IF(Table2912[[#This Row],[GP '[ml/g']]]&lt;O$10,_xlfn.NORM.DIST(Table2912[[#This Row],[GP '[ml/g']]],O$6,O$2,FALSE),-100)</f>
        <v>-100</v>
      </c>
      <c r="BH219">
        <f>IF(Table2912[[#This Row],[SCFA '[mmol/g']]]&lt;P$10,_xlfn.NORM.DIST(Table2912[[#This Row],[SCFA '[mmol/g']]],P$6,P$2,FALSE),-100)</f>
        <v>-100</v>
      </c>
      <c r="BI219">
        <f>IF(Table2912[[#This Row],[Acetate '[%']]]&lt;Q$10,_xlfn.NORM.DIST(Table2912[[#This Row],[Acetate '[%']]],Q$6,Q$2,FALSE),-100)</f>
        <v>-100</v>
      </c>
      <c r="BJ219">
        <f>IF(Table2912[[#This Row],[Propionate '[%']]]&lt;R$10,_xlfn.NORM.DIST(Table2912[[#This Row],[Propionate '[%']]],R$6,R$2,FALSE),-100)</f>
        <v>-100</v>
      </c>
      <c r="BK219">
        <f>IF(Table2912[[#This Row],[Butyrate '[%']]]&lt;S$10,_xlfn.NORM.DIST(Table2912[[#This Row],[Butyrate '[%']]],S$6,S$2,FALSE),-100)</f>
        <v>-100</v>
      </c>
      <c r="BL219">
        <f>IF(Table2912[[#This Row],[Valerate '[%']]]&lt;T$10,_xlfn.NORM.DIST(Table2912[[#This Row],[Valerate '[%']]],T$6,T$2,FALSE),-100)</f>
        <v>-100</v>
      </c>
      <c r="BM219">
        <f>IF(Table2912[[#This Row],[Caproate '[%']]]&lt;U$10,_xlfn.NORM.DIST(Table2912[[#This Row],[Caproate '[%']]],U$6,U$2,FALSE),-100)</f>
        <v>-100</v>
      </c>
      <c r="BN219">
        <f>IF(Table2912[[#This Row],[Isobutyrate '[%']]]&lt;V$10,_xlfn.NORM.DIST(Table2912[[#This Row],[Isobutyrate '[%']]],V$6,V$2,FALSE),-100)</f>
        <v>-100</v>
      </c>
      <c r="BO219">
        <f>IF(Table2912[[#This Row],[Isovalerate '[%']]]&lt;W$10,_xlfn.NORM.DIST(Table2912[[#This Row],[Isovalerate '[%']]],W$6,W$2,FALSE),-100)</f>
        <v>-100</v>
      </c>
      <c r="BP219">
        <f>IF(Table2912[[#This Row],[CH4 '[g/mmol SCFA']]]&lt;X$10,_xlfn.NORM.DIST(Table2912[[#This Row],[CH4 '[g/mmol SCFA']]],X$6,X$2,FALSE),-100)</f>
        <v>-100</v>
      </c>
      <c r="BQ219">
        <f>IF(Table2912[[#This Row],[DMD '[mg/g']]]&gt;Y$10,_xlfn.NORM.DIST(Table2912[[#This Row],[DMD '[mg/g']]],Y$6,Y$2,FALSE),-100)</f>
        <v>-100</v>
      </c>
      <c r="BR219">
        <f>IF(Table2912[[#This Row],[CH4 '[ml/g']]]&lt;Z$10,_xlfn.NORM.DIST(Table2912[[#This Row],[CH4 '[ml/g']]],Z$6,Z$2,FALSE),-100)</f>
        <v>-100</v>
      </c>
      <c r="BS219">
        <f>IF(Table2912[[#This Row],[CH4 '[% GP']]]&lt;AA$10,_xlfn.NORM.DIST(Table2912[[#This Row],[CH4 '[% GP']]],AA$6,AA$2,FALSE),-100)</f>
        <v>-100</v>
      </c>
      <c r="BT219">
        <f>IF(Table2912[[#This Row],[CH4 '[g/g DDM']]]&lt;AB$10,_xlfn.NORM.DIST(Table2912[[#This Row],[CH4 '[g/g DDM']]],AB$6,AB$2,FALSE),-100)</f>
        <v>-100</v>
      </c>
    </row>
    <row r="220" spans="1:72" x14ac:dyDescent="0.25">
      <c r="A220" s="12" t="s">
        <v>86</v>
      </c>
      <c r="B220" s="13">
        <v>1089</v>
      </c>
      <c r="C220" s="104" t="s">
        <v>298</v>
      </c>
      <c r="D220" s="104" t="s">
        <v>299</v>
      </c>
      <c r="E220" s="104" t="s">
        <v>300</v>
      </c>
      <c r="F220" s="104" t="s">
        <v>301</v>
      </c>
      <c r="G220" s="32" t="s">
        <v>143</v>
      </c>
      <c r="H220" s="32" t="s">
        <v>144</v>
      </c>
      <c r="I220" s="32" t="s">
        <v>52</v>
      </c>
      <c r="J220" s="70">
        <v>2</v>
      </c>
      <c r="K220" s="70"/>
      <c r="L220" s="70"/>
      <c r="M220" t="s">
        <v>301</v>
      </c>
      <c r="N220" t="s">
        <v>99</v>
      </c>
      <c r="O220" s="18">
        <v>300.884514435695</v>
      </c>
      <c r="P220" s="18">
        <v>7.3140237751096233</v>
      </c>
      <c r="Q220" s="97">
        <v>0.67370050605876708</v>
      </c>
      <c r="R220" s="97">
        <v>0.18488688229566583</v>
      </c>
      <c r="S220" s="97">
        <v>8.2635662198926957E-2</v>
      </c>
      <c r="T220" s="97">
        <v>1.9447791897288767E-2</v>
      </c>
      <c r="U220" s="97">
        <v>5.4596838146870014E-4</v>
      </c>
      <c r="V220" s="97">
        <v>1.5354526206924977E-2</v>
      </c>
      <c r="W220" s="97">
        <v>2.3428662960957684E-2</v>
      </c>
      <c r="X220" s="51">
        <f t="shared" si="14"/>
        <v>6.9942736375755601</v>
      </c>
      <c r="Y220" s="18">
        <v>762.71700505627678</v>
      </c>
      <c r="Z220" s="18">
        <v>51.156283674850116</v>
      </c>
      <c r="AA220" s="18">
        <f t="shared" si="15"/>
        <v>17.00196627626153</v>
      </c>
      <c r="AB220" s="18">
        <f t="shared" si="16"/>
        <v>67.071119872403486</v>
      </c>
      <c r="AC220" s="18">
        <f>$CP$15*Table2912[[#This Row],[DMD '[mg/g']]]+$CS$15*Table2912[[#This Row],[CH4 '[ml/g']]]+$CR$15*Table2912[[#This Row],[CH4 '[% GP']]]+$CQ$15*Table2912[[#This Row],[CH4 '[g/g DDM']]]</f>
        <v>6.7034354349723131</v>
      </c>
      <c r="AD220" s="18">
        <f>_xlfn.RANK.AVG(Table2912[[#This Row],[Index]],Table2912[Index])</f>
        <v>388</v>
      </c>
      <c r="AE22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6.8841277694284804</v>
      </c>
      <c r="AF220" s="18">
        <f>Table2912[[#This Row],[CH4 '[ml/g']]]/Table2912[[#This Row],[APB]]</f>
        <v>7.4310479683466282</v>
      </c>
      <c r="AG220" s="18">
        <f>Table2912[[#This Row],[Propionate '[%']]]/Table2912[[#This Row],[Acetate '[%']]]</f>
        <v>0.27443482769113148</v>
      </c>
      <c r="AH220" s="51"/>
      <c r="AI220" s="18"/>
      <c r="AJ220" s="18"/>
      <c r="AK220" s="18">
        <f>(Table2912[[#This Row],[DMD '[mg/g']]]-$AK$15)/$AK$15*100</f>
        <v>55.56474201696291</v>
      </c>
      <c r="AL220" s="18">
        <f>(Table2912[[#This Row],[CH4 '[ml/g']]]-AL$15)/AL$15*100</f>
        <v>30.062069678648225</v>
      </c>
      <c r="AM220" s="18">
        <f>(Table2912[[#This Row],[CH4 '[% GP']]]-AM$15)/AM$15*100</f>
        <v>9.5321399707363419</v>
      </c>
      <c r="AN220" s="18">
        <f>(Table2912[[#This Row],[CH4 '[g/g DDM']]]-AN$15)/AN$15*100</f>
        <v>30.958570975932698</v>
      </c>
      <c r="AO220" s="18"/>
      <c r="AP220" s="18"/>
      <c r="AR220">
        <f>_xlfn.NORM.DIST(Table2912[[#This Row],[GP '[ml/g']]],O$6,O$2,FALSE)</f>
        <v>5.2070548719115751E-3</v>
      </c>
      <c r="AS220">
        <f>_xlfn.NORM.DIST(Table2912[[#This Row],[SCFA '[mmol/g']]],P$6,P$2,FALSE)</f>
        <v>0.26978342967070745</v>
      </c>
      <c r="AT220">
        <f>_xlfn.NORM.DIST(Table2912[[#This Row],[Acetate '[%']]],Q$6,Q$2,FALSE)</f>
        <v>14.024027723511596</v>
      </c>
      <c r="AU220">
        <f>_xlfn.NORM.DIST(Table2912[[#This Row],[Propionate '[%']]],R$6,R$2,FALSE)</f>
        <v>14.450231909483186</v>
      </c>
      <c r="AV220">
        <f>_xlfn.NORM.DIST(Table2912[[#This Row],[Butyrate '[%']]],S$6,S$2,FALSE)</f>
        <v>19.307671948649709</v>
      </c>
      <c r="AW220">
        <f>_xlfn.NORM.DIST(Table2912[[#This Row],[Valerate '[%']]],T$6,T$2,FALSE)</f>
        <v>72.872727787708712</v>
      </c>
      <c r="AX220">
        <f>_xlfn.NORM.DIST(Table2912[[#This Row],[Caproate '[%']]],U$6,U$2,FALSE)</f>
        <v>294.81293836800808</v>
      </c>
      <c r="AY220">
        <f>_xlfn.NORM.DIST(Table2912[[#This Row],[Isobutyrate '[%']]],V$6,V$2,FALSE)</f>
        <v>90.15524602670655</v>
      </c>
      <c r="AZ220">
        <f>_xlfn.NORM.DIST(Table2912[[#This Row],[Isovalerate '[%']]],W$6,W$2,FALSE)</f>
        <v>39.917848986107067</v>
      </c>
      <c r="BA220">
        <f>_xlfn.NORM.DIST(Table2912[[#This Row],[CH4 '[g/mmol SCFA']]],X$6,X$2,FALSE)</f>
        <v>0.25837645707030571</v>
      </c>
      <c r="BB220">
        <f>_xlfn.NORM.DIST(Table2912[[#This Row],[DMD '[mg/g']]],Y$6,Y$2,FALSE)</f>
        <v>2.9023498911772056E-3</v>
      </c>
      <c r="BC220">
        <f>_xlfn.NORM.DIST(Table2912[[#This Row],[CH4 '[ml/g']]],Z$6,Z$2,FALSE)</f>
        <v>2.3947971910493863E-2</v>
      </c>
      <c r="BD220">
        <f>_xlfn.NORM.DIST(Table2912[[#This Row],[CH4 '[% GP']]],AA$6,AA$2,FALSE)</f>
        <v>0.12818439663204584</v>
      </c>
      <c r="BE220">
        <f>_xlfn.NORM.DIST(Table2912[[#This Row],[CH4 '[g/g DDM']]],AB$6,AB$2,FALSE)</f>
        <v>1.7358100896811817E-2</v>
      </c>
      <c r="BG220">
        <f>IF(Table2912[[#This Row],[GP '[ml/g']]]&lt;O$10,_xlfn.NORM.DIST(Table2912[[#This Row],[GP '[ml/g']]],O$6,O$2,FALSE),-100)</f>
        <v>-100</v>
      </c>
      <c r="BH220">
        <f>IF(Table2912[[#This Row],[SCFA '[mmol/g']]]&lt;P$10,_xlfn.NORM.DIST(Table2912[[#This Row],[SCFA '[mmol/g']]],P$6,P$2,FALSE),-100)</f>
        <v>-100</v>
      </c>
      <c r="BI220">
        <f>IF(Table2912[[#This Row],[Acetate '[%']]]&lt;Q$10,_xlfn.NORM.DIST(Table2912[[#This Row],[Acetate '[%']]],Q$6,Q$2,FALSE),-100)</f>
        <v>-100</v>
      </c>
      <c r="BJ220">
        <f>IF(Table2912[[#This Row],[Propionate '[%']]]&lt;R$10,_xlfn.NORM.DIST(Table2912[[#This Row],[Propionate '[%']]],R$6,R$2,FALSE),-100)</f>
        <v>-100</v>
      </c>
      <c r="BK220">
        <f>IF(Table2912[[#This Row],[Butyrate '[%']]]&lt;S$10,_xlfn.NORM.DIST(Table2912[[#This Row],[Butyrate '[%']]],S$6,S$2,FALSE),-100)</f>
        <v>-100</v>
      </c>
      <c r="BL220">
        <f>IF(Table2912[[#This Row],[Valerate '[%']]]&lt;T$10,_xlfn.NORM.DIST(Table2912[[#This Row],[Valerate '[%']]],T$6,T$2,FALSE),-100)</f>
        <v>-100</v>
      </c>
      <c r="BM220">
        <f>IF(Table2912[[#This Row],[Caproate '[%']]]&lt;U$10,_xlfn.NORM.DIST(Table2912[[#This Row],[Caproate '[%']]],U$6,U$2,FALSE),-100)</f>
        <v>-100</v>
      </c>
      <c r="BN220">
        <f>IF(Table2912[[#This Row],[Isobutyrate '[%']]]&lt;V$10,_xlfn.NORM.DIST(Table2912[[#This Row],[Isobutyrate '[%']]],V$6,V$2,FALSE),-100)</f>
        <v>-100</v>
      </c>
      <c r="BO220">
        <f>IF(Table2912[[#This Row],[Isovalerate '[%']]]&lt;W$10,_xlfn.NORM.DIST(Table2912[[#This Row],[Isovalerate '[%']]],W$6,W$2,FALSE),-100)</f>
        <v>-100</v>
      </c>
      <c r="BP220">
        <f>IF(Table2912[[#This Row],[CH4 '[g/mmol SCFA']]]&lt;X$10,_xlfn.NORM.DIST(Table2912[[#This Row],[CH4 '[g/mmol SCFA']]],X$6,X$2,FALSE),-100)</f>
        <v>-100</v>
      </c>
      <c r="BQ220">
        <f>IF(Table2912[[#This Row],[DMD '[mg/g']]]&gt;Y$10,_xlfn.NORM.DIST(Table2912[[#This Row],[DMD '[mg/g']]],Y$6,Y$2,FALSE),-100)</f>
        <v>-100</v>
      </c>
      <c r="BR220">
        <f>IF(Table2912[[#This Row],[CH4 '[ml/g']]]&lt;Z$10,_xlfn.NORM.DIST(Table2912[[#This Row],[CH4 '[ml/g']]],Z$6,Z$2,FALSE),-100)</f>
        <v>-100</v>
      </c>
      <c r="BS220">
        <f>IF(Table2912[[#This Row],[CH4 '[% GP']]]&lt;AA$10,_xlfn.NORM.DIST(Table2912[[#This Row],[CH4 '[% GP']]],AA$6,AA$2,FALSE),-100)</f>
        <v>-100</v>
      </c>
      <c r="BT220">
        <f>IF(Table2912[[#This Row],[CH4 '[g/g DDM']]]&lt;AB$10,_xlfn.NORM.DIST(Table2912[[#This Row],[CH4 '[g/g DDM']]],AB$6,AB$2,FALSE),-100)</f>
        <v>-100</v>
      </c>
    </row>
    <row r="221" spans="1:72" x14ac:dyDescent="0.25">
      <c r="A221" s="12" t="s">
        <v>86</v>
      </c>
      <c r="B221" s="13">
        <v>1051</v>
      </c>
      <c r="C221" s="104" t="s">
        <v>302</v>
      </c>
      <c r="D221" s="104" t="s">
        <v>303</v>
      </c>
      <c r="E221" s="104" t="s">
        <v>304</v>
      </c>
      <c r="F221" s="104" t="s">
        <v>305</v>
      </c>
      <c r="G221" s="32" t="s">
        <v>73</v>
      </c>
      <c r="H221" s="32" t="s">
        <v>74</v>
      </c>
      <c r="I221" s="104" t="s">
        <v>106</v>
      </c>
      <c r="J221" s="100">
        <v>3</v>
      </c>
      <c r="K221" s="100"/>
      <c r="L221" s="100"/>
      <c r="M221" s="118" t="s">
        <v>305</v>
      </c>
      <c r="N221" t="s">
        <v>99</v>
      </c>
      <c r="O221" s="18"/>
      <c r="P221" s="18">
        <v>6.1849265956290491</v>
      </c>
      <c r="Q221" s="97">
        <v>0.6878270072473941</v>
      </c>
      <c r="R221" s="97">
        <v>0.17065110087522928</v>
      </c>
      <c r="S221" s="97">
        <v>7.6512631158045311E-2</v>
      </c>
      <c r="T221" s="97">
        <v>1.8565851370684852E-2</v>
      </c>
      <c r="U221" s="97">
        <v>5.6192773504925436E-4</v>
      </c>
      <c r="V221" s="97">
        <v>1.7399133575846444E-2</v>
      </c>
      <c r="W221" s="97">
        <v>2.848234803775071E-2</v>
      </c>
      <c r="X221" s="51"/>
      <c r="Y221" s="18">
        <v>762.88740221808462</v>
      </c>
      <c r="Z221" s="18"/>
      <c r="AA221" s="18"/>
      <c r="AB221" s="18"/>
      <c r="AC221" s="18">
        <f>$CP$15*Table2912[[#This Row],[DMD '[mg/g']]]+$CS$15*Table2912[[#This Row],[CH4 '[ml/g']]]+$CR$15*Table2912[[#This Row],[CH4 '[% GP']]]+$CQ$15*Table2912[[#This Row],[CH4 '[g/g DDM']]]</f>
        <v>40.850718006219992</v>
      </c>
      <c r="AD221" s="18">
        <f>_xlfn.RANK.AVG(Table2912[[#This Row],[Index]],Table2912[Index])</f>
        <v>4</v>
      </c>
      <c r="AE22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5.7828490900438734</v>
      </c>
      <c r="AF221" s="18">
        <f>Table2912[[#This Row],[CH4 '[ml/g']]]/Table2912[[#This Row],[APB]]</f>
        <v>0</v>
      </c>
      <c r="AG221" s="18">
        <f>Table2912[[#This Row],[Propionate '[%']]]/Table2912[[#This Row],[Acetate '[%']]]</f>
        <v>0.24810177425012095</v>
      </c>
      <c r="AH221" s="51"/>
      <c r="AI221" s="18"/>
      <c r="AJ221" s="18"/>
      <c r="AK221" s="18">
        <f>(Table2912[[#This Row],[DMD '[mg/g']]]-$AK$15)/$AK$15*100</f>
        <v>55.599496441397314</v>
      </c>
      <c r="AL221" s="18">
        <f>(Table2912[[#This Row],[CH4 '[ml/g']]]-AL$15)/AL$15*100</f>
        <v>-100</v>
      </c>
      <c r="AM221" s="18">
        <f>(Table2912[[#This Row],[CH4 '[% GP']]]-AM$15)/AM$15*100</f>
        <v>-100</v>
      </c>
      <c r="AN221" s="18">
        <f>(Table2912[[#This Row],[CH4 '[g/g DDM']]]-AN$15)/AN$15*100</f>
        <v>-100</v>
      </c>
      <c r="AO221" s="18"/>
      <c r="AP221" s="18"/>
      <c r="AR221">
        <f>_xlfn.NORM.DIST(Table2912[[#This Row],[GP '[ml/g']]],O$6,O$2,FALSE)</f>
        <v>7.7830314590194085E-8</v>
      </c>
      <c r="AS221">
        <f>_xlfn.NORM.DIST(Table2912[[#This Row],[SCFA '[mmol/g']]],P$6,P$2,FALSE)</f>
        <v>0.31866499653470853</v>
      </c>
      <c r="AT221">
        <f>_xlfn.NORM.DIST(Table2912[[#This Row],[Acetate '[%']]],Q$6,Q$2,FALSE)</f>
        <v>12.272608574775179</v>
      </c>
      <c r="AU221">
        <f>_xlfn.NORM.DIST(Table2912[[#This Row],[Propionate '[%']]],R$6,R$2,FALSE)</f>
        <v>16.769090615477669</v>
      </c>
      <c r="AV221">
        <f>_xlfn.NORM.DIST(Table2912[[#This Row],[Butyrate '[%']]],S$6,S$2,FALSE)</f>
        <v>14.704352805750318</v>
      </c>
      <c r="AW221">
        <f>_xlfn.NORM.DIST(Table2912[[#This Row],[Valerate '[%']]],T$6,T$2,FALSE)</f>
        <v>76.206845716899124</v>
      </c>
      <c r="AX221">
        <f>_xlfn.NORM.DIST(Table2912[[#This Row],[Caproate '[%']]],U$6,U$2,FALSE)</f>
        <v>298.65142935467065</v>
      </c>
      <c r="AY221">
        <f>_xlfn.NORM.DIST(Table2912[[#This Row],[Isobutyrate '[%']]],V$6,V$2,FALSE)</f>
        <v>80.715321046129802</v>
      </c>
      <c r="AZ221">
        <f>_xlfn.NORM.DIST(Table2912[[#This Row],[Isovalerate '[%']]],W$6,W$2,FALSE)</f>
        <v>45.328426893652399</v>
      </c>
      <c r="BA221">
        <f>_xlfn.NORM.DIST(Table2912[[#This Row],[CH4 '[g/mmol SCFA']]],X$6,X$2,FALSE)</f>
        <v>5.1257329689735196E-6</v>
      </c>
      <c r="BB221">
        <f>_xlfn.NORM.DIST(Table2912[[#This Row],[DMD '[mg/g']]],Y$6,Y$2,FALSE)</f>
        <v>2.9026985538214718E-3</v>
      </c>
      <c r="BC221">
        <f>_xlfn.NORM.DIST(Table2912[[#This Row],[CH4 '[ml/g']]],Z$6,Z$2,FALSE)</f>
        <v>7.9442788811288467E-5</v>
      </c>
      <c r="BD221">
        <f>_xlfn.NORM.DIST(Table2912[[#This Row],[CH4 '[% GP']]],AA$6,AA$2,FALSE)</f>
        <v>5.4481631913066772E-8</v>
      </c>
      <c r="BE221">
        <f>_xlfn.NORM.DIST(Table2912[[#This Row],[CH4 '[g/g DDM']]],AB$6,AB$2,FALSE)</f>
        <v>2.1124510744720861E-6</v>
      </c>
      <c r="BG221">
        <f>IF(Table2912[[#This Row],[GP '[ml/g']]]&lt;O$10,_xlfn.NORM.DIST(Table2912[[#This Row],[GP '[ml/g']]],O$6,O$2,FALSE),-100)</f>
        <v>7.7830314590194085E-8</v>
      </c>
      <c r="BH221">
        <f>IF(Table2912[[#This Row],[SCFA '[mmol/g']]]&lt;P$10,_xlfn.NORM.DIST(Table2912[[#This Row],[SCFA '[mmol/g']]],P$6,P$2,FALSE),-100)</f>
        <v>-100</v>
      </c>
      <c r="BI221">
        <f>IF(Table2912[[#This Row],[Acetate '[%']]]&lt;Q$10,_xlfn.NORM.DIST(Table2912[[#This Row],[Acetate '[%']]],Q$6,Q$2,FALSE),-100)</f>
        <v>-100</v>
      </c>
      <c r="BJ221">
        <f>IF(Table2912[[#This Row],[Propionate '[%']]]&lt;R$10,_xlfn.NORM.DIST(Table2912[[#This Row],[Propionate '[%']]],R$6,R$2,FALSE),-100)</f>
        <v>-100</v>
      </c>
      <c r="BK221">
        <f>IF(Table2912[[#This Row],[Butyrate '[%']]]&lt;S$10,_xlfn.NORM.DIST(Table2912[[#This Row],[Butyrate '[%']]],S$6,S$2,FALSE),-100)</f>
        <v>-100</v>
      </c>
      <c r="BL221">
        <f>IF(Table2912[[#This Row],[Valerate '[%']]]&lt;T$10,_xlfn.NORM.DIST(Table2912[[#This Row],[Valerate '[%']]],T$6,T$2,FALSE),-100)</f>
        <v>-100</v>
      </c>
      <c r="BM221">
        <f>IF(Table2912[[#This Row],[Caproate '[%']]]&lt;U$10,_xlfn.NORM.DIST(Table2912[[#This Row],[Caproate '[%']]],U$6,U$2,FALSE),-100)</f>
        <v>-100</v>
      </c>
      <c r="BN221">
        <f>IF(Table2912[[#This Row],[Isobutyrate '[%']]]&lt;V$10,_xlfn.NORM.DIST(Table2912[[#This Row],[Isobutyrate '[%']]],V$6,V$2,FALSE),-100)</f>
        <v>-100</v>
      </c>
      <c r="BO221">
        <f>IF(Table2912[[#This Row],[Isovalerate '[%']]]&lt;W$10,_xlfn.NORM.DIST(Table2912[[#This Row],[Isovalerate '[%']]],W$6,W$2,FALSE),-100)</f>
        <v>-100</v>
      </c>
      <c r="BP221">
        <f>IF(Table2912[[#This Row],[CH4 '[g/mmol SCFA']]]&lt;X$10,_xlfn.NORM.DIST(Table2912[[#This Row],[CH4 '[g/mmol SCFA']]],X$6,X$2,FALSE),-100)</f>
        <v>5.1257329689735196E-6</v>
      </c>
      <c r="BQ221">
        <f>IF(Table2912[[#This Row],[DMD '[mg/g']]]&gt;Y$10,_xlfn.NORM.DIST(Table2912[[#This Row],[DMD '[mg/g']]],Y$6,Y$2,FALSE),-100)</f>
        <v>-100</v>
      </c>
      <c r="BR221">
        <f>IF(Table2912[[#This Row],[CH4 '[ml/g']]]&lt;Z$10,_xlfn.NORM.DIST(Table2912[[#This Row],[CH4 '[ml/g']]],Z$6,Z$2,FALSE),-100)</f>
        <v>7.9442788811288467E-5</v>
      </c>
      <c r="BS221">
        <f>IF(Table2912[[#This Row],[CH4 '[% GP']]]&lt;AA$10,_xlfn.NORM.DIST(Table2912[[#This Row],[CH4 '[% GP']]],AA$6,AA$2,FALSE),-100)</f>
        <v>5.4481631913066772E-8</v>
      </c>
      <c r="BT221">
        <f>IF(Table2912[[#This Row],[CH4 '[g/g DDM']]]&lt;AB$10,_xlfn.NORM.DIST(Table2912[[#This Row],[CH4 '[g/g DDM']]],AB$6,AB$2,FALSE),-100)</f>
        <v>2.1124510744720861E-6</v>
      </c>
    </row>
    <row r="222" spans="1:72" x14ac:dyDescent="0.25">
      <c r="A222" s="12" t="s">
        <v>70</v>
      </c>
      <c r="B222" s="13">
        <v>1039</v>
      </c>
      <c r="C222" s="96" t="s">
        <v>198</v>
      </c>
      <c r="D222" s="96"/>
      <c r="E222" s="96"/>
      <c r="F222" s="96" t="s">
        <v>199</v>
      </c>
      <c r="G222" t="s">
        <v>143</v>
      </c>
      <c r="H222" t="s">
        <v>144</v>
      </c>
      <c r="I222" t="s">
        <v>52</v>
      </c>
      <c r="J222" s="100">
        <v>1</v>
      </c>
      <c r="K222" s="100"/>
      <c r="L222" s="100"/>
      <c r="M222" t="s">
        <v>199</v>
      </c>
      <c r="N222" t="s">
        <v>85</v>
      </c>
      <c r="O222" s="18">
        <v>266.43783902012274</v>
      </c>
      <c r="P222" s="18">
        <v>6.7074753676623757</v>
      </c>
      <c r="Q222" s="97">
        <v>0.68037621460872089</v>
      </c>
      <c r="R222" s="97">
        <v>0.16769001804096798</v>
      </c>
      <c r="S222" s="97">
        <v>9.8524408254184848E-2</v>
      </c>
      <c r="T222" s="97">
        <v>1.3845284593834613E-2</v>
      </c>
      <c r="U222" s="97">
        <v>1.1597891759524987E-3</v>
      </c>
      <c r="V222" s="97">
        <v>1.3400786336193795E-2</v>
      </c>
      <c r="W222" s="97">
        <v>2.5003498990145326E-2</v>
      </c>
      <c r="X222" s="51">
        <f t="shared" ref="X222:X246" si="17">Z222/P222</f>
        <v>6.2940307979232157</v>
      </c>
      <c r="Y222" s="18">
        <v>763.55299337582824</v>
      </c>
      <c r="Z222" s="18">
        <v>42.217056540378337</v>
      </c>
      <c r="AA222" s="18">
        <f t="shared" ref="AA222:AA246" si="18">Z222/O222*100</f>
        <v>15.844992849228856</v>
      </c>
      <c r="AB222" s="18">
        <f t="shared" ref="AB222:AB246" si="19">Z222/Y222*1000</f>
        <v>55.290277042498197</v>
      </c>
      <c r="AC222" s="18">
        <f>$CP$15*Table2912[[#This Row],[DMD '[mg/g']]]+$CS$15*Table2912[[#This Row],[CH4 '[ml/g']]]+$CR$15*Table2912[[#This Row],[CH4 '[% GP']]]+$CQ$15*Table2912[[#This Row],[CH4 '[g/g DDM']]]</f>
        <v>12.221924986884915</v>
      </c>
      <c r="AD222" s="18">
        <f>_xlfn.RANK.AVG(Table2912[[#This Row],[Index]],Table2912[Index])</f>
        <v>317</v>
      </c>
      <c r="AE22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6.3492334071224743</v>
      </c>
      <c r="AF222" s="18">
        <f>Table2912[[#This Row],[CH4 '[ml/g']]]/Table2912[[#This Row],[APB]]</f>
        <v>6.6491580689126781</v>
      </c>
      <c r="AG222" s="18">
        <f>Table2912[[#This Row],[Propionate '[%']]]/Table2912[[#This Row],[Acetate '[%']]]</f>
        <v>0.24646660838578141</v>
      </c>
      <c r="AH222" s="51"/>
      <c r="AI222" s="18"/>
      <c r="AJ222" s="18"/>
      <c r="AK222" s="18">
        <f>(Table2912[[#This Row],[DMD '[mg/g']]]-$AK$15)/$AK$15*100</f>
        <v>55.735251270589195</v>
      </c>
      <c r="AL222" s="18">
        <f>(Table2912[[#This Row],[CH4 '[ml/g']]]-AL$15)/AL$15*100</f>
        <v>7.3345707495474501</v>
      </c>
      <c r="AM222" s="18">
        <f>(Table2912[[#This Row],[CH4 '[% GP']]]-AM$15)/AM$15*100</f>
        <v>2.0785447045757222</v>
      </c>
      <c r="AN222" s="18">
        <f>(Table2912[[#This Row],[CH4 '[g/g DDM']]]-AN$15)/AN$15*100</f>
        <v>7.9560872715977098</v>
      </c>
      <c r="AO222" s="18"/>
      <c r="AP222" s="18"/>
      <c r="AR222">
        <f>_xlfn.NORM.DIST(Table2912[[#This Row],[GP '[ml/g']]],O$6,O$2,FALSE)</f>
        <v>7.3239308582831513E-3</v>
      </c>
      <c r="AS222">
        <f>_xlfn.NORM.DIST(Table2912[[#This Row],[SCFA '[mmol/g']]],P$6,P$2,FALSE)</f>
        <v>0.32941549455024399</v>
      </c>
      <c r="AT222">
        <f>_xlfn.NORM.DIST(Table2912[[#This Row],[Acetate '[%']]],Q$6,Q$2,FALSE)</f>
        <v>13.578336207787782</v>
      </c>
      <c r="AU222">
        <f>_xlfn.NORM.DIST(Table2912[[#This Row],[Propionate '[%']]],R$6,R$2,FALSE)</f>
        <v>16.533532546789356</v>
      </c>
      <c r="AV222">
        <f>_xlfn.NORM.DIST(Table2912[[#This Row],[Butyrate '[%']]],S$6,S$2,FALSE)</f>
        <v>21.856493708653019</v>
      </c>
      <c r="AW222">
        <f>_xlfn.NORM.DIST(Table2912[[#This Row],[Valerate '[%']]],T$6,T$2,FALSE)</f>
        <v>58.863345670486936</v>
      </c>
      <c r="AX222">
        <f>_xlfn.NORM.DIST(Table2912[[#This Row],[Caproate '[%']]],U$6,U$2,FALSE)</f>
        <v>400.60858651564865</v>
      </c>
      <c r="AY222">
        <f>_xlfn.NORM.DIST(Table2912[[#This Row],[Isobutyrate '[%']]],V$6,V$2,FALSE)</f>
        <v>82.083560115204392</v>
      </c>
      <c r="AZ222">
        <f>_xlfn.NORM.DIST(Table2912[[#This Row],[Isovalerate '[%']]],W$6,W$2,FALSE)</f>
        <v>43.032539525586557</v>
      </c>
      <c r="BA222">
        <f>_xlfn.NORM.DIST(Table2912[[#This Row],[CH4 '[g/mmol SCFA']]],X$6,X$2,FALSE)</f>
        <v>0.29739659919785127</v>
      </c>
      <c r="BB222">
        <f>_xlfn.NORM.DIST(Table2912[[#This Row],[DMD '[mg/g']]],Y$6,Y$2,FALSE)</f>
        <v>2.9040177051216746E-3</v>
      </c>
      <c r="BC222">
        <f>_xlfn.NORM.DIST(Table2912[[#This Row],[CH4 '[ml/g']]],Z$6,Z$2,FALSE)</f>
        <v>3.3426859945932794E-2</v>
      </c>
      <c r="BD222">
        <f>_xlfn.NORM.DIST(Table2912[[#This Row],[CH4 '[% GP']]],AA$6,AA$2,FALSE)</f>
        <v>0.13433447077539701</v>
      </c>
      <c r="BE222">
        <f>_xlfn.NORM.DIST(Table2912[[#This Row],[CH4 '[g/g DDM']]],AB$6,AB$2,FALSE)</f>
        <v>3.2437236273428205E-2</v>
      </c>
      <c r="BG222">
        <f>IF(Table2912[[#This Row],[GP '[ml/g']]]&lt;O$10,_xlfn.NORM.DIST(Table2912[[#This Row],[GP '[ml/g']]],O$6,O$2,FALSE),-100)</f>
        <v>-100</v>
      </c>
      <c r="BH222">
        <f>IF(Table2912[[#This Row],[SCFA '[mmol/g']]]&lt;P$10,_xlfn.NORM.DIST(Table2912[[#This Row],[SCFA '[mmol/g']]],P$6,P$2,FALSE),-100)</f>
        <v>-100</v>
      </c>
      <c r="BI222">
        <f>IF(Table2912[[#This Row],[Acetate '[%']]]&lt;Q$10,_xlfn.NORM.DIST(Table2912[[#This Row],[Acetate '[%']]],Q$6,Q$2,FALSE),-100)</f>
        <v>-100</v>
      </c>
      <c r="BJ222">
        <f>IF(Table2912[[#This Row],[Propionate '[%']]]&lt;R$10,_xlfn.NORM.DIST(Table2912[[#This Row],[Propionate '[%']]],R$6,R$2,FALSE),-100)</f>
        <v>-100</v>
      </c>
      <c r="BK222">
        <f>IF(Table2912[[#This Row],[Butyrate '[%']]]&lt;S$10,_xlfn.NORM.DIST(Table2912[[#This Row],[Butyrate '[%']]],S$6,S$2,FALSE),-100)</f>
        <v>-100</v>
      </c>
      <c r="BL222">
        <f>IF(Table2912[[#This Row],[Valerate '[%']]]&lt;T$10,_xlfn.NORM.DIST(Table2912[[#This Row],[Valerate '[%']]],T$6,T$2,FALSE),-100)</f>
        <v>-100</v>
      </c>
      <c r="BM222">
        <f>IF(Table2912[[#This Row],[Caproate '[%']]]&lt;U$10,_xlfn.NORM.DIST(Table2912[[#This Row],[Caproate '[%']]],U$6,U$2,FALSE),-100)</f>
        <v>-100</v>
      </c>
      <c r="BN222">
        <f>IF(Table2912[[#This Row],[Isobutyrate '[%']]]&lt;V$10,_xlfn.NORM.DIST(Table2912[[#This Row],[Isobutyrate '[%']]],V$6,V$2,FALSE),-100)</f>
        <v>-100</v>
      </c>
      <c r="BO222">
        <f>IF(Table2912[[#This Row],[Isovalerate '[%']]]&lt;W$10,_xlfn.NORM.DIST(Table2912[[#This Row],[Isovalerate '[%']]],W$6,W$2,FALSE),-100)</f>
        <v>-100</v>
      </c>
      <c r="BP222">
        <f>IF(Table2912[[#This Row],[CH4 '[g/mmol SCFA']]]&lt;X$10,_xlfn.NORM.DIST(Table2912[[#This Row],[CH4 '[g/mmol SCFA']]],X$6,X$2,FALSE),-100)</f>
        <v>-100</v>
      </c>
      <c r="BQ222">
        <f>IF(Table2912[[#This Row],[DMD '[mg/g']]]&gt;Y$10,_xlfn.NORM.DIST(Table2912[[#This Row],[DMD '[mg/g']]],Y$6,Y$2,FALSE),-100)</f>
        <v>-100</v>
      </c>
      <c r="BR222">
        <f>IF(Table2912[[#This Row],[CH4 '[ml/g']]]&lt;Z$10,_xlfn.NORM.DIST(Table2912[[#This Row],[CH4 '[ml/g']]],Z$6,Z$2,FALSE),-100)</f>
        <v>-100</v>
      </c>
      <c r="BS222">
        <f>IF(Table2912[[#This Row],[CH4 '[% GP']]]&lt;AA$10,_xlfn.NORM.DIST(Table2912[[#This Row],[CH4 '[% GP']]],AA$6,AA$2,FALSE),-100)</f>
        <v>-100</v>
      </c>
      <c r="BT222">
        <f>IF(Table2912[[#This Row],[CH4 '[g/g DDM']]]&lt;AB$10,_xlfn.NORM.DIST(Table2912[[#This Row],[CH4 '[g/g DDM']]],AB$6,AB$2,FALSE),-100)</f>
        <v>-100</v>
      </c>
    </row>
    <row r="223" spans="1:72" x14ac:dyDescent="0.25">
      <c r="A223" s="12" t="s">
        <v>70</v>
      </c>
      <c r="B223" s="13">
        <v>1019</v>
      </c>
      <c r="C223" s="96" t="s">
        <v>118</v>
      </c>
      <c r="D223" s="96"/>
      <c r="E223" s="96"/>
      <c r="F223" s="96" t="s">
        <v>119</v>
      </c>
      <c r="G223" t="s">
        <v>73</v>
      </c>
      <c r="H223" t="s">
        <v>74</v>
      </c>
      <c r="I223" t="s">
        <v>75</v>
      </c>
      <c r="J223" s="70">
        <v>1</v>
      </c>
      <c r="K223" s="70"/>
      <c r="L223" s="70"/>
      <c r="M223" t="s">
        <v>119</v>
      </c>
      <c r="N223" t="s">
        <v>76</v>
      </c>
      <c r="O223" s="18">
        <v>168.33228888888868</v>
      </c>
      <c r="P223" s="18">
        <v>4.8667222222222222</v>
      </c>
      <c r="Q223" s="97">
        <v>0.71317283535888942</v>
      </c>
      <c r="R223" s="97">
        <v>0.16751566909812926</v>
      </c>
      <c r="S223" s="97">
        <v>7.1726269026711309E-2</v>
      </c>
      <c r="T223" s="97">
        <v>1.0807930361173342E-2</v>
      </c>
      <c r="U223" s="97">
        <v>6.6766167543343732E-4</v>
      </c>
      <c r="V223" s="97">
        <v>1.1862819476950455E-2</v>
      </c>
      <c r="W223" s="97">
        <v>2.4246815002712786E-2</v>
      </c>
      <c r="X223" s="51">
        <f t="shared" si="17"/>
        <v>4.9241839319474163</v>
      </c>
      <c r="Y223" s="18">
        <v>763.55555555555566</v>
      </c>
      <c r="Z223" s="18">
        <v>23.964635367918088</v>
      </c>
      <c r="AA223" s="18">
        <f t="shared" si="18"/>
        <v>14.23650538236099</v>
      </c>
      <c r="AB223" s="18">
        <f t="shared" si="19"/>
        <v>31.385581826435207</v>
      </c>
      <c r="AC223" s="18">
        <f>$CP$15*Table2912[[#This Row],[DMD '[mg/g']]]+$CS$15*Table2912[[#This Row],[CH4 '[ml/g']]]+$CR$15*Table2912[[#This Row],[CH4 '[% GP']]]+$CQ$15*Table2912[[#This Row],[CH4 '[g/g DDM']]]</f>
        <v>23.039693645621135</v>
      </c>
      <c r="AD223" s="18">
        <f>_xlfn.RANK.AVG(Table2912[[#This Row],[Index]],Table2912[Index])</f>
        <v>116</v>
      </c>
      <c r="AE22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4.6351381428860128</v>
      </c>
      <c r="AF223" s="18">
        <f>Table2912[[#This Row],[CH4 '[ml/g']]]/Table2912[[#This Row],[APB]]</f>
        <v>5.1702095232477356</v>
      </c>
      <c r="AG223" s="18">
        <f>Table2912[[#This Row],[Propionate '[%']]]/Table2912[[#This Row],[Acetate '[%']]]</f>
        <v>0.23488789924791581</v>
      </c>
      <c r="AH223" s="51"/>
      <c r="AI223" s="18"/>
      <c r="AJ223" s="18"/>
      <c r="AK223" s="18">
        <f>(Table2912[[#This Row],[DMD '[mg/g']]]-$AK$15)/$AK$15*100</f>
        <v>55.735773856064085</v>
      </c>
      <c r="AL223" s="18">
        <f>(Table2912[[#This Row],[CH4 '[ml/g']]]-AL$15)/AL$15*100</f>
        <v>-39.071217626820847</v>
      </c>
      <c r="AM223" s="18">
        <f>(Table2912[[#This Row],[CH4 '[% GP']]]-AM$15)/AM$15*100</f>
        <v>-8.2838493561708617</v>
      </c>
      <c r="AN223" s="18">
        <f>(Table2912[[#This Row],[CH4 '[g/g DDM']]]-AN$15)/AN$15*100</f>
        <v>-38.718617594913439</v>
      </c>
      <c r="AO223" s="18"/>
      <c r="AP223" s="18"/>
      <c r="AR223">
        <f>_xlfn.NORM.DIST(Table2912[[#This Row],[GP '[ml/g']]],O$6,O$2,FALSE)</f>
        <v>1.9679925202895649E-3</v>
      </c>
      <c r="AS223">
        <f>_xlfn.NORM.DIST(Table2912[[#This Row],[SCFA '[mmol/g']]],P$6,P$2,FALSE)</f>
        <v>0.12601868634826177</v>
      </c>
      <c r="AT223">
        <f>_xlfn.NORM.DIST(Table2912[[#This Row],[Acetate '[%']]],Q$6,Q$2,FALSE)</f>
        <v>5.2049734280068876</v>
      </c>
      <c r="AU223">
        <f>_xlfn.NORM.DIST(Table2912[[#This Row],[Propionate '[%']]],R$6,R$2,FALSE)</f>
        <v>16.511769547201812</v>
      </c>
      <c r="AV223">
        <f>_xlfn.NORM.DIST(Table2912[[#This Row],[Butyrate '[%']]],S$6,S$2,FALSE)</f>
        <v>10.894256542565483</v>
      </c>
      <c r="AW223">
        <f>_xlfn.NORM.DIST(Table2912[[#This Row],[Valerate '[%']]],T$6,T$2,FALSE)</f>
        <v>31.996924939392624</v>
      </c>
      <c r="AX223">
        <f>_xlfn.NORM.DIST(Table2912[[#This Row],[Caproate '[%']]],U$6,U$2,FALSE)</f>
        <v>323.20534070022461</v>
      </c>
      <c r="AY223">
        <f>_xlfn.NORM.DIST(Table2912[[#This Row],[Isobutyrate '[%']]],V$6,V$2,FALSE)</f>
        <v>66.471170806524313</v>
      </c>
      <c r="AZ223">
        <f>_xlfn.NORM.DIST(Table2912[[#This Row],[Isovalerate '[%']]],W$6,W$2,FALSE)</f>
        <v>41.673706059940457</v>
      </c>
      <c r="BA223">
        <f>_xlfn.NORM.DIST(Table2912[[#This Row],[CH4 '[g/mmol SCFA']]],X$6,X$2,FALSE)</f>
        <v>0.17808000544039107</v>
      </c>
      <c r="BB223">
        <f>_xlfn.NORM.DIST(Table2912[[#This Row],[DMD '[mg/g']]],Y$6,Y$2,FALSE)</f>
        <v>2.9040226515172256E-3</v>
      </c>
      <c r="BC223">
        <f>_xlfn.NORM.DIST(Table2912[[#This Row],[CH4 '[ml/g']]],Z$6,Z$2,FALSE)</f>
        <v>1.1470799944837474E-2</v>
      </c>
      <c r="BD223">
        <f>_xlfn.NORM.DIST(Table2912[[#This Row],[CH4 '[% GP']]],AA$6,AA$2,FALSE)</f>
        <v>0.11125966474571791</v>
      </c>
      <c r="BE223">
        <f>_xlfn.NORM.DIST(Table2912[[#This Row],[CH4 '[g/g DDM']]],AB$6,AB$2,FALSE)</f>
        <v>6.3958311424309718E-3</v>
      </c>
      <c r="BG223">
        <f>IF(Table2912[[#This Row],[GP '[ml/g']]]&lt;O$10,_xlfn.NORM.DIST(Table2912[[#This Row],[GP '[ml/g']]],O$6,O$2,FALSE),-100)</f>
        <v>1.9679925202895649E-3</v>
      </c>
      <c r="BH223">
        <f>IF(Table2912[[#This Row],[SCFA '[mmol/g']]]&lt;P$10,_xlfn.NORM.DIST(Table2912[[#This Row],[SCFA '[mmol/g']]],P$6,P$2,FALSE),-100)</f>
        <v>0.12601868634826177</v>
      </c>
      <c r="BI223">
        <f>IF(Table2912[[#This Row],[Acetate '[%']]]&lt;Q$10,_xlfn.NORM.DIST(Table2912[[#This Row],[Acetate '[%']]],Q$6,Q$2,FALSE),-100)</f>
        <v>-100</v>
      </c>
      <c r="BJ223">
        <f>IF(Table2912[[#This Row],[Propionate '[%']]]&lt;R$10,_xlfn.NORM.DIST(Table2912[[#This Row],[Propionate '[%']]],R$6,R$2,FALSE),-100)</f>
        <v>-100</v>
      </c>
      <c r="BK223">
        <f>IF(Table2912[[#This Row],[Butyrate '[%']]]&lt;S$10,_xlfn.NORM.DIST(Table2912[[#This Row],[Butyrate '[%']]],S$6,S$2,FALSE),-100)</f>
        <v>10.894256542565483</v>
      </c>
      <c r="BL223">
        <f>IF(Table2912[[#This Row],[Valerate '[%']]]&lt;T$10,_xlfn.NORM.DIST(Table2912[[#This Row],[Valerate '[%']]],T$6,T$2,FALSE),-100)</f>
        <v>31.996924939392624</v>
      </c>
      <c r="BM223">
        <f>IF(Table2912[[#This Row],[Caproate '[%']]]&lt;U$10,_xlfn.NORM.DIST(Table2912[[#This Row],[Caproate '[%']]],U$6,U$2,FALSE),-100)</f>
        <v>-100</v>
      </c>
      <c r="BN223">
        <f>IF(Table2912[[#This Row],[Isobutyrate '[%']]]&lt;V$10,_xlfn.NORM.DIST(Table2912[[#This Row],[Isobutyrate '[%']]],V$6,V$2,FALSE),-100)</f>
        <v>-100</v>
      </c>
      <c r="BO223">
        <f>IF(Table2912[[#This Row],[Isovalerate '[%']]]&lt;W$10,_xlfn.NORM.DIST(Table2912[[#This Row],[Isovalerate '[%']]],W$6,W$2,FALSE),-100)</f>
        <v>-100</v>
      </c>
      <c r="BP223">
        <f>IF(Table2912[[#This Row],[CH4 '[g/mmol SCFA']]]&lt;X$10,_xlfn.NORM.DIST(Table2912[[#This Row],[CH4 '[g/mmol SCFA']]],X$6,X$2,FALSE),-100)</f>
        <v>0.17808000544039107</v>
      </c>
      <c r="BQ223">
        <f>IF(Table2912[[#This Row],[DMD '[mg/g']]]&gt;Y$10,_xlfn.NORM.DIST(Table2912[[#This Row],[DMD '[mg/g']]],Y$6,Y$2,FALSE),-100)</f>
        <v>-100</v>
      </c>
      <c r="BR223">
        <f>IF(Table2912[[#This Row],[CH4 '[ml/g']]]&lt;Z$10,_xlfn.NORM.DIST(Table2912[[#This Row],[CH4 '[ml/g']]],Z$6,Z$2,FALSE),-100)</f>
        <v>1.1470799944837474E-2</v>
      </c>
      <c r="BS223">
        <f>IF(Table2912[[#This Row],[CH4 '[% GP']]]&lt;AA$10,_xlfn.NORM.DIST(Table2912[[#This Row],[CH4 '[% GP']]],AA$6,AA$2,FALSE),-100)</f>
        <v>-100</v>
      </c>
      <c r="BT223">
        <f>IF(Table2912[[#This Row],[CH4 '[g/g DDM']]]&lt;AB$10,_xlfn.NORM.DIST(Table2912[[#This Row],[CH4 '[g/g DDM']]],AB$6,AB$2,FALSE),-100)</f>
        <v>6.3958311424309718E-3</v>
      </c>
    </row>
    <row r="224" spans="1:72" x14ac:dyDescent="0.25">
      <c r="A224" s="12" t="s">
        <v>70</v>
      </c>
      <c r="B224" s="13">
        <v>1036</v>
      </c>
      <c r="C224" s="96" t="s">
        <v>253</v>
      </c>
      <c r="D224" s="96"/>
      <c r="E224" s="96"/>
      <c r="F224" s="96" t="s">
        <v>254</v>
      </c>
      <c r="G224" t="s">
        <v>73</v>
      </c>
      <c r="H224" t="s">
        <v>74</v>
      </c>
      <c r="I224" s="99" t="s">
        <v>79</v>
      </c>
      <c r="J224" s="107">
        <v>3</v>
      </c>
      <c r="K224" s="107"/>
      <c r="L224" s="107"/>
      <c r="M224" t="s">
        <v>254</v>
      </c>
      <c r="N224" t="s">
        <v>81</v>
      </c>
      <c r="O224" s="18">
        <v>289.08816137566208</v>
      </c>
      <c r="P224" s="18">
        <v>7.2304927116929107</v>
      </c>
      <c r="Q224" s="97">
        <v>0.65070083034511716</v>
      </c>
      <c r="R224" s="97">
        <v>0.20803928635028124</v>
      </c>
      <c r="S224" s="97">
        <v>8.8033617281412041E-2</v>
      </c>
      <c r="T224" s="97">
        <v>1.5861761803848032E-2</v>
      </c>
      <c r="U224" s="97">
        <v>1.0615243500083434E-3</v>
      </c>
      <c r="V224" s="97">
        <v>1.34500897287501E-2</v>
      </c>
      <c r="W224" s="97">
        <v>2.2852890140583046E-2</v>
      </c>
      <c r="X224" s="51">
        <f t="shared" si="17"/>
        <v>5.9838549590079921</v>
      </c>
      <c r="Y224" s="18">
        <v>763.6060695489648</v>
      </c>
      <c r="Z224" s="18">
        <v>43.266219668934767</v>
      </c>
      <c r="AA224" s="18">
        <f t="shared" si="18"/>
        <v>14.966444652401906</v>
      </c>
      <c r="AB224" s="18">
        <f t="shared" si="19"/>
        <v>56.660392569287197</v>
      </c>
      <c r="AC224" s="18">
        <f>$CP$15*Table2912[[#This Row],[DMD '[mg/g']]]+$CS$15*Table2912[[#This Row],[CH4 '[ml/g']]]+$CR$15*Table2912[[#This Row],[CH4 '[% GP']]]+$CQ$15*Table2912[[#This Row],[CH4 '[g/g DDM']]]</f>
        <v>11.898268834955758</v>
      </c>
      <c r="AD224" s="18">
        <f>_xlfn.RANK.AVG(Table2912[[#This Row],[Index]],Table2912[Index])</f>
        <v>324</v>
      </c>
      <c r="AE22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6.8456405831416109</v>
      </c>
      <c r="AF224" s="18">
        <f>Table2912[[#This Row],[CH4 '[ml/g']]]/Table2912[[#This Row],[APB]]</f>
        <v>6.3202587315910428</v>
      </c>
      <c r="AG224" s="18">
        <f>Table2912[[#This Row],[Propionate '[%']]]/Table2912[[#This Row],[Acetate '[%']]]</f>
        <v>0.31971572287673561</v>
      </c>
      <c r="AH224" s="51"/>
      <c r="AI224" s="18"/>
      <c r="AJ224" s="18"/>
      <c r="AK224" s="18">
        <f>(Table2912[[#This Row],[DMD '[mg/g']]]-$AK$15)/$AK$15*100</f>
        <v>55.746076755174556</v>
      </c>
      <c r="AL224" s="18">
        <f>(Table2912[[#This Row],[CH4 '[ml/g']]]-AL$15)/AL$15*100</f>
        <v>10.002010956852047</v>
      </c>
      <c r="AM224" s="18">
        <f>(Table2912[[#This Row],[CH4 '[% GP']]]-AM$15)/AM$15*100</f>
        <v>-3.5813455988325735</v>
      </c>
      <c r="AN224" s="18">
        <f>(Table2912[[#This Row],[CH4 '[g/g DDM']]]-AN$15)/AN$15*100</f>
        <v>10.631282971350009</v>
      </c>
      <c r="AO224" s="18"/>
      <c r="AP224" s="18"/>
      <c r="AR224">
        <f>_xlfn.NORM.DIST(Table2912[[#This Row],[GP '[ml/g']]],O$6,O$2,FALSE)</f>
        <v>6.1337089220137499E-3</v>
      </c>
      <c r="AS224">
        <f>_xlfn.NORM.DIST(Table2912[[#This Row],[SCFA '[mmol/g']]],P$6,P$2,FALSE)</f>
        <v>0.28155209293520056</v>
      </c>
      <c r="AT224">
        <f>_xlfn.NORM.DIST(Table2912[[#This Row],[Acetate '[%']]],Q$6,Q$2,FALSE)</f>
        <v>10.279589756844338</v>
      </c>
      <c r="AU224">
        <f>_xlfn.NORM.DIST(Table2912[[#This Row],[Propionate '[%']]],R$6,R$2,FALSE)</f>
        <v>5.2695440434508569</v>
      </c>
      <c r="AV224">
        <f>_xlfn.NORM.DIST(Table2912[[#This Row],[Butyrate '[%']]],S$6,S$2,FALSE)</f>
        <v>22.131142002638025</v>
      </c>
      <c r="AW224">
        <f>_xlfn.NORM.DIST(Table2912[[#This Row],[Valerate '[%']]],T$6,T$2,FALSE)</f>
        <v>72.830746573160781</v>
      </c>
      <c r="AX224">
        <f>_xlfn.NORM.DIST(Table2912[[#This Row],[Caproate '[%']]],U$6,U$2,FALSE)</f>
        <v>391.60281329502618</v>
      </c>
      <c r="AY224">
        <f>_xlfn.NORM.DIST(Table2912[[#This Row],[Isobutyrate '[%']]],V$6,V$2,FALSE)</f>
        <v>82.475598642890418</v>
      </c>
      <c r="AZ224">
        <f>_xlfn.NORM.DIST(Table2912[[#This Row],[Isovalerate '[%']]],W$6,W$2,FALSE)</f>
        <v>38.525702706001525</v>
      </c>
      <c r="BA224">
        <f>_xlfn.NORM.DIST(Table2912[[#This Row],[CH4 '[g/mmol SCFA']]],X$6,X$2,FALSE)</f>
        <v>0.29011545673184991</v>
      </c>
      <c r="BB224">
        <f>_xlfn.NORM.DIST(Table2912[[#This Row],[DMD '[mg/g']]],Y$6,Y$2,FALSE)</f>
        <v>2.9041199646211674E-3</v>
      </c>
      <c r="BC224">
        <f>_xlfn.NORM.DIST(Table2912[[#This Row],[CH4 '[ml/g']]],Z$6,Z$2,FALSE)</f>
        <v>3.3096140185772477E-2</v>
      </c>
      <c r="BD224">
        <f>_xlfn.NORM.DIST(Table2912[[#This Row],[CH4 '[% GP']]],AA$6,AA$2,FALSE)</f>
        <v>0.12570738829436257</v>
      </c>
      <c r="BE224">
        <f>_xlfn.NORM.DIST(Table2912[[#This Row],[CH4 '[g/g DDM']]],AB$6,AB$2,FALSE)</f>
        <v>3.1656824817605046E-2</v>
      </c>
      <c r="BG224">
        <f>IF(Table2912[[#This Row],[GP '[ml/g']]]&lt;O$10,_xlfn.NORM.DIST(Table2912[[#This Row],[GP '[ml/g']]],O$6,O$2,FALSE),-100)</f>
        <v>-100</v>
      </c>
      <c r="BH224">
        <f>IF(Table2912[[#This Row],[SCFA '[mmol/g']]]&lt;P$10,_xlfn.NORM.DIST(Table2912[[#This Row],[SCFA '[mmol/g']]],P$6,P$2,FALSE),-100)</f>
        <v>-100</v>
      </c>
      <c r="BI224">
        <f>IF(Table2912[[#This Row],[Acetate '[%']]]&lt;Q$10,_xlfn.NORM.DIST(Table2912[[#This Row],[Acetate '[%']]],Q$6,Q$2,FALSE),-100)</f>
        <v>-100</v>
      </c>
      <c r="BJ224">
        <f>IF(Table2912[[#This Row],[Propionate '[%']]]&lt;R$10,_xlfn.NORM.DIST(Table2912[[#This Row],[Propionate '[%']]],R$6,R$2,FALSE),-100)</f>
        <v>-100</v>
      </c>
      <c r="BK224">
        <f>IF(Table2912[[#This Row],[Butyrate '[%']]]&lt;S$10,_xlfn.NORM.DIST(Table2912[[#This Row],[Butyrate '[%']]],S$6,S$2,FALSE),-100)</f>
        <v>-100</v>
      </c>
      <c r="BL224">
        <f>IF(Table2912[[#This Row],[Valerate '[%']]]&lt;T$10,_xlfn.NORM.DIST(Table2912[[#This Row],[Valerate '[%']]],T$6,T$2,FALSE),-100)</f>
        <v>-100</v>
      </c>
      <c r="BM224">
        <f>IF(Table2912[[#This Row],[Caproate '[%']]]&lt;U$10,_xlfn.NORM.DIST(Table2912[[#This Row],[Caproate '[%']]],U$6,U$2,FALSE),-100)</f>
        <v>-100</v>
      </c>
      <c r="BN224">
        <f>IF(Table2912[[#This Row],[Isobutyrate '[%']]]&lt;V$10,_xlfn.NORM.DIST(Table2912[[#This Row],[Isobutyrate '[%']]],V$6,V$2,FALSE),-100)</f>
        <v>-100</v>
      </c>
      <c r="BO224">
        <f>IF(Table2912[[#This Row],[Isovalerate '[%']]]&lt;W$10,_xlfn.NORM.DIST(Table2912[[#This Row],[Isovalerate '[%']]],W$6,W$2,FALSE),-100)</f>
        <v>-100</v>
      </c>
      <c r="BP224">
        <f>IF(Table2912[[#This Row],[CH4 '[g/mmol SCFA']]]&lt;X$10,_xlfn.NORM.DIST(Table2912[[#This Row],[CH4 '[g/mmol SCFA']]],X$6,X$2,FALSE),-100)</f>
        <v>-100</v>
      </c>
      <c r="BQ224">
        <f>IF(Table2912[[#This Row],[DMD '[mg/g']]]&gt;Y$10,_xlfn.NORM.DIST(Table2912[[#This Row],[DMD '[mg/g']]],Y$6,Y$2,FALSE),-100)</f>
        <v>-100</v>
      </c>
      <c r="BR224">
        <f>IF(Table2912[[#This Row],[CH4 '[ml/g']]]&lt;Z$10,_xlfn.NORM.DIST(Table2912[[#This Row],[CH4 '[ml/g']]],Z$6,Z$2,FALSE),-100)</f>
        <v>-100</v>
      </c>
      <c r="BS224">
        <f>IF(Table2912[[#This Row],[CH4 '[% GP']]]&lt;AA$10,_xlfn.NORM.DIST(Table2912[[#This Row],[CH4 '[% GP']]],AA$6,AA$2,FALSE),-100)</f>
        <v>-100</v>
      </c>
      <c r="BT224">
        <f>IF(Table2912[[#This Row],[CH4 '[g/g DDM']]]&lt;AB$10,_xlfn.NORM.DIST(Table2912[[#This Row],[CH4 '[g/g DDM']]],AB$6,AB$2,FALSE),-100)</f>
        <v>-100</v>
      </c>
    </row>
    <row r="225" spans="1:72" x14ac:dyDescent="0.25">
      <c r="A225" s="12" t="s">
        <v>70</v>
      </c>
      <c r="B225" s="13">
        <v>1037</v>
      </c>
      <c r="C225" s="96" t="s">
        <v>272</v>
      </c>
      <c r="D225" s="96"/>
      <c r="E225" s="96"/>
      <c r="F225" s="96" t="s">
        <v>273</v>
      </c>
      <c r="G225" t="s">
        <v>73</v>
      </c>
      <c r="H225" t="s">
        <v>74</v>
      </c>
      <c r="I225" s="99" t="s">
        <v>274</v>
      </c>
      <c r="J225" s="107">
        <v>1</v>
      </c>
      <c r="K225" s="107"/>
      <c r="L225" s="107"/>
      <c r="M225" t="s">
        <v>273</v>
      </c>
      <c r="N225" t="s">
        <v>80</v>
      </c>
      <c r="O225" s="18">
        <v>258.14610117075307</v>
      </c>
      <c r="P225" s="18">
        <v>6.4002571556055443</v>
      </c>
      <c r="Q225" s="97">
        <v>0.66726186502044349</v>
      </c>
      <c r="R225" s="97">
        <v>0.18381007294440077</v>
      </c>
      <c r="S225" s="97">
        <v>9.288445415598455E-2</v>
      </c>
      <c r="T225" s="97">
        <v>1.6617076825832307E-2</v>
      </c>
      <c r="U225" s="97">
        <v>1.2889677424643823E-3</v>
      </c>
      <c r="V225" s="97">
        <v>1.3514158347333886E-2</v>
      </c>
      <c r="W225" s="97">
        <v>2.4623404963540624E-2</v>
      </c>
      <c r="X225" s="51">
        <f t="shared" si="17"/>
        <v>4.6364131545146297</v>
      </c>
      <c r="Y225" s="18">
        <v>763.8489558443938</v>
      </c>
      <c r="Z225" s="18">
        <v>29.674236468525933</v>
      </c>
      <c r="AA225" s="18">
        <f t="shared" si="18"/>
        <v>11.495132536941801</v>
      </c>
      <c r="AB225" s="18">
        <f t="shared" si="19"/>
        <v>38.848304028540127</v>
      </c>
      <c r="AC225" s="18">
        <f>$CP$15*Table2912[[#This Row],[DMD '[mg/g']]]+$CS$15*Table2912[[#This Row],[CH4 '[ml/g']]]+$CR$15*Table2912[[#This Row],[CH4 '[% GP']]]+$CQ$15*Table2912[[#This Row],[CH4 '[g/g DDM']]]</f>
        <v>20.659842130084456</v>
      </c>
      <c r="AD225" s="18">
        <f>_xlfn.RANK.AVG(Table2912[[#This Row],[Index]],Table2912[Index])</f>
        <v>150</v>
      </c>
      <c r="AE22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6.0415636532509271</v>
      </c>
      <c r="AF225" s="18">
        <f>Table2912[[#This Row],[CH4 '[ml/g']]]/Table2912[[#This Row],[APB]]</f>
        <v>4.9116815069155839</v>
      </c>
      <c r="AG225" s="18">
        <f>Table2912[[#This Row],[Propionate '[%']]]/Table2912[[#This Row],[Acetate '[%']]]</f>
        <v>0.27546917122076087</v>
      </c>
      <c r="AH225" s="51"/>
      <c r="AI225" s="18"/>
      <c r="AJ225" s="18"/>
      <c r="AK225" s="18">
        <f>(Table2912[[#This Row],[DMD '[mg/g']]]-$AK$15)/$AK$15*100</f>
        <v>55.795616156600488</v>
      </c>
      <c r="AL225" s="18">
        <f>(Table2912[[#This Row],[CH4 '[ml/g']]]-AL$15)/AL$15*100</f>
        <v>-24.554867281582059</v>
      </c>
      <c r="AM225" s="18">
        <f>(Table2912[[#This Row],[CH4 '[% GP']]]-AM$15)/AM$15*100</f>
        <v>-25.944655720413028</v>
      </c>
      <c r="AN225" s="18">
        <f>(Table2912[[#This Row],[CH4 '[g/g DDM']]]-AN$15)/AN$15*100</f>
        <v>-24.147406661843267</v>
      </c>
      <c r="AO225" s="18"/>
      <c r="AP225" s="18"/>
      <c r="AR225">
        <f>_xlfn.NORM.DIST(Table2912[[#This Row],[GP '[ml/g']]],O$6,O$2,FALSE)</f>
        <v>7.4705936995495539E-3</v>
      </c>
      <c r="AS225">
        <f>_xlfn.NORM.DIST(Table2912[[#This Row],[SCFA '[mmol/g']]],P$6,P$2,FALSE)</f>
        <v>0.33057156832629875</v>
      </c>
      <c r="AT225">
        <f>_xlfn.NORM.DIST(Table2912[[#This Row],[Acetate '[%']]],Q$6,Q$2,FALSE)</f>
        <v>13.73199489405836</v>
      </c>
      <c r="AU225">
        <f>_xlfn.NORM.DIST(Table2912[[#This Row],[Propionate '[%']]],R$6,R$2,FALSE)</f>
        <v>14.798392878777163</v>
      </c>
      <c r="AV225">
        <f>_xlfn.NORM.DIST(Table2912[[#This Row],[Butyrate '[%']]],S$6,S$2,FALSE)</f>
        <v>23.029997908553369</v>
      </c>
      <c r="AW225">
        <f>_xlfn.NORM.DIST(Table2912[[#This Row],[Valerate '[%']]],T$6,T$2,FALSE)</f>
        <v>75.830036241421581</v>
      </c>
      <c r="AX225">
        <f>_xlfn.NORM.DIST(Table2912[[#This Row],[Caproate '[%']]],U$6,U$2,FALSE)</f>
        <v>406.50292945084936</v>
      </c>
      <c r="AY225">
        <f>_xlfn.NORM.DIST(Table2912[[#This Row],[Isobutyrate '[%']]],V$6,V$2,FALSE)</f>
        <v>82.972450738901713</v>
      </c>
      <c r="AZ225">
        <f>_xlfn.NORM.DIST(Table2912[[#This Row],[Isovalerate '[%']]],W$6,W$2,FALSE)</f>
        <v>42.383844984006011</v>
      </c>
      <c r="BA225">
        <f>_xlfn.NORM.DIST(Table2912[[#This Row],[CH4 '[g/mmol SCFA']]],X$6,X$2,FALSE)</f>
        <v>0.14004280110455902</v>
      </c>
      <c r="BB225">
        <f>_xlfn.NORM.DIST(Table2912[[#This Row],[DMD '[mg/g']]],Y$6,Y$2,FALSE)</f>
        <v>2.9045823909475445E-3</v>
      </c>
      <c r="BC225">
        <f>_xlfn.NORM.DIST(Table2912[[#This Row],[CH4 '[ml/g']]],Z$6,Z$2,FALSE)</f>
        <v>2.0634294133843163E-2</v>
      </c>
      <c r="BD225">
        <f>_xlfn.NORM.DIST(Table2912[[#This Row],[CH4 '[% GP']]],AA$6,AA$2,FALSE)</f>
        <v>4.0885415708399403E-2</v>
      </c>
      <c r="BE225">
        <f>_xlfn.NORM.DIST(Table2912[[#This Row],[CH4 '[g/g DDM']]],AB$6,AB$2,FALSE)</f>
        <v>1.6095901348015768E-2</v>
      </c>
      <c r="BG225">
        <f>IF(Table2912[[#This Row],[GP '[ml/g']]]&lt;O$10,_xlfn.NORM.DIST(Table2912[[#This Row],[GP '[ml/g']]],O$6,O$2,FALSE),-100)</f>
        <v>-100</v>
      </c>
      <c r="BH225">
        <f>IF(Table2912[[#This Row],[SCFA '[mmol/g']]]&lt;P$10,_xlfn.NORM.DIST(Table2912[[#This Row],[SCFA '[mmol/g']]],P$6,P$2,FALSE),-100)</f>
        <v>-100</v>
      </c>
      <c r="BI225">
        <f>IF(Table2912[[#This Row],[Acetate '[%']]]&lt;Q$10,_xlfn.NORM.DIST(Table2912[[#This Row],[Acetate '[%']]],Q$6,Q$2,FALSE),-100)</f>
        <v>-100</v>
      </c>
      <c r="BJ225">
        <f>IF(Table2912[[#This Row],[Propionate '[%']]]&lt;R$10,_xlfn.NORM.DIST(Table2912[[#This Row],[Propionate '[%']]],R$6,R$2,FALSE),-100)</f>
        <v>-100</v>
      </c>
      <c r="BK225">
        <f>IF(Table2912[[#This Row],[Butyrate '[%']]]&lt;S$10,_xlfn.NORM.DIST(Table2912[[#This Row],[Butyrate '[%']]],S$6,S$2,FALSE),-100)</f>
        <v>-100</v>
      </c>
      <c r="BL225">
        <f>IF(Table2912[[#This Row],[Valerate '[%']]]&lt;T$10,_xlfn.NORM.DIST(Table2912[[#This Row],[Valerate '[%']]],T$6,T$2,FALSE),-100)</f>
        <v>-100</v>
      </c>
      <c r="BM225">
        <f>IF(Table2912[[#This Row],[Caproate '[%']]]&lt;U$10,_xlfn.NORM.DIST(Table2912[[#This Row],[Caproate '[%']]],U$6,U$2,FALSE),-100)</f>
        <v>-100</v>
      </c>
      <c r="BN225">
        <f>IF(Table2912[[#This Row],[Isobutyrate '[%']]]&lt;V$10,_xlfn.NORM.DIST(Table2912[[#This Row],[Isobutyrate '[%']]],V$6,V$2,FALSE),-100)</f>
        <v>-100</v>
      </c>
      <c r="BO225">
        <f>IF(Table2912[[#This Row],[Isovalerate '[%']]]&lt;W$10,_xlfn.NORM.DIST(Table2912[[#This Row],[Isovalerate '[%']]],W$6,W$2,FALSE),-100)</f>
        <v>-100</v>
      </c>
      <c r="BP225">
        <f>IF(Table2912[[#This Row],[CH4 '[g/mmol SCFA']]]&lt;X$10,_xlfn.NORM.DIST(Table2912[[#This Row],[CH4 '[g/mmol SCFA']]],X$6,X$2,FALSE),-100)</f>
        <v>0.14004280110455902</v>
      </c>
      <c r="BQ225">
        <f>IF(Table2912[[#This Row],[DMD '[mg/g']]]&gt;Y$10,_xlfn.NORM.DIST(Table2912[[#This Row],[DMD '[mg/g']]],Y$6,Y$2,FALSE),-100)</f>
        <v>-100</v>
      </c>
      <c r="BR225">
        <f>IF(Table2912[[#This Row],[CH4 '[ml/g']]]&lt;Z$10,_xlfn.NORM.DIST(Table2912[[#This Row],[CH4 '[ml/g']]],Z$6,Z$2,FALSE),-100)</f>
        <v>-100</v>
      </c>
      <c r="BS225">
        <f>IF(Table2912[[#This Row],[CH4 '[% GP']]]&lt;AA$10,_xlfn.NORM.DIST(Table2912[[#This Row],[CH4 '[% GP']]],AA$6,AA$2,FALSE),-100)</f>
        <v>4.0885415708399403E-2</v>
      </c>
      <c r="BT225">
        <f>IF(Table2912[[#This Row],[CH4 '[g/g DDM']]]&lt;AB$10,_xlfn.NORM.DIST(Table2912[[#This Row],[CH4 '[g/g DDM']]],AB$6,AB$2,FALSE),-100)</f>
        <v>-100</v>
      </c>
    </row>
    <row r="226" spans="1:72" x14ac:dyDescent="0.25">
      <c r="A226" s="12" t="s">
        <v>70</v>
      </c>
      <c r="B226" s="13">
        <v>1012</v>
      </c>
      <c r="C226" s="96" t="s">
        <v>306</v>
      </c>
      <c r="D226" s="96"/>
      <c r="E226" s="96"/>
      <c r="F226" s="96" t="s">
        <v>307</v>
      </c>
      <c r="G226" s="15" t="s">
        <v>73</v>
      </c>
      <c r="H226" s="15" t="s">
        <v>74</v>
      </c>
      <c r="I226" t="s">
        <v>75</v>
      </c>
      <c r="J226" s="70">
        <v>2</v>
      </c>
      <c r="K226" s="70"/>
      <c r="L226" s="70"/>
      <c r="M226" t="s">
        <v>307</v>
      </c>
      <c r="N226" t="s">
        <v>76</v>
      </c>
      <c r="O226" s="18">
        <v>261.59777777777646</v>
      </c>
      <c r="P226" s="18">
        <v>5.7693888888888889</v>
      </c>
      <c r="Q226" s="97">
        <v>0.66341130122774583</v>
      </c>
      <c r="R226" s="97">
        <v>0.14521385004693724</v>
      </c>
      <c r="S226" s="97">
        <v>0.15375620128200324</v>
      </c>
      <c r="T226" s="97">
        <v>1.1790522945816097E-2</v>
      </c>
      <c r="U226" s="97">
        <v>2.0830223996579763E-3</v>
      </c>
      <c r="V226" s="97">
        <v>8.4843262049584742E-3</v>
      </c>
      <c r="W226" s="97">
        <v>1.5260775892881186E-2</v>
      </c>
      <c r="X226" s="51">
        <f t="shared" si="17"/>
        <v>4.5548208578085898</v>
      </c>
      <c r="Y226" s="18">
        <v>765.99999999999955</v>
      </c>
      <c r="Z226" s="18">
        <v>26.278532847920236</v>
      </c>
      <c r="AA226" s="18">
        <f t="shared" si="18"/>
        <v>10.045396054642127</v>
      </c>
      <c r="AB226" s="18">
        <f t="shared" si="19"/>
        <v>34.306178652637399</v>
      </c>
      <c r="AC226" s="18">
        <f>$CP$15*Table2912[[#This Row],[DMD '[mg/g']]]+$CS$15*Table2912[[#This Row],[CH4 '[ml/g']]]+$CR$15*Table2912[[#This Row],[CH4 '[% GP']]]+$CQ$15*Table2912[[#This Row],[CH4 '[g/g DDM']]]</f>
        <v>23.217046868009859</v>
      </c>
      <c r="AD226" s="18">
        <f>_xlfn.RANK.AVG(Table2912[[#This Row],[Index]],Table2912[Index])</f>
        <v>111</v>
      </c>
      <c r="AE22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5.5523522823144065</v>
      </c>
      <c r="AF226" s="18">
        <f>Table2912[[#This Row],[CH4 '[ml/g']]]/Table2912[[#This Row],[APB]]</f>
        <v>4.7328648312938935</v>
      </c>
      <c r="AG226" s="18">
        <f>Table2912[[#This Row],[Propionate '[%']]]/Table2912[[#This Row],[Acetate '[%']]]</f>
        <v>0.21888962364402961</v>
      </c>
      <c r="AH226" s="51"/>
      <c r="AI226" s="18"/>
      <c r="AJ226" s="18"/>
      <c r="AK226" s="18">
        <f>(Table2912[[#This Row],[DMD '[mg/g']]]-$AK$15)/$AK$15*100</f>
        <v>56.234345891109569</v>
      </c>
      <c r="AL226" s="18">
        <f>(Table2912[[#This Row],[CH4 '[ml/g']]]-AL$15)/AL$15*100</f>
        <v>-33.188259099455351</v>
      </c>
      <c r="AM226" s="18">
        <f>(Table2912[[#This Row],[CH4 '[% GP']]]-AM$15)/AM$15*100</f>
        <v>-35.284324833957868</v>
      </c>
      <c r="AN226" s="18">
        <f>(Table2912[[#This Row],[CH4 '[g/g DDM']]]-AN$15)/AN$15*100</f>
        <v>-33.016056082836251</v>
      </c>
      <c r="AO226" s="18"/>
      <c r="AP226" s="18"/>
      <c r="AR226">
        <f>_xlfn.NORM.DIST(Table2912[[#This Row],[GP '[ml/g']]],O$6,O$2,FALSE)</f>
        <v>7.4309760100490915E-3</v>
      </c>
      <c r="AS226">
        <f>_xlfn.NORM.DIST(Table2912[[#This Row],[SCFA '[mmol/g']]],P$6,P$2,FALSE)</f>
        <v>0.27101310390947958</v>
      </c>
      <c r="AT226">
        <f>_xlfn.NORM.DIST(Table2912[[#This Row],[Acetate '[%']]],Q$6,Q$2,FALSE)</f>
        <v>13.232211346273589</v>
      </c>
      <c r="AU226">
        <f>_xlfn.NORM.DIST(Table2912[[#This Row],[Propionate '[%']]],R$6,R$2,FALSE)</f>
        <v>8.9495422681683383</v>
      </c>
      <c r="AV226">
        <f>_xlfn.NORM.DIST(Table2912[[#This Row],[Butyrate '[%']]],S$6,S$2,FALSE)</f>
        <v>4.8330708198870115E-2</v>
      </c>
      <c r="AW226">
        <f>_xlfn.NORM.DIST(Table2912[[#This Row],[Valerate '[%']]],T$6,T$2,FALSE)</f>
        <v>40.481055662451887</v>
      </c>
      <c r="AX226">
        <f>_xlfn.NORM.DIST(Table2912[[#This Row],[Caproate '[%']]],U$6,U$2,FALSE)</f>
        <v>303.69706540239736</v>
      </c>
      <c r="AY226">
        <f>_xlfn.NORM.DIST(Table2912[[#This Row],[Isobutyrate '[%']]],V$6,V$2,FALSE)</f>
        <v>27.362087274165038</v>
      </c>
      <c r="AZ226">
        <f>_xlfn.NORM.DIST(Table2912[[#This Row],[Isovalerate '[%']]],W$6,W$2,FALSE)</f>
        <v>16.138012074349923</v>
      </c>
      <c r="BA226">
        <f>_xlfn.NORM.DIST(Table2912[[#This Row],[CH4 '[g/mmol SCFA']]],X$6,X$2,FALSE)</f>
        <v>0.12972867724600842</v>
      </c>
      <c r="BB226">
        <f>_xlfn.NORM.DIST(Table2912[[#This Row],[DMD '[mg/g']]],Y$6,Y$2,FALSE)</f>
        <v>2.9082808356132453E-3</v>
      </c>
      <c r="BC226">
        <f>_xlfn.NORM.DIST(Table2912[[#This Row],[CH4 '[ml/g']]],Z$6,Z$2,FALSE)</f>
        <v>1.4961311356672516E-2</v>
      </c>
      <c r="BD226">
        <f>_xlfn.NORM.DIST(Table2912[[#This Row],[CH4 '[% GP']]],AA$6,AA$2,FALSE)</f>
        <v>1.7029246156338905E-2</v>
      </c>
      <c r="BE226">
        <f>_xlfn.NORM.DIST(Table2912[[#This Row],[CH4 '[g/g DDM']]],AB$6,AB$2,FALSE)</f>
        <v>9.6005148349434608E-3</v>
      </c>
      <c r="BG226">
        <f>IF(Table2912[[#This Row],[GP '[ml/g']]]&lt;O$10,_xlfn.NORM.DIST(Table2912[[#This Row],[GP '[ml/g']]],O$6,O$2,FALSE),-100)</f>
        <v>-100</v>
      </c>
      <c r="BH226">
        <f>IF(Table2912[[#This Row],[SCFA '[mmol/g']]]&lt;P$10,_xlfn.NORM.DIST(Table2912[[#This Row],[SCFA '[mmol/g']]],P$6,P$2,FALSE),-100)</f>
        <v>-100</v>
      </c>
      <c r="BI226">
        <f>IF(Table2912[[#This Row],[Acetate '[%']]]&lt;Q$10,_xlfn.NORM.DIST(Table2912[[#This Row],[Acetate '[%']]],Q$6,Q$2,FALSE),-100)</f>
        <v>-100</v>
      </c>
      <c r="BJ226">
        <f>IF(Table2912[[#This Row],[Propionate '[%']]]&lt;R$10,_xlfn.NORM.DIST(Table2912[[#This Row],[Propionate '[%']]],R$6,R$2,FALSE),-100)</f>
        <v>8.9495422681683383</v>
      </c>
      <c r="BK226">
        <f>IF(Table2912[[#This Row],[Butyrate '[%']]]&lt;S$10,_xlfn.NORM.DIST(Table2912[[#This Row],[Butyrate '[%']]],S$6,S$2,FALSE),-100)</f>
        <v>-100</v>
      </c>
      <c r="BL226">
        <f>IF(Table2912[[#This Row],[Valerate '[%']]]&lt;T$10,_xlfn.NORM.DIST(Table2912[[#This Row],[Valerate '[%']]],T$6,T$2,FALSE),-100)</f>
        <v>40.481055662451887</v>
      </c>
      <c r="BM226">
        <f>IF(Table2912[[#This Row],[Caproate '[%']]]&lt;U$10,_xlfn.NORM.DIST(Table2912[[#This Row],[Caproate '[%']]],U$6,U$2,FALSE),-100)</f>
        <v>-100</v>
      </c>
      <c r="BN226">
        <f>IF(Table2912[[#This Row],[Isobutyrate '[%']]]&lt;V$10,_xlfn.NORM.DIST(Table2912[[#This Row],[Isobutyrate '[%']]],V$6,V$2,FALSE),-100)</f>
        <v>27.362087274165038</v>
      </c>
      <c r="BO226">
        <f>IF(Table2912[[#This Row],[Isovalerate '[%']]]&lt;W$10,_xlfn.NORM.DIST(Table2912[[#This Row],[Isovalerate '[%']]],W$6,W$2,FALSE),-100)</f>
        <v>16.138012074349923</v>
      </c>
      <c r="BP226">
        <f>IF(Table2912[[#This Row],[CH4 '[g/mmol SCFA']]]&lt;X$10,_xlfn.NORM.DIST(Table2912[[#This Row],[CH4 '[g/mmol SCFA']]],X$6,X$2,FALSE),-100)</f>
        <v>0.12972867724600842</v>
      </c>
      <c r="BQ226">
        <f>IF(Table2912[[#This Row],[DMD '[mg/g']]]&gt;Y$10,_xlfn.NORM.DIST(Table2912[[#This Row],[DMD '[mg/g']]],Y$6,Y$2,FALSE),-100)</f>
        <v>-100</v>
      </c>
      <c r="BR226">
        <f>IF(Table2912[[#This Row],[CH4 '[ml/g']]]&lt;Z$10,_xlfn.NORM.DIST(Table2912[[#This Row],[CH4 '[ml/g']]],Z$6,Z$2,FALSE),-100)</f>
        <v>1.4961311356672516E-2</v>
      </c>
      <c r="BS226">
        <f>IF(Table2912[[#This Row],[CH4 '[% GP']]]&lt;AA$10,_xlfn.NORM.DIST(Table2912[[#This Row],[CH4 '[% GP']]],AA$6,AA$2,FALSE),-100)</f>
        <v>1.7029246156338905E-2</v>
      </c>
      <c r="BT226">
        <f>IF(Table2912[[#This Row],[CH4 '[g/g DDM']]]&lt;AB$10,_xlfn.NORM.DIST(Table2912[[#This Row],[CH4 '[g/g DDM']]],AB$6,AB$2,FALSE),-100)</f>
        <v>9.6005148349434608E-3</v>
      </c>
    </row>
    <row r="227" spans="1:72" x14ac:dyDescent="0.25">
      <c r="A227" s="12" t="s">
        <v>86</v>
      </c>
      <c r="B227" s="13">
        <v>1064</v>
      </c>
      <c r="C227" s="32">
        <v>32055</v>
      </c>
      <c r="D227" t="s">
        <v>96</v>
      </c>
      <c r="E227" t="s">
        <v>97</v>
      </c>
      <c r="F227" t="s">
        <v>83</v>
      </c>
      <c r="G227" s="32" t="s">
        <v>73</v>
      </c>
      <c r="H227" s="32" t="s">
        <v>74</v>
      </c>
      <c r="I227" s="105" t="s">
        <v>48</v>
      </c>
      <c r="J227" s="70">
        <v>1</v>
      </c>
      <c r="K227" s="70"/>
      <c r="L227" s="70"/>
      <c r="M227" t="s">
        <v>83</v>
      </c>
      <c r="N227" t="s">
        <v>145</v>
      </c>
      <c r="O227" s="18">
        <v>189.67707370737082</v>
      </c>
      <c r="P227" s="18">
        <v>4.6820588931403098</v>
      </c>
      <c r="Q227" s="97">
        <v>0.6525822811695513</v>
      </c>
      <c r="R227" s="97">
        <v>0.16997882963702898</v>
      </c>
      <c r="S227" s="97">
        <v>8.1738476569931592E-2</v>
      </c>
      <c r="T227" s="97">
        <v>3.5762631244663112E-2</v>
      </c>
      <c r="U227" s="97">
        <v>8.0327293925528136E-4</v>
      </c>
      <c r="V227" s="97">
        <v>1.9512581041112302E-2</v>
      </c>
      <c r="W227" s="97">
        <v>3.9621927398457345E-2</v>
      </c>
      <c r="X227" s="51">
        <f t="shared" si="17"/>
        <v>6.9664775034764048</v>
      </c>
      <c r="Y227" s="18">
        <v>767.57831161602212</v>
      </c>
      <c r="Z227" s="18">
        <v>32.617457949013605</v>
      </c>
      <c r="AA227" s="18">
        <f t="shared" si="18"/>
        <v>17.196310187352967</v>
      </c>
      <c r="AB227" s="18">
        <f t="shared" si="19"/>
        <v>42.493980686273417</v>
      </c>
      <c r="AC227" s="18">
        <f>$CP$15*Table2912[[#This Row],[DMD '[mg/g']]]+$CS$15*Table2912[[#This Row],[CH4 '[ml/g']]]+$CR$15*Table2912[[#This Row],[CH4 '[% GP']]]+$CQ$15*Table2912[[#This Row],[CH4 '[g/g DDM']]]</f>
        <v>17.664147264746411</v>
      </c>
      <c r="AD227" s="18">
        <f>_xlfn.RANK.AVG(Table2912[[#This Row],[Index]],Table2912[Index])</f>
        <v>212</v>
      </c>
      <c r="AE22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4.2339839251393094</v>
      </c>
      <c r="AF227" s="18">
        <f>Table2912[[#This Row],[CH4 '[ml/g']]]/Table2912[[#This Row],[APB]]</f>
        <v>7.7037273938021391</v>
      </c>
      <c r="AG227" s="18">
        <f>Table2912[[#This Row],[Propionate '[%']]]/Table2912[[#This Row],[Acetate '[%']]]</f>
        <v>0.26047110769295584</v>
      </c>
      <c r="AH227" s="51"/>
      <c r="AI227" s="18"/>
      <c r="AJ227" s="18"/>
      <c r="AK227" s="18">
        <f>(Table2912[[#This Row],[DMD '[mg/g']]]-$AK$15)/$AK$15*100</f>
        <v>56.556260359701781</v>
      </c>
      <c r="AL227" s="18">
        <f>(Table2912[[#This Row],[CH4 '[ml/g']]]-AL$15)/AL$15*100</f>
        <v>-17.071886701757844</v>
      </c>
      <c r="AM227" s="18">
        <f>(Table2912[[#This Row],[CH4 '[% GP']]]-AM$15)/AM$15*100</f>
        <v>10.784166008562849</v>
      </c>
      <c r="AN227" s="18">
        <f>(Table2912[[#This Row],[CH4 '[g/g DDM']]]-AN$15)/AN$15*100</f>
        <v>-17.029102893465208</v>
      </c>
      <c r="AO227" s="18"/>
      <c r="AP227" s="18"/>
      <c r="AR227">
        <f>_xlfn.NORM.DIST(Table2912[[#This Row],[GP '[ml/g']]],O$6,O$2,FALSE)</f>
        <v>3.4935327748703742E-3</v>
      </c>
      <c r="AS227">
        <f>_xlfn.NORM.DIST(Table2912[[#This Row],[SCFA '[mmol/g']]],P$6,P$2,FALSE)</f>
        <v>0.10047793502210285</v>
      </c>
      <c r="AT227">
        <f>_xlfn.NORM.DIST(Table2912[[#This Row],[Acetate '[%']]],Q$6,Q$2,FALSE)</f>
        <v>10.806298587286383</v>
      </c>
      <c r="AU227">
        <f>_xlfn.NORM.DIST(Table2912[[#This Row],[Propionate '[%']]],R$6,R$2,FALSE)</f>
        <v>16.738114492591389</v>
      </c>
      <c r="AV227">
        <f>_xlfn.NORM.DIST(Table2912[[#This Row],[Butyrate '[%']]],S$6,S$2,FALSE)</f>
        <v>18.697821966513544</v>
      </c>
      <c r="AW227">
        <f>_xlfn.NORM.DIST(Table2912[[#This Row],[Valerate '[%']]],T$6,T$2,FALSE)</f>
        <v>0.16226032310653846</v>
      </c>
      <c r="AX227">
        <f>_xlfn.NORM.DIST(Table2912[[#This Row],[Caproate '[%']]],U$6,U$2,FALSE)</f>
        <v>351.63707510175897</v>
      </c>
      <c r="AY227">
        <f>_xlfn.NORM.DIST(Table2912[[#This Row],[Isobutyrate '[%']]],V$6,V$2,FALSE)</f>
        <v>57.52323392615029</v>
      </c>
      <c r="AZ227">
        <f>_xlfn.NORM.DIST(Table2912[[#This Row],[Isovalerate '[%']]],W$6,W$2,FALSE)</f>
        <v>18.625290242422412</v>
      </c>
      <c r="BA227">
        <f>_xlfn.NORM.DIST(Table2912[[#This Row],[CH4 '[g/mmol SCFA']]],X$6,X$2,FALSE)</f>
        <v>0.2611760319596042</v>
      </c>
      <c r="BB227">
        <f>_xlfn.NORM.DIST(Table2912[[#This Row],[DMD '[mg/g']]],Y$6,Y$2,FALSE)</f>
        <v>2.910539840648966E-3</v>
      </c>
      <c r="BC227">
        <f>_xlfn.NORM.DIST(Table2912[[#This Row],[CH4 '[ml/g']]],Z$6,Z$2,FALSE)</f>
        <v>2.552865269992876E-2</v>
      </c>
      <c r="BD227">
        <f>_xlfn.NORM.DIST(Table2912[[#This Row],[CH4 '[% GP']]],AA$6,AA$2,FALSE)</f>
        <v>0.12528918193632016</v>
      </c>
      <c r="BE227">
        <f>_xlfn.NORM.DIST(Table2912[[#This Row],[CH4 '[g/g DDM']]],AB$6,AB$2,FALSE)</f>
        <v>2.2023625470408599E-2</v>
      </c>
      <c r="BG227">
        <f>IF(Table2912[[#This Row],[GP '[ml/g']]]&lt;O$10,_xlfn.NORM.DIST(Table2912[[#This Row],[GP '[ml/g']]],O$6,O$2,FALSE),-100)</f>
        <v>3.4935327748703742E-3</v>
      </c>
      <c r="BH227">
        <f>IF(Table2912[[#This Row],[SCFA '[mmol/g']]]&lt;P$10,_xlfn.NORM.DIST(Table2912[[#This Row],[SCFA '[mmol/g']]],P$6,P$2,FALSE),-100)</f>
        <v>0.10047793502210285</v>
      </c>
      <c r="BI227">
        <f>IF(Table2912[[#This Row],[Acetate '[%']]]&lt;Q$10,_xlfn.NORM.DIST(Table2912[[#This Row],[Acetate '[%']]],Q$6,Q$2,FALSE),-100)</f>
        <v>-100</v>
      </c>
      <c r="BJ227">
        <f>IF(Table2912[[#This Row],[Propionate '[%']]]&lt;R$10,_xlfn.NORM.DIST(Table2912[[#This Row],[Propionate '[%']]],R$6,R$2,FALSE),-100)</f>
        <v>-100</v>
      </c>
      <c r="BK227">
        <f>IF(Table2912[[#This Row],[Butyrate '[%']]]&lt;S$10,_xlfn.NORM.DIST(Table2912[[#This Row],[Butyrate '[%']]],S$6,S$2,FALSE),-100)</f>
        <v>-100</v>
      </c>
      <c r="BL227">
        <f>IF(Table2912[[#This Row],[Valerate '[%']]]&lt;T$10,_xlfn.NORM.DIST(Table2912[[#This Row],[Valerate '[%']]],T$6,T$2,FALSE),-100)</f>
        <v>-100</v>
      </c>
      <c r="BM227">
        <f>IF(Table2912[[#This Row],[Caproate '[%']]]&lt;U$10,_xlfn.NORM.DIST(Table2912[[#This Row],[Caproate '[%']]],U$6,U$2,FALSE),-100)</f>
        <v>-100</v>
      </c>
      <c r="BN227">
        <f>IF(Table2912[[#This Row],[Isobutyrate '[%']]]&lt;V$10,_xlfn.NORM.DIST(Table2912[[#This Row],[Isobutyrate '[%']]],V$6,V$2,FALSE),-100)</f>
        <v>-100</v>
      </c>
      <c r="BO227">
        <f>IF(Table2912[[#This Row],[Isovalerate '[%']]]&lt;W$10,_xlfn.NORM.DIST(Table2912[[#This Row],[Isovalerate '[%']]],W$6,W$2,FALSE),-100)</f>
        <v>-100</v>
      </c>
      <c r="BP227">
        <f>IF(Table2912[[#This Row],[CH4 '[g/mmol SCFA']]]&lt;X$10,_xlfn.NORM.DIST(Table2912[[#This Row],[CH4 '[g/mmol SCFA']]],X$6,X$2,FALSE),-100)</f>
        <v>-100</v>
      </c>
      <c r="BQ227">
        <f>IF(Table2912[[#This Row],[DMD '[mg/g']]]&gt;Y$10,_xlfn.NORM.DIST(Table2912[[#This Row],[DMD '[mg/g']]],Y$6,Y$2,FALSE),-100)</f>
        <v>-100</v>
      </c>
      <c r="BR227">
        <f>IF(Table2912[[#This Row],[CH4 '[ml/g']]]&lt;Z$10,_xlfn.NORM.DIST(Table2912[[#This Row],[CH4 '[ml/g']]],Z$6,Z$2,FALSE),-100)</f>
        <v>-100</v>
      </c>
      <c r="BS227">
        <f>IF(Table2912[[#This Row],[CH4 '[% GP']]]&lt;AA$10,_xlfn.NORM.DIST(Table2912[[#This Row],[CH4 '[% GP']]],AA$6,AA$2,FALSE),-100)</f>
        <v>-100</v>
      </c>
      <c r="BT227">
        <f>IF(Table2912[[#This Row],[CH4 '[g/g DDM']]]&lt;AB$10,_xlfn.NORM.DIST(Table2912[[#This Row],[CH4 '[g/g DDM']]],AB$6,AB$2,FALSE),-100)</f>
        <v>-100</v>
      </c>
    </row>
    <row r="228" spans="1:72" x14ac:dyDescent="0.25">
      <c r="A228" s="12" t="s">
        <v>70</v>
      </c>
      <c r="B228" s="13">
        <v>1043</v>
      </c>
      <c r="C228" s="96" t="s">
        <v>230</v>
      </c>
      <c r="D228" s="96"/>
      <c r="E228" s="96"/>
      <c r="F228" s="96" t="s">
        <v>231</v>
      </c>
      <c r="G228" s="15" t="s">
        <v>143</v>
      </c>
      <c r="H228" s="15" t="s">
        <v>144</v>
      </c>
      <c r="I228" t="s">
        <v>52</v>
      </c>
      <c r="J228" s="100">
        <v>2</v>
      </c>
      <c r="K228" s="100"/>
      <c r="L228" s="100"/>
      <c r="M228" t="s">
        <v>231</v>
      </c>
      <c r="N228" t="s">
        <v>85</v>
      </c>
      <c r="O228" s="18">
        <v>257.50289283366237</v>
      </c>
      <c r="P228" s="18">
        <v>6.9285557747096194</v>
      </c>
      <c r="Q228" s="97">
        <v>0.66544361853550527</v>
      </c>
      <c r="R228" s="97">
        <v>0.22101158603705295</v>
      </c>
      <c r="S228" s="97">
        <v>8.4453582160366927E-2</v>
      </c>
      <c r="T228" s="97">
        <v>1.054124144107166E-2</v>
      </c>
      <c r="U228" s="97">
        <v>7.9076387790605806E-5</v>
      </c>
      <c r="V228" s="97">
        <v>9.2993832041752371E-3</v>
      </c>
      <c r="W228" s="97">
        <v>1.6343588499785445E-2</v>
      </c>
      <c r="X228" s="51">
        <f t="shared" si="17"/>
        <v>4.8892470393785166</v>
      </c>
      <c r="Y228" s="18">
        <v>768.16053777438992</v>
      </c>
      <c r="Z228" s="18">
        <v>33.875420808667933</v>
      </c>
      <c r="AA228" s="18">
        <f t="shared" si="18"/>
        <v>13.155355435385435</v>
      </c>
      <c r="AB228" s="18">
        <f t="shared" si="19"/>
        <v>44.099402589484754</v>
      </c>
      <c r="AC228" s="18">
        <f>$CP$15*Table2912[[#This Row],[DMD '[mg/g']]]+$CS$15*Table2912[[#This Row],[CH4 '[ml/g']]]+$CR$15*Table2912[[#This Row],[CH4 '[% GP']]]+$CQ$15*Table2912[[#This Row],[CH4 '[g/g DDM']]]</f>
        <v>18.23470997467475</v>
      </c>
      <c r="AD228" s="18">
        <f>_xlfn.RANK.AVG(Table2912[[#This Row],[Index]],Table2912[Index])</f>
        <v>199</v>
      </c>
      <c r="AE22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6.7269956810347189</v>
      </c>
      <c r="AF228" s="18">
        <f>Table2912[[#This Row],[CH4 '[ml/g']]]/Table2912[[#This Row],[APB]]</f>
        <v>5.0357429103414191</v>
      </c>
      <c r="AG228" s="18">
        <f>Table2912[[#This Row],[Propionate '[%']]]/Table2912[[#This Row],[Acetate '[%']]]</f>
        <v>0.33212668944583273</v>
      </c>
      <c r="AH228" s="51"/>
      <c r="AI228" s="18"/>
      <c r="AJ228" s="18"/>
      <c r="AK228" s="18">
        <f>(Table2912[[#This Row],[DMD '[mg/g']]]-$AK$15)/$AK$15*100</f>
        <v>56.675011956324873</v>
      </c>
      <c r="AL228" s="18">
        <f>(Table2912[[#This Row],[CH4 '[ml/g']]]-AL$15)/AL$15*100</f>
        <v>-13.873584531384401</v>
      </c>
      <c r="AM228" s="18">
        <f>(Table2912[[#This Row],[CH4 '[% GP']]]-AM$15)/AM$15*100</f>
        <v>-15.248965354949304</v>
      </c>
      <c r="AN228" s="18">
        <f>(Table2912[[#This Row],[CH4 '[g/g DDM']]]-AN$15)/AN$15*100</f>
        <v>-13.894463742397093</v>
      </c>
      <c r="AO228" s="18"/>
      <c r="AP228" s="18"/>
      <c r="AR228">
        <f>_xlfn.NORM.DIST(Table2912[[#This Row],[GP '[ml/g']]],O$6,O$2,FALSE)</f>
        <v>7.4745385244243279E-3</v>
      </c>
      <c r="AS228">
        <f>_xlfn.NORM.DIST(Table2912[[#This Row],[SCFA '[mmol/g']]],P$6,P$2,FALSE)</f>
        <v>0.31550459731567054</v>
      </c>
      <c r="AT228">
        <f>_xlfn.NORM.DIST(Table2912[[#This Row],[Acetate '[%']]],Q$6,Q$2,FALSE)</f>
        <v>13.524542381191496</v>
      </c>
      <c r="AU228">
        <f>_xlfn.NORM.DIST(Table2912[[#This Row],[Propionate '[%']]],R$6,R$2,FALSE)</f>
        <v>1.9771467012912753</v>
      </c>
      <c r="AV228">
        <f>_xlfn.NORM.DIST(Table2912[[#This Row],[Butyrate '[%']]],S$6,S$2,FALSE)</f>
        <v>20.43627626485927</v>
      </c>
      <c r="AW228">
        <f>_xlfn.NORM.DIST(Table2912[[#This Row],[Valerate '[%']]],T$6,T$2,FALSE)</f>
        <v>29.830615459499356</v>
      </c>
      <c r="AX228">
        <f>_xlfn.NORM.DIST(Table2912[[#This Row],[Caproate '[%']]],U$6,U$2,FALSE)</f>
        <v>179.58096404742528</v>
      </c>
      <c r="AY228">
        <f>_xlfn.NORM.DIST(Table2912[[#This Row],[Isobutyrate '[%']]],V$6,V$2,FALSE)</f>
        <v>35.753486244407441</v>
      </c>
      <c r="AZ228">
        <f>_xlfn.NORM.DIST(Table2912[[#This Row],[Isovalerate '[%']]],W$6,W$2,FALSE)</f>
        <v>19.124713934119313</v>
      </c>
      <c r="BA228">
        <f>_xlfn.NORM.DIST(Table2912[[#This Row],[CH4 '[g/mmol SCFA']]],X$6,X$2,FALSE)</f>
        <v>0.1733851851698669</v>
      </c>
      <c r="BB228">
        <f>_xlfn.NORM.DIST(Table2912[[#This Row],[DMD '[mg/g']]],Y$6,Y$2,FALSE)</f>
        <v>2.9112757789024907E-3</v>
      </c>
      <c r="BC228">
        <f>_xlfn.NORM.DIST(Table2912[[#This Row],[CH4 '[ml/g']]],Z$6,Z$2,FALSE)</f>
        <v>2.7443652189675396E-2</v>
      </c>
      <c r="BD228">
        <f>_xlfn.NORM.DIST(Table2912[[#This Row],[CH4 '[% GP']]],AA$6,AA$2,FALSE)</f>
        <v>8.3045866228467546E-2</v>
      </c>
      <c r="BE228">
        <f>_xlfn.NORM.DIST(Table2912[[#This Row],[CH4 '[g/g DDM']]],AB$6,AB$2,FALSE)</f>
        <v>2.4572024251082829E-2</v>
      </c>
      <c r="BG228">
        <f>IF(Table2912[[#This Row],[GP '[ml/g']]]&lt;O$10,_xlfn.NORM.DIST(Table2912[[#This Row],[GP '[ml/g']]],O$6,O$2,FALSE),-100)</f>
        <v>-100</v>
      </c>
      <c r="BH228">
        <f>IF(Table2912[[#This Row],[SCFA '[mmol/g']]]&lt;P$10,_xlfn.NORM.DIST(Table2912[[#This Row],[SCFA '[mmol/g']]],P$6,P$2,FALSE),-100)</f>
        <v>-100</v>
      </c>
      <c r="BI228">
        <f>IF(Table2912[[#This Row],[Acetate '[%']]]&lt;Q$10,_xlfn.NORM.DIST(Table2912[[#This Row],[Acetate '[%']]],Q$6,Q$2,FALSE),-100)</f>
        <v>-100</v>
      </c>
      <c r="BJ228">
        <f>IF(Table2912[[#This Row],[Propionate '[%']]]&lt;R$10,_xlfn.NORM.DIST(Table2912[[#This Row],[Propionate '[%']]],R$6,R$2,FALSE),-100)</f>
        <v>-100</v>
      </c>
      <c r="BK228">
        <f>IF(Table2912[[#This Row],[Butyrate '[%']]]&lt;S$10,_xlfn.NORM.DIST(Table2912[[#This Row],[Butyrate '[%']]],S$6,S$2,FALSE),-100)</f>
        <v>-100</v>
      </c>
      <c r="BL228">
        <f>IF(Table2912[[#This Row],[Valerate '[%']]]&lt;T$10,_xlfn.NORM.DIST(Table2912[[#This Row],[Valerate '[%']]],T$6,T$2,FALSE),-100)</f>
        <v>29.830615459499356</v>
      </c>
      <c r="BM228">
        <f>IF(Table2912[[#This Row],[Caproate '[%']]]&lt;U$10,_xlfn.NORM.DIST(Table2912[[#This Row],[Caproate '[%']]],U$6,U$2,FALSE),-100)</f>
        <v>179.58096404742528</v>
      </c>
      <c r="BN228">
        <f>IF(Table2912[[#This Row],[Isobutyrate '[%']]]&lt;V$10,_xlfn.NORM.DIST(Table2912[[#This Row],[Isobutyrate '[%']]],V$6,V$2,FALSE),-100)</f>
        <v>35.753486244407441</v>
      </c>
      <c r="BO228">
        <f>IF(Table2912[[#This Row],[Isovalerate '[%']]]&lt;W$10,_xlfn.NORM.DIST(Table2912[[#This Row],[Isovalerate '[%']]],W$6,W$2,FALSE),-100)</f>
        <v>19.124713934119313</v>
      </c>
      <c r="BP228">
        <f>IF(Table2912[[#This Row],[CH4 '[g/mmol SCFA']]]&lt;X$10,_xlfn.NORM.DIST(Table2912[[#This Row],[CH4 '[g/mmol SCFA']]],X$6,X$2,FALSE),-100)</f>
        <v>0.1733851851698669</v>
      </c>
      <c r="BQ228">
        <f>IF(Table2912[[#This Row],[DMD '[mg/g']]]&gt;Y$10,_xlfn.NORM.DIST(Table2912[[#This Row],[DMD '[mg/g']]],Y$6,Y$2,FALSE),-100)</f>
        <v>-100</v>
      </c>
      <c r="BR228">
        <f>IF(Table2912[[#This Row],[CH4 '[ml/g']]]&lt;Z$10,_xlfn.NORM.DIST(Table2912[[#This Row],[CH4 '[ml/g']]],Z$6,Z$2,FALSE),-100)</f>
        <v>-100</v>
      </c>
      <c r="BS228">
        <f>IF(Table2912[[#This Row],[CH4 '[% GP']]]&lt;AA$10,_xlfn.NORM.DIST(Table2912[[#This Row],[CH4 '[% GP']]],AA$6,AA$2,FALSE),-100)</f>
        <v>-100</v>
      </c>
      <c r="BT228">
        <f>IF(Table2912[[#This Row],[CH4 '[g/g DDM']]]&lt;AB$10,_xlfn.NORM.DIST(Table2912[[#This Row],[CH4 '[g/g DDM']]],AB$6,AB$2,FALSE),-100)</f>
        <v>-100</v>
      </c>
    </row>
    <row r="229" spans="1:72" x14ac:dyDescent="0.25">
      <c r="A229" s="12" t="s">
        <v>70</v>
      </c>
      <c r="B229" s="13">
        <v>1006</v>
      </c>
      <c r="C229" s="96" t="s">
        <v>308</v>
      </c>
      <c r="D229" s="96"/>
      <c r="E229" s="96"/>
      <c r="F229" s="96" t="s">
        <v>309</v>
      </c>
      <c r="G229" t="s">
        <v>73</v>
      </c>
      <c r="H229" t="s">
        <v>74</v>
      </c>
      <c r="I229" t="s">
        <v>75</v>
      </c>
      <c r="J229" s="70">
        <v>2</v>
      </c>
      <c r="K229" s="70"/>
      <c r="L229" s="70"/>
      <c r="M229" t="s">
        <v>309</v>
      </c>
      <c r="N229" t="s">
        <v>81</v>
      </c>
      <c r="O229" s="18">
        <v>297.83242945326231</v>
      </c>
      <c r="P229" s="18">
        <v>8.2961721513949822</v>
      </c>
      <c r="Q229" s="97">
        <v>0.65701217768370301</v>
      </c>
      <c r="R229" s="97">
        <v>0.16428071566895952</v>
      </c>
      <c r="S229" s="97">
        <v>0.11565757631954758</v>
      </c>
      <c r="T229" s="97">
        <v>1.6507002686899037E-2</v>
      </c>
      <c r="U229" s="97">
        <v>2.0527827715477484E-3</v>
      </c>
      <c r="V229" s="97">
        <v>1.5339981469927228E-2</v>
      </c>
      <c r="W229" s="97">
        <v>2.914976339941577E-2</v>
      </c>
      <c r="X229" s="51">
        <f t="shared" si="17"/>
        <v>5.4723598295795401</v>
      </c>
      <c r="Y229" s="18">
        <v>769.12817626866661</v>
      </c>
      <c r="Z229" s="18">
        <v>45.399639220570371</v>
      </c>
      <c r="AA229" s="18">
        <f t="shared" si="18"/>
        <v>15.243349860829969</v>
      </c>
      <c r="AB229" s="18">
        <f t="shared" si="19"/>
        <v>59.027403521765763</v>
      </c>
      <c r="AC229" s="18">
        <f>$CP$15*Table2912[[#This Row],[DMD '[mg/g']]]+$CS$15*Table2912[[#This Row],[CH4 '[ml/g']]]+$CR$15*Table2912[[#This Row],[CH4 '[% GP']]]+$CQ$15*Table2912[[#This Row],[CH4 '[g/g DDM']]]</f>
        <v>11.279762458293881</v>
      </c>
      <c r="AD229" s="18">
        <f>_xlfn.RANK.AVG(Table2912[[#This Row],[Index]],Table2912[Index])</f>
        <v>341</v>
      </c>
      <c r="AE22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7.7731023937310386</v>
      </c>
      <c r="AF229" s="18">
        <f>Table2912[[#This Row],[CH4 '[ml/g']]]/Table2912[[#This Row],[APB]]</f>
        <v>5.8406073818331423</v>
      </c>
      <c r="AG229" s="18">
        <f>Table2912[[#This Row],[Propionate '[%']]]/Table2912[[#This Row],[Acetate '[%']]]</f>
        <v>0.25004211679626903</v>
      </c>
      <c r="AH229" s="51"/>
      <c r="AI229" s="18"/>
      <c r="AJ229" s="18"/>
      <c r="AK229" s="18">
        <f>(Table2912[[#This Row],[DMD '[mg/g']]]-$AK$15)/$AK$15*100</f>
        <v>56.872372749030319</v>
      </c>
      <c r="AL229" s="18">
        <f>(Table2912[[#This Row],[CH4 '[ml/g']]]-AL$15)/AL$15*100</f>
        <v>15.4261141646274</v>
      </c>
      <c r="AM229" s="18">
        <f>(Table2912[[#This Row],[CH4 '[% GP']]]-AM$15)/AM$15*100</f>
        <v>-1.7974331056925346</v>
      </c>
      <c r="AN229" s="18">
        <f>(Table2912[[#This Row],[CH4 '[g/g DDM']]]-AN$15)/AN$15*100</f>
        <v>15.252949829018151</v>
      </c>
      <c r="AO229" s="18"/>
      <c r="AP229" s="18"/>
      <c r="AR229">
        <f>_xlfn.NORM.DIST(Table2912[[#This Row],[GP '[ml/g']]],O$6,O$2,FALSE)</f>
        <v>5.4579959088037876E-3</v>
      </c>
      <c r="AS229">
        <f>_xlfn.NORM.DIST(Table2912[[#This Row],[SCFA '[mmol/g']]],P$6,P$2,FALSE)</f>
        <v>0.11346811237738477</v>
      </c>
      <c r="AT229">
        <f>_xlfn.NORM.DIST(Table2912[[#This Row],[Acetate '[%']]],Q$6,Q$2,FALSE)</f>
        <v>11.947230429600069</v>
      </c>
      <c r="AU229">
        <f>_xlfn.NORM.DIST(Table2912[[#This Row],[Propionate '[%']]],R$6,R$2,FALSE)</f>
        <v>15.956486071549509</v>
      </c>
      <c r="AV229">
        <f>_xlfn.NORM.DIST(Table2912[[#This Row],[Butyrate '[%']]],S$6,S$2,FALSE)</f>
        <v>9.7327046094425587</v>
      </c>
      <c r="AW229">
        <f>_xlfn.NORM.DIST(Table2912[[#This Row],[Valerate '[%']]],T$6,T$2,FALSE)</f>
        <v>75.486195079020945</v>
      </c>
      <c r="AX229">
        <f>_xlfn.NORM.DIST(Table2912[[#This Row],[Caproate '[%']]],U$6,U$2,FALSE)</f>
        <v>310.7998015166034</v>
      </c>
      <c r="AY229">
        <f>_xlfn.NORM.DIST(Table2912[[#This Row],[Isobutyrate '[%']]],V$6,V$2,FALSE)</f>
        <v>90.157228985307142</v>
      </c>
      <c r="AZ229">
        <f>_xlfn.NORM.DIST(Table2912[[#This Row],[Isovalerate '[%']]],W$6,W$2,FALSE)</f>
        <v>44.96856210877722</v>
      </c>
      <c r="BA229">
        <f>_xlfn.NORM.DIST(Table2912[[#This Row],[CH4 '[g/mmol SCFA']]],X$6,X$2,FALSE)</f>
        <v>0.24779867113774187</v>
      </c>
      <c r="BB229">
        <f>_xlfn.NORM.DIST(Table2912[[#This Row],[DMD '[mg/g']]],Y$6,Y$2,FALSE)</f>
        <v>2.9123826104723335E-3</v>
      </c>
      <c r="BC229">
        <f>_xlfn.NORM.DIST(Table2912[[#This Row],[CH4 '[ml/g']]],Z$6,Z$2,FALSE)</f>
        <v>3.1666231002098186E-2</v>
      </c>
      <c r="BD229">
        <f>_xlfn.NORM.DIST(Table2912[[#This Row],[CH4 '[% GP']]],AA$6,AA$2,FALSE)</f>
        <v>0.12959008190661531</v>
      </c>
      <c r="BE229">
        <f>_xlfn.NORM.DIST(Table2912[[#This Row],[CH4 '[g/g DDM']]],AB$6,AB$2,FALSE)</f>
        <v>2.9455728113344914E-2</v>
      </c>
      <c r="BG229">
        <f>IF(Table2912[[#This Row],[GP '[ml/g']]]&lt;O$10,_xlfn.NORM.DIST(Table2912[[#This Row],[GP '[ml/g']]],O$6,O$2,FALSE),-100)</f>
        <v>-100</v>
      </c>
      <c r="BH229">
        <f>IF(Table2912[[#This Row],[SCFA '[mmol/g']]]&lt;P$10,_xlfn.NORM.DIST(Table2912[[#This Row],[SCFA '[mmol/g']]],P$6,P$2,FALSE),-100)</f>
        <v>-100</v>
      </c>
      <c r="BI229">
        <f>IF(Table2912[[#This Row],[Acetate '[%']]]&lt;Q$10,_xlfn.NORM.DIST(Table2912[[#This Row],[Acetate '[%']]],Q$6,Q$2,FALSE),-100)</f>
        <v>-100</v>
      </c>
      <c r="BJ229">
        <f>IF(Table2912[[#This Row],[Propionate '[%']]]&lt;R$10,_xlfn.NORM.DIST(Table2912[[#This Row],[Propionate '[%']]],R$6,R$2,FALSE),-100)</f>
        <v>-100</v>
      </c>
      <c r="BK229">
        <f>IF(Table2912[[#This Row],[Butyrate '[%']]]&lt;S$10,_xlfn.NORM.DIST(Table2912[[#This Row],[Butyrate '[%']]],S$6,S$2,FALSE),-100)</f>
        <v>-100</v>
      </c>
      <c r="BL229">
        <f>IF(Table2912[[#This Row],[Valerate '[%']]]&lt;T$10,_xlfn.NORM.DIST(Table2912[[#This Row],[Valerate '[%']]],T$6,T$2,FALSE),-100)</f>
        <v>-100</v>
      </c>
      <c r="BM229">
        <f>IF(Table2912[[#This Row],[Caproate '[%']]]&lt;U$10,_xlfn.NORM.DIST(Table2912[[#This Row],[Caproate '[%']]],U$6,U$2,FALSE),-100)</f>
        <v>-100</v>
      </c>
      <c r="BN229">
        <f>IF(Table2912[[#This Row],[Isobutyrate '[%']]]&lt;V$10,_xlfn.NORM.DIST(Table2912[[#This Row],[Isobutyrate '[%']]],V$6,V$2,FALSE),-100)</f>
        <v>-100</v>
      </c>
      <c r="BO229">
        <f>IF(Table2912[[#This Row],[Isovalerate '[%']]]&lt;W$10,_xlfn.NORM.DIST(Table2912[[#This Row],[Isovalerate '[%']]],W$6,W$2,FALSE),-100)</f>
        <v>-100</v>
      </c>
      <c r="BP229">
        <f>IF(Table2912[[#This Row],[CH4 '[g/mmol SCFA']]]&lt;X$10,_xlfn.NORM.DIST(Table2912[[#This Row],[CH4 '[g/mmol SCFA']]],X$6,X$2,FALSE),-100)</f>
        <v>-100</v>
      </c>
      <c r="BQ229">
        <f>IF(Table2912[[#This Row],[DMD '[mg/g']]]&gt;Y$10,_xlfn.NORM.DIST(Table2912[[#This Row],[DMD '[mg/g']]],Y$6,Y$2,FALSE),-100)</f>
        <v>-100</v>
      </c>
      <c r="BR229">
        <f>IF(Table2912[[#This Row],[CH4 '[ml/g']]]&lt;Z$10,_xlfn.NORM.DIST(Table2912[[#This Row],[CH4 '[ml/g']]],Z$6,Z$2,FALSE),-100)</f>
        <v>-100</v>
      </c>
      <c r="BS229">
        <f>IF(Table2912[[#This Row],[CH4 '[% GP']]]&lt;AA$10,_xlfn.NORM.DIST(Table2912[[#This Row],[CH4 '[% GP']]],AA$6,AA$2,FALSE),-100)</f>
        <v>-100</v>
      </c>
      <c r="BT229">
        <f>IF(Table2912[[#This Row],[CH4 '[g/g DDM']]]&lt;AB$10,_xlfn.NORM.DIST(Table2912[[#This Row],[CH4 '[g/g DDM']]],AB$6,AB$2,FALSE),-100)</f>
        <v>-100</v>
      </c>
    </row>
    <row r="230" spans="1:72" x14ac:dyDescent="0.25">
      <c r="A230" s="12" t="s">
        <v>200</v>
      </c>
      <c r="B230" s="13">
        <v>1144</v>
      </c>
      <c r="C230" s="117" t="s">
        <v>310</v>
      </c>
      <c r="D230" s="117" t="s">
        <v>233</v>
      </c>
      <c r="E230" s="117" t="s">
        <v>234</v>
      </c>
      <c r="F230" s="117" t="s">
        <v>235</v>
      </c>
      <c r="G230" t="s">
        <v>73</v>
      </c>
      <c r="H230" t="s">
        <v>74</v>
      </c>
      <c r="I230" t="s">
        <v>75</v>
      </c>
      <c r="J230" s="70">
        <v>2</v>
      </c>
      <c r="K230" s="70"/>
      <c r="L230" s="70"/>
      <c r="M230" t="s">
        <v>311</v>
      </c>
      <c r="N230" t="s">
        <v>245</v>
      </c>
      <c r="O230" s="18">
        <v>301.12410694718449</v>
      </c>
      <c r="P230" s="18">
        <v>7.1860618014464164</v>
      </c>
      <c r="Q230" s="97">
        <v>0.67259835315645011</v>
      </c>
      <c r="R230" s="97">
        <v>0.16161939615736506</v>
      </c>
      <c r="S230" s="97">
        <v>0.10329368709972553</v>
      </c>
      <c r="T230" s="97">
        <v>1.6742909423604759E-2</v>
      </c>
      <c r="U230" s="97">
        <v>1.4791094845989629E-3</v>
      </c>
      <c r="V230" s="97">
        <v>1.5248551387618176E-2</v>
      </c>
      <c r="W230" s="97">
        <v>2.9017993290637388E-2</v>
      </c>
      <c r="X230" s="51">
        <f t="shared" si="17"/>
        <v>6.7104800252690238</v>
      </c>
      <c r="Y230" s="18">
        <v>769.66907736138512</v>
      </c>
      <c r="Z230" s="18">
        <v>48.221924178954914</v>
      </c>
      <c r="AA230" s="18">
        <f t="shared" si="18"/>
        <v>16.013970009851377</v>
      </c>
      <c r="AB230" s="18">
        <f t="shared" si="19"/>
        <v>62.652801830458777</v>
      </c>
      <c r="AC230" s="18">
        <f>$CP$15*Table2912[[#This Row],[DMD '[mg/g']]]+$CS$15*Table2912[[#This Row],[CH4 '[ml/g']]]+$CR$15*Table2912[[#This Row],[CH4 '[% GP']]]+$CQ$15*Table2912[[#This Row],[CH4 '[g/g DDM']]]</f>
        <v>9.541743107691893</v>
      </c>
      <c r="AD230" s="18">
        <f>_xlfn.RANK.AVG(Table2912[[#This Row],[Index]],Table2912[Index])</f>
        <v>363</v>
      </c>
      <c r="AE23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6.7370151216305061</v>
      </c>
      <c r="AF230" s="18">
        <f>Table2912[[#This Row],[CH4 '[ml/g']]]/Table2912[[#This Row],[APB]]</f>
        <v>7.1577580439338755</v>
      </c>
      <c r="AG230" s="18">
        <f>Table2912[[#This Row],[Propionate '[%']]]/Table2912[[#This Row],[Acetate '[%']]]</f>
        <v>0.2402910970550228</v>
      </c>
      <c r="AH230" s="51"/>
      <c r="AI230" s="18"/>
      <c r="AJ230" s="18"/>
      <c r="AK230" s="18">
        <f>(Table2912[[#This Row],[DMD '[mg/g']]]-$AK$15)/$AK$15*100</f>
        <v>56.982695632075576</v>
      </c>
      <c r="AL230" s="18">
        <f>(Table2912[[#This Row],[CH4 '[ml/g']]]-AL$15)/AL$15*100</f>
        <v>22.601620212790049</v>
      </c>
      <c r="AM230" s="18">
        <f>(Table2912[[#This Row],[CH4 '[% GP']]]-AM$15)/AM$15*100</f>
        <v>3.1671499698976189</v>
      </c>
      <c r="AN230" s="18">
        <f>(Table2912[[#This Row],[CH4 '[g/g DDM']]]-AN$15)/AN$15*100</f>
        <v>22.331659452895298</v>
      </c>
      <c r="AO230" s="18"/>
      <c r="AP230" s="18"/>
      <c r="AR230">
        <f>_xlfn.NORM.DIST(Table2912[[#This Row],[GP '[ml/g']]],O$6,O$2,FALSE)</f>
        <v>5.1871320474184118E-3</v>
      </c>
      <c r="AS230">
        <f>_xlfn.NORM.DIST(Table2912[[#This Row],[SCFA '[mmol/g']]],P$6,P$2,FALSE)</f>
        <v>0.28745068664338846</v>
      </c>
      <c r="AT230">
        <f>_xlfn.NORM.DIST(Table2912[[#This Row],[Acetate '[%']]],Q$6,Q$2,FALSE)</f>
        <v>14.024495461669062</v>
      </c>
      <c r="AU230">
        <f>_xlfn.NORM.DIST(Table2912[[#This Row],[Propionate '[%']]],R$6,R$2,FALSE)</f>
        <v>15.299563713051056</v>
      </c>
      <c r="AV230">
        <f>_xlfn.NORM.DIST(Table2912[[#This Row],[Butyrate '[%']]],S$6,S$2,FALSE)</f>
        <v>19.250792276517213</v>
      </c>
      <c r="AW230">
        <f>_xlfn.NORM.DIST(Table2912[[#This Row],[Valerate '[%']]],T$6,T$2,FALSE)</f>
        <v>76.18245298009478</v>
      </c>
      <c r="AX230">
        <f>_xlfn.NORM.DIST(Table2912[[#This Row],[Caproate '[%']]],U$6,U$2,FALSE)</f>
        <v>402.42433282622267</v>
      </c>
      <c r="AY230">
        <f>_xlfn.NORM.DIST(Table2912[[#This Row],[Isobutyrate '[%']]],V$6,V$2,FALSE)</f>
        <v>90.147387112046644</v>
      </c>
      <c r="AZ230">
        <f>_xlfn.NORM.DIST(Table2912[[#This Row],[Isovalerate '[%']]],W$6,W$2,FALSE)</f>
        <v>45.060001089242014</v>
      </c>
      <c r="BA230">
        <f>_xlfn.NORM.DIST(Table2912[[#This Row],[CH4 '[g/mmol SCFA']]],X$6,X$2,FALSE)</f>
        <v>0.28266452502252781</v>
      </c>
      <c r="BB230">
        <f>_xlfn.NORM.DIST(Table2912[[#This Row],[DMD '[mg/g']]],Y$6,Y$2,FALSE)</f>
        <v>2.9129380057520342E-3</v>
      </c>
      <c r="BC230">
        <f>_xlfn.NORM.DIST(Table2912[[#This Row],[CH4 '[ml/g']]],Z$6,Z$2,FALSE)</f>
        <v>2.8431430671370786E-2</v>
      </c>
      <c r="BD230">
        <f>_xlfn.NORM.DIST(Table2912[[#This Row],[CH4 '[% GP']]],AA$6,AA$2,FALSE)</f>
        <v>0.13469420354785874</v>
      </c>
      <c r="BE230">
        <f>_xlfn.NORM.DIST(Table2912[[#This Row],[CH4 '[g/g DDM']]],AB$6,AB$2,FALSE)</f>
        <v>2.4504336296126483E-2</v>
      </c>
      <c r="BG230">
        <f>IF(Table2912[[#This Row],[GP '[ml/g']]]&lt;O$10,_xlfn.NORM.DIST(Table2912[[#This Row],[GP '[ml/g']]],O$6,O$2,FALSE),-100)</f>
        <v>-100</v>
      </c>
      <c r="BH230">
        <f>IF(Table2912[[#This Row],[SCFA '[mmol/g']]]&lt;P$10,_xlfn.NORM.DIST(Table2912[[#This Row],[SCFA '[mmol/g']]],P$6,P$2,FALSE),-100)</f>
        <v>-100</v>
      </c>
      <c r="BI230">
        <f>IF(Table2912[[#This Row],[Acetate '[%']]]&lt;Q$10,_xlfn.NORM.DIST(Table2912[[#This Row],[Acetate '[%']]],Q$6,Q$2,FALSE),-100)</f>
        <v>-100</v>
      </c>
      <c r="BJ230">
        <f>IF(Table2912[[#This Row],[Propionate '[%']]]&lt;R$10,_xlfn.NORM.DIST(Table2912[[#This Row],[Propionate '[%']]],R$6,R$2,FALSE),-100)</f>
        <v>-100</v>
      </c>
      <c r="BK230">
        <f>IF(Table2912[[#This Row],[Butyrate '[%']]]&lt;S$10,_xlfn.NORM.DIST(Table2912[[#This Row],[Butyrate '[%']]],S$6,S$2,FALSE),-100)</f>
        <v>-100</v>
      </c>
      <c r="BL230">
        <f>IF(Table2912[[#This Row],[Valerate '[%']]]&lt;T$10,_xlfn.NORM.DIST(Table2912[[#This Row],[Valerate '[%']]],T$6,T$2,FALSE),-100)</f>
        <v>-100</v>
      </c>
      <c r="BM230">
        <f>IF(Table2912[[#This Row],[Caproate '[%']]]&lt;U$10,_xlfn.NORM.DIST(Table2912[[#This Row],[Caproate '[%']]],U$6,U$2,FALSE),-100)</f>
        <v>-100</v>
      </c>
      <c r="BN230">
        <f>IF(Table2912[[#This Row],[Isobutyrate '[%']]]&lt;V$10,_xlfn.NORM.DIST(Table2912[[#This Row],[Isobutyrate '[%']]],V$6,V$2,FALSE),-100)</f>
        <v>-100</v>
      </c>
      <c r="BO230">
        <f>IF(Table2912[[#This Row],[Isovalerate '[%']]]&lt;W$10,_xlfn.NORM.DIST(Table2912[[#This Row],[Isovalerate '[%']]],W$6,W$2,FALSE),-100)</f>
        <v>-100</v>
      </c>
      <c r="BP230">
        <f>IF(Table2912[[#This Row],[CH4 '[g/mmol SCFA']]]&lt;X$10,_xlfn.NORM.DIST(Table2912[[#This Row],[CH4 '[g/mmol SCFA']]],X$6,X$2,FALSE),-100)</f>
        <v>-100</v>
      </c>
      <c r="BQ230">
        <f>IF(Table2912[[#This Row],[DMD '[mg/g']]]&gt;Y$10,_xlfn.NORM.DIST(Table2912[[#This Row],[DMD '[mg/g']]],Y$6,Y$2,FALSE),-100)</f>
        <v>-100</v>
      </c>
      <c r="BR230">
        <f>IF(Table2912[[#This Row],[CH4 '[ml/g']]]&lt;Z$10,_xlfn.NORM.DIST(Table2912[[#This Row],[CH4 '[ml/g']]],Z$6,Z$2,FALSE),-100)</f>
        <v>-100</v>
      </c>
      <c r="BS230">
        <f>IF(Table2912[[#This Row],[CH4 '[% GP']]]&lt;AA$10,_xlfn.NORM.DIST(Table2912[[#This Row],[CH4 '[% GP']]],AA$6,AA$2,FALSE),-100)</f>
        <v>-100</v>
      </c>
      <c r="BT230">
        <f>IF(Table2912[[#This Row],[CH4 '[g/g DDM']]]&lt;AB$10,_xlfn.NORM.DIST(Table2912[[#This Row],[CH4 '[g/g DDM']]],AB$6,AB$2,FALSE),-100)</f>
        <v>-100</v>
      </c>
    </row>
    <row r="231" spans="1:72" x14ac:dyDescent="0.25">
      <c r="A231" s="12" t="s">
        <v>70</v>
      </c>
      <c r="B231" s="13">
        <v>1006</v>
      </c>
      <c r="C231" s="96" t="s">
        <v>308</v>
      </c>
      <c r="D231" s="96"/>
      <c r="E231" s="96"/>
      <c r="F231" s="96" t="s">
        <v>309</v>
      </c>
      <c r="G231" s="15" t="s">
        <v>73</v>
      </c>
      <c r="H231" s="15" t="s">
        <v>74</v>
      </c>
      <c r="I231" t="s">
        <v>75</v>
      </c>
      <c r="J231" s="70">
        <v>3</v>
      </c>
      <c r="K231" s="70"/>
      <c r="L231" s="70"/>
      <c r="M231" t="s">
        <v>309</v>
      </c>
      <c r="N231" t="s">
        <v>76</v>
      </c>
      <c r="O231" s="18">
        <v>300.87472551602963</v>
      </c>
      <c r="P231" s="18">
        <v>6.9702207857196594</v>
      </c>
      <c r="Q231" s="97">
        <v>0.65999853742786296</v>
      </c>
      <c r="R231" s="97">
        <v>0.15652828055672779</v>
      </c>
      <c r="S231" s="97">
        <v>0.12070137549111809</v>
      </c>
      <c r="T231" s="97">
        <v>1.6265017702894874E-2</v>
      </c>
      <c r="U231" s="97">
        <v>2.2025459133838549E-3</v>
      </c>
      <c r="V231" s="97">
        <v>1.3728873971229629E-2</v>
      </c>
      <c r="W231" s="97">
        <v>3.0575368936782789E-2</v>
      </c>
      <c r="X231" s="51">
        <f t="shared" si="17"/>
        <v>6.8537647955565992</v>
      </c>
      <c r="Y231" s="18">
        <v>769.89713521845874</v>
      </c>
      <c r="Z231" s="18">
        <v>47.772253838422259</v>
      </c>
      <c r="AA231" s="18">
        <f t="shared" si="18"/>
        <v>15.877788922445434</v>
      </c>
      <c r="AB231" s="18">
        <f t="shared" si="19"/>
        <v>62.050177423853974</v>
      </c>
      <c r="AC231" s="18">
        <f>$CP$15*Table2912[[#This Row],[DMD '[mg/g']]]+$CS$15*Table2912[[#This Row],[CH4 '[ml/g']]]+$CR$15*Table2912[[#This Row],[CH4 '[% GP']]]+$CQ$15*Table2912[[#This Row],[CH4 '[g/g DDM']]]</f>
        <v>9.8615732821257041</v>
      </c>
      <c r="AD231" s="18">
        <f>_xlfn.RANK.AVG(Table2912[[#This Row],[Index]],Table2912[Index])</f>
        <v>360</v>
      </c>
      <c r="AE23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6.5326874351268724</v>
      </c>
      <c r="AF231" s="18">
        <f>Table2912[[#This Row],[CH4 '[ml/g']]]/Table2912[[#This Row],[APB]]</f>
        <v>7.3128026272229674</v>
      </c>
      <c r="AG231" s="18">
        <f>Table2912[[#This Row],[Propionate '[%']]]/Table2912[[#This Row],[Acetate '[%']]]</f>
        <v>0.23716458701067372</v>
      </c>
      <c r="AH231" s="51"/>
      <c r="AI231" s="18"/>
      <c r="AJ231" s="18"/>
      <c r="AK231" s="18">
        <f>(Table2912[[#This Row],[DMD '[mg/g']]]-$AK$15)/$AK$15*100</f>
        <v>57.029210606129389</v>
      </c>
      <c r="AL231" s="18">
        <f>(Table2912[[#This Row],[CH4 '[ml/g']]]-AL$15)/AL$15*100</f>
        <v>21.458357822298368</v>
      </c>
      <c r="AM231" s="18">
        <f>(Table2912[[#This Row],[CH4 '[% GP']]]-AM$15)/AM$15*100</f>
        <v>2.2898275658447957</v>
      </c>
      <c r="AN231" s="18">
        <f>(Table2912[[#This Row],[CH4 '[g/g DDM']]]-AN$15)/AN$15*100</f>
        <v>21.15501544763163</v>
      </c>
      <c r="AO231" s="18"/>
      <c r="AP231" s="18"/>
      <c r="AR231">
        <f>_xlfn.NORM.DIST(Table2912[[#This Row],[GP '[ml/g']]],O$6,O$2,FALSE)</f>
        <v>5.2078682399326988E-3</v>
      </c>
      <c r="AS231">
        <f>_xlfn.NORM.DIST(Table2912[[#This Row],[SCFA '[mmol/g']]],P$6,P$2,FALSE)</f>
        <v>0.31176010238697571</v>
      </c>
      <c r="AT231">
        <f>_xlfn.NORM.DIST(Table2912[[#This Row],[Acetate '[%']]],Q$6,Q$2,FALSE)</f>
        <v>12.609783743788805</v>
      </c>
      <c r="AU231">
        <f>_xlfn.NORM.DIST(Table2912[[#This Row],[Propionate '[%']]],R$6,R$2,FALSE)</f>
        <v>13.632281148795018</v>
      </c>
      <c r="AV231">
        <f>_xlfn.NORM.DIST(Table2912[[#This Row],[Butyrate '[%']]],S$6,S$2,FALSE)</f>
        <v>6.3658638959791105</v>
      </c>
      <c r="AW231">
        <f>_xlfn.NORM.DIST(Table2912[[#This Row],[Valerate '[%']]],T$6,T$2,FALSE)</f>
        <v>74.616053257935576</v>
      </c>
      <c r="AX231">
        <f>_xlfn.NORM.DIST(Table2912[[#This Row],[Caproate '[%']]],U$6,U$2,FALSE)</f>
        <v>274.60763786517089</v>
      </c>
      <c r="AY231">
        <f>_xlfn.NORM.DIST(Table2912[[#This Row],[Isobutyrate '[%']]],V$6,V$2,FALSE)</f>
        <v>84.530186132290623</v>
      </c>
      <c r="AZ231">
        <f>_xlfn.NORM.DIST(Table2912[[#This Row],[Isovalerate '[%']]],W$6,W$2,FALSE)</f>
        <v>43.362342799435829</v>
      </c>
      <c r="BA231">
        <f>_xlfn.NORM.DIST(Table2912[[#This Row],[CH4 '[g/mmol SCFA']]],X$6,X$2,FALSE)</f>
        <v>0.27164450644667315</v>
      </c>
      <c r="BB231">
        <f>_xlfn.NORM.DIST(Table2912[[#This Row],[DMD '[mg/g']]],Y$6,Y$2,FALSE)</f>
        <v>2.9131585589212577E-3</v>
      </c>
      <c r="BC231">
        <f>_xlfn.NORM.DIST(Table2912[[#This Row],[CH4 '[ml/g']]],Z$6,Z$2,FALSE)</f>
        <v>2.9032811851395241E-2</v>
      </c>
      <c r="BD231">
        <f>_xlfn.NORM.DIST(Table2912[[#This Row],[CH4 '[% GP']]],AA$6,AA$2,FALSE)</f>
        <v>0.13443844409109065</v>
      </c>
      <c r="BE231">
        <f>_xlfn.NORM.DIST(Table2912[[#This Row],[CH4 '[g/g DDM']]],AB$6,AB$2,FALSE)</f>
        <v>2.5422072612869055E-2</v>
      </c>
      <c r="BG231">
        <f>IF(Table2912[[#This Row],[GP '[ml/g']]]&lt;O$10,_xlfn.NORM.DIST(Table2912[[#This Row],[GP '[ml/g']]],O$6,O$2,FALSE),-100)</f>
        <v>-100</v>
      </c>
      <c r="BH231">
        <f>IF(Table2912[[#This Row],[SCFA '[mmol/g']]]&lt;P$10,_xlfn.NORM.DIST(Table2912[[#This Row],[SCFA '[mmol/g']]],P$6,P$2,FALSE),-100)</f>
        <v>-100</v>
      </c>
      <c r="BI231">
        <f>IF(Table2912[[#This Row],[Acetate '[%']]]&lt;Q$10,_xlfn.NORM.DIST(Table2912[[#This Row],[Acetate '[%']]],Q$6,Q$2,FALSE),-100)</f>
        <v>-100</v>
      </c>
      <c r="BJ231">
        <f>IF(Table2912[[#This Row],[Propionate '[%']]]&lt;R$10,_xlfn.NORM.DIST(Table2912[[#This Row],[Propionate '[%']]],R$6,R$2,FALSE),-100)</f>
        <v>-100</v>
      </c>
      <c r="BK231">
        <f>IF(Table2912[[#This Row],[Butyrate '[%']]]&lt;S$10,_xlfn.NORM.DIST(Table2912[[#This Row],[Butyrate '[%']]],S$6,S$2,FALSE),-100)</f>
        <v>-100</v>
      </c>
      <c r="BL231">
        <f>IF(Table2912[[#This Row],[Valerate '[%']]]&lt;T$10,_xlfn.NORM.DIST(Table2912[[#This Row],[Valerate '[%']]],T$6,T$2,FALSE),-100)</f>
        <v>-100</v>
      </c>
      <c r="BM231">
        <f>IF(Table2912[[#This Row],[Caproate '[%']]]&lt;U$10,_xlfn.NORM.DIST(Table2912[[#This Row],[Caproate '[%']]],U$6,U$2,FALSE),-100)</f>
        <v>-100</v>
      </c>
      <c r="BN231">
        <f>IF(Table2912[[#This Row],[Isobutyrate '[%']]]&lt;V$10,_xlfn.NORM.DIST(Table2912[[#This Row],[Isobutyrate '[%']]],V$6,V$2,FALSE),-100)</f>
        <v>-100</v>
      </c>
      <c r="BO231">
        <f>IF(Table2912[[#This Row],[Isovalerate '[%']]]&lt;W$10,_xlfn.NORM.DIST(Table2912[[#This Row],[Isovalerate '[%']]],W$6,W$2,FALSE),-100)</f>
        <v>-100</v>
      </c>
      <c r="BP231">
        <f>IF(Table2912[[#This Row],[CH4 '[g/mmol SCFA']]]&lt;X$10,_xlfn.NORM.DIST(Table2912[[#This Row],[CH4 '[g/mmol SCFA']]],X$6,X$2,FALSE),-100)</f>
        <v>-100</v>
      </c>
      <c r="BQ231">
        <f>IF(Table2912[[#This Row],[DMD '[mg/g']]]&gt;Y$10,_xlfn.NORM.DIST(Table2912[[#This Row],[DMD '[mg/g']]],Y$6,Y$2,FALSE),-100)</f>
        <v>-100</v>
      </c>
      <c r="BR231">
        <f>IF(Table2912[[#This Row],[CH4 '[ml/g']]]&lt;Z$10,_xlfn.NORM.DIST(Table2912[[#This Row],[CH4 '[ml/g']]],Z$6,Z$2,FALSE),-100)</f>
        <v>-100</v>
      </c>
      <c r="BS231">
        <f>IF(Table2912[[#This Row],[CH4 '[% GP']]]&lt;AA$10,_xlfn.NORM.DIST(Table2912[[#This Row],[CH4 '[% GP']]],AA$6,AA$2,FALSE),-100)</f>
        <v>-100</v>
      </c>
      <c r="BT231">
        <f>IF(Table2912[[#This Row],[CH4 '[g/g DDM']]]&lt;AB$10,_xlfn.NORM.DIST(Table2912[[#This Row],[CH4 '[g/g DDM']]],AB$6,AB$2,FALSE),-100)</f>
        <v>-100</v>
      </c>
    </row>
    <row r="232" spans="1:72" x14ac:dyDescent="0.25">
      <c r="A232" s="12" t="s">
        <v>200</v>
      </c>
      <c r="B232" s="13">
        <v>1262</v>
      </c>
      <c r="C232" s="119" t="s">
        <v>312</v>
      </c>
      <c r="D232" s="119" t="s">
        <v>313</v>
      </c>
      <c r="E232" s="119" t="s">
        <v>314</v>
      </c>
      <c r="F232" s="120" t="s">
        <v>315</v>
      </c>
      <c r="G232" s="53" t="s">
        <v>316</v>
      </c>
      <c r="H232" s="121" t="s">
        <v>317</v>
      </c>
      <c r="I232" s="121" t="s">
        <v>48</v>
      </c>
      <c r="J232" s="100">
        <v>3</v>
      </c>
      <c r="K232" s="100"/>
      <c r="L232" s="100"/>
      <c r="M232" t="s">
        <v>318</v>
      </c>
      <c r="N232" t="s">
        <v>208</v>
      </c>
      <c r="O232" s="18">
        <v>240.90398075240623</v>
      </c>
      <c r="P232" s="18">
        <v>5.3931371975780262</v>
      </c>
      <c r="Q232" s="97">
        <v>0.71591578185570137</v>
      </c>
      <c r="R232" s="97">
        <v>0.15434724368145464</v>
      </c>
      <c r="S232" s="97">
        <v>8.0921268123087475E-2</v>
      </c>
      <c r="T232" s="97">
        <v>1.3589540617442403E-2</v>
      </c>
      <c r="U232" s="97">
        <v>2.1400299429231458E-4</v>
      </c>
      <c r="V232" s="97">
        <v>1.2532343461979746E-2</v>
      </c>
      <c r="W232" s="97">
        <v>2.2479819266041902E-2</v>
      </c>
      <c r="X232" s="51">
        <f t="shared" si="17"/>
        <v>8.1850677687050784</v>
      </c>
      <c r="Y232" s="18">
        <v>771.27608430134342</v>
      </c>
      <c r="Z232" s="18">
        <v>44.143193448100334</v>
      </c>
      <c r="AA232" s="18">
        <f t="shared" si="18"/>
        <v>18.323978420875232</v>
      </c>
      <c r="AB232" s="18">
        <f t="shared" si="19"/>
        <v>57.23397152666444</v>
      </c>
      <c r="AC232" s="18">
        <f>$CP$15*Table2912[[#This Row],[DMD '[mg/g']]]+$CS$15*Table2912[[#This Row],[CH4 '[ml/g']]]+$CR$15*Table2912[[#This Row],[CH4 '[% GP']]]+$CQ$15*Table2912[[#This Row],[CH4 '[g/g DDM']]]</f>
        <v>11.310837931601064</v>
      </c>
      <c r="AD232" s="18">
        <f>_xlfn.RANK.AVG(Table2912[[#This Row],[Index]],Table2912[Index])</f>
        <v>340</v>
      </c>
      <c r="AE23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5.1298673958910399</v>
      </c>
      <c r="AF232" s="18">
        <f>Table2912[[#This Row],[CH4 '[ml/g']]]/Table2912[[#This Row],[APB]]</f>
        <v>8.6051334355072182</v>
      </c>
      <c r="AG232" s="18">
        <f>Table2912[[#This Row],[Propionate '[%']]]/Table2912[[#This Row],[Acetate '[%']]]</f>
        <v>0.21559413494332574</v>
      </c>
      <c r="AH232" s="51"/>
      <c r="AI232" s="18"/>
      <c r="AJ232" s="18"/>
      <c r="AK232" s="18">
        <f>(Table2912[[#This Row],[DMD '[mg/g']]]-$AK$15)/$AK$15*100</f>
        <v>57.310462835870425</v>
      </c>
      <c r="AL232" s="18">
        <f>(Table2912[[#This Row],[CH4 '[ml/g']]]-AL$15)/AL$15*100</f>
        <v>12.231669105930127</v>
      </c>
      <c r="AM232" s="18">
        <f>(Table2912[[#This Row],[CH4 '[% GP']]]-AM$15)/AM$15*100</f>
        <v>18.048967784294454</v>
      </c>
      <c r="AN232" s="18">
        <f>(Table2912[[#This Row],[CH4 '[g/g DDM']]]-AN$15)/AN$15*100</f>
        <v>11.751214780195435</v>
      </c>
      <c r="AO232" s="18"/>
      <c r="AP232" s="18"/>
      <c r="AR232">
        <f>_xlfn.NORM.DIST(Table2912[[#This Row],[GP '[ml/g']]],O$6,O$2,FALSE)</f>
        <v>7.2053312154091885E-3</v>
      </c>
      <c r="AS232">
        <f>_xlfn.NORM.DIST(Table2912[[#This Row],[SCFA '[mmol/g']]],P$6,P$2,FALSE)</f>
        <v>0.21100545876790217</v>
      </c>
      <c r="AT232">
        <f>_xlfn.NORM.DIST(Table2912[[#This Row],[Acetate '[%']]],Q$6,Q$2,FALSE)</f>
        <v>4.5229475242144739</v>
      </c>
      <c r="AU232">
        <f>_xlfn.NORM.DIST(Table2912[[#This Row],[Propionate '[%']]],R$6,R$2,FALSE)</f>
        <v>12.793810986374128</v>
      </c>
      <c r="AV232">
        <f>_xlfn.NORM.DIST(Table2912[[#This Row],[Butyrate '[%']]],S$6,S$2,FALSE)</f>
        <v>18.116772822327636</v>
      </c>
      <c r="AW232">
        <f>_xlfn.NORM.DIST(Table2912[[#This Row],[Valerate '[%']]],T$6,T$2,FALSE)</f>
        <v>56.671940139948489</v>
      </c>
      <c r="AX232">
        <f>_xlfn.NORM.DIST(Table2912[[#This Row],[Caproate '[%']]],U$6,U$2,FALSE)</f>
        <v>212.12627553257769</v>
      </c>
      <c r="AY232">
        <f>_xlfn.NORM.DIST(Table2912[[#This Row],[Isobutyrate '[%']]],V$6,V$2,FALSE)</f>
        <v>73.955075498406714</v>
      </c>
      <c r="AZ232">
        <f>_xlfn.NORM.DIST(Table2912[[#This Row],[Isovalerate '[%']]],W$6,W$2,FALSE)</f>
        <v>37.563378620384967</v>
      </c>
      <c r="BA232">
        <f>_xlfn.NORM.DIST(Table2912[[#This Row],[CH4 '[g/mmol SCFA']]],X$6,X$2,FALSE)</f>
        <v>0.10879925049111205</v>
      </c>
      <c r="BB232">
        <f>_xlfn.NORM.DIST(Table2912[[#This Row],[DMD '[mg/g']]],Y$6,Y$2,FALSE)</f>
        <v>2.9143199596227526E-3</v>
      </c>
      <c r="BC232">
        <f>_xlfn.NORM.DIST(Table2912[[#This Row],[CH4 '[ml/g']]],Z$6,Z$2,FALSE)</f>
        <v>3.2627250925532612E-2</v>
      </c>
      <c r="BD232">
        <f>_xlfn.NORM.DIST(Table2912[[#This Row],[CH4 '[% GP']]],AA$6,AA$2,FALSE)</f>
        <v>0.10079288150575748</v>
      </c>
      <c r="BE232">
        <f>_xlfn.NORM.DIST(Table2912[[#This Row],[CH4 '[g/g DDM']]],AB$6,AB$2,FALSE)</f>
        <v>3.1217491430359137E-2</v>
      </c>
      <c r="BG232">
        <f>IF(Table2912[[#This Row],[GP '[ml/g']]]&lt;O$10,_xlfn.NORM.DIST(Table2912[[#This Row],[GP '[ml/g']]],O$6,O$2,FALSE),-100)</f>
        <v>-100</v>
      </c>
      <c r="BH232">
        <f>IF(Table2912[[#This Row],[SCFA '[mmol/g']]]&lt;P$10,_xlfn.NORM.DIST(Table2912[[#This Row],[SCFA '[mmol/g']]],P$6,P$2,FALSE),-100)</f>
        <v>-100</v>
      </c>
      <c r="BI232">
        <f>IF(Table2912[[#This Row],[Acetate '[%']]]&lt;Q$10,_xlfn.NORM.DIST(Table2912[[#This Row],[Acetate '[%']]],Q$6,Q$2,FALSE),-100)</f>
        <v>-100</v>
      </c>
      <c r="BJ232">
        <f>IF(Table2912[[#This Row],[Propionate '[%']]]&lt;R$10,_xlfn.NORM.DIST(Table2912[[#This Row],[Propionate '[%']]],R$6,R$2,FALSE),-100)</f>
        <v>-100</v>
      </c>
      <c r="BK232">
        <f>IF(Table2912[[#This Row],[Butyrate '[%']]]&lt;S$10,_xlfn.NORM.DIST(Table2912[[#This Row],[Butyrate '[%']]],S$6,S$2,FALSE),-100)</f>
        <v>-100</v>
      </c>
      <c r="BL232">
        <f>IF(Table2912[[#This Row],[Valerate '[%']]]&lt;T$10,_xlfn.NORM.DIST(Table2912[[#This Row],[Valerate '[%']]],T$6,T$2,FALSE),-100)</f>
        <v>-100</v>
      </c>
      <c r="BM232">
        <f>IF(Table2912[[#This Row],[Caproate '[%']]]&lt;U$10,_xlfn.NORM.DIST(Table2912[[#This Row],[Caproate '[%']]],U$6,U$2,FALSE),-100)</f>
        <v>212.12627553257769</v>
      </c>
      <c r="BN232">
        <f>IF(Table2912[[#This Row],[Isobutyrate '[%']]]&lt;V$10,_xlfn.NORM.DIST(Table2912[[#This Row],[Isobutyrate '[%']]],V$6,V$2,FALSE),-100)</f>
        <v>-100</v>
      </c>
      <c r="BO232">
        <f>IF(Table2912[[#This Row],[Isovalerate '[%']]]&lt;W$10,_xlfn.NORM.DIST(Table2912[[#This Row],[Isovalerate '[%']]],W$6,W$2,FALSE),-100)</f>
        <v>-100</v>
      </c>
      <c r="BP232">
        <f>IF(Table2912[[#This Row],[CH4 '[g/mmol SCFA']]]&lt;X$10,_xlfn.NORM.DIST(Table2912[[#This Row],[CH4 '[g/mmol SCFA']]],X$6,X$2,FALSE),-100)</f>
        <v>-100</v>
      </c>
      <c r="BQ232">
        <f>IF(Table2912[[#This Row],[DMD '[mg/g']]]&gt;Y$10,_xlfn.NORM.DIST(Table2912[[#This Row],[DMD '[mg/g']]],Y$6,Y$2,FALSE),-100)</f>
        <v>-100</v>
      </c>
      <c r="BR232">
        <f>IF(Table2912[[#This Row],[CH4 '[ml/g']]]&lt;Z$10,_xlfn.NORM.DIST(Table2912[[#This Row],[CH4 '[ml/g']]],Z$6,Z$2,FALSE),-100)</f>
        <v>-100</v>
      </c>
      <c r="BS232">
        <f>IF(Table2912[[#This Row],[CH4 '[% GP']]]&lt;AA$10,_xlfn.NORM.DIST(Table2912[[#This Row],[CH4 '[% GP']]],AA$6,AA$2,FALSE),-100)</f>
        <v>-100</v>
      </c>
      <c r="BT232">
        <f>IF(Table2912[[#This Row],[CH4 '[g/g DDM']]]&lt;AB$10,_xlfn.NORM.DIST(Table2912[[#This Row],[CH4 '[g/g DDM']]],AB$6,AB$2,FALSE),-100)</f>
        <v>-100</v>
      </c>
    </row>
    <row r="233" spans="1:72" x14ac:dyDescent="0.25">
      <c r="A233" s="12" t="s">
        <v>86</v>
      </c>
      <c r="B233" s="13">
        <v>1050</v>
      </c>
      <c r="C233" s="104" t="s">
        <v>218</v>
      </c>
      <c r="D233" s="104" t="s">
        <v>219</v>
      </c>
      <c r="E233" s="104" t="s">
        <v>220</v>
      </c>
      <c r="F233" s="104" t="s">
        <v>221</v>
      </c>
      <c r="G233" s="23" t="s">
        <v>73</v>
      </c>
      <c r="H233" s="23" t="s">
        <v>74</v>
      </c>
      <c r="I233" s="104" t="s">
        <v>106</v>
      </c>
      <c r="J233" s="100">
        <v>1</v>
      </c>
      <c r="K233" s="100"/>
      <c r="L233" s="100"/>
      <c r="M233" t="s">
        <v>221</v>
      </c>
      <c r="N233" t="s">
        <v>84</v>
      </c>
      <c r="O233" s="18">
        <v>252.56468888888895</v>
      </c>
      <c r="P233" s="18">
        <v>7.8777007874015759</v>
      </c>
      <c r="Q233" s="97">
        <v>0.70650951306684606</v>
      </c>
      <c r="R233" s="97">
        <v>0.14633353347361616</v>
      </c>
      <c r="S233" s="97">
        <v>7.3841165710383461E-2</v>
      </c>
      <c r="T233" s="97">
        <v>2.7669061290224187E-2</v>
      </c>
      <c r="U233" s="97">
        <v>1.2622168713310314E-3</v>
      </c>
      <c r="V233" s="97">
        <v>1.603987832274657E-2</v>
      </c>
      <c r="W233" s="97">
        <v>2.8344631264852441E-2</v>
      </c>
      <c r="X233" s="51">
        <f t="shared" si="17"/>
        <v>4.4562307719812049</v>
      </c>
      <c r="Y233" s="18">
        <v>772.0516185476813</v>
      </c>
      <c r="Z233" s="18">
        <v>35.104852661279473</v>
      </c>
      <c r="AA233" s="18">
        <f t="shared" si="18"/>
        <v>13.899351020016573</v>
      </c>
      <c r="AB233" s="18">
        <f t="shared" si="19"/>
        <v>45.469566824192114</v>
      </c>
      <c r="AC233" s="18">
        <f>$CP$15*Table2912[[#This Row],[DMD '[mg/g']]]+$CS$15*Table2912[[#This Row],[CH4 '[ml/g']]]+$CR$15*Table2912[[#This Row],[CH4 '[% GP']]]+$CQ$15*Table2912[[#This Row],[CH4 '[g/g DDM']]]</f>
        <v>17.735194314957909</v>
      </c>
      <c r="AD233" s="18">
        <f>_xlfn.RANK.AVG(Table2912[[#This Row],[Index]],Table2912[Index])</f>
        <v>211</v>
      </c>
      <c r="AE23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7.3001409485210962</v>
      </c>
      <c r="AF233" s="18">
        <f>Table2912[[#This Row],[CH4 '[ml/g']]]/Table2912[[#This Row],[APB]]</f>
        <v>4.8087910779847629</v>
      </c>
      <c r="AG233" s="18">
        <f>Table2912[[#This Row],[Propionate '[%']]]/Table2912[[#This Row],[Acetate '[%']]]</f>
        <v>0.20712181614994177</v>
      </c>
      <c r="AH233" s="51"/>
      <c r="AI233" s="18"/>
      <c r="AJ233" s="18"/>
      <c r="AK233" s="18">
        <f>(Table2912[[#This Row],[DMD '[mg/g']]]-$AK$15)/$AK$15*100</f>
        <v>57.468641798915797</v>
      </c>
      <c r="AL233" s="18">
        <f>(Table2912[[#This Row],[CH4 '[ml/g']]]-AL$15)/AL$15*100</f>
        <v>-10.747820895076233</v>
      </c>
      <c r="AM233" s="18">
        <f>(Table2912[[#This Row],[CH4 '[% GP']]]-AM$15)/AM$15*100</f>
        <v>-10.455906294056593</v>
      </c>
      <c r="AN233" s="18">
        <f>(Table2912[[#This Row],[CH4 '[g/g DDM']]]-AN$15)/AN$15*100</f>
        <v>-11.219172938829683</v>
      </c>
      <c r="AO233" s="18"/>
      <c r="AP233" s="18"/>
      <c r="AR233">
        <f>_xlfn.NORM.DIST(Table2912[[#This Row],[GP '[ml/g']]],O$6,O$2,FALSE)</f>
        <v>7.468624551213581E-3</v>
      </c>
      <c r="AS233">
        <f>_xlfn.NORM.DIST(Table2912[[#This Row],[SCFA '[mmol/g']]],P$6,P$2,FALSE)</f>
        <v>0.17814434291635017</v>
      </c>
      <c r="AT233">
        <f>_xlfn.NORM.DIST(Table2912[[#This Row],[Acetate '[%']]],Q$6,Q$2,FALSE)</f>
        <v>7.0432064768298757</v>
      </c>
      <c r="AU233">
        <f>_xlfn.NORM.DIST(Table2912[[#This Row],[Propionate '[%']]],R$6,R$2,FALSE)</f>
        <v>9.4249408514197501</v>
      </c>
      <c r="AV233">
        <f>_xlfn.NORM.DIST(Table2912[[#This Row],[Butyrate '[%']]],S$6,S$2,FALSE)</f>
        <v>12.55559976060335</v>
      </c>
      <c r="AW233">
        <f>_xlfn.NORM.DIST(Table2912[[#This Row],[Valerate '[%']]],T$6,T$2,FALSE)</f>
        <v>11.74388291429206</v>
      </c>
      <c r="AX233">
        <f>_xlfn.NORM.DIST(Table2912[[#This Row],[Caproate '[%']]],U$6,U$2,FALSE)</f>
        <v>405.85328127687285</v>
      </c>
      <c r="AY233">
        <f>_xlfn.NORM.DIST(Table2912[[#This Row],[Isobutyrate '[%']]],V$6,V$2,FALSE)</f>
        <v>88.965395920688266</v>
      </c>
      <c r="AZ233">
        <f>_xlfn.NORM.DIST(Table2912[[#This Row],[Isovalerate '[%']]],W$6,W$2,FALSE)</f>
        <v>45.370410364883774</v>
      </c>
      <c r="BA233">
        <f>_xlfn.NORM.DIST(Table2912[[#This Row],[CH4 '[g/mmol SCFA']]],X$6,X$2,FALSE)</f>
        <v>0.11769169380723059</v>
      </c>
      <c r="BB233">
        <f>_xlfn.NORM.DIST(Table2912[[#This Row],[DMD '[mg/g']]],Y$6,Y$2,FALSE)</f>
        <v>2.9148432360537567E-3</v>
      </c>
      <c r="BC233">
        <f>_xlfn.NORM.DIST(Table2912[[#This Row],[CH4 '[ml/g']]],Z$6,Z$2,FALSE)</f>
        <v>2.913797091593889E-2</v>
      </c>
      <c r="BD233">
        <f>_xlfn.NORM.DIST(Table2912[[#This Row],[CH4 '[% GP']]],AA$6,AA$2,FALSE)</f>
        <v>0.10302393477184368</v>
      </c>
      <c r="BE233">
        <f>_xlfn.NORM.DIST(Table2912[[#This Row],[CH4 '[g/g DDM']]],AB$6,AB$2,FALSE)</f>
        <v>2.660855363104046E-2</v>
      </c>
      <c r="BG233">
        <f>IF(Table2912[[#This Row],[GP '[ml/g']]]&lt;O$10,_xlfn.NORM.DIST(Table2912[[#This Row],[GP '[ml/g']]],O$6,O$2,FALSE),-100)</f>
        <v>-100</v>
      </c>
      <c r="BH233">
        <f>IF(Table2912[[#This Row],[SCFA '[mmol/g']]]&lt;P$10,_xlfn.NORM.DIST(Table2912[[#This Row],[SCFA '[mmol/g']]],P$6,P$2,FALSE),-100)</f>
        <v>-100</v>
      </c>
      <c r="BI233">
        <f>IF(Table2912[[#This Row],[Acetate '[%']]]&lt;Q$10,_xlfn.NORM.DIST(Table2912[[#This Row],[Acetate '[%']]],Q$6,Q$2,FALSE),-100)</f>
        <v>-100</v>
      </c>
      <c r="BJ233">
        <f>IF(Table2912[[#This Row],[Propionate '[%']]]&lt;R$10,_xlfn.NORM.DIST(Table2912[[#This Row],[Propionate '[%']]],R$6,R$2,FALSE),-100)</f>
        <v>9.4249408514197501</v>
      </c>
      <c r="BK233">
        <f>IF(Table2912[[#This Row],[Butyrate '[%']]]&lt;S$10,_xlfn.NORM.DIST(Table2912[[#This Row],[Butyrate '[%']]],S$6,S$2,FALSE),-100)</f>
        <v>12.55559976060335</v>
      </c>
      <c r="BL233">
        <f>IF(Table2912[[#This Row],[Valerate '[%']]]&lt;T$10,_xlfn.NORM.DIST(Table2912[[#This Row],[Valerate '[%']]],T$6,T$2,FALSE),-100)</f>
        <v>-100</v>
      </c>
      <c r="BM233">
        <f>IF(Table2912[[#This Row],[Caproate '[%']]]&lt;U$10,_xlfn.NORM.DIST(Table2912[[#This Row],[Caproate '[%']]],U$6,U$2,FALSE),-100)</f>
        <v>-100</v>
      </c>
      <c r="BN233">
        <f>IF(Table2912[[#This Row],[Isobutyrate '[%']]]&lt;V$10,_xlfn.NORM.DIST(Table2912[[#This Row],[Isobutyrate '[%']]],V$6,V$2,FALSE),-100)</f>
        <v>-100</v>
      </c>
      <c r="BO233">
        <f>IF(Table2912[[#This Row],[Isovalerate '[%']]]&lt;W$10,_xlfn.NORM.DIST(Table2912[[#This Row],[Isovalerate '[%']]],W$6,W$2,FALSE),-100)</f>
        <v>-100</v>
      </c>
      <c r="BP233">
        <f>IF(Table2912[[#This Row],[CH4 '[g/mmol SCFA']]]&lt;X$10,_xlfn.NORM.DIST(Table2912[[#This Row],[CH4 '[g/mmol SCFA']]],X$6,X$2,FALSE),-100)</f>
        <v>0.11769169380723059</v>
      </c>
      <c r="BQ233">
        <f>IF(Table2912[[#This Row],[DMD '[mg/g']]]&gt;Y$10,_xlfn.NORM.DIST(Table2912[[#This Row],[DMD '[mg/g']]],Y$6,Y$2,FALSE),-100)</f>
        <v>-100</v>
      </c>
      <c r="BR233">
        <f>IF(Table2912[[#This Row],[CH4 '[ml/g']]]&lt;Z$10,_xlfn.NORM.DIST(Table2912[[#This Row],[CH4 '[ml/g']]],Z$6,Z$2,FALSE),-100)</f>
        <v>-100</v>
      </c>
      <c r="BS233">
        <f>IF(Table2912[[#This Row],[CH4 '[% GP']]]&lt;AA$10,_xlfn.NORM.DIST(Table2912[[#This Row],[CH4 '[% GP']]],AA$6,AA$2,FALSE),-100)</f>
        <v>-100</v>
      </c>
      <c r="BT233">
        <f>IF(Table2912[[#This Row],[CH4 '[g/g DDM']]]&lt;AB$10,_xlfn.NORM.DIST(Table2912[[#This Row],[CH4 '[g/g DDM']]],AB$6,AB$2,FALSE),-100)</f>
        <v>-100</v>
      </c>
    </row>
    <row r="234" spans="1:72" x14ac:dyDescent="0.25">
      <c r="A234" s="12" t="s">
        <v>70</v>
      </c>
      <c r="B234" s="13">
        <v>1031</v>
      </c>
      <c r="C234" s="96" t="s">
        <v>209</v>
      </c>
      <c r="D234" s="116"/>
      <c r="E234" s="116"/>
      <c r="F234" s="96" t="s">
        <v>210</v>
      </c>
      <c r="G234" t="s">
        <v>73</v>
      </c>
      <c r="H234" t="s">
        <v>74</v>
      </c>
      <c r="I234" t="s">
        <v>75</v>
      </c>
      <c r="J234" s="70">
        <v>3</v>
      </c>
      <c r="K234" s="70"/>
      <c r="L234" s="70"/>
      <c r="M234" t="s">
        <v>210</v>
      </c>
      <c r="N234" t="s">
        <v>84</v>
      </c>
      <c r="O234" s="18">
        <v>246.13730947647539</v>
      </c>
      <c r="P234" s="18">
        <v>8.2133296942558882</v>
      </c>
      <c r="Q234" s="97">
        <v>0.63753921092576493</v>
      </c>
      <c r="R234" s="97">
        <v>0.17267777790384312</v>
      </c>
      <c r="S234" s="97">
        <v>0.10346316207376367</v>
      </c>
      <c r="T234" s="97">
        <v>2.1128705564299792E-2</v>
      </c>
      <c r="U234" s="97">
        <v>1.7121038512197288E-3</v>
      </c>
      <c r="V234" s="97">
        <v>2.2637308365546095E-2</v>
      </c>
      <c r="W234" s="97">
        <v>4.084173131556279E-2</v>
      </c>
      <c r="X234" s="51">
        <f t="shared" si="17"/>
        <v>5.2785389139901833</v>
      </c>
      <c r="Y234" s="18">
        <v>772.13478755620304</v>
      </c>
      <c r="Z234" s="18">
        <v>43.3543804045608</v>
      </c>
      <c r="AA234" s="18">
        <f t="shared" si="18"/>
        <v>17.613900345613555</v>
      </c>
      <c r="AB234" s="18">
        <f t="shared" si="19"/>
        <v>56.148720538517466</v>
      </c>
      <c r="AC234" s="18">
        <f>$CP$15*Table2912[[#This Row],[DMD '[mg/g']]]+$CS$15*Table2912[[#This Row],[CH4 '[ml/g']]]+$CR$15*Table2912[[#This Row],[CH4 '[% GP']]]+$CQ$15*Table2912[[#This Row],[CH4 '[g/g DDM']]]</f>
        <v>12.062878460847507</v>
      </c>
      <c r="AD234" s="18">
        <f>_xlfn.RANK.AVG(Table2912[[#This Row],[Index]],Table2912[Index])</f>
        <v>321</v>
      </c>
      <c r="AE23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7.5043563144668646</v>
      </c>
      <c r="AF234" s="18">
        <f>Table2912[[#This Row],[CH4 '[ml/g']]]/Table2912[[#This Row],[APB]]</f>
        <v>5.7772283974552776</v>
      </c>
      <c r="AG234" s="18">
        <f>Table2912[[#This Row],[Propionate '[%']]]/Table2912[[#This Row],[Acetate '[%']]]</f>
        <v>0.27085044330543884</v>
      </c>
      <c r="AH234" s="51"/>
      <c r="AI234" s="18"/>
      <c r="AJ234" s="18"/>
      <c r="AK234" s="18">
        <f>(Table2912[[#This Row],[DMD '[mg/g']]]-$AK$15)/$AK$15*100</f>
        <v>57.485605056937736</v>
      </c>
      <c r="AL234" s="18">
        <f>(Table2912[[#This Row],[CH4 '[ml/g']]]-AL$15)/AL$15*100</f>
        <v>10.226154833541651</v>
      </c>
      <c r="AM234" s="18">
        <f>(Table2912[[#This Row],[CH4 '[% GP']]]-AM$15)/AM$15*100</f>
        <v>13.474416237376854</v>
      </c>
      <c r="AN234" s="18">
        <f>(Table2912[[#This Row],[CH4 '[g/g DDM']]]-AN$15)/AN$15*100</f>
        <v>9.6322264760144076</v>
      </c>
      <c r="AO234" s="18"/>
      <c r="AP234" s="18"/>
      <c r="AR234">
        <f>_xlfn.NORM.DIST(Table2912[[#This Row],[GP '[ml/g']]],O$6,O$2,FALSE)</f>
        <v>7.3657485953073087E-3</v>
      </c>
      <c r="AS234">
        <f>_xlfn.NORM.DIST(Table2912[[#This Row],[SCFA '[mmol/g']]],P$6,P$2,FALSE)</f>
        <v>0.12527224899445744</v>
      </c>
      <c r="AT234">
        <f>_xlfn.NORM.DIST(Table2912[[#This Row],[Acetate '[%']]],Q$6,Q$2,FALSE)</f>
        <v>6.4123315372068701</v>
      </c>
      <c r="AU234">
        <f>_xlfn.NORM.DIST(Table2912[[#This Row],[Propionate '[%']]],R$6,R$2,FALSE)</f>
        <v>16.78131941869804</v>
      </c>
      <c r="AV234">
        <f>_xlfn.NORM.DIST(Table2912[[#This Row],[Butyrate '[%']]],S$6,S$2,FALSE)</f>
        <v>19.137439322593355</v>
      </c>
      <c r="AW234">
        <f>_xlfn.NORM.DIST(Table2912[[#This Row],[Valerate '[%']]],T$6,T$2,FALSE)</f>
        <v>61.706030494883876</v>
      </c>
      <c r="AX234">
        <f>_xlfn.NORM.DIST(Table2912[[#This Row],[Caproate '[%']]],U$6,U$2,FALSE)</f>
        <v>377.61171312839559</v>
      </c>
      <c r="AY234">
        <f>_xlfn.NORM.DIST(Table2912[[#This Row],[Isobutyrate '[%']]],V$6,V$2,FALSE)</f>
        <v>22.951531675554456</v>
      </c>
      <c r="AZ234">
        <f>_xlfn.NORM.DIST(Table2912[[#This Row],[Isovalerate '[%']]],W$6,W$2,FALSE)</f>
        <v>15.323339906419037</v>
      </c>
      <c r="BA234">
        <f>_xlfn.NORM.DIST(Table2912[[#This Row],[CH4 '[g/mmol SCFA']]],X$6,X$2,FALSE)</f>
        <v>0.22472701676008727</v>
      </c>
      <c r="BB234">
        <f>_xlfn.NORM.DIST(Table2912[[#This Row],[DMD '[mg/g']]],Y$6,Y$2,FALSE)</f>
        <v>2.9148937970703013E-3</v>
      </c>
      <c r="BC234">
        <f>_xlfn.NORM.DIST(Table2912[[#This Row],[CH4 '[ml/g']]],Z$6,Z$2,FALSE)</f>
        <v>3.3056807317542729E-2</v>
      </c>
      <c r="BD234">
        <f>_xlfn.NORM.DIST(Table2912[[#This Row],[CH4 '[% GP']]],AA$6,AA$2,FALSE)</f>
        <v>0.11756210909015949</v>
      </c>
      <c r="BE234">
        <f>_xlfn.NORM.DIST(Table2912[[#This Row],[CH4 '[g/g DDM']]],AB$6,AB$2,FALSE)</f>
        <v>3.1993662130909713E-2</v>
      </c>
      <c r="BG234">
        <f>IF(Table2912[[#This Row],[GP '[ml/g']]]&lt;O$10,_xlfn.NORM.DIST(Table2912[[#This Row],[GP '[ml/g']]],O$6,O$2,FALSE),-100)</f>
        <v>-100</v>
      </c>
      <c r="BH234">
        <f>IF(Table2912[[#This Row],[SCFA '[mmol/g']]]&lt;P$10,_xlfn.NORM.DIST(Table2912[[#This Row],[SCFA '[mmol/g']]],P$6,P$2,FALSE),-100)</f>
        <v>-100</v>
      </c>
      <c r="BI234">
        <f>IF(Table2912[[#This Row],[Acetate '[%']]]&lt;Q$10,_xlfn.NORM.DIST(Table2912[[#This Row],[Acetate '[%']]],Q$6,Q$2,FALSE),-100)</f>
        <v>6.4123315372068701</v>
      </c>
      <c r="BJ234">
        <f>IF(Table2912[[#This Row],[Propionate '[%']]]&lt;R$10,_xlfn.NORM.DIST(Table2912[[#This Row],[Propionate '[%']]],R$6,R$2,FALSE),-100)</f>
        <v>-100</v>
      </c>
      <c r="BK234">
        <f>IF(Table2912[[#This Row],[Butyrate '[%']]]&lt;S$10,_xlfn.NORM.DIST(Table2912[[#This Row],[Butyrate '[%']]],S$6,S$2,FALSE),-100)</f>
        <v>-100</v>
      </c>
      <c r="BL234">
        <f>IF(Table2912[[#This Row],[Valerate '[%']]]&lt;T$10,_xlfn.NORM.DIST(Table2912[[#This Row],[Valerate '[%']]],T$6,T$2,FALSE),-100)</f>
        <v>-100</v>
      </c>
      <c r="BM234">
        <f>IF(Table2912[[#This Row],[Caproate '[%']]]&lt;U$10,_xlfn.NORM.DIST(Table2912[[#This Row],[Caproate '[%']]],U$6,U$2,FALSE),-100)</f>
        <v>-100</v>
      </c>
      <c r="BN234">
        <f>IF(Table2912[[#This Row],[Isobutyrate '[%']]]&lt;V$10,_xlfn.NORM.DIST(Table2912[[#This Row],[Isobutyrate '[%']]],V$6,V$2,FALSE),-100)</f>
        <v>-100</v>
      </c>
      <c r="BO234">
        <f>IF(Table2912[[#This Row],[Isovalerate '[%']]]&lt;W$10,_xlfn.NORM.DIST(Table2912[[#This Row],[Isovalerate '[%']]],W$6,W$2,FALSE),-100)</f>
        <v>-100</v>
      </c>
      <c r="BP234">
        <f>IF(Table2912[[#This Row],[CH4 '[g/mmol SCFA']]]&lt;X$10,_xlfn.NORM.DIST(Table2912[[#This Row],[CH4 '[g/mmol SCFA']]],X$6,X$2,FALSE),-100)</f>
        <v>-100</v>
      </c>
      <c r="BQ234">
        <f>IF(Table2912[[#This Row],[DMD '[mg/g']]]&gt;Y$10,_xlfn.NORM.DIST(Table2912[[#This Row],[DMD '[mg/g']]],Y$6,Y$2,FALSE),-100)</f>
        <v>-100</v>
      </c>
      <c r="BR234">
        <f>IF(Table2912[[#This Row],[CH4 '[ml/g']]]&lt;Z$10,_xlfn.NORM.DIST(Table2912[[#This Row],[CH4 '[ml/g']]],Z$6,Z$2,FALSE),-100)</f>
        <v>-100</v>
      </c>
      <c r="BS234">
        <f>IF(Table2912[[#This Row],[CH4 '[% GP']]]&lt;AA$10,_xlfn.NORM.DIST(Table2912[[#This Row],[CH4 '[% GP']]],AA$6,AA$2,FALSE),-100)</f>
        <v>-100</v>
      </c>
      <c r="BT234">
        <f>IF(Table2912[[#This Row],[CH4 '[g/g DDM']]]&lt;AB$10,_xlfn.NORM.DIST(Table2912[[#This Row],[CH4 '[g/g DDM']]],AB$6,AB$2,FALSE),-100)</f>
        <v>-100</v>
      </c>
    </row>
    <row r="235" spans="1:72" x14ac:dyDescent="0.25">
      <c r="A235" s="12" t="s">
        <v>86</v>
      </c>
      <c r="B235" s="13">
        <v>1058</v>
      </c>
      <c r="C235" s="104" t="s">
        <v>189</v>
      </c>
      <c r="D235" s="104" t="s">
        <v>115</v>
      </c>
      <c r="E235" s="104" t="s">
        <v>190</v>
      </c>
      <c r="F235" s="104" t="s">
        <v>191</v>
      </c>
      <c r="G235" s="32" t="s">
        <v>73</v>
      </c>
      <c r="H235" s="32" t="s">
        <v>74</v>
      </c>
      <c r="I235" s="105" t="s">
        <v>75</v>
      </c>
      <c r="J235" s="70">
        <v>2</v>
      </c>
      <c r="K235" s="70"/>
      <c r="L235" s="70"/>
      <c r="M235" t="s">
        <v>191</v>
      </c>
      <c r="N235" t="s">
        <v>124</v>
      </c>
      <c r="O235" s="18">
        <v>283.21827601410962</v>
      </c>
      <c r="P235" s="18">
        <v>6.6681813878632958</v>
      </c>
      <c r="Q235" s="97">
        <v>0.67088685020314576</v>
      </c>
      <c r="R235" s="97">
        <v>0.16746838032802974</v>
      </c>
      <c r="S235" s="97">
        <v>9.4382817846156E-2</v>
      </c>
      <c r="T235" s="97">
        <v>1.7832518581896592E-2</v>
      </c>
      <c r="U235" s="97">
        <v>1.2742475898077543E-3</v>
      </c>
      <c r="V235" s="97">
        <v>1.6983841438571314E-2</v>
      </c>
      <c r="W235" s="97">
        <v>3.1171344012392896E-2</v>
      </c>
      <c r="X235" s="51">
        <f t="shared" si="17"/>
        <v>8.4398513259618841</v>
      </c>
      <c r="Y235" s="18">
        <v>773.60046072769728</v>
      </c>
      <c r="Z235" s="18">
        <v>56.278459528112393</v>
      </c>
      <c r="AA235" s="18">
        <f t="shared" si="18"/>
        <v>19.871055046358897</v>
      </c>
      <c r="AB235" s="18">
        <f t="shared" si="19"/>
        <v>72.748740965295354</v>
      </c>
      <c r="AC235" s="18">
        <f>$CP$15*Table2912[[#This Row],[DMD '[mg/g']]]+$CS$15*Table2912[[#This Row],[CH4 '[ml/g']]]+$CR$15*Table2912[[#This Row],[CH4 '[% GP']]]+$CQ$15*Table2912[[#This Row],[CH4 '[g/g DDM']]]</f>
        <v>4.4335784267349112</v>
      </c>
      <c r="AD235" s="18">
        <f>_xlfn.RANK.AVG(Table2912[[#This Row],[Index]],Table2912[Index])</f>
        <v>415</v>
      </c>
      <c r="AE23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6.2196664939416566</v>
      </c>
      <c r="AF235" s="18">
        <f>Table2912[[#This Row],[CH4 '[ml/g']]]/Table2912[[#This Row],[APB]]</f>
        <v>9.04846901082737</v>
      </c>
      <c r="AG235" s="18">
        <f>Table2912[[#This Row],[Propionate '[%']]]/Table2912[[#This Row],[Acetate '[%']]]</f>
        <v>0.24962239202828318</v>
      </c>
      <c r="AH235" s="51"/>
      <c r="AI235" s="18"/>
      <c r="AJ235" s="18"/>
      <c r="AK235" s="18">
        <f>(Table2912[[#This Row],[DMD '[mg/g']]]-$AK$15)/$AK$15*100</f>
        <v>57.784545643411043</v>
      </c>
      <c r="AL235" s="18">
        <f>(Table2912[[#This Row],[CH4 '[ml/g']]]-AL$15)/AL$15*100</f>
        <v>43.084923273089665</v>
      </c>
      <c r="AM235" s="18">
        <f>(Table2912[[#This Row],[CH4 '[% GP']]]-AM$15)/AM$15*100</f>
        <v>28.015733435660739</v>
      </c>
      <c r="AN235" s="18">
        <f>(Table2912[[#This Row],[CH4 '[g/g DDM']]]-AN$15)/AN$15*100</f>
        <v>42.044313189309101</v>
      </c>
      <c r="AO235" s="18"/>
      <c r="AP235" s="18"/>
      <c r="AR235">
        <f>_xlfn.NORM.DIST(Table2912[[#This Row],[GP '[ml/g']]],O$6,O$2,FALSE)</f>
        <v>6.5343480419858685E-3</v>
      </c>
      <c r="AS235">
        <f>_xlfn.NORM.DIST(Table2912[[#This Row],[SCFA '[mmol/g']]],P$6,P$2,FALSE)</f>
        <v>0.3307721756642073</v>
      </c>
      <c r="AT235">
        <f>_xlfn.NORM.DIST(Table2912[[#This Row],[Acetate '[%']]],Q$6,Q$2,FALSE)</f>
        <v>13.98353629191528</v>
      </c>
      <c r="AU235">
        <f>_xlfn.NORM.DIST(Table2912[[#This Row],[Propionate '[%']]],R$6,R$2,FALSE)</f>
        <v>16.50571846519955</v>
      </c>
      <c r="AV235">
        <f>_xlfn.NORM.DIST(Table2912[[#This Row],[Butyrate '[%']]],S$6,S$2,FALSE)</f>
        <v>22.948287446242819</v>
      </c>
      <c r="AW235">
        <f>_xlfn.NORM.DIST(Table2912[[#This Row],[Valerate '[%']]],T$6,T$2,FALSE)</f>
        <v>77.351435635306757</v>
      </c>
      <c r="AX235">
        <f>_xlfn.NORM.DIST(Table2912[[#This Row],[Caproate '[%']]],U$6,U$2,FALSE)</f>
        <v>406.18273649698938</v>
      </c>
      <c r="AY235">
        <f>_xlfn.NORM.DIST(Table2912[[#This Row],[Isobutyrate '[%']]],V$6,V$2,FALSE)</f>
        <v>83.987927812716364</v>
      </c>
      <c r="AZ235">
        <f>_xlfn.NORM.DIST(Table2912[[#This Row],[Isovalerate '[%']]],W$6,W$2,FALSE)</f>
        <v>42.375659544343627</v>
      </c>
      <c r="BA235">
        <f>_xlfn.NORM.DIST(Table2912[[#This Row],[CH4 '[g/mmol SCFA']]],X$6,X$2,FALSE)</f>
        <v>8.1622256919966857E-2</v>
      </c>
      <c r="BB235">
        <f>_xlfn.NORM.DIST(Table2912[[#This Row],[DMD '[mg/g']]],Y$6,Y$2,FALSE)</f>
        <v>2.9156081504766269E-3</v>
      </c>
      <c r="BC235">
        <f>_xlfn.NORM.DIST(Table2912[[#This Row],[CH4 '[ml/g']]],Z$6,Z$2,FALSE)</f>
        <v>1.5344781860371847E-2</v>
      </c>
      <c r="BD235">
        <f>_xlfn.NORM.DIST(Table2912[[#This Row],[CH4 '[% GP']]],AA$6,AA$2,FALSE)</f>
        <v>5.9066474236739989E-2</v>
      </c>
      <c r="BE235">
        <f>_xlfn.NORM.DIST(Table2912[[#This Row],[CH4 '[g/g DDM']]],AB$6,AB$2,FALSE)</f>
        <v>9.1764848817580541E-3</v>
      </c>
      <c r="BG235">
        <f>IF(Table2912[[#This Row],[GP '[ml/g']]]&lt;O$10,_xlfn.NORM.DIST(Table2912[[#This Row],[GP '[ml/g']]],O$6,O$2,FALSE),-100)</f>
        <v>-100</v>
      </c>
      <c r="BH235">
        <f>IF(Table2912[[#This Row],[SCFA '[mmol/g']]]&lt;P$10,_xlfn.NORM.DIST(Table2912[[#This Row],[SCFA '[mmol/g']]],P$6,P$2,FALSE),-100)</f>
        <v>-100</v>
      </c>
      <c r="BI235">
        <f>IF(Table2912[[#This Row],[Acetate '[%']]]&lt;Q$10,_xlfn.NORM.DIST(Table2912[[#This Row],[Acetate '[%']]],Q$6,Q$2,FALSE),-100)</f>
        <v>-100</v>
      </c>
      <c r="BJ235">
        <f>IF(Table2912[[#This Row],[Propionate '[%']]]&lt;R$10,_xlfn.NORM.DIST(Table2912[[#This Row],[Propionate '[%']]],R$6,R$2,FALSE),-100)</f>
        <v>-100</v>
      </c>
      <c r="BK235">
        <f>IF(Table2912[[#This Row],[Butyrate '[%']]]&lt;S$10,_xlfn.NORM.DIST(Table2912[[#This Row],[Butyrate '[%']]],S$6,S$2,FALSE),-100)</f>
        <v>-100</v>
      </c>
      <c r="BL235">
        <f>IF(Table2912[[#This Row],[Valerate '[%']]]&lt;T$10,_xlfn.NORM.DIST(Table2912[[#This Row],[Valerate '[%']]],T$6,T$2,FALSE),-100)</f>
        <v>-100</v>
      </c>
      <c r="BM235">
        <f>IF(Table2912[[#This Row],[Caproate '[%']]]&lt;U$10,_xlfn.NORM.DIST(Table2912[[#This Row],[Caproate '[%']]],U$6,U$2,FALSE),-100)</f>
        <v>-100</v>
      </c>
      <c r="BN235">
        <f>IF(Table2912[[#This Row],[Isobutyrate '[%']]]&lt;V$10,_xlfn.NORM.DIST(Table2912[[#This Row],[Isobutyrate '[%']]],V$6,V$2,FALSE),-100)</f>
        <v>-100</v>
      </c>
      <c r="BO235">
        <f>IF(Table2912[[#This Row],[Isovalerate '[%']]]&lt;W$10,_xlfn.NORM.DIST(Table2912[[#This Row],[Isovalerate '[%']]],W$6,W$2,FALSE),-100)</f>
        <v>-100</v>
      </c>
      <c r="BP235">
        <f>IF(Table2912[[#This Row],[CH4 '[g/mmol SCFA']]]&lt;X$10,_xlfn.NORM.DIST(Table2912[[#This Row],[CH4 '[g/mmol SCFA']]],X$6,X$2,FALSE),-100)</f>
        <v>-100</v>
      </c>
      <c r="BQ235">
        <f>IF(Table2912[[#This Row],[DMD '[mg/g']]]&gt;Y$10,_xlfn.NORM.DIST(Table2912[[#This Row],[DMD '[mg/g']]],Y$6,Y$2,FALSE),-100)</f>
        <v>-100</v>
      </c>
      <c r="BR235">
        <f>IF(Table2912[[#This Row],[CH4 '[ml/g']]]&lt;Z$10,_xlfn.NORM.DIST(Table2912[[#This Row],[CH4 '[ml/g']]],Z$6,Z$2,FALSE),-100)</f>
        <v>-100</v>
      </c>
      <c r="BS235">
        <f>IF(Table2912[[#This Row],[CH4 '[% GP']]]&lt;AA$10,_xlfn.NORM.DIST(Table2912[[#This Row],[CH4 '[% GP']]],AA$6,AA$2,FALSE),-100)</f>
        <v>-100</v>
      </c>
      <c r="BT235">
        <f>IF(Table2912[[#This Row],[CH4 '[g/g DDM']]]&lt;AB$10,_xlfn.NORM.DIST(Table2912[[#This Row],[CH4 '[g/g DDM']]],AB$6,AB$2,FALSE),-100)</f>
        <v>-100</v>
      </c>
    </row>
    <row r="236" spans="1:72" x14ac:dyDescent="0.25">
      <c r="A236" s="12" t="s">
        <v>70</v>
      </c>
      <c r="B236" s="13">
        <v>1041</v>
      </c>
      <c r="C236" s="32" t="s">
        <v>319</v>
      </c>
      <c r="D236" t="s">
        <v>320</v>
      </c>
      <c r="E236" t="s">
        <v>321</v>
      </c>
      <c r="F236" t="s">
        <v>301</v>
      </c>
      <c r="G236" s="108" t="s">
        <v>73</v>
      </c>
      <c r="H236" s="108" t="s">
        <v>74</v>
      </c>
      <c r="I236" s="109" t="s">
        <v>75</v>
      </c>
      <c r="J236" s="70">
        <v>1</v>
      </c>
      <c r="K236" s="70"/>
      <c r="L236" s="70"/>
      <c r="M236" t="s">
        <v>322</v>
      </c>
      <c r="N236" t="s">
        <v>80</v>
      </c>
      <c r="O236" s="18">
        <v>306.84995590828981</v>
      </c>
      <c r="P236" s="18">
        <v>7.2921075837742508</v>
      </c>
      <c r="Q236" s="97">
        <v>0.65988408132903542</v>
      </c>
      <c r="R236" s="97">
        <v>0.19079723070411461</v>
      </c>
      <c r="S236" s="97">
        <v>9.9283490038395261E-2</v>
      </c>
      <c r="T236" s="97">
        <v>1.6798909000743864E-2</v>
      </c>
      <c r="U236" s="97">
        <v>1.4511594159083347E-3</v>
      </c>
      <c r="V236" s="97">
        <v>1.3064096206298042E-2</v>
      </c>
      <c r="W236" s="97">
        <v>2.2920282667989088E-2</v>
      </c>
      <c r="X236" s="51">
        <f t="shared" si="17"/>
        <v>5.1166083446296149</v>
      </c>
      <c r="Y236" s="18">
        <v>774.34803521760034</v>
      </c>
      <c r="Z236" s="18">
        <v>37.310858513076234</v>
      </c>
      <c r="AA236" s="18">
        <f t="shared" si="18"/>
        <v>12.159316889140296</v>
      </c>
      <c r="AB236" s="18">
        <f t="shared" si="19"/>
        <v>48.18357743051736</v>
      </c>
      <c r="AC236" s="18">
        <f>$CP$15*Table2912[[#This Row],[DMD '[mg/g']]]+$CS$15*Table2912[[#This Row],[CH4 '[ml/g']]]+$CR$15*Table2912[[#This Row],[CH4 '[% GP']]]+$CQ$15*Table2912[[#This Row],[CH4 '[g/g DDM']]]</f>
        <v>17.286679487875659</v>
      </c>
      <c r="AD236" s="18">
        <f>_xlfn.RANK.AVG(Table2912[[#This Row],[Index]],Table2912[Index])</f>
        <v>220</v>
      </c>
      <c r="AE23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6.9272455375045201</v>
      </c>
      <c r="AF236" s="18">
        <f>Table2912[[#This Row],[CH4 '[ml/g']]]/Table2912[[#This Row],[APB]]</f>
        <v>5.3861030782109607</v>
      </c>
      <c r="AG236" s="18">
        <f>Table2912[[#This Row],[Propionate '[%']]]/Table2912[[#This Row],[Acetate '[%']]]</f>
        <v>0.28913749566414854</v>
      </c>
      <c r="AH236" s="51"/>
      <c r="AI236" s="18"/>
      <c r="AJ236" s="18"/>
      <c r="AK236" s="18">
        <f>(Table2912[[#This Row],[DMD '[mg/g']]]-$AK$15)/$AK$15*100</f>
        <v>57.937021898547968</v>
      </c>
      <c r="AL236" s="18">
        <f>(Table2912[[#This Row],[CH4 '[ml/g']]]-AL$15)/AL$15*100</f>
        <v>-5.1391709659385354</v>
      </c>
      <c r="AM236" s="18">
        <f>(Table2912[[#This Row],[CH4 '[% GP']]]-AM$15)/AM$15*100</f>
        <v>-21.665766311430218</v>
      </c>
      <c r="AN236" s="18">
        <f>(Table2912[[#This Row],[CH4 '[g/g DDM']]]-AN$15)/AN$15*100</f>
        <v>-5.9199778263276448</v>
      </c>
      <c r="AO236" s="18"/>
      <c r="AP236" s="18"/>
      <c r="AR236">
        <f>_xlfn.NORM.DIST(Table2912[[#This Row],[GP '[ml/g']]],O$6,O$2,FALSE)</f>
        <v>4.7047100447308015E-3</v>
      </c>
      <c r="AS236">
        <f>_xlfn.NORM.DIST(Table2912[[#This Row],[SCFA '[mmol/g']]],P$6,P$2,FALSE)</f>
        <v>0.27295091019137768</v>
      </c>
      <c r="AT236">
        <f>_xlfn.NORM.DIST(Table2912[[#This Row],[Acetate '[%']]],Q$6,Q$2,FALSE)</f>
        <v>12.586283075155592</v>
      </c>
      <c r="AU236">
        <f>_xlfn.NORM.DIST(Table2912[[#This Row],[Propionate '[%']]],R$6,R$2,FALSE)</f>
        <v>12.22466110606104</v>
      </c>
      <c r="AV236">
        <f>_xlfn.NORM.DIST(Table2912[[#This Row],[Butyrate '[%']]],S$6,S$2,FALSE)</f>
        <v>21.528237650268895</v>
      </c>
      <c r="AW236">
        <f>_xlfn.NORM.DIST(Table2912[[#This Row],[Valerate '[%']]],T$6,T$2,FALSE)</f>
        <v>76.325189411965084</v>
      </c>
      <c r="AX236">
        <f>_xlfn.NORM.DIST(Table2912[[#This Row],[Caproate '[%']]],U$6,U$2,FALSE)</f>
        <v>403.97279133570419</v>
      </c>
      <c r="AY236">
        <f>_xlfn.NORM.DIST(Table2912[[#This Row],[Isobutyrate '[%']]],V$6,V$2,FALSE)</f>
        <v>79.192452897279068</v>
      </c>
      <c r="AZ236">
        <f>_xlfn.NORM.DIST(Table2912[[#This Row],[Isovalerate '[%']]],W$6,W$2,FALSE)</f>
        <v>38.694702167865202</v>
      </c>
      <c r="BA236">
        <f>_xlfn.NORM.DIST(Table2912[[#This Row],[CH4 '[g/mmol SCFA']]],X$6,X$2,FALSE)</f>
        <v>0.20381823323976106</v>
      </c>
      <c r="BB236">
        <f>_xlfn.NORM.DIST(Table2912[[#This Row],[DMD '[mg/g']]],Y$6,Y$2,FALSE)</f>
        <v>2.9158436934713463E-3</v>
      </c>
      <c r="BC236">
        <f>_xlfn.NORM.DIST(Table2912[[#This Row],[CH4 '[ml/g']]],Z$6,Z$2,FALSE)</f>
        <v>3.1588920762136354E-2</v>
      </c>
      <c r="BD236">
        <f>_xlfn.NORM.DIST(Table2912[[#This Row],[CH4 '[% GP']]],AA$6,AA$2,FALSE)</f>
        <v>5.6372460975844252E-2</v>
      </c>
      <c r="BE236">
        <f>_xlfn.NORM.DIST(Table2912[[#This Row],[CH4 '[g/g DDM']]],AB$6,AB$2,FALSE)</f>
        <v>3.0005134535839691E-2</v>
      </c>
      <c r="BG236">
        <f>IF(Table2912[[#This Row],[GP '[ml/g']]]&lt;O$10,_xlfn.NORM.DIST(Table2912[[#This Row],[GP '[ml/g']]],O$6,O$2,FALSE),-100)</f>
        <v>-100</v>
      </c>
      <c r="BH236">
        <f>IF(Table2912[[#This Row],[SCFA '[mmol/g']]]&lt;P$10,_xlfn.NORM.DIST(Table2912[[#This Row],[SCFA '[mmol/g']]],P$6,P$2,FALSE),-100)</f>
        <v>-100</v>
      </c>
      <c r="BI236">
        <f>IF(Table2912[[#This Row],[Acetate '[%']]]&lt;Q$10,_xlfn.NORM.DIST(Table2912[[#This Row],[Acetate '[%']]],Q$6,Q$2,FALSE),-100)</f>
        <v>-100</v>
      </c>
      <c r="BJ236">
        <f>IF(Table2912[[#This Row],[Propionate '[%']]]&lt;R$10,_xlfn.NORM.DIST(Table2912[[#This Row],[Propionate '[%']]],R$6,R$2,FALSE),-100)</f>
        <v>-100</v>
      </c>
      <c r="BK236">
        <f>IF(Table2912[[#This Row],[Butyrate '[%']]]&lt;S$10,_xlfn.NORM.DIST(Table2912[[#This Row],[Butyrate '[%']]],S$6,S$2,FALSE),-100)</f>
        <v>-100</v>
      </c>
      <c r="BL236">
        <f>IF(Table2912[[#This Row],[Valerate '[%']]]&lt;T$10,_xlfn.NORM.DIST(Table2912[[#This Row],[Valerate '[%']]],T$6,T$2,FALSE),-100)</f>
        <v>-100</v>
      </c>
      <c r="BM236">
        <f>IF(Table2912[[#This Row],[Caproate '[%']]]&lt;U$10,_xlfn.NORM.DIST(Table2912[[#This Row],[Caproate '[%']]],U$6,U$2,FALSE),-100)</f>
        <v>-100</v>
      </c>
      <c r="BN236">
        <f>IF(Table2912[[#This Row],[Isobutyrate '[%']]]&lt;V$10,_xlfn.NORM.DIST(Table2912[[#This Row],[Isobutyrate '[%']]],V$6,V$2,FALSE),-100)</f>
        <v>-100</v>
      </c>
      <c r="BO236">
        <f>IF(Table2912[[#This Row],[Isovalerate '[%']]]&lt;W$10,_xlfn.NORM.DIST(Table2912[[#This Row],[Isovalerate '[%']]],W$6,W$2,FALSE),-100)</f>
        <v>-100</v>
      </c>
      <c r="BP236">
        <f>IF(Table2912[[#This Row],[CH4 '[g/mmol SCFA']]]&lt;X$10,_xlfn.NORM.DIST(Table2912[[#This Row],[CH4 '[g/mmol SCFA']]],X$6,X$2,FALSE),-100)</f>
        <v>-100</v>
      </c>
      <c r="BQ236">
        <f>IF(Table2912[[#This Row],[DMD '[mg/g']]]&gt;Y$10,_xlfn.NORM.DIST(Table2912[[#This Row],[DMD '[mg/g']]],Y$6,Y$2,FALSE),-100)</f>
        <v>-100</v>
      </c>
      <c r="BR236">
        <f>IF(Table2912[[#This Row],[CH4 '[ml/g']]]&lt;Z$10,_xlfn.NORM.DIST(Table2912[[#This Row],[CH4 '[ml/g']]],Z$6,Z$2,FALSE),-100)</f>
        <v>-100</v>
      </c>
      <c r="BS236">
        <f>IF(Table2912[[#This Row],[CH4 '[% GP']]]&lt;AA$10,_xlfn.NORM.DIST(Table2912[[#This Row],[CH4 '[% GP']]],AA$6,AA$2,FALSE),-100)</f>
        <v>-100</v>
      </c>
      <c r="BT236">
        <f>IF(Table2912[[#This Row],[CH4 '[g/g DDM']]]&lt;AB$10,_xlfn.NORM.DIST(Table2912[[#This Row],[CH4 '[g/g DDM']]],AB$6,AB$2,FALSE),-100)</f>
        <v>-100</v>
      </c>
    </row>
    <row r="237" spans="1:72" x14ac:dyDescent="0.25">
      <c r="A237" s="12" t="s">
        <v>86</v>
      </c>
      <c r="B237" s="13">
        <v>1051</v>
      </c>
      <c r="C237" s="104" t="s">
        <v>302</v>
      </c>
      <c r="D237" s="104" t="s">
        <v>303</v>
      </c>
      <c r="E237" s="104" t="s">
        <v>304</v>
      </c>
      <c r="F237" s="104" t="s">
        <v>305</v>
      </c>
      <c r="G237" s="32" t="s">
        <v>73</v>
      </c>
      <c r="H237" s="32" t="s">
        <v>74</v>
      </c>
      <c r="I237" s="104" t="s">
        <v>106</v>
      </c>
      <c r="J237" s="100">
        <v>1</v>
      </c>
      <c r="K237" s="100"/>
      <c r="L237" s="100"/>
      <c r="M237" t="s">
        <v>305</v>
      </c>
      <c r="N237" t="s">
        <v>84</v>
      </c>
      <c r="O237" s="18">
        <v>250.69240814519722</v>
      </c>
      <c r="P237" s="18">
        <v>6.8443387189056679</v>
      </c>
      <c r="Q237" s="97">
        <v>0.68609751914097838</v>
      </c>
      <c r="R237" s="97">
        <v>0.1617002988661364</v>
      </c>
      <c r="S237" s="97">
        <v>8.3140806806159206E-2</v>
      </c>
      <c r="T237" s="97">
        <v>1.9982845836054072E-2</v>
      </c>
      <c r="U237" s="97">
        <v>1.2566240443281978E-3</v>
      </c>
      <c r="V237" s="97">
        <v>1.7072552236928926E-2</v>
      </c>
      <c r="W237" s="97">
        <v>3.0749353069414835E-2</v>
      </c>
      <c r="X237" s="51">
        <f t="shared" si="17"/>
        <v>4.6238168483611055</v>
      </c>
      <c r="Y237" s="18">
        <v>774.7118683806716</v>
      </c>
      <c r="Z237" s="18">
        <v>31.646968684366289</v>
      </c>
      <c r="AA237" s="18">
        <f t="shared" si="18"/>
        <v>12.623824119171909</v>
      </c>
      <c r="AB237" s="18">
        <f t="shared" si="19"/>
        <v>40.849985621771651</v>
      </c>
      <c r="AC237" s="18">
        <f>$CP$15*Table2912[[#This Row],[DMD '[mg/g']]]+$CS$15*Table2912[[#This Row],[CH4 '[ml/g']]]+$CR$15*Table2912[[#This Row],[CH4 '[% GP']]]+$CQ$15*Table2912[[#This Row],[CH4 '[g/g DDM']]]</f>
        <v>20.299001503361865</v>
      </c>
      <c r="AD237" s="18">
        <f>_xlfn.RANK.AVG(Table2912[[#This Row],[Index]],Table2912[Index])</f>
        <v>157</v>
      </c>
      <c r="AE23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6.3716592747342879</v>
      </c>
      <c r="AF237" s="18">
        <f>Table2912[[#This Row],[CH4 '[ml/g']]]/Table2912[[#This Row],[APB]]</f>
        <v>4.9668331779536405</v>
      </c>
      <c r="AG237" s="18">
        <f>Table2912[[#This Row],[Propionate '[%']]]/Table2912[[#This Row],[Acetate '[%']]]</f>
        <v>0.23568121783706733</v>
      </c>
      <c r="AH237" s="51"/>
      <c r="AI237" s="18"/>
      <c r="AJ237" s="18"/>
      <c r="AK237" s="18">
        <f>(Table2912[[#This Row],[DMD '[mg/g']]]-$AK$15)/$AK$15*100</f>
        <v>58.011229778764587</v>
      </c>
      <c r="AL237" s="18">
        <f>(Table2912[[#This Row],[CH4 '[ml/g']]]-AL$15)/AL$15*100</f>
        <v>-19.539302887875262</v>
      </c>
      <c r="AM237" s="18">
        <f>(Table2912[[#This Row],[CH4 '[% GP']]]-AM$15)/AM$15*100</f>
        <v>-18.673261202872325</v>
      </c>
      <c r="AN237" s="18">
        <f>(Table2912[[#This Row],[CH4 '[g/g DDM']]]-AN$15)/AN$15*100</f>
        <v>-20.2390574126117</v>
      </c>
      <c r="AO237" s="18"/>
      <c r="AP237" s="18"/>
      <c r="AR237">
        <f>_xlfn.NORM.DIST(Table2912[[#This Row],[GP '[ml/g']]],O$6,O$2,FALSE)</f>
        <v>7.4496683969139535E-3</v>
      </c>
      <c r="AS237">
        <f>_xlfn.NORM.DIST(Table2912[[#This Row],[SCFA '[mmol/g']]],P$6,P$2,FALSE)</f>
        <v>0.32202154499495822</v>
      </c>
      <c r="AT237">
        <f>_xlfn.NORM.DIST(Table2912[[#This Row],[Acetate '[%']]],Q$6,Q$2,FALSE)</f>
        <v>12.641118835417826</v>
      </c>
      <c r="AU237">
        <f>_xlfn.NORM.DIST(Table2912[[#This Row],[Propionate '[%']]],R$6,R$2,FALSE)</f>
        <v>15.32196238571785</v>
      </c>
      <c r="AV237">
        <f>_xlfn.NORM.DIST(Table2912[[#This Row],[Butyrate '[%']]],S$6,S$2,FALSE)</f>
        <v>19.636557129695877</v>
      </c>
      <c r="AW237">
        <f>_xlfn.NORM.DIST(Table2912[[#This Row],[Valerate '[%']]],T$6,T$2,FALSE)</f>
        <v>69.916818711804709</v>
      </c>
      <c r="AX237">
        <f>_xlfn.NORM.DIST(Table2912[[#This Row],[Caproate '[%']]],U$6,U$2,FALSE)</f>
        <v>405.67941496794714</v>
      </c>
      <c r="AY237">
        <f>_xlfn.NORM.DIST(Table2912[[#This Row],[Isobutyrate '[%']]],V$6,V$2,FALSE)</f>
        <v>83.339532602462455</v>
      </c>
      <c r="AZ237">
        <f>_xlfn.NORM.DIST(Table2912[[#This Row],[Isovalerate '[%']]],W$6,W$2,FALSE)</f>
        <v>43.092456497731455</v>
      </c>
      <c r="BA237">
        <f>_xlfn.NORM.DIST(Table2912[[#This Row],[CH4 '[g/mmol SCFA']]],X$6,X$2,FALSE)</f>
        <v>0.13843196752323914</v>
      </c>
      <c r="BB237">
        <f>_xlfn.NORM.DIST(Table2912[[#This Row],[DMD '[mg/g']]],Y$6,Y$2,FALSE)</f>
        <v>2.9159268366086601E-3</v>
      </c>
      <c r="BC237">
        <f>_xlfn.NORM.DIST(Table2912[[#This Row],[CH4 '[ml/g']]],Z$6,Z$2,FALSE)</f>
        <v>2.3959628106727259E-2</v>
      </c>
      <c r="BD237">
        <f>_xlfn.NORM.DIST(Table2912[[#This Row],[CH4 '[% GP']]],AA$6,AA$2,FALSE)</f>
        <v>6.8492856547402142E-2</v>
      </c>
      <c r="BE237">
        <f>_xlfn.NORM.DIST(Table2912[[#This Row],[CH4 '[g/g DDM']]],AB$6,AB$2,FALSE)</f>
        <v>1.9334276436247265E-2</v>
      </c>
      <c r="BG237">
        <f>IF(Table2912[[#This Row],[GP '[ml/g']]]&lt;O$10,_xlfn.NORM.DIST(Table2912[[#This Row],[GP '[ml/g']]],O$6,O$2,FALSE),-100)</f>
        <v>-100</v>
      </c>
      <c r="BH237">
        <f>IF(Table2912[[#This Row],[SCFA '[mmol/g']]]&lt;P$10,_xlfn.NORM.DIST(Table2912[[#This Row],[SCFA '[mmol/g']]],P$6,P$2,FALSE),-100)</f>
        <v>-100</v>
      </c>
      <c r="BI237">
        <f>IF(Table2912[[#This Row],[Acetate '[%']]]&lt;Q$10,_xlfn.NORM.DIST(Table2912[[#This Row],[Acetate '[%']]],Q$6,Q$2,FALSE),-100)</f>
        <v>-100</v>
      </c>
      <c r="BJ237">
        <f>IF(Table2912[[#This Row],[Propionate '[%']]]&lt;R$10,_xlfn.NORM.DIST(Table2912[[#This Row],[Propionate '[%']]],R$6,R$2,FALSE),-100)</f>
        <v>-100</v>
      </c>
      <c r="BK237">
        <f>IF(Table2912[[#This Row],[Butyrate '[%']]]&lt;S$10,_xlfn.NORM.DIST(Table2912[[#This Row],[Butyrate '[%']]],S$6,S$2,FALSE),-100)</f>
        <v>-100</v>
      </c>
      <c r="BL237">
        <f>IF(Table2912[[#This Row],[Valerate '[%']]]&lt;T$10,_xlfn.NORM.DIST(Table2912[[#This Row],[Valerate '[%']]],T$6,T$2,FALSE),-100)</f>
        <v>-100</v>
      </c>
      <c r="BM237">
        <f>IF(Table2912[[#This Row],[Caproate '[%']]]&lt;U$10,_xlfn.NORM.DIST(Table2912[[#This Row],[Caproate '[%']]],U$6,U$2,FALSE),-100)</f>
        <v>-100</v>
      </c>
      <c r="BN237">
        <f>IF(Table2912[[#This Row],[Isobutyrate '[%']]]&lt;V$10,_xlfn.NORM.DIST(Table2912[[#This Row],[Isobutyrate '[%']]],V$6,V$2,FALSE),-100)</f>
        <v>-100</v>
      </c>
      <c r="BO237">
        <f>IF(Table2912[[#This Row],[Isovalerate '[%']]]&lt;W$10,_xlfn.NORM.DIST(Table2912[[#This Row],[Isovalerate '[%']]],W$6,W$2,FALSE),-100)</f>
        <v>-100</v>
      </c>
      <c r="BP237">
        <f>IF(Table2912[[#This Row],[CH4 '[g/mmol SCFA']]]&lt;X$10,_xlfn.NORM.DIST(Table2912[[#This Row],[CH4 '[g/mmol SCFA']]],X$6,X$2,FALSE),-100)</f>
        <v>0.13843196752323914</v>
      </c>
      <c r="BQ237">
        <f>IF(Table2912[[#This Row],[DMD '[mg/g']]]&gt;Y$10,_xlfn.NORM.DIST(Table2912[[#This Row],[DMD '[mg/g']]],Y$6,Y$2,FALSE),-100)</f>
        <v>-100</v>
      </c>
      <c r="BR237">
        <f>IF(Table2912[[#This Row],[CH4 '[ml/g']]]&lt;Z$10,_xlfn.NORM.DIST(Table2912[[#This Row],[CH4 '[ml/g']]],Z$6,Z$2,FALSE),-100)</f>
        <v>-100</v>
      </c>
      <c r="BS237">
        <f>IF(Table2912[[#This Row],[CH4 '[% GP']]]&lt;AA$10,_xlfn.NORM.DIST(Table2912[[#This Row],[CH4 '[% GP']]],AA$6,AA$2,FALSE),-100)</f>
        <v>-100</v>
      </c>
      <c r="BT237">
        <f>IF(Table2912[[#This Row],[CH4 '[g/g DDM']]]&lt;AB$10,_xlfn.NORM.DIST(Table2912[[#This Row],[CH4 '[g/g DDM']]],AB$6,AB$2,FALSE),-100)</f>
        <v>-100</v>
      </c>
    </row>
    <row r="238" spans="1:72" x14ac:dyDescent="0.25">
      <c r="A238" s="12" t="s">
        <v>86</v>
      </c>
      <c r="B238" s="13">
        <v>1044</v>
      </c>
      <c r="C238" s="104" t="s">
        <v>284</v>
      </c>
      <c r="D238" s="104" t="s">
        <v>285</v>
      </c>
      <c r="E238" s="104" t="s">
        <v>286</v>
      </c>
      <c r="F238" s="104" t="s">
        <v>287</v>
      </c>
      <c r="G238" s="23" t="s">
        <v>73</v>
      </c>
      <c r="H238" s="23" t="s">
        <v>74</v>
      </c>
      <c r="I238" s="99" t="s">
        <v>75</v>
      </c>
      <c r="J238" s="100">
        <v>3</v>
      </c>
      <c r="K238" s="100"/>
      <c r="L238" s="100"/>
      <c r="M238" t="s">
        <v>287</v>
      </c>
      <c r="N238" t="s">
        <v>99</v>
      </c>
      <c r="O238" s="18">
        <v>202.0138060525737</v>
      </c>
      <c r="P238" s="18">
        <v>5.37222831216478</v>
      </c>
      <c r="Q238" s="97">
        <v>0.66164987038063838</v>
      </c>
      <c r="R238" s="97">
        <v>0.17665301852114093</v>
      </c>
      <c r="S238" s="97">
        <v>0.10210656237419319</v>
      </c>
      <c r="T238" s="97">
        <v>1.5508290077823606E-2</v>
      </c>
      <c r="U238" s="97">
        <v>7.6968827446874909E-4</v>
      </c>
      <c r="V238" s="97">
        <v>1.6076564721967328E-2</v>
      </c>
      <c r="W238" s="97">
        <v>2.7236005649767893E-2</v>
      </c>
      <c r="X238" s="51">
        <f t="shared" si="17"/>
        <v>6.6102355952423206</v>
      </c>
      <c r="Y238" s="18">
        <v>775.21607290818099</v>
      </c>
      <c r="Z238" s="18">
        <v>35.511694814840205</v>
      </c>
      <c r="AA238" s="18">
        <f t="shared" si="18"/>
        <v>17.578845480292745</v>
      </c>
      <c r="AB238" s="18">
        <f t="shared" si="19"/>
        <v>45.808770039583948</v>
      </c>
      <c r="AC238" s="18">
        <f>$CP$15*Table2912[[#This Row],[DMD '[mg/g']]]+$CS$15*Table2912[[#This Row],[CH4 '[ml/g']]]+$CR$15*Table2912[[#This Row],[CH4 '[% GP']]]+$CQ$15*Table2912[[#This Row],[CH4 '[g/g DDM']]]</f>
        <v>16.739352557230568</v>
      </c>
      <c r="AD238" s="18">
        <f>_xlfn.RANK.AVG(Table2912[[#This Row],[Index]],Table2912[Index])</f>
        <v>239</v>
      </c>
      <c r="AE23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5.0520942791721248</v>
      </c>
      <c r="AF238" s="18">
        <f>Table2912[[#This Row],[CH4 '[ml/g']]]/Table2912[[#This Row],[APB]]</f>
        <v>7.0291037444098183</v>
      </c>
      <c r="AG238" s="18">
        <f>Table2912[[#This Row],[Propionate '[%']]]/Table2912[[#This Row],[Acetate '[%']]]</f>
        <v>0.26698866942951988</v>
      </c>
      <c r="AH238" s="51"/>
      <c r="AI238" s="18"/>
      <c r="AJ238" s="18"/>
      <c r="AK238" s="18">
        <f>(Table2912[[#This Row],[DMD '[mg/g']]]-$AK$15)/$AK$15*100</f>
        <v>58.114067983138952</v>
      </c>
      <c r="AL238" s="18">
        <f>(Table2912[[#This Row],[CH4 '[ml/g']]]-AL$15)/AL$15*100</f>
        <v>-9.7134468412267818</v>
      </c>
      <c r="AM238" s="18">
        <f>(Table2912[[#This Row],[CH4 '[% GP']]]-AM$15)/AM$15*100</f>
        <v>13.248581510229137</v>
      </c>
      <c r="AN238" s="18">
        <f>(Table2912[[#This Row],[CH4 '[g/g DDM']]]-AN$15)/AN$15*100</f>
        <v>-10.556867486905459</v>
      </c>
      <c r="AO238" s="18"/>
      <c r="AP238" s="18"/>
      <c r="AR238">
        <f>_xlfn.NORM.DIST(Table2912[[#This Row],[GP '[ml/g']]],O$6,O$2,FALSE)</f>
        <v>4.5248201076382288E-3</v>
      </c>
      <c r="AS238">
        <f>_xlfn.NORM.DIST(Table2912[[#This Row],[SCFA '[mmol/g']]],P$6,P$2,FALSE)</f>
        <v>0.2074907837250908</v>
      </c>
      <c r="AT238">
        <f>_xlfn.NORM.DIST(Table2912[[#This Row],[Acetate '[%']]],Q$6,Q$2,FALSE)</f>
        <v>12.930441168568079</v>
      </c>
      <c r="AU238">
        <f>_xlfn.NORM.DIST(Table2912[[#This Row],[Propionate '[%']]],R$6,R$2,FALSE)</f>
        <v>16.453911284588152</v>
      </c>
      <c r="AV238">
        <f>_xlfn.NORM.DIST(Table2912[[#This Row],[Butyrate '[%']]],S$6,S$2,FALSE)</f>
        <v>20.010078343649312</v>
      </c>
      <c r="AW238">
        <f>_xlfn.NORM.DIST(Table2912[[#This Row],[Valerate '[%']]],T$6,T$2,FALSE)</f>
        <v>70.943018036856301</v>
      </c>
      <c r="AX238">
        <f>_xlfn.NORM.DIST(Table2912[[#This Row],[Caproate '[%']]],U$6,U$2,FALSE)</f>
        <v>344.98532788237844</v>
      </c>
      <c r="AY238">
        <f>_xlfn.NORM.DIST(Table2912[[#This Row],[Isobutyrate '[%']]],V$6,V$2,FALSE)</f>
        <v>88.842032372810891</v>
      </c>
      <c r="AZ238">
        <f>_xlfn.NORM.DIST(Table2912[[#This Row],[Isovalerate '[%']]],W$6,W$2,FALSE)</f>
        <v>45.302117080922727</v>
      </c>
      <c r="BA238">
        <f>_xlfn.NORM.DIST(Table2912[[#This Row],[CH4 '[g/mmol SCFA']]],X$6,X$2,FALSE)</f>
        <v>0.28867411953348554</v>
      </c>
      <c r="BB238">
        <f>_xlfn.NORM.DIST(Table2912[[#This Row],[DMD '[mg/g']]],Y$6,Y$2,FALSE)</f>
        <v>2.9160079673196232E-3</v>
      </c>
      <c r="BC238">
        <f>_xlfn.NORM.DIST(Table2912[[#This Row],[CH4 '[ml/g']]],Z$6,Z$2,FALSE)</f>
        <v>2.9651678131574304E-2</v>
      </c>
      <c r="BD238">
        <f>_xlfn.NORM.DIST(Table2912[[#This Row],[CH4 '[% GP']]],AA$6,AA$2,FALSE)</f>
        <v>0.11828241753077516</v>
      </c>
      <c r="BE238">
        <f>_xlfn.NORM.DIST(Table2912[[#This Row],[CH4 '[g/g DDM']]],AB$6,AB$2,FALSE)</f>
        <v>2.7084966917418813E-2</v>
      </c>
      <c r="BG238">
        <f>IF(Table2912[[#This Row],[GP '[ml/g']]]&lt;O$10,_xlfn.NORM.DIST(Table2912[[#This Row],[GP '[ml/g']]],O$6,O$2,FALSE),-100)</f>
        <v>4.5248201076382288E-3</v>
      </c>
      <c r="BH238">
        <f>IF(Table2912[[#This Row],[SCFA '[mmol/g']]]&lt;P$10,_xlfn.NORM.DIST(Table2912[[#This Row],[SCFA '[mmol/g']]],P$6,P$2,FALSE),-100)</f>
        <v>-100</v>
      </c>
      <c r="BI238">
        <f>IF(Table2912[[#This Row],[Acetate '[%']]]&lt;Q$10,_xlfn.NORM.DIST(Table2912[[#This Row],[Acetate '[%']]],Q$6,Q$2,FALSE),-100)</f>
        <v>-100</v>
      </c>
      <c r="BJ238">
        <f>IF(Table2912[[#This Row],[Propionate '[%']]]&lt;R$10,_xlfn.NORM.DIST(Table2912[[#This Row],[Propionate '[%']]],R$6,R$2,FALSE),-100)</f>
        <v>-100</v>
      </c>
      <c r="BK238">
        <f>IF(Table2912[[#This Row],[Butyrate '[%']]]&lt;S$10,_xlfn.NORM.DIST(Table2912[[#This Row],[Butyrate '[%']]],S$6,S$2,FALSE),-100)</f>
        <v>-100</v>
      </c>
      <c r="BL238">
        <f>IF(Table2912[[#This Row],[Valerate '[%']]]&lt;T$10,_xlfn.NORM.DIST(Table2912[[#This Row],[Valerate '[%']]],T$6,T$2,FALSE),-100)</f>
        <v>-100</v>
      </c>
      <c r="BM238">
        <f>IF(Table2912[[#This Row],[Caproate '[%']]]&lt;U$10,_xlfn.NORM.DIST(Table2912[[#This Row],[Caproate '[%']]],U$6,U$2,FALSE),-100)</f>
        <v>-100</v>
      </c>
      <c r="BN238">
        <f>IF(Table2912[[#This Row],[Isobutyrate '[%']]]&lt;V$10,_xlfn.NORM.DIST(Table2912[[#This Row],[Isobutyrate '[%']]],V$6,V$2,FALSE),-100)</f>
        <v>-100</v>
      </c>
      <c r="BO238">
        <f>IF(Table2912[[#This Row],[Isovalerate '[%']]]&lt;W$10,_xlfn.NORM.DIST(Table2912[[#This Row],[Isovalerate '[%']]],W$6,W$2,FALSE),-100)</f>
        <v>-100</v>
      </c>
      <c r="BP238">
        <f>IF(Table2912[[#This Row],[CH4 '[g/mmol SCFA']]]&lt;X$10,_xlfn.NORM.DIST(Table2912[[#This Row],[CH4 '[g/mmol SCFA']]],X$6,X$2,FALSE),-100)</f>
        <v>-100</v>
      </c>
      <c r="BQ238">
        <f>IF(Table2912[[#This Row],[DMD '[mg/g']]]&gt;Y$10,_xlfn.NORM.DIST(Table2912[[#This Row],[DMD '[mg/g']]],Y$6,Y$2,FALSE),-100)</f>
        <v>-100</v>
      </c>
      <c r="BR238">
        <f>IF(Table2912[[#This Row],[CH4 '[ml/g']]]&lt;Z$10,_xlfn.NORM.DIST(Table2912[[#This Row],[CH4 '[ml/g']]],Z$6,Z$2,FALSE),-100)</f>
        <v>-100</v>
      </c>
      <c r="BS238">
        <f>IF(Table2912[[#This Row],[CH4 '[% GP']]]&lt;AA$10,_xlfn.NORM.DIST(Table2912[[#This Row],[CH4 '[% GP']]],AA$6,AA$2,FALSE),-100)</f>
        <v>-100</v>
      </c>
      <c r="BT238">
        <f>IF(Table2912[[#This Row],[CH4 '[g/g DDM']]]&lt;AB$10,_xlfn.NORM.DIST(Table2912[[#This Row],[CH4 '[g/g DDM']]],AB$6,AB$2,FALSE),-100)</f>
        <v>-100</v>
      </c>
    </row>
    <row r="239" spans="1:72" x14ac:dyDescent="0.25">
      <c r="A239" s="12" t="s">
        <v>200</v>
      </c>
      <c r="B239" s="13">
        <v>1144</v>
      </c>
      <c r="C239" s="117" t="s">
        <v>310</v>
      </c>
      <c r="D239" s="117" t="s">
        <v>233</v>
      </c>
      <c r="E239" s="117" t="s">
        <v>234</v>
      </c>
      <c r="F239" s="117" t="s">
        <v>235</v>
      </c>
      <c r="G239" s="23" t="s">
        <v>73</v>
      </c>
      <c r="H239" s="23" t="s">
        <v>74</v>
      </c>
      <c r="I239" s="104" t="s">
        <v>44</v>
      </c>
      <c r="J239" s="70">
        <v>3</v>
      </c>
      <c r="K239" s="70"/>
      <c r="L239" s="70"/>
      <c r="M239" t="s">
        <v>311</v>
      </c>
      <c r="N239" t="s">
        <v>171</v>
      </c>
      <c r="O239" s="18">
        <v>286.24621609798731</v>
      </c>
      <c r="P239" s="18">
        <v>6.5079578738428445</v>
      </c>
      <c r="Q239" s="97">
        <v>0.68282098650506828</v>
      </c>
      <c r="R239" s="97">
        <v>0.16990895011965518</v>
      </c>
      <c r="S239" s="97">
        <v>9.0521978763237337E-2</v>
      </c>
      <c r="T239" s="97">
        <v>1.5699634602388584E-2</v>
      </c>
      <c r="U239" s="97">
        <v>1.1345834672677479E-3</v>
      </c>
      <c r="V239" s="97">
        <v>1.3944398385326264E-2</v>
      </c>
      <c r="W239" s="97">
        <v>2.5969468157056648E-2</v>
      </c>
      <c r="X239" s="51">
        <f t="shared" si="17"/>
        <v>8.4797951281464155</v>
      </c>
      <c r="Y239" s="18">
        <v>775.99817068321045</v>
      </c>
      <c r="Z239" s="18">
        <v>55.186149472794654</v>
      </c>
      <c r="AA239" s="18">
        <f t="shared" si="18"/>
        <v>19.279259032686539</v>
      </c>
      <c r="AB239" s="18">
        <f t="shared" si="19"/>
        <v>71.116339648336066</v>
      </c>
      <c r="AC239" s="18">
        <f>$CP$15*Table2912[[#This Row],[DMD '[mg/g']]]+$CS$15*Table2912[[#This Row],[CH4 '[ml/g']]]+$CR$15*Table2912[[#This Row],[CH4 '[% GP']]]+$CQ$15*Table2912[[#This Row],[CH4 '[g/g DDM']]]</f>
        <v>5.5364108652203186</v>
      </c>
      <c r="AD239" s="18">
        <f>_xlfn.RANK.AVG(Table2912[[#This Row],[Index]],Table2912[Index])</f>
        <v>403</v>
      </c>
      <c r="AE23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6.1386437297664234</v>
      </c>
      <c r="AF239" s="18">
        <f>Table2912[[#This Row],[CH4 '[ml/g']]]/Table2912[[#This Row],[APB]]</f>
        <v>8.9899580269165575</v>
      </c>
      <c r="AG239" s="18">
        <f>Table2912[[#This Row],[Propionate '[%']]]/Table2912[[#This Row],[Acetate '[%']]]</f>
        <v>0.24883381366075516</v>
      </c>
      <c r="AH239" s="51"/>
      <c r="AI239" s="18"/>
      <c r="AJ239" s="18"/>
      <c r="AK239" s="18">
        <f>(Table2912[[#This Row],[DMD '[mg/g']]]-$AK$15)/$AK$15*100</f>
        <v>58.273585651943939</v>
      </c>
      <c r="AL239" s="18">
        <f>(Table2912[[#This Row],[CH4 '[ml/g']]]-AL$15)/AL$15*100</f>
        <v>40.30778435055943</v>
      </c>
      <c r="AM239" s="18">
        <f>(Table2912[[#This Row],[CH4 '[% GP']]]-AM$15)/AM$15*100</f>
        <v>24.203193006487648</v>
      </c>
      <c r="AN239" s="18">
        <f>(Table2912[[#This Row],[CH4 '[g/g DDM']]]-AN$15)/AN$15*100</f>
        <v>38.856995844155037</v>
      </c>
      <c r="AO239" s="18"/>
      <c r="AP239" s="18"/>
      <c r="AR239">
        <f>_xlfn.NORM.DIST(Table2912[[#This Row],[GP '[ml/g']]],O$6,O$2,FALSE)</f>
        <v>6.3340900801098768E-3</v>
      </c>
      <c r="AS239">
        <f>_xlfn.NORM.DIST(Table2912[[#This Row],[SCFA '[mmol/g']]],P$6,P$2,FALSE)</f>
        <v>0.33264282027098074</v>
      </c>
      <c r="AT239">
        <f>_xlfn.NORM.DIST(Table2912[[#This Row],[Acetate '[%']]],Q$6,Q$2,FALSE)</f>
        <v>13.235008135105108</v>
      </c>
      <c r="AU239">
        <f>_xlfn.NORM.DIST(Table2912[[#This Row],[Propionate '[%']]],R$6,R$2,FALSE)</f>
        <v>16.734129241564652</v>
      </c>
      <c r="AV239">
        <f>_xlfn.NORM.DIST(Table2912[[#This Row],[Butyrate '[%']]],S$6,S$2,FALSE)</f>
        <v>22.810104973180316</v>
      </c>
      <c r="AW239">
        <f>_xlfn.NORM.DIST(Table2912[[#This Row],[Valerate '[%']]],T$6,T$2,FALSE)</f>
        <v>72.000764291254697</v>
      </c>
      <c r="AX239">
        <f>_xlfn.NORM.DIST(Table2912[[#This Row],[Caproate '[%']]],U$6,U$2,FALSE)</f>
        <v>398.66067500685023</v>
      </c>
      <c r="AY239">
        <f>_xlfn.NORM.DIST(Table2912[[#This Row],[Isobutyrate '[%']]],V$6,V$2,FALSE)</f>
        <v>85.919507782808012</v>
      </c>
      <c r="AZ239">
        <f>_xlfn.NORM.DIST(Table2912[[#This Row],[Isovalerate '[%']]],W$6,W$2,FALSE)</f>
        <v>44.350672711986583</v>
      </c>
      <c r="BA239">
        <f>_xlfn.NORM.DIST(Table2912[[#This Row],[CH4 '[g/mmol SCFA']]],X$6,X$2,FALSE)</f>
        <v>7.7771342863737894E-2</v>
      </c>
      <c r="BB239">
        <f>_xlfn.NORM.DIST(Table2912[[#This Row],[DMD '[mg/g']]],Y$6,Y$2,FALSE)</f>
        <v>2.9160554483252908E-3</v>
      </c>
      <c r="BC239">
        <f>_xlfn.NORM.DIST(Table2912[[#This Row],[CH4 '[ml/g']]],Z$6,Z$2,FALSE)</f>
        <v>1.7136665291005982E-2</v>
      </c>
      <c r="BD239">
        <f>_xlfn.NORM.DIST(Table2912[[#This Row],[CH4 '[% GP']]],AA$6,AA$2,FALSE)</f>
        <v>7.483751962046678E-2</v>
      </c>
      <c r="BE239">
        <f>_xlfn.NORM.DIST(Table2912[[#This Row],[CH4 '[g/g DDM']]],AB$6,AB$2,FALSE)</f>
        <v>1.1271756982449558E-2</v>
      </c>
      <c r="BG239">
        <f>IF(Table2912[[#This Row],[GP '[ml/g']]]&lt;O$10,_xlfn.NORM.DIST(Table2912[[#This Row],[GP '[ml/g']]],O$6,O$2,FALSE),-100)</f>
        <v>-100</v>
      </c>
      <c r="BH239">
        <f>IF(Table2912[[#This Row],[SCFA '[mmol/g']]]&lt;P$10,_xlfn.NORM.DIST(Table2912[[#This Row],[SCFA '[mmol/g']]],P$6,P$2,FALSE),-100)</f>
        <v>-100</v>
      </c>
      <c r="BI239">
        <f>IF(Table2912[[#This Row],[Acetate '[%']]]&lt;Q$10,_xlfn.NORM.DIST(Table2912[[#This Row],[Acetate '[%']]],Q$6,Q$2,FALSE),-100)</f>
        <v>-100</v>
      </c>
      <c r="BJ239">
        <f>IF(Table2912[[#This Row],[Propionate '[%']]]&lt;R$10,_xlfn.NORM.DIST(Table2912[[#This Row],[Propionate '[%']]],R$6,R$2,FALSE),-100)</f>
        <v>-100</v>
      </c>
      <c r="BK239">
        <f>IF(Table2912[[#This Row],[Butyrate '[%']]]&lt;S$10,_xlfn.NORM.DIST(Table2912[[#This Row],[Butyrate '[%']]],S$6,S$2,FALSE),-100)</f>
        <v>-100</v>
      </c>
      <c r="BL239">
        <f>IF(Table2912[[#This Row],[Valerate '[%']]]&lt;T$10,_xlfn.NORM.DIST(Table2912[[#This Row],[Valerate '[%']]],T$6,T$2,FALSE),-100)</f>
        <v>-100</v>
      </c>
      <c r="BM239">
        <f>IF(Table2912[[#This Row],[Caproate '[%']]]&lt;U$10,_xlfn.NORM.DIST(Table2912[[#This Row],[Caproate '[%']]],U$6,U$2,FALSE),-100)</f>
        <v>-100</v>
      </c>
      <c r="BN239">
        <f>IF(Table2912[[#This Row],[Isobutyrate '[%']]]&lt;V$10,_xlfn.NORM.DIST(Table2912[[#This Row],[Isobutyrate '[%']]],V$6,V$2,FALSE),-100)</f>
        <v>-100</v>
      </c>
      <c r="BO239">
        <f>IF(Table2912[[#This Row],[Isovalerate '[%']]]&lt;W$10,_xlfn.NORM.DIST(Table2912[[#This Row],[Isovalerate '[%']]],W$6,W$2,FALSE),-100)</f>
        <v>-100</v>
      </c>
      <c r="BP239">
        <f>IF(Table2912[[#This Row],[CH4 '[g/mmol SCFA']]]&lt;X$10,_xlfn.NORM.DIST(Table2912[[#This Row],[CH4 '[g/mmol SCFA']]],X$6,X$2,FALSE),-100)</f>
        <v>-100</v>
      </c>
      <c r="BQ239">
        <f>IF(Table2912[[#This Row],[DMD '[mg/g']]]&gt;Y$10,_xlfn.NORM.DIST(Table2912[[#This Row],[DMD '[mg/g']]],Y$6,Y$2,FALSE),-100)</f>
        <v>-100</v>
      </c>
      <c r="BR239">
        <f>IF(Table2912[[#This Row],[CH4 '[ml/g']]]&lt;Z$10,_xlfn.NORM.DIST(Table2912[[#This Row],[CH4 '[ml/g']]],Z$6,Z$2,FALSE),-100)</f>
        <v>-100</v>
      </c>
      <c r="BS239">
        <f>IF(Table2912[[#This Row],[CH4 '[% GP']]]&lt;AA$10,_xlfn.NORM.DIST(Table2912[[#This Row],[CH4 '[% GP']]],AA$6,AA$2,FALSE),-100)</f>
        <v>-100</v>
      </c>
      <c r="BT239">
        <f>IF(Table2912[[#This Row],[CH4 '[g/g DDM']]]&lt;AB$10,_xlfn.NORM.DIST(Table2912[[#This Row],[CH4 '[g/g DDM']]],AB$6,AB$2,FALSE),-100)</f>
        <v>-100</v>
      </c>
    </row>
    <row r="240" spans="1:72" x14ac:dyDescent="0.25">
      <c r="A240" s="12" t="s">
        <v>86</v>
      </c>
      <c r="B240" s="13">
        <v>1068</v>
      </c>
      <c r="C240" s="32">
        <v>32028</v>
      </c>
      <c r="D240" t="s">
        <v>323</v>
      </c>
      <c r="E240" t="s">
        <v>324</v>
      </c>
      <c r="F240" t="s">
        <v>325</v>
      </c>
      <c r="G240" s="32" t="s">
        <v>73</v>
      </c>
      <c r="H240" s="32" t="s">
        <v>74</v>
      </c>
      <c r="I240" s="105" t="s">
        <v>44</v>
      </c>
      <c r="J240" s="70">
        <v>3</v>
      </c>
      <c r="K240" s="70"/>
      <c r="L240" s="70"/>
      <c r="M240" t="s">
        <v>325</v>
      </c>
      <c r="N240" t="s">
        <v>98</v>
      </c>
      <c r="O240" s="18">
        <v>190.02611775121741</v>
      </c>
      <c r="P240" s="18">
        <v>6.1975901838408332</v>
      </c>
      <c r="Q240" s="97">
        <v>0.67396476995614985</v>
      </c>
      <c r="R240" s="97">
        <v>0.16811781253513708</v>
      </c>
      <c r="S240" s="97">
        <v>7.3431111978778357E-2</v>
      </c>
      <c r="T240" s="97">
        <v>2.023430954049299E-2</v>
      </c>
      <c r="U240" s="97">
        <v>8.8849726511952142E-4</v>
      </c>
      <c r="V240" s="97">
        <v>2.2066484320632254E-2</v>
      </c>
      <c r="W240" s="97">
        <v>4.1297014403689845E-2</v>
      </c>
      <c r="X240" s="51">
        <f t="shared" si="17"/>
        <v>5.5820178106576215</v>
      </c>
      <c r="Y240" s="18">
        <v>776.04907554673673</v>
      </c>
      <c r="Z240" s="18">
        <v>34.595058789356372</v>
      </c>
      <c r="AA240" s="18">
        <f t="shared" si="18"/>
        <v>18.205423127492555</v>
      </c>
      <c r="AB240" s="18">
        <f t="shared" si="19"/>
        <v>44.578442110743708</v>
      </c>
      <c r="AC240" s="18">
        <f>$CP$15*Table2912[[#This Row],[DMD '[mg/g']]]+$CS$15*Table2912[[#This Row],[CH4 '[ml/g']]]+$CR$15*Table2912[[#This Row],[CH4 '[% GP']]]+$CQ$15*Table2912[[#This Row],[CH4 '[g/g DDM']]]</f>
        <v>17.14096196999774</v>
      </c>
      <c r="AD240" s="18">
        <f>_xlfn.RANK.AVG(Table2912[[#This Row],[Index]],Table2912[Index])</f>
        <v>230</v>
      </c>
      <c r="AE24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5.6739786860195318</v>
      </c>
      <c r="AF240" s="18">
        <f>Table2912[[#This Row],[CH4 '[ml/g']]]/Table2912[[#This Row],[APB]]</f>
        <v>6.0971428875115947</v>
      </c>
      <c r="AG240" s="18">
        <f>Table2912[[#This Row],[Propionate '[%']]]/Table2912[[#This Row],[Acetate '[%']]]</f>
        <v>0.24944599484936775</v>
      </c>
      <c r="AH240" s="51"/>
      <c r="AI240" s="18"/>
      <c r="AJ240" s="18"/>
      <c r="AK240" s="18">
        <f>(Table2912[[#This Row],[DMD '[mg/g']]]-$AK$15)/$AK$15*100</f>
        <v>58.283968273426588</v>
      </c>
      <c r="AL240" s="18">
        <f>(Table2912[[#This Row],[CH4 '[ml/g']]]-AL$15)/AL$15*100</f>
        <v>-12.043944094979581</v>
      </c>
      <c r="AM240" s="18">
        <f>(Table2912[[#This Row],[CH4 '[% GP']]]-AM$15)/AM$15*100</f>
        <v>17.285196419379218</v>
      </c>
      <c r="AN240" s="18">
        <f>(Table2912[[#This Row],[CH4 '[g/g DDM']]]-AN$15)/AN$15*100</f>
        <v>-12.959123296845954</v>
      </c>
      <c r="AO240" s="18"/>
      <c r="AP240" s="18"/>
      <c r="AR240">
        <f>_xlfn.NORM.DIST(Table2912[[#This Row],[GP '[ml/g']]],O$6,O$2,FALSE)</f>
        <v>3.5217828011620119E-3</v>
      </c>
      <c r="AS240">
        <f>_xlfn.NORM.DIST(Table2912[[#This Row],[SCFA '[mmol/g']]],P$6,P$2,FALSE)</f>
        <v>0.31963841564793932</v>
      </c>
      <c r="AT240">
        <f>_xlfn.NORM.DIST(Table2912[[#This Row],[Acetate '[%']]],Q$6,Q$2,FALSE)</f>
        <v>14.020785786670629</v>
      </c>
      <c r="AU240">
        <f>_xlfn.NORM.DIST(Table2912[[#This Row],[Propionate '[%']]],R$6,R$2,FALSE)</f>
        <v>16.583269251405973</v>
      </c>
      <c r="AV240">
        <f>_xlfn.NORM.DIST(Table2912[[#This Row],[Butyrate '[%']]],S$6,S$2,FALSE)</f>
        <v>12.229032412664329</v>
      </c>
      <c r="AW240">
        <f>_xlfn.NORM.DIST(Table2912[[#This Row],[Valerate '[%']]],T$6,T$2,FALSE)</f>
        <v>68.314591614990547</v>
      </c>
      <c r="AX240">
        <f>_xlfn.NORM.DIST(Table2912[[#This Row],[Caproate '[%']]],U$6,U$2,FALSE)</f>
        <v>367.15894481031131</v>
      </c>
      <c r="AY240">
        <f>_xlfn.NORM.DIST(Table2912[[#This Row],[Isobutyrate '[%']]],V$6,V$2,FALSE)</f>
        <v>28.175686316252236</v>
      </c>
      <c r="AZ240">
        <f>_xlfn.NORM.DIST(Table2912[[#This Row],[Isovalerate '[%']]],W$6,W$2,FALSE)</f>
        <v>14.176653719139553</v>
      </c>
      <c r="BA240">
        <f>_xlfn.NORM.DIST(Table2912[[#This Row],[CH4 '[g/mmol SCFA']]],X$6,X$2,FALSE)</f>
        <v>0.25947541155851739</v>
      </c>
      <c r="BB240">
        <f>_xlfn.NORM.DIST(Table2912[[#This Row],[DMD '[mg/g']]],Y$6,Y$2,FALSE)</f>
        <v>2.9160552355141666E-3</v>
      </c>
      <c r="BC240">
        <f>_xlfn.NORM.DIST(Table2912[[#This Row],[CH4 '[ml/g']]],Z$6,Z$2,FALSE)</f>
        <v>2.8459870446062702E-2</v>
      </c>
      <c r="BD240">
        <f>_xlfn.NORM.DIST(Table2912[[#This Row],[CH4 '[% GP']]],AA$6,AA$2,FALSE)</f>
        <v>0.10383065555568068</v>
      </c>
      <c r="BE240">
        <f>_xlfn.NORM.DIST(Table2912[[#This Row],[CH4 '[g/g DDM']]],AB$6,AB$2,FALSE)</f>
        <v>2.5302275183130617E-2</v>
      </c>
      <c r="BG240">
        <f>IF(Table2912[[#This Row],[GP '[ml/g']]]&lt;O$10,_xlfn.NORM.DIST(Table2912[[#This Row],[GP '[ml/g']]],O$6,O$2,FALSE),-100)</f>
        <v>3.5217828011620119E-3</v>
      </c>
      <c r="BH240">
        <f>IF(Table2912[[#This Row],[SCFA '[mmol/g']]]&lt;P$10,_xlfn.NORM.DIST(Table2912[[#This Row],[SCFA '[mmol/g']]],P$6,P$2,FALSE),-100)</f>
        <v>-100</v>
      </c>
      <c r="BI240">
        <f>IF(Table2912[[#This Row],[Acetate '[%']]]&lt;Q$10,_xlfn.NORM.DIST(Table2912[[#This Row],[Acetate '[%']]],Q$6,Q$2,FALSE),-100)</f>
        <v>-100</v>
      </c>
      <c r="BJ240">
        <f>IF(Table2912[[#This Row],[Propionate '[%']]]&lt;R$10,_xlfn.NORM.DIST(Table2912[[#This Row],[Propionate '[%']]],R$6,R$2,FALSE),-100)</f>
        <v>-100</v>
      </c>
      <c r="BK240">
        <f>IF(Table2912[[#This Row],[Butyrate '[%']]]&lt;S$10,_xlfn.NORM.DIST(Table2912[[#This Row],[Butyrate '[%']]],S$6,S$2,FALSE),-100)</f>
        <v>12.229032412664329</v>
      </c>
      <c r="BL240">
        <f>IF(Table2912[[#This Row],[Valerate '[%']]]&lt;T$10,_xlfn.NORM.DIST(Table2912[[#This Row],[Valerate '[%']]],T$6,T$2,FALSE),-100)</f>
        <v>-100</v>
      </c>
      <c r="BM240">
        <f>IF(Table2912[[#This Row],[Caproate '[%']]]&lt;U$10,_xlfn.NORM.DIST(Table2912[[#This Row],[Caproate '[%']]],U$6,U$2,FALSE),-100)</f>
        <v>-100</v>
      </c>
      <c r="BN240">
        <f>IF(Table2912[[#This Row],[Isobutyrate '[%']]]&lt;V$10,_xlfn.NORM.DIST(Table2912[[#This Row],[Isobutyrate '[%']]],V$6,V$2,FALSE),-100)</f>
        <v>-100</v>
      </c>
      <c r="BO240">
        <f>IF(Table2912[[#This Row],[Isovalerate '[%']]]&lt;W$10,_xlfn.NORM.DIST(Table2912[[#This Row],[Isovalerate '[%']]],W$6,W$2,FALSE),-100)</f>
        <v>-100</v>
      </c>
      <c r="BP240">
        <f>IF(Table2912[[#This Row],[CH4 '[g/mmol SCFA']]]&lt;X$10,_xlfn.NORM.DIST(Table2912[[#This Row],[CH4 '[g/mmol SCFA']]],X$6,X$2,FALSE),-100)</f>
        <v>-100</v>
      </c>
      <c r="BQ240">
        <f>IF(Table2912[[#This Row],[DMD '[mg/g']]]&gt;Y$10,_xlfn.NORM.DIST(Table2912[[#This Row],[DMD '[mg/g']]],Y$6,Y$2,FALSE),-100)</f>
        <v>-100</v>
      </c>
      <c r="BR240">
        <f>IF(Table2912[[#This Row],[CH4 '[ml/g']]]&lt;Z$10,_xlfn.NORM.DIST(Table2912[[#This Row],[CH4 '[ml/g']]],Z$6,Z$2,FALSE),-100)</f>
        <v>-100</v>
      </c>
      <c r="BS240">
        <f>IF(Table2912[[#This Row],[CH4 '[% GP']]]&lt;AA$10,_xlfn.NORM.DIST(Table2912[[#This Row],[CH4 '[% GP']]],AA$6,AA$2,FALSE),-100)</f>
        <v>-100</v>
      </c>
      <c r="BT240">
        <f>IF(Table2912[[#This Row],[CH4 '[g/g DDM']]]&lt;AB$10,_xlfn.NORM.DIST(Table2912[[#This Row],[CH4 '[g/g DDM']]],AB$6,AB$2,FALSE),-100)</f>
        <v>-100</v>
      </c>
    </row>
    <row r="241" spans="1:72" x14ac:dyDescent="0.25">
      <c r="A241" s="12" t="s">
        <v>70</v>
      </c>
      <c r="B241" s="13">
        <v>1035</v>
      </c>
      <c r="C241" s="96" t="s">
        <v>296</v>
      </c>
      <c r="D241" s="96"/>
      <c r="E241" s="96"/>
      <c r="F241" s="96" t="s">
        <v>297</v>
      </c>
      <c r="G241" t="s">
        <v>73</v>
      </c>
      <c r="H241" t="s">
        <v>74</v>
      </c>
      <c r="I241" s="99" t="s">
        <v>79</v>
      </c>
      <c r="J241" s="70">
        <v>3</v>
      </c>
      <c r="K241" s="70"/>
      <c r="L241" s="70"/>
      <c r="M241" t="s">
        <v>297</v>
      </c>
      <c r="N241" t="s">
        <v>84</v>
      </c>
      <c r="O241" s="18">
        <v>289.44207613988488</v>
      </c>
      <c r="P241" s="18">
        <v>8.3463368747233293</v>
      </c>
      <c r="Q241" s="97">
        <v>0.64936174495398169</v>
      </c>
      <c r="R241" s="97">
        <v>0.17451224403971657</v>
      </c>
      <c r="S241" s="97">
        <v>0.10272461060714119</v>
      </c>
      <c r="T241" s="97">
        <v>1.8455870401013756E-2</v>
      </c>
      <c r="U241" s="97">
        <v>1.0102744907501821E-3</v>
      </c>
      <c r="V241" s="97">
        <v>1.9046516366650362E-2</v>
      </c>
      <c r="W241" s="97">
        <v>3.4888739140746097E-2</v>
      </c>
      <c r="X241" s="51">
        <f t="shared" si="17"/>
        <v>5.7403292124231466</v>
      </c>
      <c r="Y241" s="18">
        <v>776.33908809207628</v>
      </c>
      <c r="Z241" s="18">
        <v>47.910721378698838</v>
      </c>
      <c r="AA241" s="18">
        <f t="shared" si="18"/>
        <v>16.552783899858429</v>
      </c>
      <c r="AB241" s="18">
        <f t="shared" si="19"/>
        <v>61.713653368199942</v>
      </c>
      <c r="AC241" s="18">
        <f>$CP$15*Table2912[[#This Row],[DMD '[mg/g']]]+$CS$15*Table2912[[#This Row],[CH4 '[ml/g']]]+$CR$15*Table2912[[#This Row],[CH4 '[% GP']]]+$CQ$15*Table2912[[#This Row],[CH4 '[g/g DDM']]]</f>
        <v>10.382328822273386</v>
      </c>
      <c r="AD241" s="18">
        <f>_xlfn.RANK.AVG(Table2912[[#This Row],[Index]],Table2912[Index])</f>
        <v>355</v>
      </c>
      <c r="AE24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7.7337040599154836</v>
      </c>
      <c r="AF241" s="18">
        <f>Table2912[[#This Row],[CH4 '[ml/g']]]/Table2912[[#This Row],[APB]]</f>
        <v>6.19505491902963</v>
      </c>
      <c r="AG241" s="18">
        <f>Table2912[[#This Row],[Propionate '[%']]]/Table2912[[#This Row],[Acetate '[%']]]</f>
        <v>0.26874426372635135</v>
      </c>
      <c r="AH241" s="51"/>
      <c r="AI241" s="18"/>
      <c r="AJ241" s="18"/>
      <c r="AK241" s="18">
        <f>(Table2912[[#This Row],[DMD '[mg/g']]]-$AK$15)/$AK$15*100</f>
        <v>58.343119605438773</v>
      </c>
      <c r="AL241" s="18">
        <f>(Table2912[[#This Row],[CH4 '[ml/g']]]-AL$15)/AL$15*100</f>
        <v>21.810404014436781</v>
      </c>
      <c r="AM241" s="18">
        <f>(Table2912[[#This Row],[CH4 '[% GP']]]-AM$15)/AM$15*100</f>
        <v>6.6383625025815975</v>
      </c>
      <c r="AN241" s="18">
        <f>(Table2912[[#This Row],[CH4 '[g/g DDM']]]-AN$15)/AN$15*100</f>
        <v>20.497941143351078</v>
      </c>
      <c r="AO241" s="18"/>
      <c r="AP241" s="18"/>
      <c r="AR241">
        <f>_xlfn.NORM.DIST(Table2912[[#This Row],[GP '[ml/g']]],O$6,O$2,FALSE)</f>
        <v>6.1079885591619875E-3</v>
      </c>
      <c r="AS241">
        <f>_xlfn.NORM.DIST(Table2912[[#This Row],[SCFA '[mmol/g']]],P$6,P$2,FALSE)</f>
        <v>0.10662008130170182</v>
      </c>
      <c r="AT241">
        <f>_xlfn.NORM.DIST(Table2912[[#This Row],[Acetate '[%']]],Q$6,Q$2,FALSE)</f>
        <v>9.8940181490883248</v>
      </c>
      <c r="AU241">
        <f>_xlfn.NORM.DIST(Table2912[[#This Row],[Propionate '[%']]],R$6,R$2,FALSE)</f>
        <v>16.68737326292608</v>
      </c>
      <c r="AV241">
        <f>_xlfn.NORM.DIST(Table2912[[#This Row],[Butyrate '[%']]],S$6,S$2,FALSE)</f>
        <v>19.622606356031557</v>
      </c>
      <c r="AW241">
        <f>_xlfn.NORM.DIST(Table2912[[#This Row],[Valerate '[%']]],T$6,T$2,FALSE)</f>
        <v>76.476018324764937</v>
      </c>
      <c r="AX241">
        <f>_xlfn.NORM.DIST(Table2912[[#This Row],[Caproate '[%']]],U$6,U$2,FALSE)</f>
        <v>385.44704629490121</v>
      </c>
      <c r="AY241">
        <f>_xlfn.NORM.DIST(Table2912[[#This Row],[Isobutyrate '[%']]],V$6,V$2,FALSE)</f>
        <v>63.212087769832713</v>
      </c>
      <c r="AZ241">
        <f>_xlfn.NORM.DIST(Table2912[[#This Row],[Isovalerate '[%']]],W$6,W$2,FALSE)</f>
        <v>33.083629080212347</v>
      </c>
      <c r="BA241">
        <f>_xlfn.NORM.DIST(Table2912[[#This Row],[CH4 '[g/mmol SCFA']]],X$6,X$2,FALSE)</f>
        <v>0.27406041232953632</v>
      </c>
      <c r="BB241">
        <f>_xlfn.NORM.DIST(Table2912[[#This Row],[DMD '[mg/g']]],Y$6,Y$2,FALSE)</f>
        <v>2.9160463211180218E-3</v>
      </c>
      <c r="BC241">
        <f>_xlfn.NORM.DIST(Table2912[[#This Row],[CH4 '[ml/g']]],Z$6,Z$2,FALSE)</f>
        <v>2.8850669133734637E-2</v>
      </c>
      <c r="BD241">
        <f>_xlfn.NORM.DIST(Table2912[[#This Row],[CH4 '[% GP']]],AA$6,AA$2,FALSE)</f>
        <v>0.1329257442561968</v>
      </c>
      <c r="BE241">
        <f>_xlfn.NORM.DIST(Table2912[[#This Row],[CH4 '[g/g DDM']]],AB$6,AB$2,FALSE)</f>
        <v>2.5921647491394334E-2</v>
      </c>
      <c r="BG241">
        <f>IF(Table2912[[#This Row],[GP '[ml/g']]]&lt;O$10,_xlfn.NORM.DIST(Table2912[[#This Row],[GP '[ml/g']]],O$6,O$2,FALSE),-100)</f>
        <v>-100</v>
      </c>
      <c r="BH241">
        <f>IF(Table2912[[#This Row],[SCFA '[mmol/g']]]&lt;P$10,_xlfn.NORM.DIST(Table2912[[#This Row],[SCFA '[mmol/g']]],P$6,P$2,FALSE),-100)</f>
        <v>-100</v>
      </c>
      <c r="BI241">
        <f>IF(Table2912[[#This Row],[Acetate '[%']]]&lt;Q$10,_xlfn.NORM.DIST(Table2912[[#This Row],[Acetate '[%']]],Q$6,Q$2,FALSE),-100)</f>
        <v>-100</v>
      </c>
      <c r="BJ241">
        <f>IF(Table2912[[#This Row],[Propionate '[%']]]&lt;R$10,_xlfn.NORM.DIST(Table2912[[#This Row],[Propionate '[%']]],R$6,R$2,FALSE),-100)</f>
        <v>-100</v>
      </c>
      <c r="BK241">
        <f>IF(Table2912[[#This Row],[Butyrate '[%']]]&lt;S$10,_xlfn.NORM.DIST(Table2912[[#This Row],[Butyrate '[%']]],S$6,S$2,FALSE),-100)</f>
        <v>-100</v>
      </c>
      <c r="BL241">
        <f>IF(Table2912[[#This Row],[Valerate '[%']]]&lt;T$10,_xlfn.NORM.DIST(Table2912[[#This Row],[Valerate '[%']]],T$6,T$2,FALSE),-100)</f>
        <v>-100</v>
      </c>
      <c r="BM241">
        <f>IF(Table2912[[#This Row],[Caproate '[%']]]&lt;U$10,_xlfn.NORM.DIST(Table2912[[#This Row],[Caproate '[%']]],U$6,U$2,FALSE),-100)</f>
        <v>-100</v>
      </c>
      <c r="BN241">
        <f>IF(Table2912[[#This Row],[Isobutyrate '[%']]]&lt;V$10,_xlfn.NORM.DIST(Table2912[[#This Row],[Isobutyrate '[%']]],V$6,V$2,FALSE),-100)</f>
        <v>-100</v>
      </c>
      <c r="BO241">
        <f>IF(Table2912[[#This Row],[Isovalerate '[%']]]&lt;W$10,_xlfn.NORM.DIST(Table2912[[#This Row],[Isovalerate '[%']]],W$6,W$2,FALSE),-100)</f>
        <v>-100</v>
      </c>
      <c r="BP241">
        <f>IF(Table2912[[#This Row],[CH4 '[g/mmol SCFA']]]&lt;X$10,_xlfn.NORM.DIST(Table2912[[#This Row],[CH4 '[g/mmol SCFA']]],X$6,X$2,FALSE),-100)</f>
        <v>-100</v>
      </c>
      <c r="BQ241">
        <f>IF(Table2912[[#This Row],[DMD '[mg/g']]]&gt;Y$10,_xlfn.NORM.DIST(Table2912[[#This Row],[DMD '[mg/g']]],Y$6,Y$2,FALSE),-100)</f>
        <v>-100</v>
      </c>
      <c r="BR241">
        <f>IF(Table2912[[#This Row],[CH4 '[ml/g']]]&lt;Z$10,_xlfn.NORM.DIST(Table2912[[#This Row],[CH4 '[ml/g']]],Z$6,Z$2,FALSE),-100)</f>
        <v>-100</v>
      </c>
      <c r="BS241">
        <f>IF(Table2912[[#This Row],[CH4 '[% GP']]]&lt;AA$10,_xlfn.NORM.DIST(Table2912[[#This Row],[CH4 '[% GP']]],AA$6,AA$2,FALSE),-100)</f>
        <v>-100</v>
      </c>
      <c r="BT241">
        <f>IF(Table2912[[#This Row],[CH4 '[g/g DDM']]]&lt;AB$10,_xlfn.NORM.DIST(Table2912[[#This Row],[CH4 '[g/g DDM']]],AB$6,AB$2,FALSE),-100)</f>
        <v>-100</v>
      </c>
    </row>
    <row r="242" spans="1:72" x14ac:dyDescent="0.25">
      <c r="A242" s="12" t="s">
        <v>86</v>
      </c>
      <c r="B242" s="13">
        <v>1051</v>
      </c>
      <c r="C242" s="104" t="s">
        <v>302</v>
      </c>
      <c r="D242" s="104" t="s">
        <v>303</v>
      </c>
      <c r="E242" s="104" t="s">
        <v>304</v>
      </c>
      <c r="F242" s="104" t="s">
        <v>305</v>
      </c>
      <c r="G242" s="32" t="s">
        <v>73</v>
      </c>
      <c r="H242" s="32" t="s">
        <v>74</v>
      </c>
      <c r="I242" s="104" t="s">
        <v>106</v>
      </c>
      <c r="J242" s="100">
        <v>2</v>
      </c>
      <c r="K242" s="100"/>
      <c r="L242" s="100"/>
      <c r="M242" t="s">
        <v>305</v>
      </c>
      <c r="N242" t="s">
        <v>98</v>
      </c>
      <c r="O242" s="18">
        <v>228.30997375328087</v>
      </c>
      <c r="P242" s="18">
        <v>6.1064544107775482</v>
      </c>
      <c r="Q242" s="97">
        <v>0.68948255507345602</v>
      </c>
      <c r="R242" s="97">
        <v>0.16218234285271974</v>
      </c>
      <c r="S242" s="97">
        <v>7.1783018091211181E-2</v>
      </c>
      <c r="T242" s="97">
        <v>2.0558249528376177E-2</v>
      </c>
      <c r="U242" s="97">
        <v>1.2440128328430502E-3</v>
      </c>
      <c r="V242" s="97">
        <v>1.9336389401028886E-2</v>
      </c>
      <c r="W242" s="97">
        <v>3.5413432220364895E-2</v>
      </c>
      <c r="X242" s="51">
        <f t="shared" si="17"/>
        <v>5.894854467145537</v>
      </c>
      <c r="Y242" s="18">
        <v>776.87484577248335</v>
      </c>
      <c r="Z242" s="18">
        <v>35.996660061792596</v>
      </c>
      <c r="AA242" s="18">
        <f t="shared" si="18"/>
        <v>15.766573606062323</v>
      </c>
      <c r="AB242" s="18">
        <f t="shared" si="19"/>
        <v>46.335211208955307</v>
      </c>
      <c r="AC242" s="18">
        <f>$CP$15*Table2912[[#This Row],[DMD '[mg/g']]]+$CS$15*Table2912[[#This Row],[CH4 '[ml/g']]]+$CR$15*Table2912[[#This Row],[CH4 '[% GP']]]+$CQ$15*Table2912[[#This Row],[CH4 '[g/g DDM']]]</f>
        <v>17.194197912298215</v>
      </c>
      <c r="AD242" s="18">
        <f>_xlfn.RANK.AVG(Table2912[[#This Row],[Index]],Table2912[Index])</f>
        <v>225</v>
      </c>
      <c r="AE24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5.6389925998877075</v>
      </c>
      <c r="AF242" s="18">
        <f>Table2912[[#This Row],[CH4 '[ml/g']]]/Table2912[[#This Row],[APB]]</f>
        <v>6.3835267424378994</v>
      </c>
      <c r="AG242" s="18">
        <f>Table2912[[#This Row],[Propionate '[%']]]/Table2912[[#This Row],[Acetate '[%']]]</f>
        <v>0.23522327237915566</v>
      </c>
      <c r="AH242" s="51"/>
      <c r="AI242" s="18"/>
      <c r="AJ242" s="18"/>
      <c r="AK242" s="18">
        <f>(Table2912[[#This Row],[DMD '[mg/g']]]-$AK$15)/$AK$15*100</f>
        <v>58.452393431489092</v>
      </c>
      <c r="AL242" s="18">
        <f>(Table2912[[#This Row],[CH4 '[ml/g']]]-AL$15)/AL$15*100</f>
        <v>-8.4804490702832567</v>
      </c>
      <c r="AM242" s="18">
        <f>(Table2912[[#This Row],[CH4 '[% GP']]]-AM$15)/AM$15*100</f>
        <v>1.5733426956228775</v>
      </c>
      <c r="AN242" s="18">
        <f>(Table2912[[#This Row],[CH4 '[g/g DDM']]]-AN$15)/AN$15*100</f>
        <v>-9.5289737619322086</v>
      </c>
      <c r="AO242" s="18"/>
      <c r="AP242" s="18"/>
      <c r="AR242">
        <f>_xlfn.NORM.DIST(Table2912[[#This Row],[GP '[ml/g']]],O$6,O$2,FALSE)</f>
        <v>6.5690452860952698E-3</v>
      </c>
      <c r="AS242">
        <f>_xlfn.NORM.DIST(Table2912[[#This Row],[SCFA '[mmol/g']]],P$6,P$2,FALSE)</f>
        <v>0.31192189259486602</v>
      </c>
      <c r="AT242">
        <f>_xlfn.NORM.DIST(Table2912[[#This Row],[Acetate '[%']]],Q$6,Q$2,FALSE)</f>
        <v>11.888667148518413</v>
      </c>
      <c r="AU242">
        <f>_xlfn.NORM.DIST(Table2912[[#This Row],[Propionate '[%']]],R$6,R$2,FALSE)</f>
        <v>15.452387624195245</v>
      </c>
      <c r="AV242">
        <f>_xlfn.NORM.DIST(Table2912[[#This Row],[Butyrate '[%']]],S$6,S$2,FALSE)</f>
        <v>10.937954228564655</v>
      </c>
      <c r="AW242">
        <f>_xlfn.NORM.DIST(Table2912[[#This Row],[Valerate '[%']]],T$6,T$2,FALSE)</f>
        <v>66.072404878011668</v>
      </c>
      <c r="AX242">
        <f>_xlfn.NORM.DIST(Table2912[[#This Row],[Caproate '[%']]],U$6,U$2,FALSE)</f>
        <v>405.23924187893994</v>
      </c>
      <c r="AY242">
        <f>_xlfn.NORM.DIST(Table2912[[#This Row],[Isobutyrate '[%']]],V$6,V$2,FALSE)</f>
        <v>59.688832934126815</v>
      </c>
      <c r="AZ242">
        <f>_xlfn.NORM.DIST(Table2912[[#This Row],[Isovalerate '[%']]],W$6,W$2,FALSE)</f>
        <v>31.48994676423354</v>
      </c>
      <c r="BA242">
        <f>_xlfn.NORM.DIST(Table2912[[#This Row],[CH4 '[g/mmol SCFA']]],X$6,X$2,FALSE)</f>
        <v>0.28522958307822499</v>
      </c>
      <c r="BB242">
        <f>_xlfn.NORM.DIST(Table2912[[#This Row],[DMD '[mg/g']]],Y$6,Y$2,FALSE)</f>
        <v>2.9159953896612419E-3</v>
      </c>
      <c r="BC242">
        <f>_xlfn.NORM.DIST(Table2912[[#This Row],[CH4 '[ml/g']]],Z$6,Z$2,FALSE)</f>
        <v>3.0229727739493145E-2</v>
      </c>
      <c r="BD242">
        <f>_xlfn.NORM.DIST(Table2912[[#This Row],[CH4 '[% GP']]],AA$6,AA$2,FALSE)</f>
        <v>0.13401952559596358</v>
      </c>
      <c r="BE242">
        <f>_xlfn.NORM.DIST(Table2912[[#This Row],[CH4 '[g/g DDM']]],AB$6,AB$2,FALSE)</f>
        <v>2.7798319595334936E-2</v>
      </c>
      <c r="BG242">
        <f>IF(Table2912[[#This Row],[GP '[ml/g']]]&lt;O$10,_xlfn.NORM.DIST(Table2912[[#This Row],[GP '[ml/g']]],O$6,O$2,FALSE),-100)</f>
        <v>-100</v>
      </c>
      <c r="BH242">
        <f>IF(Table2912[[#This Row],[SCFA '[mmol/g']]]&lt;P$10,_xlfn.NORM.DIST(Table2912[[#This Row],[SCFA '[mmol/g']]],P$6,P$2,FALSE),-100)</f>
        <v>-100</v>
      </c>
      <c r="BI242">
        <f>IF(Table2912[[#This Row],[Acetate '[%']]]&lt;Q$10,_xlfn.NORM.DIST(Table2912[[#This Row],[Acetate '[%']]],Q$6,Q$2,FALSE),-100)</f>
        <v>-100</v>
      </c>
      <c r="BJ242">
        <f>IF(Table2912[[#This Row],[Propionate '[%']]]&lt;R$10,_xlfn.NORM.DIST(Table2912[[#This Row],[Propionate '[%']]],R$6,R$2,FALSE),-100)</f>
        <v>-100</v>
      </c>
      <c r="BK242">
        <f>IF(Table2912[[#This Row],[Butyrate '[%']]]&lt;S$10,_xlfn.NORM.DIST(Table2912[[#This Row],[Butyrate '[%']]],S$6,S$2,FALSE),-100)</f>
        <v>10.937954228564655</v>
      </c>
      <c r="BL242">
        <f>IF(Table2912[[#This Row],[Valerate '[%']]]&lt;T$10,_xlfn.NORM.DIST(Table2912[[#This Row],[Valerate '[%']]],T$6,T$2,FALSE),-100)</f>
        <v>-100</v>
      </c>
      <c r="BM242">
        <f>IF(Table2912[[#This Row],[Caproate '[%']]]&lt;U$10,_xlfn.NORM.DIST(Table2912[[#This Row],[Caproate '[%']]],U$6,U$2,FALSE),-100)</f>
        <v>-100</v>
      </c>
      <c r="BN242">
        <f>IF(Table2912[[#This Row],[Isobutyrate '[%']]]&lt;V$10,_xlfn.NORM.DIST(Table2912[[#This Row],[Isobutyrate '[%']]],V$6,V$2,FALSE),-100)</f>
        <v>-100</v>
      </c>
      <c r="BO242">
        <f>IF(Table2912[[#This Row],[Isovalerate '[%']]]&lt;W$10,_xlfn.NORM.DIST(Table2912[[#This Row],[Isovalerate '[%']]],W$6,W$2,FALSE),-100)</f>
        <v>-100</v>
      </c>
      <c r="BP242">
        <f>IF(Table2912[[#This Row],[CH4 '[g/mmol SCFA']]]&lt;X$10,_xlfn.NORM.DIST(Table2912[[#This Row],[CH4 '[g/mmol SCFA']]],X$6,X$2,FALSE),-100)</f>
        <v>-100</v>
      </c>
      <c r="BQ242">
        <f>IF(Table2912[[#This Row],[DMD '[mg/g']]]&gt;Y$10,_xlfn.NORM.DIST(Table2912[[#This Row],[DMD '[mg/g']]],Y$6,Y$2,FALSE),-100)</f>
        <v>-100</v>
      </c>
      <c r="BR242">
        <f>IF(Table2912[[#This Row],[CH4 '[ml/g']]]&lt;Z$10,_xlfn.NORM.DIST(Table2912[[#This Row],[CH4 '[ml/g']]],Z$6,Z$2,FALSE),-100)</f>
        <v>-100</v>
      </c>
      <c r="BS242">
        <f>IF(Table2912[[#This Row],[CH4 '[% GP']]]&lt;AA$10,_xlfn.NORM.DIST(Table2912[[#This Row],[CH4 '[% GP']]],AA$6,AA$2,FALSE),-100)</f>
        <v>-100</v>
      </c>
      <c r="BT242">
        <f>IF(Table2912[[#This Row],[CH4 '[g/g DDM']]]&lt;AB$10,_xlfn.NORM.DIST(Table2912[[#This Row],[CH4 '[g/g DDM']]],AB$6,AB$2,FALSE),-100)</f>
        <v>-100</v>
      </c>
    </row>
    <row r="243" spans="1:72" x14ac:dyDescent="0.25">
      <c r="A243" s="12" t="s">
        <v>200</v>
      </c>
      <c r="B243" s="13">
        <v>1261</v>
      </c>
      <c r="C243" s="113" t="s">
        <v>326</v>
      </c>
      <c r="D243" s="113" t="s">
        <v>327</v>
      </c>
      <c r="E243" s="113" t="s">
        <v>328</v>
      </c>
      <c r="F243" s="114" t="s">
        <v>329</v>
      </c>
      <c r="G243" t="s">
        <v>73</v>
      </c>
      <c r="H243" t="s">
        <v>74</v>
      </c>
      <c r="I243" t="s">
        <v>75</v>
      </c>
      <c r="J243" s="107">
        <v>2</v>
      </c>
      <c r="K243" s="107"/>
      <c r="L243" s="107"/>
      <c r="M243" t="s">
        <v>330</v>
      </c>
      <c r="N243" t="s">
        <v>208</v>
      </c>
      <c r="O243" s="18">
        <v>250.37755819060175</v>
      </c>
      <c r="P243" s="18">
        <v>5.3481005709266576</v>
      </c>
      <c r="Q243" s="97">
        <v>0.71198570902221592</v>
      </c>
      <c r="R243" s="97">
        <v>0.15544210934109359</v>
      </c>
      <c r="S243" s="97">
        <v>8.0744918771210011E-2</v>
      </c>
      <c r="T243" s="97">
        <v>1.4773456614727341E-2</v>
      </c>
      <c r="U243" s="97">
        <v>1.5075750959203457E-4</v>
      </c>
      <c r="V243" s="97">
        <v>1.3194396961021256E-2</v>
      </c>
      <c r="W243" s="97">
        <v>2.370865178013986E-2</v>
      </c>
      <c r="X243" s="51">
        <f t="shared" si="17"/>
        <v>7.4736045075117357</v>
      </c>
      <c r="Y243" s="18">
        <v>777.11901624945097</v>
      </c>
      <c r="Z243" s="18">
        <v>39.969588533503554</v>
      </c>
      <c r="AA243" s="18">
        <f t="shared" si="18"/>
        <v>15.963726470675304</v>
      </c>
      <c r="AB243" s="18">
        <f t="shared" si="19"/>
        <v>51.43303367662481</v>
      </c>
      <c r="AC243" s="18">
        <f>$CP$15*Table2912[[#This Row],[DMD '[mg/g']]]+$CS$15*Table2912[[#This Row],[CH4 '[ml/g']]]+$CR$15*Table2912[[#This Row],[CH4 '[% GP']]]+$CQ$15*Table2912[[#This Row],[CH4 '[g/g DDM']]]</f>
        <v>14.991650475328093</v>
      </c>
      <c r="AD243" s="18">
        <f>_xlfn.RANK.AVG(Table2912[[#This Row],[Index]],Table2912[Index])</f>
        <v>269</v>
      </c>
      <c r="AE24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5.0709231568062156</v>
      </c>
      <c r="AF243" s="18">
        <f>Table2912[[#This Row],[CH4 '[ml/g']]]/Table2912[[#This Row],[APB]]</f>
        <v>7.8821128416935666</v>
      </c>
      <c r="AG243" s="18">
        <f>Table2912[[#This Row],[Propionate '[%']]]/Table2912[[#This Row],[Acetate '[%']]]</f>
        <v>0.2183219513697337</v>
      </c>
      <c r="AH243" s="51"/>
      <c r="AI243" s="18"/>
      <c r="AJ243" s="18"/>
      <c r="AK243" s="18">
        <f>(Table2912[[#This Row],[DMD '[mg/g']]]-$AK$15)/$AK$15*100</f>
        <v>58.502194756234459</v>
      </c>
      <c r="AL243" s="18">
        <f>(Table2912[[#This Row],[CH4 '[ml/g']]]-AL$15)/AL$15*100</f>
        <v>1.62050554558134</v>
      </c>
      <c r="AM243" s="18">
        <f>(Table2912[[#This Row],[CH4 '[% GP']]]-AM$15)/AM$15*100</f>
        <v>2.8434649162845811</v>
      </c>
      <c r="AN243" s="18">
        <f>(Table2912[[#This Row],[CH4 '[g/g DDM']]]-AN$15)/AN$15*100</f>
        <v>0.42469253624581516</v>
      </c>
      <c r="AO243" s="18"/>
      <c r="AP243" s="18"/>
      <c r="AR243">
        <f>_xlfn.NORM.DIST(Table2912[[#This Row],[GP '[ml/g']]],O$6,O$2,FALSE)</f>
        <v>7.4455841451844355E-3</v>
      </c>
      <c r="AS243">
        <f>_xlfn.NORM.DIST(Table2912[[#This Row],[SCFA '[mmol/g']]],P$6,P$2,FALSE)</f>
        <v>0.2034308247717842</v>
      </c>
      <c r="AT243">
        <f>_xlfn.NORM.DIST(Table2912[[#This Row],[Acetate '[%']]],Q$6,Q$2,FALSE)</f>
        <v>5.515248747840408</v>
      </c>
      <c r="AU243">
        <f>_xlfn.NORM.DIST(Table2912[[#This Row],[Propionate '[%']]],R$6,R$2,FALSE)</f>
        <v>13.221984360866939</v>
      </c>
      <c r="AV243">
        <f>_xlfn.NORM.DIST(Table2912[[#This Row],[Butyrate '[%']]],S$6,S$2,FALSE)</f>
        <v>17.988521122244023</v>
      </c>
      <c r="AW243">
        <f>_xlfn.NORM.DIST(Table2912[[#This Row],[Valerate '[%']]],T$6,T$2,FALSE)</f>
        <v>66.170391411158889</v>
      </c>
      <c r="AX243">
        <f>_xlfn.NORM.DIST(Table2912[[#This Row],[Caproate '[%']]],U$6,U$2,FALSE)</f>
        <v>196.65850399192755</v>
      </c>
      <c r="AY243">
        <f>_xlfn.NORM.DIST(Table2912[[#This Row],[Isobutyrate '[%']]],V$6,V$2,FALSE)</f>
        <v>80.354210280103786</v>
      </c>
      <c r="AZ243">
        <f>_xlfn.NORM.DIST(Table2912[[#This Row],[Isovalerate '[%']]],W$6,W$2,FALSE)</f>
        <v>40.549849784342101</v>
      </c>
      <c r="BA243">
        <f>_xlfn.NORM.DIST(Table2912[[#This Row],[CH4 '[g/mmol SCFA']]],X$6,X$2,FALSE)</f>
        <v>0.20054269153419491</v>
      </c>
      <c r="BB243">
        <f>_xlfn.NORM.DIST(Table2912[[#This Row],[DMD '[mg/g']]],Y$6,Y$2,FALSE)</f>
        <v>2.9159573435980769E-3</v>
      </c>
      <c r="BC243">
        <f>_xlfn.NORM.DIST(Table2912[[#This Row],[CH4 '[ml/g']]],Z$6,Z$2,FALSE)</f>
        <v>3.3265745348566793E-2</v>
      </c>
      <c r="BD243">
        <f>_xlfn.NORM.DIST(Table2912[[#This Row],[CH4 '[% GP']]],AA$6,AA$2,FALSE)</f>
        <v>0.13463292556108039</v>
      </c>
      <c r="BE243">
        <f>_xlfn.NORM.DIST(Table2912[[#This Row],[CH4 '[g/g DDM']]],AB$6,AB$2,FALSE)</f>
        <v>3.2443581720873881E-2</v>
      </c>
      <c r="BG243">
        <f>IF(Table2912[[#This Row],[GP '[ml/g']]]&lt;O$10,_xlfn.NORM.DIST(Table2912[[#This Row],[GP '[ml/g']]],O$6,O$2,FALSE),-100)</f>
        <v>-100</v>
      </c>
      <c r="BH243">
        <f>IF(Table2912[[#This Row],[SCFA '[mmol/g']]]&lt;P$10,_xlfn.NORM.DIST(Table2912[[#This Row],[SCFA '[mmol/g']]],P$6,P$2,FALSE),-100)</f>
        <v>-100</v>
      </c>
      <c r="BI243">
        <f>IF(Table2912[[#This Row],[Acetate '[%']]]&lt;Q$10,_xlfn.NORM.DIST(Table2912[[#This Row],[Acetate '[%']]],Q$6,Q$2,FALSE),-100)</f>
        <v>-100</v>
      </c>
      <c r="BJ243">
        <f>IF(Table2912[[#This Row],[Propionate '[%']]]&lt;R$10,_xlfn.NORM.DIST(Table2912[[#This Row],[Propionate '[%']]],R$6,R$2,FALSE),-100)</f>
        <v>-100</v>
      </c>
      <c r="BK243">
        <f>IF(Table2912[[#This Row],[Butyrate '[%']]]&lt;S$10,_xlfn.NORM.DIST(Table2912[[#This Row],[Butyrate '[%']]],S$6,S$2,FALSE),-100)</f>
        <v>-100</v>
      </c>
      <c r="BL243">
        <f>IF(Table2912[[#This Row],[Valerate '[%']]]&lt;T$10,_xlfn.NORM.DIST(Table2912[[#This Row],[Valerate '[%']]],T$6,T$2,FALSE),-100)</f>
        <v>-100</v>
      </c>
      <c r="BM243">
        <f>IF(Table2912[[#This Row],[Caproate '[%']]]&lt;U$10,_xlfn.NORM.DIST(Table2912[[#This Row],[Caproate '[%']]],U$6,U$2,FALSE),-100)</f>
        <v>196.65850399192755</v>
      </c>
      <c r="BN243">
        <f>IF(Table2912[[#This Row],[Isobutyrate '[%']]]&lt;V$10,_xlfn.NORM.DIST(Table2912[[#This Row],[Isobutyrate '[%']]],V$6,V$2,FALSE),-100)</f>
        <v>-100</v>
      </c>
      <c r="BO243">
        <f>IF(Table2912[[#This Row],[Isovalerate '[%']]]&lt;W$10,_xlfn.NORM.DIST(Table2912[[#This Row],[Isovalerate '[%']]],W$6,W$2,FALSE),-100)</f>
        <v>-100</v>
      </c>
      <c r="BP243">
        <f>IF(Table2912[[#This Row],[CH4 '[g/mmol SCFA']]]&lt;X$10,_xlfn.NORM.DIST(Table2912[[#This Row],[CH4 '[g/mmol SCFA']]],X$6,X$2,FALSE),-100)</f>
        <v>-100</v>
      </c>
      <c r="BQ243">
        <f>IF(Table2912[[#This Row],[DMD '[mg/g']]]&gt;Y$10,_xlfn.NORM.DIST(Table2912[[#This Row],[DMD '[mg/g']]],Y$6,Y$2,FALSE),-100)</f>
        <v>-100</v>
      </c>
      <c r="BR243">
        <f>IF(Table2912[[#This Row],[CH4 '[ml/g']]]&lt;Z$10,_xlfn.NORM.DIST(Table2912[[#This Row],[CH4 '[ml/g']]],Z$6,Z$2,FALSE),-100)</f>
        <v>-100</v>
      </c>
      <c r="BS243">
        <f>IF(Table2912[[#This Row],[CH4 '[% GP']]]&lt;AA$10,_xlfn.NORM.DIST(Table2912[[#This Row],[CH4 '[% GP']]],AA$6,AA$2,FALSE),-100)</f>
        <v>-100</v>
      </c>
      <c r="BT243">
        <f>IF(Table2912[[#This Row],[CH4 '[g/g DDM']]]&lt;AB$10,_xlfn.NORM.DIST(Table2912[[#This Row],[CH4 '[g/g DDM']]],AB$6,AB$2,FALSE),-100)</f>
        <v>-100</v>
      </c>
    </row>
    <row r="244" spans="1:72" x14ac:dyDescent="0.25">
      <c r="A244" s="12" t="s">
        <v>200</v>
      </c>
      <c r="B244" s="13">
        <v>1143</v>
      </c>
      <c r="C244" s="117" t="s">
        <v>270</v>
      </c>
      <c r="D244" s="117" t="s">
        <v>233</v>
      </c>
      <c r="E244" s="117" t="s">
        <v>234</v>
      </c>
      <c r="F244" s="117" t="s">
        <v>235</v>
      </c>
      <c r="G244" t="s">
        <v>73</v>
      </c>
      <c r="H244" t="s">
        <v>74</v>
      </c>
      <c r="I244" t="s">
        <v>75</v>
      </c>
      <c r="J244" s="70">
        <v>1</v>
      </c>
      <c r="K244" s="70"/>
      <c r="L244" s="70"/>
      <c r="M244" t="s">
        <v>271</v>
      </c>
      <c r="N244" t="s">
        <v>171</v>
      </c>
      <c r="O244" s="18">
        <v>267.74151234567881</v>
      </c>
      <c r="P244" s="18">
        <v>6.540806790474786</v>
      </c>
      <c r="Q244" s="97">
        <v>0.69235847310824306</v>
      </c>
      <c r="R244" s="97">
        <v>0.15921769254607518</v>
      </c>
      <c r="S244" s="97">
        <v>9.2106599057973054E-2</v>
      </c>
      <c r="T244" s="97">
        <v>1.4952977424795025E-2</v>
      </c>
      <c r="U244" s="97">
        <v>1.0570070930058211E-3</v>
      </c>
      <c r="V244" s="97">
        <v>1.4144479278111272E-2</v>
      </c>
      <c r="W244" s="97">
        <v>2.6162771491796549E-2</v>
      </c>
      <c r="X244" s="51">
        <f t="shared" si="17"/>
        <v>7.0690714866304285</v>
      </c>
      <c r="Y244" s="18">
        <v>778.8954411630375</v>
      </c>
      <c r="Z244" s="18">
        <v>46.237430782103999</v>
      </c>
      <c r="AA244" s="18">
        <f t="shared" si="18"/>
        <v>17.26942915090703</v>
      </c>
      <c r="AB244" s="18">
        <f t="shared" si="19"/>
        <v>59.362821167707452</v>
      </c>
      <c r="AC244" s="18">
        <f>$CP$15*Table2912[[#This Row],[DMD '[mg/g']]]+$CS$15*Table2912[[#This Row],[CH4 '[ml/g']]]+$CR$15*Table2912[[#This Row],[CH4 '[% GP']]]+$CQ$15*Table2912[[#This Row],[CH4 '[g/g DDM']]]</f>
        <v>11.391881055791131</v>
      </c>
      <c r="AD244" s="18">
        <f>_xlfn.RANK.AVG(Table2912[[#This Row],[Index]],Table2912[Index])</f>
        <v>338</v>
      </c>
      <c r="AE24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6.1724466354841745</v>
      </c>
      <c r="AF244" s="18">
        <f>Table2912[[#This Row],[CH4 '[ml/g']]]/Table2912[[#This Row],[APB]]</f>
        <v>7.490940547998286</v>
      </c>
      <c r="AG244" s="18">
        <f>Table2912[[#This Row],[Propionate '[%']]]/Table2912[[#This Row],[Acetate '[%']]]</f>
        <v>0.22996424356777265</v>
      </c>
      <c r="AH244" s="51"/>
      <c r="AI244" s="18"/>
      <c r="AJ244" s="18"/>
      <c r="AK244" s="18">
        <f>(Table2912[[#This Row],[DMD '[mg/g']]]-$AK$15)/$AK$15*100</f>
        <v>58.864516667982322</v>
      </c>
      <c r="AL244" s="18">
        <f>(Table2912[[#This Row],[CH4 '[ml/g']]]-AL$15)/AL$15*100</f>
        <v>17.55615365586473</v>
      </c>
      <c r="AM244" s="18">
        <f>(Table2912[[#This Row],[CH4 '[% GP']]]-AM$15)/AM$15*100</f>
        <v>11.255221910002959</v>
      </c>
      <c r="AN244" s="18">
        <f>(Table2912[[#This Row],[CH4 '[g/g DDM']]]-AN$15)/AN$15*100</f>
        <v>15.907863831888532</v>
      </c>
      <c r="AO244" s="18"/>
      <c r="AP244" s="18"/>
      <c r="AR244">
        <f>_xlfn.NORM.DIST(Table2912[[#This Row],[GP '[ml/g']]],O$6,O$2,FALSE)</f>
        <v>7.2850995923975986E-3</v>
      </c>
      <c r="AS244">
        <f>_xlfn.NORM.DIST(Table2912[[#This Row],[SCFA '[mmol/g']]],P$6,P$2,FALSE)</f>
        <v>0.33274235264659335</v>
      </c>
      <c r="AT244">
        <f>_xlfn.NORM.DIST(Table2912[[#This Row],[Acetate '[%']]],Q$6,Q$2,FALSE)</f>
        <v>11.159783230476952</v>
      </c>
      <c r="AU244">
        <f>_xlfn.NORM.DIST(Table2912[[#This Row],[Propionate '[%']]],R$6,R$2,FALSE)</f>
        <v>14.572174956373951</v>
      </c>
      <c r="AV244">
        <f>_xlfn.NORM.DIST(Table2912[[#This Row],[Butyrate '[%']]],S$6,S$2,FALSE)</f>
        <v>23.004563020784275</v>
      </c>
      <c r="AW244">
        <f>_xlfn.NORM.DIST(Table2912[[#This Row],[Valerate '[%']]],T$6,T$2,FALSE)</f>
        <v>67.432236577527064</v>
      </c>
      <c r="AX244">
        <f>_xlfn.NORM.DIST(Table2912[[#This Row],[Caproate '[%']]],U$6,U$2,FALSE)</f>
        <v>391.09924970297106</v>
      </c>
      <c r="AY244">
        <f>_xlfn.NORM.DIST(Table2912[[#This Row],[Isobutyrate '[%']]],V$6,V$2,FALSE)</f>
        <v>87.044673476012747</v>
      </c>
      <c r="AZ244">
        <f>_xlfn.NORM.DIST(Table2912[[#This Row],[Isovalerate '[%']]],W$6,W$2,FALSE)</f>
        <v>44.55447441241752</v>
      </c>
      <c r="BA244">
        <f>_xlfn.NORM.DIST(Table2912[[#This Row],[CH4 '[g/mmol SCFA']]],X$6,X$2,FALSE)</f>
        <v>0.25045644759618768</v>
      </c>
      <c r="BB244">
        <f>_xlfn.NORM.DIST(Table2912[[#This Row],[DMD '[mg/g']]],Y$6,Y$2,FALSE)</f>
        <v>2.9154009926842372E-3</v>
      </c>
      <c r="BC244">
        <f>_xlfn.NORM.DIST(Table2912[[#This Row],[CH4 '[ml/g']]],Z$6,Z$2,FALSE)</f>
        <v>3.0849716718211108E-2</v>
      </c>
      <c r="BD244">
        <f>_xlfn.NORM.DIST(Table2912[[#This Row],[CH4 '[% GP']]],AA$6,AA$2,FALSE)</f>
        <v>0.12407848238192207</v>
      </c>
      <c r="BE244">
        <f>_xlfn.NORM.DIST(Table2912[[#This Row],[CH4 '[g/g DDM']]],AB$6,AB$2,FALSE)</f>
        <v>2.9066984433553145E-2</v>
      </c>
      <c r="BG244">
        <f>IF(Table2912[[#This Row],[GP '[ml/g']]]&lt;O$10,_xlfn.NORM.DIST(Table2912[[#This Row],[GP '[ml/g']]],O$6,O$2,FALSE),-100)</f>
        <v>-100</v>
      </c>
      <c r="BH244">
        <f>IF(Table2912[[#This Row],[SCFA '[mmol/g']]]&lt;P$10,_xlfn.NORM.DIST(Table2912[[#This Row],[SCFA '[mmol/g']]],P$6,P$2,FALSE),-100)</f>
        <v>-100</v>
      </c>
      <c r="BI244">
        <f>IF(Table2912[[#This Row],[Acetate '[%']]]&lt;Q$10,_xlfn.NORM.DIST(Table2912[[#This Row],[Acetate '[%']]],Q$6,Q$2,FALSE),-100)</f>
        <v>-100</v>
      </c>
      <c r="BJ244">
        <f>IF(Table2912[[#This Row],[Propionate '[%']]]&lt;R$10,_xlfn.NORM.DIST(Table2912[[#This Row],[Propionate '[%']]],R$6,R$2,FALSE),-100)</f>
        <v>-100</v>
      </c>
      <c r="BK244">
        <f>IF(Table2912[[#This Row],[Butyrate '[%']]]&lt;S$10,_xlfn.NORM.DIST(Table2912[[#This Row],[Butyrate '[%']]],S$6,S$2,FALSE),-100)</f>
        <v>-100</v>
      </c>
      <c r="BL244">
        <f>IF(Table2912[[#This Row],[Valerate '[%']]]&lt;T$10,_xlfn.NORM.DIST(Table2912[[#This Row],[Valerate '[%']]],T$6,T$2,FALSE),-100)</f>
        <v>-100</v>
      </c>
      <c r="BM244">
        <f>IF(Table2912[[#This Row],[Caproate '[%']]]&lt;U$10,_xlfn.NORM.DIST(Table2912[[#This Row],[Caproate '[%']]],U$6,U$2,FALSE),-100)</f>
        <v>-100</v>
      </c>
      <c r="BN244">
        <f>IF(Table2912[[#This Row],[Isobutyrate '[%']]]&lt;V$10,_xlfn.NORM.DIST(Table2912[[#This Row],[Isobutyrate '[%']]],V$6,V$2,FALSE),-100)</f>
        <v>-100</v>
      </c>
      <c r="BO244">
        <f>IF(Table2912[[#This Row],[Isovalerate '[%']]]&lt;W$10,_xlfn.NORM.DIST(Table2912[[#This Row],[Isovalerate '[%']]],W$6,W$2,FALSE),-100)</f>
        <v>-100</v>
      </c>
      <c r="BP244">
        <f>IF(Table2912[[#This Row],[CH4 '[g/mmol SCFA']]]&lt;X$10,_xlfn.NORM.DIST(Table2912[[#This Row],[CH4 '[g/mmol SCFA']]],X$6,X$2,FALSE),-100)</f>
        <v>-100</v>
      </c>
      <c r="BQ244">
        <f>IF(Table2912[[#This Row],[DMD '[mg/g']]]&gt;Y$10,_xlfn.NORM.DIST(Table2912[[#This Row],[DMD '[mg/g']]],Y$6,Y$2,FALSE),-100)</f>
        <v>-100</v>
      </c>
      <c r="BR244">
        <f>IF(Table2912[[#This Row],[CH4 '[ml/g']]]&lt;Z$10,_xlfn.NORM.DIST(Table2912[[#This Row],[CH4 '[ml/g']]],Z$6,Z$2,FALSE),-100)</f>
        <v>-100</v>
      </c>
      <c r="BS244">
        <f>IF(Table2912[[#This Row],[CH4 '[% GP']]]&lt;AA$10,_xlfn.NORM.DIST(Table2912[[#This Row],[CH4 '[% GP']]],AA$6,AA$2,FALSE),-100)</f>
        <v>-100</v>
      </c>
      <c r="BT244">
        <f>IF(Table2912[[#This Row],[CH4 '[g/g DDM']]]&lt;AB$10,_xlfn.NORM.DIST(Table2912[[#This Row],[CH4 '[g/g DDM']]],AB$6,AB$2,FALSE),-100)</f>
        <v>-100</v>
      </c>
    </row>
    <row r="245" spans="1:72" x14ac:dyDescent="0.25">
      <c r="A245" s="12" t="s">
        <v>86</v>
      </c>
      <c r="B245" s="13">
        <v>1082</v>
      </c>
      <c r="C245" s="104" t="s">
        <v>331</v>
      </c>
      <c r="D245" s="104" t="s">
        <v>164</v>
      </c>
      <c r="E245" s="104" t="s">
        <v>332</v>
      </c>
      <c r="F245" s="104" t="s">
        <v>333</v>
      </c>
      <c r="G245" s="32" t="s">
        <v>143</v>
      </c>
      <c r="H245" s="32" t="s">
        <v>144</v>
      </c>
      <c r="I245" s="32" t="s">
        <v>52</v>
      </c>
      <c r="J245" s="100">
        <v>2</v>
      </c>
      <c r="K245" s="100"/>
      <c r="L245" s="100"/>
      <c r="M245" t="s">
        <v>333</v>
      </c>
      <c r="N245" t="s">
        <v>99</v>
      </c>
      <c r="O245" s="18">
        <v>274.04270282186911</v>
      </c>
      <c r="P245" s="18">
        <v>6.5293979298723528</v>
      </c>
      <c r="Q245" s="97">
        <v>0.66770019996217944</v>
      </c>
      <c r="R245" s="97">
        <v>0.21446156664186361</v>
      </c>
      <c r="S245" s="97">
        <v>8.6881385629029584E-2</v>
      </c>
      <c r="T245" s="97">
        <v>1.3509077624873269E-2</v>
      </c>
      <c r="U245" s="97">
        <v>6.240984341987063E-4</v>
      </c>
      <c r="V245" s="97">
        <v>6.2910038283790909E-3</v>
      </c>
      <c r="W245" s="97">
        <v>1.0532667879476276E-2</v>
      </c>
      <c r="X245" s="51">
        <f t="shared" si="17"/>
        <v>7.1161304385498614</v>
      </c>
      <c r="Y245" s="18">
        <v>781.74734140080659</v>
      </c>
      <c r="Z245" s="18">
        <v>46.464047354169104</v>
      </c>
      <c r="AA245" s="18">
        <f t="shared" si="18"/>
        <v>16.955039078114503</v>
      </c>
      <c r="AB245" s="18">
        <f t="shared" si="19"/>
        <v>59.436143742952247</v>
      </c>
      <c r="AC245" s="18">
        <f>$CP$15*Table2912[[#This Row],[DMD '[mg/g']]]+$CS$15*Table2912[[#This Row],[CH4 '[ml/g']]]+$CR$15*Table2912[[#This Row],[CH4 '[% GP']]]+$CQ$15*Table2912[[#This Row],[CH4 '[g/g DDM']]]</f>
        <v>11.708005900051738</v>
      </c>
      <c r="AD245" s="18">
        <f>_xlfn.RANK.AVG(Table2912[[#This Row],[Index]],Table2912[Index])</f>
        <v>327</v>
      </c>
      <c r="AE24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6.3272683521476036</v>
      </c>
      <c r="AF245" s="18">
        <f>Table2912[[#This Row],[CH4 '[ml/g']]]/Table2912[[#This Row],[APB]]</f>
        <v>7.3434608377876467</v>
      </c>
      <c r="AG245" s="18">
        <f>Table2912[[#This Row],[Propionate '[%']]]/Table2912[[#This Row],[Acetate '[%']]]</f>
        <v>0.32119440229913271</v>
      </c>
      <c r="AH245" s="51"/>
      <c r="AI245" s="18"/>
      <c r="AJ245" s="18"/>
      <c r="AK245" s="18">
        <f>(Table2912[[#This Row],[DMD '[mg/g']]]-$AK$15)/$AK$15*100</f>
        <v>59.446193911056156</v>
      </c>
      <c r="AL245" s="18">
        <f>(Table2912[[#This Row],[CH4 '[ml/g']]]-AL$15)/AL$15*100</f>
        <v>18.132313968322265</v>
      </c>
      <c r="AM245" s="18">
        <f>(Table2912[[#This Row],[CH4 '[% GP']]]-AM$15)/AM$15*100</f>
        <v>9.2298198536183964</v>
      </c>
      <c r="AN245" s="18">
        <f>(Table2912[[#This Row],[CH4 '[g/g DDM']]]-AN$15)/AN$15*100</f>
        <v>16.051028575411543</v>
      </c>
      <c r="AO245" s="18"/>
      <c r="AP245" s="18"/>
      <c r="AR245">
        <f>_xlfn.NORM.DIST(Table2912[[#This Row],[GP '[ml/g']]],O$6,O$2,FALSE)</f>
        <v>7.0407424272196624E-3</v>
      </c>
      <c r="AS245">
        <f>_xlfn.NORM.DIST(Table2912[[#This Row],[SCFA '[mmol/g']]],P$6,P$2,FALSE)</f>
        <v>0.33273608900960161</v>
      </c>
      <c r="AT245">
        <f>_xlfn.NORM.DIST(Table2912[[#This Row],[Acetate '[%']]],Q$6,Q$2,FALSE)</f>
        <v>13.774056710985954</v>
      </c>
      <c r="AU245">
        <f>_xlfn.NORM.DIST(Table2912[[#This Row],[Propionate '[%']]],R$6,R$2,FALSE)</f>
        <v>3.3665398057064562</v>
      </c>
      <c r="AV245">
        <f>_xlfn.NORM.DIST(Table2912[[#This Row],[Butyrate '[%']]],S$6,S$2,FALSE)</f>
        <v>21.671625586327401</v>
      </c>
      <c r="AW245">
        <f>_xlfn.NORM.DIST(Table2912[[#This Row],[Valerate '[%']]],T$6,T$2,FALSE)</f>
        <v>55.970990064420825</v>
      </c>
      <c r="AX245">
        <f>_xlfn.NORM.DIST(Table2912[[#This Row],[Caproate '[%']]],U$6,U$2,FALSE)</f>
        <v>313.29449369965045</v>
      </c>
      <c r="AY245">
        <f>_xlfn.NORM.DIST(Table2912[[#This Row],[Isobutyrate '[%']]],V$6,V$2,FALSE)</f>
        <v>11.255356704765687</v>
      </c>
      <c r="AZ245">
        <f>_xlfn.NORM.DIST(Table2912[[#This Row],[Isovalerate '[%']]],W$6,W$2,FALSE)</f>
        <v>6.433931672538157</v>
      </c>
      <c r="BA245">
        <f>_xlfn.NORM.DIST(Table2912[[#This Row],[CH4 '[g/mmol SCFA']]],X$6,X$2,FALSE)</f>
        <v>0.24520743712443627</v>
      </c>
      <c r="BB245">
        <f>_xlfn.NORM.DIST(Table2912[[#This Row],[DMD '[mg/g']]],Y$6,Y$2,FALSE)</f>
        <v>2.9134805249179537E-3</v>
      </c>
      <c r="BC245">
        <f>_xlfn.NORM.DIST(Table2912[[#This Row],[CH4 '[ml/g']]],Z$6,Z$2,FALSE)</f>
        <v>3.060644697720669E-2</v>
      </c>
      <c r="BD245">
        <f>_xlfn.NORM.DIST(Table2912[[#This Row],[CH4 '[% GP']]],AA$6,AA$2,FALSE)</f>
        <v>0.12881027951602142</v>
      </c>
      <c r="BE245">
        <f>_xlfn.NORM.DIST(Table2912[[#This Row],[CH4 '[g/g DDM']]],AB$6,AB$2,FALSE)</f>
        <v>2.8979745495996287E-2</v>
      </c>
      <c r="BG245">
        <f>IF(Table2912[[#This Row],[GP '[ml/g']]]&lt;O$10,_xlfn.NORM.DIST(Table2912[[#This Row],[GP '[ml/g']]],O$6,O$2,FALSE),-100)</f>
        <v>-100</v>
      </c>
      <c r="BH245">
        <f>IF(Table2912[[#This Row],[SCFA '[mmol/g']]]&lt;P$10,_xlfn.NORM.DIST(Table2912[[#This Row],[SCFA '[mmol/g']]],P$6,P$2,FALSE),-100)</f>
        <v>-100</v>
      </c>
      <c r="BI245">
        <f>IF(Table2912[[#This Row],[Acetate '[%']]]&lt;Q$10,_xlfn.NORM.DIST(Table2912[[#This Row],[Acetate '[%']]],Q$6,Q$2,FALSE),-100)</f>
        <v>-100</v>
      </c>
      <c r="BJ245">
        <f>IF(Table2912[[#This Row],[Propionate '[%']]]&lt;R$10,_xlfn.NORM.DIST(Table2912[[#This Row],[Propionate '[%']]],R$6,R$2,FALSE),-100)</f>
        <v>-100</v>
      </c>
      <c r="BK245">
        <f>IF(Table2912[[#This Row],[Butyrate '[%']]]&lt;S$10,_xlfn.NORM.DIST(Table2912[[#This Row],[Butyrate '[%']]],S$6,S$2,FALSE),-100)</f>
        <v>-100</v>
      </c>
      <c r="BL245">
        <f>IF(Table2912[[#This Row],[Valerate '[%']]]&lt;T$10,_xlfn.NORM.DIST(Table2912[[#This Row],[Valerate '[%']]],T$6,T$2,FALSE),-100)</f>
        <v>-100</v>
      </c>
      <c r="BM245">
        <f>IF(Table2912[[#This Row],[Caproate '[%']]]&lt;U$10,_xlfn.NORM.DIST(Table2912[[#This Row],[Caproate '[%']]],U$6,U$2,FALSE),-100)</f>
        <v>-100</v>
      </c>
      <c r="BN245">
        <f>IF(Table2912[[#This Row],[Isobutyrate '[%']]]&lt;V$10,_xlfn.NORM.DIST(Table2912[[#This Row],[Isobutyrate '[%']]],V$6,V$2,FALSE),-100)</f>
        <v>11.255356704765687</v>
      </c>
      <c r="BO245">
        <f>IF(Table2912[[#This Row],[Isovalerate '[%']]]&lt;W$10,_xlfn.NORM.DIST(Table2912[[#This Row],[Isovalerate '[%']]],W$6,W$2,FALSE),-100)</f>
        <v>6.433931672538157</v>
      </c>
      <c r="BP245">
        <f>IF(Table2912[[#This Row],[CH4 '[g/mmol SCFA']]]&lt;X$10,_xlfn.NORM.DIST(Table2912[[#This Row],[CH4 '[g/mmol SCFA']]],X$6,X$2,FALSE),-100)</f>
        <v>-100</v>
      </c>
      <c r="BQ245">
        <f>IF(Table2912[[#This Row],[DMD '[mg/g']]]&gt;Y$10,_xlfn.NORM.DIST(Table2912[[#This Row],[DMD '[mg/g']]],Y$6,Y$2,FALSE),-100)</f>
        <v>-100</v>
      </c>
      <c r="BR245">
        <f>IF(Table2912[[#This Row],[CH4 '[ml/g']]]&lt;Z$10,_xlfn.NORM.DIST(Table2912[[#This Row],[CH4 '[ml/g']]],Z$6,Z$2,FALSE),-100)</f>
        <v>-100</v>
      </c>
      <c r="BS245">
        <f>IF(Table2912[[#This Row],[CH4 '[% GP']]]&lt;AA$10,_xlfn.NORM.DIST(Table2912[[#This Row],[CH4 '[% GP']]],AA$6,AA$2,FALSE),-100)</f>
        <v>-100</v>
      </c>
      <c r="BT245">
        <f>IF(Table2912[[#This Row],[CH4 '[g/g DDM']]]&lt;AB$10,_xlfn.NORM.DIST(Table2912[[#This Row],[CH4 '[g/g DDM']]],AB$6,AB$2,FALSE),-100)</f>
        <v>-100</v>
      </c>
    </row>
    <row r="246" spans="1:72" x14ac:dyDescent="0.25">
      <c r="A246" s="12" t="s">
        <v>200</v>
      </c>
      <c r="B246" s="13">
        <v>1155</v>
      </c>
      <c r="C246" s="117" t="s">
        <v>261</v>
      </c>
      <c r="D246" s="117" t="s">
        <v>262</v>
      </c>
      <c r="E246" s="117" t="s">
        <v>263</v>
      </c>
      <c r="F246" s="117" t="s">
        <v>264</v>
      </c>
      <c r="G246" t="s">
        <v>73</v>
      </c>
      <c r="H246" t="s">
        <v>74</v>
      </c>
      <c r="I246" t="s">
        <v>75</v>
      </c>
      <c r="J246" s="100">
        <v>1</v>
      </c>
      <c r="K246" s="100"/>
      <c r="L246" s="100"/>
      <c r="M246" t="s">
        <v>264</v>
      </c>
      <c r="N246" t="s">
        <v>171</v>
      </c>
      <c r="O246" s="18">
        <v>217.43526952695248</v>
      </c>
      <c r="P246" s="18">
        <v>5.6544554455445546</v>
      </c>
      <c r="Q246" s="97">
        <v>0.70126043126250537</v>
      </c>
      <c r="R246" s="97">
        <v>0.15665085540500012</v>
      </c>
      <c r="S246" s="97">
        <v>7.5376197377996793E-2</v>
      </c>
      <c r="T246" s="97">
        <v>1.8229787264021337E-2</v>
      </c>
      <c r="U246" s="97">
        <v>1.2659195566821855E-3</v>
      </c>
      <c r="V246" s="97">
        <v>1.6151135046655801E-2</v>
      </c>
      <c r="W246" s="97">
        <v>3.106567408713835E-2</v>
      </c>
      <c r="X246" s="51">
        <f t="shared" si="17"/>
        <v>6.5258658485263465</v>
      </c>
      <c r="Y246" s="18">
        <v>781.95819581958176</v>
      </c>
      <c r="Z246" s="18">
        <v>36.900217684093036</v>
      </c>
      <c r="AA246" s="18">
        <f t="shared" si="18"/>
        <v>16.970667989775698</v>
      </c>
      <c r="AB246" s="18">
        <f t="shared" si="19"/>
        <v>47.189501793529232</v>
      </c>
      <c r="AC246" s="18">
        <f>$CP$15*Table2912[[#This Row],[DMD '[mg/g']]]+$CS$15*Table2912[[#This Row],[CH4 '[ml/g']]]+$CR$15*Table2912[[#This Row],[CH4 '[% GP']]]+$CQ$15*Table2912[[#This Row],[CH4 '[g/g DDM']]]</f>
        <v>16.883377037701713</v>
      </c>
      <c r="AD246" s="18">
        <f>_xlfn.RANK.AVG(Table2912[[#This Row],[Index]],Table2912[Index])</f>
        <v>236</v>
      </c>
      <c r="AE24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5.2772324964196669</v>
      </c>
      <c r="AF246" s="18">
        <f>Table2912[[#This Row],[CH4 '[ml/g']]]/Table2912[[#This Row],[APB]]</f>
        <v>6.9923426169167175</v>
      </c>
      <c r="AG246" s="18">
        <f>Table2912[[#This Row],[Propionate '[%']]]/Table2912[[#This Row],[Acetate '[%']]]</f>
        <v>0.22338470619677733</v>
      </c>
      <c r="AH246" s="51"/>
      <c r="AI246" s="18"/>
      <c r="AJ246" s="18"/>
      <c r="AK246" s="18">
        <f>(Table2912[[#This Row],[DMD '[mg/g']]]-$AK$15)/$AK$15*100</f>
        <v>59.489200049692691</v>
      </c>
      <c r="AL246" s="18">
        <f>(Table2912[[#This Row],[CH4 '[ml/g']]]-AL$15)/AL$15*100</f>
        <v>-6.1832029455009563</v>
      </c>
      <c r="AM246" s="18">
        <f>(Table2912[[#This Row],[CH4 '[% GP']]]-AM$15)/AM$15*100</f>
        <v>9.3305063337494936</v>
      </c>
      <c r="AN246" s="18">
        <f>(Table2912[[#This Row],[CH4 '[g/g DDM']]]-AN$15)/AN$15*100</f>
        <v>-7.8609432539157895</v>
      </c>
      <c r="AO246" s="18"/>
      <c r="AP246" s="18"/>
      <c r="AR246">
        <f>_xlfn.NORM.DIST(Table2912[[#This Row],[GP '[ml/g']]],O$6,O$2,FALSE)</f>
        <v>5.798961216696135E-3</v>
      </c>
      <c r="AS246">
        <f>_xlfn.NORM.DIST(Table2912[[#This Row],[SCFA '[mmol/g']]],P$6,P$2,FALSE)</f>
        <v>0.25370194557544601</v>
      </c>
      <c r="AT246">
        <f>_xlfn.NORM.DIST(Table2912[[#This Row],[Acetate '[%']]],Q$6,Q$2,FALSE)</f>
        <v>8.5992015478762127</v>
      </c>
      <c r="AU246">
        <f>_xlfn.NORM.DIST(Table2912[[#This Row],[Propionate '[%']]],R$6,R$2,FALSE)</f>
        <v>13.677580484772943</v>
      </c>
      <c r="AV246">
        <f>_xlfn.NORM.DIST(Table2912[[#This Row],[Butyrate '[%']]],S$6,S$2,FALSE)</f>
        <v>13.788672017780694</v>
      </c>
      <c r="AW246">
        <f>_xlfn.NORM.DIST(Table2912[[#This Row],[Valerate '[%']]],T$6,T$2,FALSE)</f>
        <v>76.922274095104029</v>
      </c>
      <c r="AX246">
        <f>_xlfn.NORM.DIST(Table2912[[#This Row],[Caproate '[%']]],U$6,U$2,FALSE)</f>
        <v>405.96116071520237</v>
      </c>
      <c r="AY246">
        <f>_xlfn.NORM.DIST(Table2912[[#This Row],[Isobutyrate '[%']]],V$6,V$2,FALSE)</f>
        <v>88.573038094060237</v>
      </c>
      <c r="AZ246">
        <f>_xlfn.NORM.DIST(Table2912[[#This Row],[Isovalerate '[%']]],W$6,W$2,FALSE)</f>
        <v>42.563248023725976</v>
      </c>
      <c r="BA246">
        <f>_xlfn.NORM.DIST(Table2912[[#This Row],[CH4 '[g/mmol SCFA']]],X$6,X$2,FALSE)</f>
        <v>0.29256194263955554</v>
      </c>
      <c r="BB246">
        <f>_xlfn.NORM.DIST(Table2912[[#This Row],[DMD '[mg/g']]],Y$6,Y$2,FALSE)</f>
        <v>2.9132883257993823E-3</v>
      </c>
      <c r="BC246">
        <f>_xlfn.NORM.DIST(Table2912[[#This Row],[CH4 '[ml/g']]],Z$6,Z$2,FALSE)</f>
        <v>3.1198582589285071E-2</v>
      </c>
      <c r="BD246">
        <f>_xlfn.NORM.DIST(Table2912[[#This Row],[CH4 '[% GP']]],AA$6,AA$2,FALSE)</f>
        <v>0.12860507980535846</v>
      </c>
      <c r="BE246">
        <f>_xlfn.NORM.DIST(Table2912[[#This Row],[CH4 '[g/g DDM']]],AB$6,AB$2,FALSE)</f>
        <v>2.8880389153236288E-2</v>
      </c>
      <c r="BG246">
        <f>IF(Table2912[[#This Row],[GP '[ml/g']]]&lt;O$10,_xlfn.NORM.DIST(Table2912[[#This Row],[GP '[ml/g']]],O$6,O$2,FALSE),-100)</f>
        <v>-100</v>
      </c>
      <c r="BH246">
        <f>IF(Table2912[[#This Row],[SCFA '[mmol/g']]]&lt;P$10,_xlfn.NORM.DIST(Table2912[[#This Row],[SCFA '[mmol/g']]],P$6,P$2,FALSE),-100)</f>
        <v>-100</v>
      </c>
      <c r="BI246">
        <f>IF(Table2912[[#This Row],[Acetate '[%']]]&lt;Q$10,_xlfn.NORM.DIST(Table2912[[#This Row],[Acetate '[%']]],Q$6,Q$2,FALSE),-100)</f>
        <v>-100</v>
      </c>
      <c r="BJ246">
        <f>IF(Table2912[[#This Row],[Propionate '[%']]]&lt;R$10,_xlfn.NORM.DIST(Table2912[[#This Row],[Propionate '[%']]],R$6,R$2,FALSE),-100)</f>
        <v>-100</v>
      </c>
      <c r="BK246">
        <f>IF(Table2912[[#This Row],[Butyrate '[%']]]&lt;S$10,_xlfn.NORM.DIST(Table2912[[#This Row],[Butyrate '[%']]],S$6,S$2,FALSE),-100)</f>
        <v>13.788672017780694</v>
      </c>
      <c r="BL246">
        <f>IF(Table2912[[#This Row],[Valerate '[%']]]&lt;T$10,_xlfn.NORM.DIST(Table2912[[#This Row],[Valerate '[%']]],T$6,T$2,FALSE),-100)</f>
        <v>-100</v>
      </c>
      <c r="BM246">
        <f>IF(Table2912[[#This Row],[Caproate '[%']]]&lt;U$10,_xlfn.NORM.DIST(Table2912[[#This Row],[Caproate '[%']]],U$6,U$2,FALSE),-100)</f>
        <v>-100</v>
      </c>
      <c r="BN246">
        <f>IF(Table2912[[#This Row],[Isobutyrate '[%']]]&lt;V$10,_xlfn.NORM.DIST(Table2912[[#This Row],[Isobutyrate '[%']]],V$6,V$2,FALSE),-100)</f>
        <v>-100</v>
      </c>
      <c r="BO246">
        <f>IF(Table2912[[#This Row],[Isovalerate '[%']]]&lt;W$10,_xlfn.NORM.DIST(Table2912[[#This Row],[Isovalerate '[%']]],W$6,W$2,FALSE),-100)</f>
        <v>-100</v>
      </c>
      <c r="BP246">
        <f>IF(Table2912[[#This Row],[CH4 '[g/mmol SCFA']]]&lt;X$10,_xlfn.NORM.DIST(Table2912[[#This Row],[CH4 '[g/mmol SCFA']]],X$6,X$2,FALSE),-100)</f>
        <v>-100</v>
      </c>
      <c r="BQ246">
        <f>IF(Table2912[[#This Row],[DMD '[mg/g']]]&gt;Y$10,_xlfn.NORM.DIST(Table2912[[#This Row],[DMD '[mg/g']]],Y$6,Y$2,FALSE),-100)</f>
        <v>-100</v>
      </c>
      <c r="BR246">
        <f>IF(Table2912[[#This Row],[CH4 '[ml/g']]]&lt;Z$10,_xlfn.NORM.DIST(Table2912[[#This Row],[CH4 '[ml/g']]],Z$6,Z$2,FALSE),-100)</f>
        <v>-100</v>
      </c>
      <c r="BS246">
        <f>IF(Table2912[[#This Row],[CH4 '[% GP']]]&lt;AA$10,_xlfn.NORM.DIST(Table2912[[#This Row],[CH4 '[% GP']]],AA$6,AA$2,FALSE),-100)</f>
        <v>-100</v>
      </c>
      <c r="BT246">
        <f>IF(Table2912[[#This Row],[CH4 '[g/g DDM']]]&lt;AB$10,_xlfn.NORM.DIST(Table2912[[#This Row],[CH4 '[g/g DDM']]],AB$6,AB$2,FALSE),-100)</f>
        <v>-100</v>
      </c>
    </row>
    <row r="247" spans="1:72" x14ac:dyDescent="0.25">
      <c r="A247" s="12" t="s">
        <v>86</v>
      </c>
      <c r="B247" s="13">
        <v>1088</v>
      </c>
      <c r="C247" s="104" t="s">
        <v>288</v>
      </c>
      <c r="D247" s="104" t="s">
        <v>289</v>
      </c>
      <c r="E247" s="104" t="s">
        <v>290</v>
      </c>
      <c r="F247" s="104" t="s">
        <v>291</v>
      </c>
      <c r="G247" s="32" t="s">
        <v>143</v>
      </c>
      <c r="H247" s="32" t="s">
        <v>144</v>
      </c>
      <c r="I247" s="32" t="s">
        <v>52</v>
      </c>
      <c r="J247" s="100">
        <v>3</v>
      </c>
      <c r="K247" s="100"/>
      <c r="L247" s="100"/>
      <c r="M247" s="118" t="s">
        <v>291</v>
      </c>
      <c r="N247" t="s">
        <v>99</v>
      </c>
      <c r="O247" s="18"/>
      <c r="P247" s="18">
        <v>7.0463257622422359</v>
      </c>
      <c r="Q247" s="97">
        <v>0.67416868869946578</v>
      </c>
      <c r="R247" s="97">
        <v>0.18533002293274803</v>
      </c>
      <c r="S247" s="97">
        <v>7.9647432115260972E-2</v>
      </c>
      <c r="T247" s="97">
        <v>1.722398731438821E-2</v>
      </c>
      <c r="U247" s="97">
        <v>6.0609073882146331E-4</v>
      </c>
      <c r="V247" s="97">
        <v>1.6997800436630475E-2</v>
      </c>
      <c r="W247" s="97">
        <v>2.6025977762685115E-2</v>
      </c>
      <c r="X247" s="51"/>
      <c r="Y247" s="18">
        <v>782.87394554779621</v>
      </c>
      <c r="Z247" s="18"/>
      <c r="AA247" s="18"/>
      <c r="AB247" s="18"/>
      <c r="AC247" s="18">
        <f>$CP$15*Table2912[[#This Row],[DMD '[mg/g']]]+$CS$15*Table2912[[#This Row],[CH4 '[ml/g']]]+$CR$15*Table2912[[#This Row],[CH4 '[% GP']]]+$CQ$15*Table2912[[#This Row],[CH4 '[g/g DDM']]]</f>
        <v>41.920947561862519</v>
      </c>
      <c r="AD247" s="18">
        <f>_xlfn.RANK.AVG(Table2912[[#This Row],[Index]],Table2912[Index])</f>
        <v>2</v>
      </c>
      <c r="AE24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6.6175296671982817</v>
      </c>
      <c r="AF247" s="18">
        <f>Table2912[[#This Row],[CH4 '[ml/g']]]/Table2912[[#This Row],[APB]]</f>
        <v>0</v>
      </c>
      <c r="AG247" s="18">
        <f>Table2912[[#This Row],[Propionate '[%']]]/Table2912[[#This Row],[Acetate '[%']]]</f>
        <v>0.274901558080763</v>
      </c>
      <c r="AH247" s="51"/>
      <c r="AI247" s="18"/>
      <c r="AJ247" s="18"/>
      <c r="AK247" s="18">
        <f>(Table2912[[#This Row],[DMD '[mg/g']]]-$AK$15)/$AK$15*100</f>
        <v>59.675977542887928</v>
      </c>
      <c r="AL247" s="18">
        <f>(Table2912[[#This Row],[CH4 '[ml/g']]]-AL$15)/AL$15*100</f>
        <v>-100</v>
      </c>
      <c r="AM247" s="18">
        <f>(Table2912[[#This Row],[CH4 '[% GP']]]-AM$15)/AM$15*100</f>
        <v>-100</v>
      </c>
      <c r="AN247" s="18">
        <f>(Table2912[[#This Row],[CH4 '[g/g DDM']]]-AN$15)/AN$15*100</f>
        <v>-100</v>
      </c>
      <c r="AO247" s="18"/>
      <c r="AP247" s="18"/>
      <c r="AR247">
        <f>_xlfn.NORM.DIST(Table2912[[#This Row],[GP '[ml/g']]],O$6,O$2,FALSE)</f>
        <v>7.7830314590194085E-8</v>
      </c>
      <c r="AS247">
        <f>_xlfn.NORM.DIST(Table2912[[#This Row],[SCFA '[mmol/g']]],P$6,P$2,FALSE)</f>
        <v>0.30408529843319276</v>
      </c>
      <c r="AT247">
        <f>_xlfn.NORM.DIST(Table2912[[#This Row],[Acetate '[%']]],Q$6,Q$2,FALSE)</f>
        <v>14.01745743160998</v>
      </c>
      <c r="AU247">
        <f>_xlfn.NORM.DIST(Table2912[[#This Row],[Propionate '[%']]],R$6,R$2,FALSE)</f>
        <v>14.300808665968173</v>
      </c>
      <c r="AV247">
        <f>_xlfn.NORM.DIST(Table2912[[#This Row],[Butyrate '[%']]],S$6,S$2,FALSE)</f>
        <v>17.170476880496643</v>
      </c>
      <c r="AW247">
        <f>_xlfn.NORM.DIST(Table2912[[#This Row],[Valerate '[%']]],T$6,T$2,FALSE)</f>
        <v>77.12007162272937</v>
      </c>
      <c r="AX247">
        <f>_xlfn.NORM.DIST(Table2912[[#This Row],[Caproate '[%']]],U$6,U$2,FALSE)</f>
        <v>309.10864285099524</v>
      </c>
      <c r="AY247">
        <f>_xlfn.NORM.DIST(Table2912[[#This Row],[Isobutyrate '[%']]],V$6,V$2,FALSE)</f>
        <v>83.887802071651549</v>
      </c>
      <c r="AZ247">
        <f>_xlfn.NORM.DIST(Table2912[[#This Row],[Isovalerate '[%']]],W$6,W$2,FALSE)</f>
        <v>44.41238070146423</v>
      </c>
      <c r="BA247">
        <f>_xlfn.NORM.DIST(Table2912[[#This Row],[CH4 '[g/mmol SCFA']]],X$6,X$2,FALSE)</f>
        <v>5.1257329689735196E-6</v>
      </c>
      <c r="BB247">
        <f>_xlfn.NORM.DIST(Table2912[[#This Row],[DMD '[mg/g']]],Y$6,Y$2,FALSE)</f>
        <v>2.9123734759010571E-3</v>
      </c>
      <c r="BC247">
        <f>_xlfn.NORM.DIST(Table2912[[#This Row],[CH4 '[ml/g']]],Z$6,Z$2,FALSE)</f>
        <v>7.9442788811288467E-5</v>
      </c>
      <c r="BD247">
        <f>_xlfn.NORM.DIST(Table2912[[#This Row],[CH4 '[% GP']]],AA$6,AA$2,FALSE)</f>
        <v>5.4481631913066772E-8</v>
      </c>
      <c r="BE247">
        <f>_xlfn.NORM.DIST(Table2912[[#This Row],[CH4 '[g/g DDM']]],AB$6,AB$2,FALSE)</f>
        <v>2.1124510744720861E-6</v>
      </c>
      <c r="BG247">
        <f>IF(Table2912[[#This Row],[GP '[ml/g']]]&lt;O$10,_xlfn.NORM.DIST(Table2912[[#This Row],[GP '[ml/g']]],O$6,O$2,FALSE),-100)</f>
        <v>7.7830314590194085E-8</v>
      </c>
      <c r="BH247">
        <f>IF(Table2912[[#This Row],[SCFA '[mmol/g']]]&lt;P$10,_xlfn.NORM.DIST(Table2912[[#This Row],[SCFA '[mmol/g']]],P$6,P$2,FALSE),-100)</f>
        <v>-100</v>
      </c>
      <c r="BI247">
        <f>IF(Table2912[[#This Row],[Acetate '[%']]]&lt;Q$10,_xlfn.NORM.DIST(Table2912[[#This Row],[Acetate '[%']]],Q$6,Q$2,FALSE),-100)</f>
        <v>-100</v>
      </c>
      <c r="BJ247">
        <f>IF(Table2912[[#This Row],[Propionate '[%']]]&lt;R$10,_xlfn.NORM.DIST(Table2912[[#This Row],[Propionate '[%']]],R$6,R$2,FALSE),-100)</f>
        <v>-100</v>
      </c>
      <c r="BK247">
        <f>IF(Table2912[[#This Row],[Butyrate '[%']]]&lt;S$10,_xlfn.NORM.DIST(Table2912[[#This Row],[Butyrate '[%']]],S$6,S$2,FALSE),-100)</f>
        <v>-100</v>
      </c>
      <c r="BL247">
        <f>IF(Table2912[[#This Row],[Valerate '[%']]]&lt;T$10,_xlfn.NORM.DIST(Table2912[[#This Row],[Valerate '[%']]],T$6,T$2,FALSE),-100)</f>
        <v>-100</v>
      </c>
      <c r="BM247">
        <f>IF(Table2912[[#This Row],[Caproate '[%']]]&lt;U$10,_xlfn.NORM.DIST(Table2912[[#This Row],[Caproate '[%']]],U$6,U$2,FALSE),-100)</f>
        <v>-100</v>
      </c>
      <c r="BN247">
        <f>IF(Table2912[[#This Row],[Isobutyrate '[%']]]&lt;V$10,_xlfn.NORM.DIST(Table2912[[#This Row],[Isobutyrate '[%']]],V$6,V$2,FALSE),-100)</f>
        <v>-100</v>
      </c>
      <c r="BO247">
        <f>IF(Table2912[[#This Row],[Isovalerate '[%']]]&lt;W$10,_xlfn.NORM.DIST(Table2912[[#This Row],[Isovalerate '[%']]],W$6,W$2,FALSE),-100)</f>
        <v>-100</v>
      </c>
      <c r="BP247">
        <f>IF(Table2912[[#This Row],[CH4 '[g/mmol SCFA']]]&lt;X$10,_xlfn.NORM.DIST(Table2912[[#This Row],[CH4 '[g/mmol SCFA']]],X$6,X$2,FALSE),-100)</f>
        <v>5.1257329689735196E-6</v>
      </c>
      <c r="BQ247">
        <f>IF(Table2912[[#This Row],[DMD '[mg/g']]]&gt;Y$10,_xlfn.NORM.DIST(Table2912[[#This Row],[DMD '[mg/g']]],Y$6,Y$2,FALSE),-100)</f>
        <v>-100</v>
      </c>
      <c r="BR247">
        <f>IF(Table2912[[#This Row],[CH4 '[ml/g']]]&lt;Z$10,_xlfn.NORM.DIST(Table2912[[#This Row],[CH4 '[ml/g']]],Z$6,Z$2,FALSE),-100)</f>
        <v>7.9442788811288467E-5</v>
      </c>
      <c r="BS247">
        <f>IF(Table2912[[#This Row],[CH4 '[% GP']]]&lt;AA$10,_xlfn.NORM.DIST(Table2912[[#This Row],[CH4 '[% GP']]],AA$6,AA$2,FALSE),-100)</f>
        <v>5.4481631913066772E-8</v>
      </c>
      <c r="BT247">
        <f>IF(Table2912[[#This Row],[CH4 '[g/g DDM']]]&lt;AB$10,_xlfn.NORM.DIST(Table2912[[#This Row],[CH4 '[g/g DDM']]],AB$6,AB$2,FALSE),-100)</f>
        <v>2.1124510744720861E-6</v>
      </c>
    </row>
    <row r="248" spans="1:72" x14ac:dyDescent="0.25">
      <c r="A248" s="12" t="s">
        <v>70</v>
      </c>
      <c r="B248" s="13">
        <v>997</v>
      </c>
      <c r="C248" s="96" t="s">
        <v>334</v>
      </c>
      <c r="D248" s="96"/>
      <c r="E248" s="96"/>
      <c r="F248" s="96" t="s">
        <v>335</v>
      </c>
      <c r="G248" t="s">
        <v>73</v>
      </c>
      <c r="H248" t="s">
        <v>74</v>
      </c>
      <c r="I248" t="s">
        <v>75</v>
      </c>
      <c r="J248" s="100">
        <v>1</v>
      </c>
      <c r="K248" s="100"/>
      <c r="L248" s="100"/>
      <c r="M248" t="s">
        <v>335</v>
      </c>
      <c r="N248" t="s">
        <v>180</v>
      </c>
      <c r="O248" s="18">
        <v>244.66373456790083</v>
      </c>
      <c r="P248" s="18">
        <v>6.2669753086419746</v>
      </c>
      <c r="Q248" s="97">
        <v>0.68524642065641839</v>
      </c>
      <c r="R248" s="97">
        <v>0.13464312097653641</v>
      </c>
      <c r="S248" s="97">
        <v>0.1177929433285257</v>
      </c>
      <c r="T248" s="97">
        <v>1.5847609666866005E-2</v>
      </c>
      <c r="U248" s="97">
        <v>1.7764801069405848E-3</v>
      </c>
      <c r="V248" s="97">
        <v>1.4792274949871601E-2</v>
      </c>
      <c r="W248" s="97">
        <v>2.9901150314841522E-2</v>
      </c>
      <c r="X248" s="51">
        <f t="shared" ref="X248:X311" si="20">Z248/P248</f>
        <v>5.0649949419620706</v>
      </c>
      <c r="Y248" s="18">
        <v>783.50970017636666</v>
      </c>
      <c r="Z248" s="18">
        <v>31.742198239672785</v>
      </c>
      <c r="AA248" s="18">
        <f t="shared" ref="AA248:AA311" si="21">Z248/O248*100</f>
        <v>12.973805985481457</v>
      </c>
      <c r="AB248" s="18">
        <f t="shared" ref="AB248:AB311" si="22">Z248/Y248*1000</f>
        <v>40.512833769036519</v>
      </c>
      <c r="AC248" s="18">
        <f>$CP$15*Table2912[[#This Row],[DMD '[mg/g']]]+$CS$15*Table2912[[#This Row],[CH4 '[ml/g']]]+$CR$15*Table2912[[#This Row],[CH4 '[% GP']]]+$CQ$15*Table2912[[#This Row],[CH4 '[g/g DDM']]]</f>
        <v>21.018643907400296</v>
      </c>
      <c r="AD248" s="18">
        <f>_xlfn.RANK.AVG(Table2912[[#This Row],[Index]],Table2912[Index])</f>
        <v>144</v>
      </c>
      <c r="AE24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5.8764329805996471</v>
      </c>
      <c r="AF248" s="18">
        <f>Table2912[[#This Row],[CH4 '[ml/g']]]/Table2912[[#This Row],[APB]]</f>
        <v>5.401609844690805</v>
      </c>
      <c r="AG248" s="18">
        <f>Table2912[[#This Row],[Propionate '[%']]]/Table2912[[#This Row],[Acetate '[%']]]</f>
        <v>0.19648861623758307</v>
      </c>
      <c r="AH248" s="51"/>
      <c r="AI248" s="18"/>
      <c r="AJ248" s="18"/>
      <c r="AK248" s="18">
        <f>(Table2912[[#This Row],[DMD '[mg/g']]]-$AK$15)/$AK$15*100</f>
        <v>59.805646875188124</v>
      </c>
      <c r="AL248" s="18">
        <f>(Table2912[[#This Row],[CH4 '[ml/g']]]-AL$15)/AL$15*100</f>
        <v>-19.297186921507102</v>
      </c>
      <c r="AM248" s="18">
        <f>(Table2912[[#This Row],[CH4 '[% GP']]]-AM$15)/AM$15*100</f>
        <v>-16.418565355053833</v>
      </c>
      <c r="AN248" s="18">
        <f>(Table2912[[#This Row],[CH4 '[g/g DDM']]]-AN$15)/AN$15*100</f>
        <v>-20.897357511373698</v>
      </c>
      <c r="AO248" s="18"/>
      <c r="AP248" s="18"/>
      <c r="AR248">
        <f>_xlfn.NORM.DIST(Table2912[[#This Row],[GP '[ml/g']]],O$6,O$2,FALSE)</f>
        <v>7.3273531045838138E-3</v>
      </c>
      <c r="AS248">
        <f>_xlfn.NORM.DIST(Table2912[[#This Row],[SCFA '[mmol/g']]],P$6,P$2,FALSE)</f>
        <v>0.3243819257787332</v>
      </c>
      <c r="AT248">
        <f>_xlfn.NORM.DIST(Table2912[[#This Row],[Acetate '[%']]],Q$6,Q$2,FALSE)</f>
        <v>12.809107096765334</v>
      </c>
      <c r="AU248">
        <f>_xlfn.NORM.DIST(Table2912[[#This Row],[Propionate '[%']]],R$6,R$2,FALSE)</f>
        <v>4.9210239410251875</v>
      </c>
      <c r="AV248">
        <f>_xlfn.NORM.DIST(Table2912[[#This Row],[Butyrate '[%']]],S$6,S$2,FALSE)</f>
        <v>8.2161693973946726</v>
      </c>
      <c r="AW248">
        <f>_xlfn.NORM.DIST(Table2912[[#This Row],[Valerate '[%']]],T$6,T$2,FALSE)</f>
        <v>72.760784933016524</v>
      </c>
      <c r="AX248">
        <f>_xlfn.NORM.DIST(Table2912[[#This Row],[Caproate '[%']]],U$6,U$2,FALSE)</f>
        <v>367.35342738580624</v>
      </c>
      <c r="AY248">
        <f>_xlfn.NORM.DIST(Table2912[[#This Row],[Isobutyrate '[%']]],V$6,V$2,FALSE)</f>
        <v>89.525136287427145</v>
      </c>
      <c r="AZ248">
        <f>_xlfn.NORM.DIST(Table2912[[#This Row],[Isovalerate '[%']]],W$6,W$2,FALSE)</f>
        <v>44.259843718576647</v>
      </c>
      <c r="BA248">
        <f>_xlfn.NORM.DIST(Table2912[[#This Row],[CH4 '[g/mmol SCFA']]],X$6,X$2,FALSE)</f>
        <v>0.19696748253020857</v>
      </c>
      <c r="BB248">
        <f>_xlfn.NORM.DIST(Table2912[[#This Row],[DMD '[mg/g']]],Y$6,Y$2,FALSE)</f>
        <v>2.9116617910479692E-3</v>
      </c>
      <c r="BC248">
        <f>_xlfn.NORM.DIST(Table2912[[#This Row],[CH4 '[ml/g']]],Z$6,Z$2,FALSE)</f>
        <v>2.4116311300080871E-2</v>
      </c>
      <c r="BD248">
        <f>_xlfn.NORM.DIST(Table2912[[#This Row],[CH4 '[% GP']]],AA$6,AA$2,FALSE)</f>
        <v>7.8039080625892016E-2</v>
      </c>
      <c r="BE248">
        <f>_xlfn.NORM.DIST(Table2912[[#This Row],[CH4 '[g/g DDM']]],AB$6,AB$2,FALSE)</f>
        <v>1.8782128358713086E-2</v>
      </c>
      <c r="BG248">
        <f>IF(Table2912[[#This Row],[GP '[ml/g']]]&lt;O$10,_xlfn.NORM.DIST(Table2912[[#This Row],[GP '[ml/g']]],O$6,O$2,FALSE),-100)</f>
        <v>-100</v>
      </c>
      <c r="BH248">
        <f>IF(Table2912[[#This Row],[SCFA '[mmol/g']]]&lt;P$10,_xlfn.NORM.DIST(Table2912[[#This Row],[SCFA '[mmol/g']]],P$6,P$2,FALSE),-100)</f>
        <v>-100</v>
      </c>
      <c r="BI248">
        <f>IF(Table2912[[#This Row],[Acetate '[%']]]&lt;Q$10,_xlfn.NORM.DIST(Table2912[[#This Row],[Acetate '[%']]],Q$6,Q$2,FALSE),-100)</f>
        <v>-100</v>
      </c>
      <c r="BJ248">
        <f>IF(Table2912[[#This Row],[Propionate '[%']]]&lt;R$10,_xlfn.NORM.DIST(Table2912[[#This Row],[Propionate '[%']]],R$6,R$2,FALSE),-100)</f>
        <v>4.9210239410251875</v>
      </c>
      <c r="BK248">
        <f>IF(Table2912[[#This Row],[Butyrate '[%']]]&lt;S$10,_xlfn.NORM.DIST(Table2912[[#This Row],[Butyrate '[%']]],S$6,S$2,FALSE),-100)</f>
        <v>-100</v>
      </c>
      <c r="BL248">
        <f>IF(Table2912[[#This Row],[Valerate '[%']]]&lt;T$10,_xlfn.NORM.DIST(Table2912[[#This Row],[Valerate '[%']]],T$6,T$2,FALSE),-100)</f>
        <v>-100</v>
      </c>
      <c r="BM248">
        <f>IF(Table2912[[#This Row],[Caproate '[%']]]&lt;U$10,_xlfn.NORM.DIST(Table2912[[#This Row],[Caproate '[%']]],U$6,U$2,FALSE),-100)</f>
        <v>-100</v>
      </c>
      <c r="BN248">
        <f>IF(Table2912[[#This Row],[Isobutyrate '[%']]]&lt;V$10,_xlfn.NORM.DIST(Table2912[[#This Row],[Isobutyrate '[%']]],V$6,V$2,FALSE),-100)</f>
        <v>-100</v>
      </c>
      <c r="BO248">
        <f>IF(Table2912[[#This Row],[Isovalerate '[%']]]&lt;W$10,_xlfn.NORM.DIST(Table2912[[#This Row],[Isovalerate '[%']]],W$6,W$2,FALSE),-100)</f>
        <v>-100</v>
      </c>
      <c r="BP248">
        <f>IF(Table2912[[#This Row],[CH4 '[g/mmol SCFA']]]&lt;X$10,_xlfn.NORM.DIST(Table2912[[#This Row],[CH4 '[g/mmol SCFA']]],X$6,X$2,FALSE),-100)</f>
        <v>-100</v>
      </c>
      <c r="BQ248">
        <f>IF(Table2912[[#This Row],[DMD '[mg/g']]]&gt;Y$10,_xlfn.NORM.DIST(Table2912[[#This Row],[DMD '[mg/g']]],Y$6,Y$2,FALSE),-100)</f>
        <v>-100</v>
      </c>
      <c r="BR248">
        <f>IF(Table2912[[#This Row],[CH4 '[ml/g']]]&lt;Z$10,_xlfn.NORM.DIST(Table2912[[#This Row],[CH4 '[ml/g']]],Z$6,Z$2,FALSE),-100)</f>
        <v>-100</v>
      </c>
      <c r="BS248">
        <f>IF(Table2912[[#This Row],[CH4 '[% GP']]]&lt;AA$10,_xlfn.NORM.DIST(Table2912[[#This Row],[CH4 '[% GP']]],AA$6,AA$2,FALSE),-100)</f>
        <v>-100</v>
      </c>
      <c r="BT248">
        <f>IF(Table2912[[#This Row],[CH4 '[g/g DDM']]]&lt;AB$10,_xlfn.NORM.DIST(Table2912[[#This Row],[CH4 '[g/g DDM']]],AB$6,AB$2,FALSE),-100)</f>
        <v>-100</v>
      </c>
    </row>
    <row r="249" spans="1:72" x14ac:dyDescent="0.25">
      <c r="A249" s="12" t="s">
        <v>86</v>
      </c>
      <c r="B249" s="13">
        <v>1089</v>
      </c>
      <c r="C249" s="104" t="s">
        <v>298</v>
      </c>
      <c r="D249" s="104" t="s">
        <v>299</v>
      </c>
      <c r="E249" s="104" t="s">
        <v>300</v>
      </c>
      <c r="F249" s="104" t="s">
        <v>301</v>
      </c>
      <c r="G249" s="32" t="s">
        <v>143</v>
      </c>
      <c r="H249" s="32" t="s">
        <v>144</v>
      </c>
      <c r="I249" s="32" t="s">
        <v>52</v>
      </c>
      <c r="J249" s="70">
        <v>3</v>
      </c>
      <c r="K249" s="70"/>
      <c r="L249" s="70"/>
      <c r="M249" t="s">
        <v>301</v>
      </c>
      <c r="N249" t="s">
        <v>171</v>
      </c>
      <c r="O249" s="18">
        <v>293.94262585939259</v>
      </c>
      <c r="P249" s="18">
        <v>7.158181758859131</v>
      </c>
      <c r="Q249" s="97">
        <v>0.68477287488235583</v>
      </c>
      <c r="R249" s="97">
        <v>0.17344096363260073</v>
      </c>
      <c r="S249" s="97">
        <v>8.225364651959774E-2</v>
      </c>
      <c r="T249" s="97">
        <v>2.0453583349239187E-2</v>
      </c>
      <c r="U249" s="97">
        <v>8.0228538004356044E-4</v>
      </c>
      <c r="V249" s="97">
        <v>1.4046487878791546E-2</v>
      </c>
      <c r="W249" s="97">
        <v>2.4230158357371495E-2</v>
      </c>
      <c r="X249" s="51">
        <f t="shared" si="20"/>
        <v>7.386359587684308</v>
      </c>
      <c r="Y249" s="18">
        <v>783.69547628842179</v>
      </c>
      <c r="Z249" s="18">
        <v>52.872904464936063</v>
      </c>
      <c r="AA249" s="18">
        <f t="shared" si="21"/>
        <v>17.987491371948146</v>
      </c>
      <c r="AB249" s="18">
        <f t="shared" si="22"/>
        <v>67.466134569695228</v>
      </c>
      <c r="AC249" s="18">
        <f>$CP$15*Table2912[[#This Row],[DMD '[mg/g']]]+$CS$15*Table2912[[#This Row],[CH4 '[ml/g']]]+$CR$15*Table2912[[#This Row],[CH4 '[% GP']]]+$CQ$15*Table2912[[#This Row],[CH4 '[g/g DDM']]]</f>
        <v>8.1942744135355099</v>
      </c>
      <c r="AD249" s="18">
        <f>_xlfn.RANK.AVG(Table2912[[#This Row],[Index]],Table2912[Index])</f>
        <v>370</v>
      </c>
      <c r="AE24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6.7320371961744687</v>
      </c>
      <c r="AF249" s="18">
        <f>Table2912[[#This Row],[CH4 '[ml/g']]]/Table2912[[#This Row],[APB]]</f>
        <v>7.853923400034315</v>
      </c>
      <c r="AG249" s="18">
        <f>Table2912[[#This Row],[Propionate '[%']]]/Table2912[[#This Row],[Acetate '[%']]]</f>
        <v>0.25328246779984959</v>
      </c>
      <c r="AH249" s="51"/>
      <c r="AI249" s="18"/>
      <c r="AJ249" s="18"/>
      <c r="AK249" s="18">
        <f>(Table2912[[#This Row],[DMD '[mg/g']]]-$AK$15)/$AK$15*100</f>
        <v>59.843538010108652</v>
      </c>
      <c r="AL249" s="18">
        <f>(Table2912[[#This Row],[CH4 '[ml/g']]]-AL$15)/AL$15*100</f>
        <v>34.4264846981415</v>
      </c>
      <c r="AM249" s="18">
        <f>(Table2912[[#This Row],[CH4 '[% GP']]]-AM$15)/AM$15*100</f>
        <v>15.881209894262591</v>
      </c>
      <c r="AN249" s="18">
        <f>(Table2912[[#This Row],[CH4 '[g/g DDM']]]-AN$15)/AN$15*100</f>
        <v>31.729850184781895</v>
      </c>
      <c r="AO249" s="18"/>
      <c r="AP249" s="18"/>
      <c r="AR249">
        <f>_xlfn.NORM.DIST(Table2912[[#This Row],[GP '[ml/g']]],O$6,O$2,FALSE)</f>
        <v>5.7679776141753942E-3</v>
      </c>
      <c r="AS249">
        <f>_xlfn.NORM.DIST(Table2912[[#This Row],[SCFA '[mmol/g']]],P$6,P$2,FALSE)</f>
        <v>0.2910108050435915</v>
      </c>
      <c r="AT249">
        <f>_xlfn.NORM.DIST(Table2912[[#This Row],[Acetate '[%']]],Q$6,Q$2,FALSE)</f>
        <v>12.89853722047339</v>
      </c>
      <c r="AU249">
        <f>_xlfn.NORM.DIST(Table2912[[#This Row],[Propionate '[%']]],R$6,R$2,FALSE)</f>
        <v>16.754299863748525</v>
      </c>
      <c r="AV249">
        <f>_xlfn.NORM.DIST(Table2912[[#This Row],[Butyrate '[%']]],S$6,S$2,FALSE)</f>
        <v>19.051853752173106</v>
      </c>
      <c r="AW249">
        <f>_xlfn.NORM.DIST(Table2912[[#This Row],[Valerate '[%']]],T$6,T$2,FALSE)</f>
        <v>66.817548684574092</v>
      </c>
      <c r="AX249">
        <f>_xlfn.NORM.DIST(Table2912[[#This Row],[Caproate '[%']]],U$6,U$2,FALSE)</f>
        <v>351.44554691069618</v>
      </c>
      <c r="AY249">
        <f>_xlfn.NORM.DIST(Table2912[[#This Row],[Isobutyrate '[%']]],V$6,V$2,FALSE)</f>
        <v>86.513882796142823</v>
      </c>
      <c r="AZ249">
        <f>_xlfn.NORM.DIST(Table2912[[#This Row],[Isovalerate '[%']]],W$6,W$2,FALSE)</f>
        <v>41.640804193638267</v>
      </c>
      <c r="BA249">
        <f>_xlfn.NORM.DIST(Table2912[[#This Row],[CH4 '[g/mmol SCFA']]],X$6,X$2,FALSE)</f>
        <v>0.21201419819400946</v>
      </c>
      <c r="BB249">
        <f>_xlfn.NORM.DIST(Table2912[[#This Row],[DMD '[mg/g']]],Y$6,Y$2,FALSE)</f>
        <v>2.9114419895657131E-3</v>
      </c>
      <c r="BC249">
        <f>_xlfn.NORM.DIST(Table2912[[#This Row],[CH4 '[ml/g']]],Z$6,Z$2,FALSE)</f>
        <v>2.1059059007323445E-2</v>
      </c>
      <c r="BD249">
        <f>_xlfn.NORM.DIST(Table2912[[#This Row],[CH4 '[% GP']]],AA$6,AA$2,FALSE)</f>
        <v>0.10919810757327847</v>
      </c>
      <c r="BE249">
        <f>_xlfn.NORM.DIST(Table2912[[#This Row],[CH4 '[g/g DDM']]],AB$6,AB$2,FALSE)</f>
        <v>1.672303315025072E-2</v>
      </c>
      <c r="BG249">
        <f>IF(Table2912[[#This Row],[GP '[ml/g']]]&lt;O$10,_xlfn.NORM.DIST(Table2912[[#This Row],[GP '[ml/g']]],O$6,O$2,FALSE),-100)</f>
        <v>-100</v>
      </c>
      <c r="BH249">
        <f>IF(Table2912[[#This Row],[SCFA '[mmol/g']]]&lt;P$10,_xlfn.NORM.DIST(Table2912[[#This Row],[SCFA '[mmol/g']]],P$6,P$2,FALSE),-100)</f>
        <v>-100</v>
      </c>
      <c r="BI249">
        <f>IF(Table2912[[#This Row],[Acetate '[%']]]&lt;Q$10,_xlfn.NORM.DIST(Table2912[[#This Row],[Acetate '[%']]],Q$6,Q$2,FALSE),-100)</f>
        <v>-100</v>
      </c>
      <c r="BJ249">
        <f>IF(Table2912[[#This Row],[Propionate '[%']]]&lt;R$10,_xlfn.NORM.DIST(Table2912[[#This Row],[Propionate '[%']]],R$6,R$2,FALSE),-100)</f>
        <v>-100</v>
      </c>
      <c r="BK249">
        <f>IF(Table2912[[#This Row],[Butyrate '[%']]]&lt;S$10,_xlfn.NORM.DIST(Table2912[[#This Row],[Butyrate '[%']]],S$6,S$2,FALSE),-100)</f>
        <v>-100</v>
      </c>
      <c r="BL249">
        <f>IF(Table2912[[#This Row],[Valerate '[%']]]&lt;T$10,_xlfn.NORM.DIST(Table2912[[#This Row],[Valerate '[%']]],T$6,T$2,FALSE),-100)</f>
        <v>-100</v>
      </c>
      <c r="BM249">
        <f>IF(Table2912[[#This Row],[Caproate '[%']]]&lt;U$10,_xlfn.NORM.DIST(Table2912[[#This Row],[Caproate '[%']]],U$6,U$2,FALSE),-100)</f>
        <v>-100</v>
      </c>
      <c r="BN249">
        <f>IF(Table2912[[#This Row],[Isobutyrate '[%']]]&lt;V$10,_xlfn.NORM.DIST(Table2912[[#This Row],[Isobutyrate '[%']]],V$6,V$2,FALSE),-100)</f>
        <v>-100</v>
      </c>
      <c r="BO249">
        <f>IF(Table2912[[#This Row],[Isovalerate '[%']]]&lt;W$10,_xlfn.NORM.DIST(Table2912[[#This Row],[Isovalerate '[%']]],W$6,W$2,FALSE),-100)</f>
        <v>-100</v>
      </c>
      <c r="BP249">
        <f>IF(Table2912[[#This Row],[CH4 '[g/mmol SCFA']]]&lt;X$10,_xlfn.NORM.DIST(Table2912[[#This Row],[CH4 '[g/mmol SCFA']]],X$6,X$2,FALSE),-100)</f>
        <v>-100</v>
      </c>
      <c r="BQ249">
        <f>IF(Table2912[[#This Row],[DMD '[mg/g']]]&gt;Y$10,_xlfn.NORM.DIST(Table2912[[#This Row],[DMD '[mg/g']]],Y$6,Y$2,FALSE),-100)</f>
        <v>-100</v>
      </c>
      <c r="BR249">
        <f>IF(Table2912[[#This Row],[CH4 '[ml/g']]]&lt;Z$10,_xlfn.NORM.DIST(Table2912[[#This Row],[CH4 '[ml/g']]],Z$6,Z$2,FALSE),-100)</f>
        <v>-100</v>
      </c>
      <c r="BS249">
        <f>IF(Table2912[[#This Row],[CH4 '[% GP']]]&lt;AA$10,_xlfn.NORM.DIST(Table2912[[#This Row],[CH4 '[% GP']]],AA$6,AA$2,FALSE),-100)</f>
        <v>-100</v>
      </c>
      <c r="BT249">
        <f>IF(Table2912[[#This Row],[CH4 '[g/g DDM']]]&lt;AB$10,_xlfn.NORM.DIST(Table2912[[#This Row],[CH4 '[g/g DDM']]],AB$6,AB$2,FALSE),-100)</f>
        <v>-100</v>
      </c>
    </row>
    <row r="250" spans="1:72" x14ac:dyDescent="0.25">
      <c r="A250" s="12" t="s">
        <v>70</v>
      </c>
      <c r="B250" s="13">
        <v>1042</v>
      </c>
      <c r="C250" s="96" t="s">
        <v>336</v>
      </c>
      <c r="D250" s="96"/>
      <c r="E250" s="96"/>
      <c r="F250" s="96" t="s">
        <v>337</v>
      </c>
      <c r="G250" t="s">
        <v>143</v>
      </c>
      <c r="H250" t="s">
        <v>144</v>
      </c>
      <c r="I250" t="s">
        <v>52</v>
      </c>
      <c r="J250" s="100">
        <v>2</v>
      </c>
      <c r="K250" s="100"/>
      <c r="L250" s="100"/>
      <c r="M250" t="s">
        <v>337</v>
      </c>
      <c r="N250" t="s">
        <v>80</v>
      </c>
      <c r="O250" s="18">
        <v>277.56847442680851</v>
      </c>
      <c r="P250" s="18">
        <v>6.6578483245149913</v>
      </c>
      <c r="Q250" s="97">
        <v>0.6618708609271523</v>
      </c>
      <c r="R250" s="97">
        <v>0.1841999531255232</v>
      </c>
      <c r="S250" s="97">
        <v>9.7201986754966899E-2</v>
      </c>
      <c r="T250" s="97">
        <v>1.5753172397629495E-2</v>
      </c>
      <c r="U250" s="97">
        <v>1.1920529801324503E-3</v>
      </c>
      <c r="V250" s="97">
        <v>1.4900662251655625E-2</v>
      </c>
      <c r="W250" s="97">
        <v>2.6622516556291383E-2</v>
      </c>
      <c r="X250" s="51">
        <f t="shared" si="20"/>
        <v>6.1334160926394805</v>
      </c>
      <c r="Y250" s="18">
        <v>785.06072157646986</v>
      </c>
      <c r="Z250" s="18">
        <v>40.835354055933053</v>
      </c>
      <c r="AA250" s="18">
        <f t="shared" si="21"/>
        <v>14.71181269424055</v>
      </c>
      <c r="AB250" s="18">
        <f t="shared" si="22"/>
        <v>52.015535784202946</v>
      </c>
      <c r="AC250" s="18">
        <f>$CP$15*Table2912[[#This Row],[DMD '[mg/g']]]+$CS$15*Table2912[[#This Row],[CH4 '[ml/g']]]+$CR$15*Table2912[[#This Row],[CH4 '[% GP']]]+$CQ$15*Table2912[[#This Row],[CH4 '[g/g DDM']]]</f>
        <v>15.78960648172469</v>
      </c>
      <c r="AD250" s="18">
        <f>_xlfn.RANK.AVG(Table2912[[#This Row],[Index]],Table2912[Index])</f>
        <v>256</v>
      </c>
      <c r="AE25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6.280167236417725</v>
      </c>
      <c r="AF250" s="18">
        <f>Table2912[[#This Row],[CH4 '[ml/g']]]/Table2912[[#This Row],[APB]]</f>
        <v>6.5022717578498721</v>
      </c>
      <c r="AG250" s="18">
        <f>Table2912[[#This Row],[Propionate '[%']]]/Table2912[[#This Row],[Acetate '[%']]]</f>
        <v>0.27830195284242443</v>
      </c>
      <c r="AH250" s="51"/>
      <c r="AI250" s="18"/>
      <c r="AJ250" s="18"/>
      <c r="AK250" s="18">
        <f>(Table2912[[#This Row],[DMD '[mg/g']]]-$AK$15)/$AK$15*100</f>
        <v>60.121995196217149</v>
      </c>
      <c r="AL250" s="18">
        <f>(Table2912[[#This Row],[CH4 '[ml/g']]]-AL$15)/AL$15*100</f>
        <v>3.8216673113441582</v>
      </c>
      <c r="AM250" s="18">
        <f>(Table2912[[#This Row],[CH4 '[% GP']]]-AM$15)/AM$15*100</f>
        <v>-5.2217666436204011</v>
      </c>
      <c r="AN250" s="18">
        <f>(Table2912[[#This Row],[CH4 '[g/g DDM']]]-AN$15)/AN$15*100</f>
        <v>1.5620470898006722</v>
      </c>
      <c r="AO250" s="18"/>
      <c r="AP250" s="18"/>
      <c r="AR250">
        <f>_xlfn.NORM.DIST(Table2912[[#This Row],[GP '[ml/g']]],O$6,O$2,FALSE)</f>
        <v>6.8656697595249052E-3</v>
      </c>
      <c r="AS250">
        <f>_xlfn.NORM.DIST(Table2912[[#This Row],[SCFA '[mmol/g']]],P$6,P$2,FALSE)</f>
        <v>0.3310708087379145</v>
      </c>
      <c r="AT250">
        <f>_xlfn.NORM.DIST(Table2912[[#This Row],[Acetate '[%']]],Q$6,Q$2,FALSE)</f>
        <v>12.970649704989366</v>
      </c>
      <c r="AU250">
        <f>_xlfn.NORM.DIST(Table2912[[#This Row],[Propionate '[%']]],R$6,R$2,FALSE)</f>
        <v>14.674856722711606</v>
      </c>
      <c r="AV250">
        <f>_xlfn.NORM.DIST(Table2912[[#This Row],[Butyrate '[%']]],S$6,S$2,FALSE)</f>
        <v>22.337671411820889</v>
      </c>
      <c r="AW250">
        <f>_xlfn.NORM.DIST(Table2912[[#This Row],[Valerate '[%']]],T$6,T$2,FALSE)</f>
        <v>72.281697848998363</v>
      </c>
      <c r="AX250">
        <f>_xlfn.NORM.DIST(Table2912[[#This Row],[Caproate '[%']]],U$6,U$2,FALSE)</f>
        <v>402.72722297893262</v>
      </c>
      <c r="AY250">
        <f>_xlfn.NORM.DIST(Table2912[[#This Row],[Isobutyrate '[%']]],V$6,V$2,FALSE)</f>
        <v>89.758947622855402</v>
      </c>
      <c r="AZ250">
        <f>_xlfn.NORM.DIST(Table2912[[#This Row],[Isovalerate '[%']]],W$6,W$2,FALSE)</f>
        <v>44.955359577106918</v>
      </c>
      <c r="BA250">
        <f>_xlfn.NORM.DIST(Table2912[[#This Row],[CH4 '[g/mmol SCFA']]],X$6,X$2,FALSE)</f>
        <v>0.2955701480551079</v>
      </c>
      <c r="BB250">
        <f>_xlfn.NORM.DIST(Table2912[[#This Row],[DMD '[mg/g']]],Y$6,Y$2,FALSE)</f>
        <v>2.9096626069527675E-3</v>
      </c>
      <c r="BC250">
        <f>_xlfn.NORM.DIST(Table2912[[#This Row],[CH4 '[ml/g']]],Z$6,Z$2,FALSE)</f>
        <v>3.3468624460912942E-2</v>
      </c>
      <c r="BD250">
        <f>_xlfn.NORM.DIST(Table2912[[#This Row],[CH4 '[% GP']]],AA$6,AA$2,FALSE)</f>
        <v>0.12130008286588981</v>
      </c>
      <c r="BE250">
        <f>_xlfn.NORM.DIST(Table2912[[#This Row],[CH4 '[g/g DDM']]],AB$6,AB$2,FALSE)</f>
        <v>3.2653133346922804E-2</v>
      </c>
      <c r="BG250">
        <f>IF(Table2912[[#This Row],[GP '[ml/g']]]&lt;O$10,_xlfn.NORM.DIST(Table2912[[#This Row],[GP '[ml/g']]],O$6,O$2,FALSE),-100)</f>
        <v>-100</v>
      </c>
      <c r="BH250">
        <f>IF(Table2912[[#This Row],[SCFA '[mmol/g']]]&lt;P$10,_xlfn.NORM.DIST(Table2912[[#This Row],[SCFA '[mmol/g']]],P$6,P$2,FALSE),-100)</f>
        <v>-100</v>
      </c>
      <c r="BI250">
        <f>IF(Table2912[[#This Row],[Acetate '[%']]]&lt;Q$10,_xlfn.NORM.DIST(Table2912[[#This Row],[Acetate '[%']]],Q$6,Q$2,FALSE),-100)</f>
        <v>-100</v>
      </c>
      <c r="BJ250">
        <f>IF(Table2912[[#This Row],[Propionate '[%']]]&lt;R$10,_xlfn.NORM.DIST(Table2912[[#This Row],[Propionate '[%']]],R$6,R$2,FALSE),-100)</f>
        <v>-100</v>
      </c>
      <c r="BK250">
        <f>IF(Table2912[[#This Row],[Butyrate '[%']]]&lt;S$10,_xlfn.NORM.DIST(Table2912[[#This Row],[Butyrate '[%']]],S$6,S$2,FALSE),-100)</f>
        <v>-100</v>
      </c>
      <c r="BL250">
        <f>IF(Table2912[[#This Row],[Valerate '[%']]]&lt;T$10,_xlfn.NORM.DIST(Table2912[[#This Row],[Valerate '[%']]],T$6,T$2,FALSE),-100)</f>
        <v>-100</v>
      </c>
      <c r="BM250">
        <f>IF(Table2912[[#This Row],[Caproate '[%']]]&lt;U$10,_xlfn.NORM.DIST(Table2912[[#This Row],[Caproate '[%']]],U$6,U$2,FALSE),-100)</f>
        <v>-100</v>
      </c>
      <c r="BN250">
        <f>IF(Table2912[[#This Row],[Isobutyrate '[%']]]&lt;V$10,_xlfn.NORM.DIST(Table2912[[#This Row],[Isobutyrate '[%']]],V$6,V$2,FALSE),-100)</f>
        <v>-100</v>
      </c>
      <c r="BO250">
        <f>IF(Table2912[[#This Row],[Isovalerate '[%']]]&lt;W$10,_xlfn.NORM.DIST(Table2912[[#This Row],[Isovalerate '[%']]],W$6,W$2,FALSE),-100)</f>
        <v>-100</v>
      </c>
      <c r="BP250">
        <f>IF(Table2912[[#This Row],[CH4 '[g/mmol SCFA']]]&lt;X$10,_xlfn.NORM.DIST(Table2912[[#This Row],[CH4 '[g/mmol SCFA']]],X$6,X$2,FALSE),-100)</f>
        <v>-100</v>
      </c>
      <c r="BQ250">
        <f>IF(Table2912[[#This Row],[DMD '[mg/g']]]&gt;Y$10,_xlfn.NORM.DIST(Table2912[[#This Row],[DMD '[mg/g']]],Y$6,Y$2,FALSE),-100)</f>
        <v>-100</v>
      </c>
      <c r="BR250">
        <f>IF(Table2912[[#This Row],[CH4 '[ml/g']]]&lt;Z$10,_xlfn.NORM.DIST(Table2912[[#This Row],[CH4 '[ml/g']]],Z$6,Z$2,FALSE),-100)</f>
        <v>-100</v>
      </c>
      <c r="BS250">
        <f>IF(Table2912[[#This Row],[CH4 '[% GP']]]&lt;AA$10,_xlfn.NORM.DIST(Table2912[[#This Row],[CH4 '[% GP']]],AA$6,AA$2,FALSE),-100)</f>
        <v>-100</v>
      </c>
      <c r="BT250">
        <f>IF(Table2912[[#This Row],[CH4 '[g/g DDM']]]&lt;AB$10,_xlfn.NORM.DIST(Table2912[[#This Row],[CH4 '[g/g DDM']]],AB$6,AB$2,FALSE),-100)</f>
        <v>-100</v>
      </c>
    </row>
    <row r="251" spans="1:72" x14ac:dyDescent="0.25">
      <c r="A251" s="12" t="s">
        <v>86</v>
      </c>
      <c r="B251" s="13">
        <v>1087</v>
      </c>
      <c r="C251" s="104" t="s">
        <v>338</v>
      </c>
      <c r="D251" s="104" t="s">
        <v>164</v>
      </c>
      <c r="E251" s="104" t="s">
        <v>339</v>
      </c>
      <c r="F251" s="104" t="s">
        <v>340</v>
      </c>
      <c r="G251" s="32" t="s">
        <v>143</v>
      </c>
      <c r="H251" s="32" t="s">
        <v>144</v>
      </c>
      <c r="I251" s="32" t="s">
        <v>52</v>
      </c>
      <c r="J251" s="100">
        <v>1</v>
      </c>
      <c r="K251" s="100"/>
      <c r="L251" s="100"/>
      <c r="M251" t="s">
        <v>341</v>
      </c>
      <c r="N251" t="s">
        <v>99</v>
      </c>
      <c r="O251" s="18">
        <v>256.00469576719598</v>
      </c>
      <c r="P251" s="18">
        <v>6.0674648921931542</v>
      </c>
      <c r="Q251" s="97">
        <v>0.65562436469228813</v>
      </c>
      <c r="R251" s="97">
        <v>0.22841415751334782</v>
      </c>
      <c r="S251" s="97">
        <v>7.8654455924036998E-2</v>
      </c>
      <c r="T251" s="97">
        <v>1.4957504348538179E-2</v>
      </c>
      <c r="U251" s="97">
        <v>-2.357436797891722E-4</v>
      </c>
      <c r="V251" s="97">
        <v>8.4386745917005013E-3</v>
      </c>
      <c r="W251" s="97">
        <v>1.4146586609877481E-2</v>
      </c>
      <c r="X251" s="51">
        <f t="shared" si="20"/>
        <v>6.1600321671523339</v>
      </c>
      <c r="Y251" s="18">
        <v>786.26935329833861</v>
      </c>
      <c r="Z251" s="18">
        <v>37.375778908977296</v>
      </c>
      <c r="AA251" s="18">
        <f t="shared" si="21"/>
        <v>14.59964583734271</v>
      </c>
      <c r="AB251" s="18">
        <f t="shared" si="22"/>
        <v>47.535591654677646</v>
      </c>
      <c r="AC251" s="18">
        <f>$CP$15*Table2912[[#This Row],[DMD '[mg/g']]]+$CS$15*Table2912[[#This Row],[CH4 '[ml/g']]]+$CR$15*Table2912[[#This Row],[CH4 '[% GP']]]+$CQ$15*Table2912[[#This Row],[CH4 '[g/g DDM']]]</f>
        <v>17.8018077362212</v>
      </c>
      <c r="AD251" s="18">
        <f>_xlfn.RANK.AVG(Table2912[[#This Row],[Index]],Table2912[Index])</f>
        <v>209</v>
      </c>
      <c r="AE25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5.8411058467626624</v>
      </c>
      <c r="AF251" s="18">
        <f>Table2912[[#This Row],[CH4 '[ml/g']]]/Table2912[[#This Row],[APB]]</f>
        <v>6.3987504916885234</v>
      </c>
      <c r="AG251" s="18">
        <f>Table2912[[#This Row],[Propionate '[%']]]/Table2912[[#This Row],[Acetate '[%']]]</f>
        <v>0.34839180758718769</v>
      </c>
      <c r="AH251" s="51"/>
      <c r="AI251" s="18"/>
      <c r="AJ251" s="18"/>
      <c r="AK251" s="18">
        <f>(Table2912[[#This Row],[DMD '[mg/g']]]-$AK$15)/$AK$15*100</f>
        <v>60.368509277796015</v>
      </c>
      <c r="AL251" s="18">
        <f>(Table2912[[#This Row],[CH4 '[ml/g']]]-AL$15)/AL$15*100</f>
        <v>-4.9741143893326685</v>
      </c>
      <c r="AM251" s="18">
        <f>(Table2912[[#This Row],[CH4 '[% GP']]]-AM$15)/AM$15*100</f>
        <v>-5.9443816441551061</v>
      </c>
      <c r="AN251" s="18">
        <f>(Table2912[[#This Row],[CH4 '[g/g DDM']]]-AN$15)/AN$15*100</f>
        <v>-7.1851913992952197</v>
      </c>
      <c r="AO251" s="18"/>
      <c r="AP251" s="18"/>
      <c r="AR251">
        <f>_xlfn.NORM.DIST(Table2912[[#This Row],[GP '[ml/g']]],O$6,O$2,FALSE)</f>
        <v>7.4795161923820819E-3</v>
      </c>
      <c r="AS251">
        <f>_xlfn.NORM.DIST(Table2912[[#This Row],[SCFA '[mmol/g']]],P$6,P$2,FALSE)</f>
        <v>0.30813353320860115</v>
      </c>
      <c r="AT251">
        <f>_xlfn.NORM.DIST(Table2912[[#This Row],[Acetate '[%']]],Q$6,Q$2,FALSE)</f>
        <v>11.607654395185165</v>
      </c>
      <c r="AU251">
        <f>_xlfn.NORM.DIST(Table2912[[#This Row],[Propionate '[%']]],R$6,R$2,FALSE)</f>
        <v>0.98872886069338417</v>
      </c>
      <c r="AV251">
        <f>_xlfn.NORM.DIST(Table2912[[#This Row],[Butyrate '[%']]],S$6,S$2,FALSE)</f>
        <v>16.405594263726918</v>
      </c>
      <c r="AW251">
        <f>_xlfn.NORM.DIST(Table2912[[#This Row],[Valerate '[%']]],T$6,T$2,FALSE)</f>
        <v>67.463307542624747</v>
      </c>
      <c r="AX251">
        <f>_xlfn.NORM.DIST(Table2912[[#This Row],[Caproate '[%']]],U$6,U$2,FALSE)</f>
        <v>113.10933694875636</v>
      </c>
      <c r="AY251">
        <f>_xlfn.NORM.DIST(Table2912[[#This Row],[Isobutyrate '[%']]],V$6,V$2,FALSE)</f>
        <v>26.928166168726726</v>
      </c>
      <c r="AZ251">
        <f>_xlfn.NORM.DIST(Table2912[[#This Row],[Isovalerate '[%']]],W$6,W$2,FALSE)</f>
        <v>13.33752468412411</v>
      </c>
      <c r="BA251">
        <f>_xlfn.NORM.DIST(Table2912[[#This Row],[CH4 '[g/mmol SCFA']]],X$6,X$2,FALSE)</f>
        <v>0.29616540928671009</v>
      </c>
      <c r="BB251">
        <f>_xlfn.NORM.DIST(Table2912[[#This Row],[DMD '[mg/g']]],Y$6,Y$2,FALSE)</f>
        <v>2.9078465886179534E-3</v>
      </c>
      <c r="BC251">
        <f>_xlfn.NORM.DIST(Table2912[[#This Row],[CH4 '[ml/g']]],Z$6,Z$2,FALSE)</f>
        <v>3.1647630656500149E-2</v>
      </c>
      <c r="BD251">
        <f>_xlfn.NORM.DIST(Table2912[[#This Row],[CH4 '[% GP']]],AA$6,AA$2,FALSE)</f>
        <v>0.11912821385736025</v>
      </c>
      <c r="BE251">
        <f>_xlfn.NORM.DIST(Table2912[[#This Row],[CH4 '[g/g DDM']]],AB$6,AB$2,FALSE)</f>
        <v>2.928936813684203E-2</v>
      </c>
      <c r="BG251">
        <f>IF(Table2912[[#This Row],[GP '[ml/g']]]&lt;O$10,_xlfn.NORM.DIST(Table2912[[#This Row],[GP '[ml/g']]],O$6,O$2,FALSE),-100)</f>
        <v>-100</v>
      </c>
      <c r="BH251">
        <f>IF(Table2912[[#This Row],[SCFA '[mmol/g']]]&lt;P$10,_xlfn.NORM.DIST(Table2912[[#This Row],[SCFA '[mmol/g']]],P$6,P$2,FALSE),-100)</f>
        <v>-100</v>
      </c>
      <c r="BI251">
        <f>IF(Table2912[[#This Row],[Acetate '[%']]]&lt;Q$10,_xlfn.NORM.DIST(Table2912[[#This Row],[Acetate '[%']]],Q$6,Q$2,FALSE),-100)</f>
        <v>-100</v>
      </c>
      <c r="BJ251">
        <f>IF(Table2912[[#This Row],[Propionate '[%']]]&lt;R$10,_xlfn.NORM.DIST(Table2912[[#This Row],[Propionate '[%']]],R$6,R$2,FALSE),-100)</f>
        <v>-100</v>
      </c>
      <c r="BK251">
        <f>IF(Table2912[[#This Row],[Butyrate '[%']]]&lt;S$10,_xlfn.NORM.DIST(Table2912[[#This Row],[Butyrate '[%']]],S$6,S$2,FALSE),-100)</f>
        <v>-100</v>
      </c>
      <c r="BL251">
        <f>IF(Table2912[[#This Row],[Valerate '[%']]]&lt;T$10,_xlfn.NORM.DIST(Table2912[[#This Row],[Valerate '[%']]],T$6,T$2,FALSE),-100)</f>
        <v>-100</v>
      </c>
      <c r="BM251">
        <f>IF(Table2912[[#This Row],[Caproate '[%']]]&lt;U$10,_xlfn.NORM.DIST(Table2912[[#This Row],[Caproate '[%']]],U$6,U$2,FALSE),-100)</f>
        <v>113.10933694875636</v>
      </c>
      <c r="BN251">
        <f>IF(Table2912[[#This Row],[Isobutyrate '[%']]]&lt;V$10,_xlfn.NORM.DIST(Table2912[[#This Row],[Isobutyrate '[%']]],V$6,V$2,FALSE),-100)</f>
        <v>26.928166168726726</v>
      </c>
      <c r="BO251">
        <f>IF(Table2912[[#This Row],[Isovalerate '[%']]]&lt;W$10,_xlfn.NORM.DIST(Table2912[[#This Row],[Isovalerate '[%']]],W$6,W$2,FALSE),-100)</f>
        <v>13.33752468412411</v>
      </c>
      <c r="BP251">
        <f>IF(Table2912[[#This Row],[CH4 '[g/mmol SCFA']]]&lt;X$10,_xlfn.NORM.DIST(Table2912[[#This Row],[CH4 '[g/mmol SCFA']]],X$6,X$2,FALSE),-100)</f>
        <v>-100</v>
      </c>
      <c r="BQ251">
        <f>IF(Table2912[[#This Row],[DMD '[mg/g']]]&gt;Y$10,_xlfn.NORM.DIST(Table2912[[#This Row],[DMD '[mg/g']]],Y$6,Y$2,FALSE),-100)</f>
        <v>-100</v>
      </c>
      <c r="BR251">
        <f>IF(Table2912[[#This Row],[CH4 '[ml/g']]]&lt;Z$10,_xlfn.NORM.DIST(Table2912[[#This Row],[CH4 '[ml/g']]],Z$6,Z$2,FALSE),-100)</f>
        <v>-100</v>
      </c>
      <c r="BS251">
        <f>IF(Table2912[[#This Row],[CH4 '[% GP']]]&lt;AA$10,_xlfn.NORM.DIST(Table2912[[#This Row],[CH4 '[% GP']]],AA$6,AA$2,FALSE),-100)</f>
        <v>-100</v>
      </c>
      <c r="BT251">
        <f>IF(Table2912[[#This Row],[CH4 '[g/g DDM']]]&lt;AB$10,_xlfn.NORM.DIST(Table2912[[#This Row],[CH4 '[g/g DDM']]],AB$6,AB$2,FALSE),-100)</f>
        <v>-100</v>
      </c>
    </row>
    <row r="252" spans="1:72" x14ac:dyDescent="0.25">
      <c r="A252" s="12" t="s">
        <v>200</v>
      </c>
      <c r="B252" s="13">
        <v>1261</v>
      </c>
      <c r="C252" s="113" t="s">
        <v>326</v>
      </c>
      <c r="D252" s="113" t="s">
        <v>327</v>
      </c>
      <c r="E252" s="113" t="s">
        <v>328</v>
      </c>
      <c r="F252" s="114" t="s">
        <v>329</v>
      </c>
      <c r="G252" t="s">
        <v>73</v>
      </c>
      <c r="H252" t="s">
        <v>74</v>
      </c>
      <c r="I252" t="s">
        <v>75</v>
      </c>
      <c r="J252" s="107">
        <v>3</v>
      </c>
      <c r="K252" s="107"/>
      <c r="L252" s="107"/>
      <c r="M252" t="s">
        <v>330</v>
      </c>
      <c r="N252" t="s">
        <v>342</v>
      </c>
      <c r="O252" s="18">
        <v>248.11060903732871</v>
      </c>
      <c r="P252" s="18">
        <v>5.9458281575382106</v>
      </c>
      <c r="Q252" s="97">
        <v>0.70420074535052546</v>
      </c>
      <c r="R252" s="97">
        <v>0.16304535264075776</v>
      </c>
      <c r="S252" s="97">
        <v>7.941513989253618E-2</v>
      </c>
      <c r="T252" s="97">
        <v>1.4769703775291312E-2</v>
      </c>
      <c r="U252" s="97">
        <v>-1.0132869198129357E-4</v>
      </c>
      <c r="V252" s="97">
        <v>1.3938269781677566E-2</v>
      </c>
      <c r="W252" s="97">
        <v>2.4732117251193092E-2</v>
      </c>
      <c r="X252" s="51">
        <f t="shared" si="20"/>
        <v>7.0948533159116298</v>
      </c>
      <c r="Y252" s="18">
        <v>786.3106932360372</v>
      </c>
      <c r="Z252" s="18">
        <v>42.184778619350709</v>
      </c>
      <c r="AA252" s="18">
        <f t="shared" si="21"/>
        <v>17.002408233580987</v>
      </c>
      <c r="AB252" s="18">
        <f t="shared" si="22"/>
        <v>53.648995215543316</v>
      </c>
      <c r="AC252" s="18">
        <f>$CP$15*Table2912[[#This Row],[DMD '[mg/g']]]+$CS$15*Table2912[[#This Row],[CH4 '[ml/g']]]+$CR$15*Table2912[[#This Row],[CH4 '[% GP']]]+$CQ$15*Table2912[[#This Row],[CH4 '[g/g DDM']]]</f>
        <v>14.522231598321731</v>
      </c>
      <c r="AD252" s="18">
        <f>_xlfn.RANK.AVG(Table2912[[#This Row],[Index]],Table2912[Index])</f>
        <v>279</v>
      </c>
      <c r="AE25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5.6286850438595915</v>
      </c>
      <c r="AF252" s="18">
        <f>Table2912[[#This Row],[CH4 '[ml/g']]]/Table2912[[#This Row],[APB]]</f>
        <v>7.4946063406711048</v>
      </c>
      <c r="AG252" s="18">
        <f>Table2912[[#This Row],[Propionate '[%']]]/Table2912[[#This Row],[Acetate '[%']]]</f>
        <v>0.23153249086608069</v>
      </c>
      <c r="AH252" s="51"/>
      <c r="AI252" s="18"/>
      <c r="AJ252" s="18"/>
      <c r="AK252" s="18">
        <f>(Table2912[[#This Row],[DMD '[mg/g']]]-$AK$15)/$AK$15*100</f>
        <v>60.376941024696166</v>
      </c>
      <c r="AL252" s="18">
        <f>(Table2912[[#This Row],[CH4 '[ml/g']]]-AL$15)/AL$15*100</f>
        <v>7.252505890409898</v>
      </c>
      <c r="AM252" s="18">
        <f>(Table2912[[#This Row],[CH4 '[% GP']]]-AM$15)/AM$15*100</f>
        <v>9.5349872020617781</v>
      </c>
      <c r="AN252" s="18">
        <f>(Table2912[[#This Row],[CH4 '[g/g DDM']]]-AN$15)/AN$15*100</f>
        <v>4.7514304381396988</v>
      </c>
      <c r="AO252" s="18"/>
      <c r="AP252" s="18"/>
      <c r="AR252">
        <f>_xlfn.NORM.DIST(Table2912[[#This Row],[GP '[ml/g']]],O$6,O$2,FALSE)</f>
        <v>7.4086177852751844E-3</v>
      </c>
      <c r="AS252">
        <f>_xlfn.NORM.DIST(Table2912[[#This Row],[SCFA '[mmol/g']]],P$6,P$2,FALSE)</f>
        <v>0.29459912115377634</v>
      </c>
      <c r="AT252">
        <f>_xlfn.NORM.DIST(Table2912[[#This Row],[Acetate '[%']]],Q$6,Q$2,FALSE)</f>
        <v>7.7218557016368559</v>
      </c>
      <c r="AU252">
        <f>_xlfn.NORM.DIST(Table2912[[#This Row],[Propionate '[%']]],R$6,R$2,FALSE)</f>
        <v>15.672546715042847</v>
      </c>
      <c r="AV252">
        <f>_xlfn.NORM.DIST(Table2912[[#This Row],[Butyrate '[%']]],S$6,S$2,FALSE)</f>
        <v>16.993410701374994</v>
      </c>
      <c r="AW252">
        <f>_xlfn.NORM.DIST(Table2912[[#This Row],[Valerate '[%']]],T$6,T$2,FALSE)</f>
        <v>66.143410255166515</v>
      </c>
      <c r="AX252">
        <f>_xlfn.NORM.DIST(Table2912[[#This Row],[Caproate '[%']]],U$6,U$2,FALSE)</f>
        <v>139.53833605325681</v>
      </c>
      <c r="AY252">
        <f>_xlfn.NORM.DIST(Table2912[[#This Row],[Isobutyrate '[%']]],V$6,V$2,FALSE)</f>
        <v>85.8825021016047</v>
      </c>
      <c r="AZ252">
        <f>_xlfn.NORM.DIST(Table2912[[#This Row],[Isovalerate '[%']]],W$6,W$2,FALSE)</f>
        <v>42.576519553856102</v>
      </c>
      <c r="BA252">
        <f>_xlfn.NORM.DIST(Table2912[[#This Row],[CH4 '[g/mmol SCFA']]],X$6,X$2,FALSE)</f>
        <v>0.24760468754592177</v>
      </c>
      <c r="BB252">
        <f>_xlfn.NORM.DIST(Table2912[[#This Row],[DMD '[mg/g']]],Y$6,Y$2,FALSE)</f>
        <v>2.9077804797680439E-3</v>
      </c>
      <c r="BC252">
        <f>_xlfn.NORM.DIST(Table2912[[#This Row],[CH4 '[ml/g']]],Z$6,Z$2,FALSE)</f>
        <v>3.3432970614499902E-2</v>
      </c>
      <c r="BD252">
        <f>_xlfn.NORM.DIST(Table2912[[#This Row],[CH4 '[% GP']]],AA$6,AA$2,FALSE)</f>
        <v>0.12817836358859758</v>
      </c>
      <c r="BE252">
        <f>_xlfn.NORM.DIST(Table2912[[#This Row],[CH4 '[g/g DDM']]],AB$6,AB$2,FALSE)</f>
        <v>3.2842451926970474E-2</v>
      </c>
      <c r="BG252">
        <f>IF(Table2912[[#This Row],[GP '[ml/g']]]&lt;O$10,_xlfn.NORM.DIST(Table2912[[#This Row],[GP '[ml/g']]],O$6,O$2,FALSE),-100)</f>
        <v>-100</v>
      </c>
      <c r="BH252">
        <f>IF(Table2912[[#This Row],[SCFA '[mmol/g']]]&lt;P$10,_xlfn.NORM.DIST(Table2912[[#This Row],[SCFA '[mmol/g']]],P$6,P$2,FALSE),-100)</f>
        <v>-100</v>
      </c>
      <c r="BI252">
        <f>IF(Table2912[[#This Row],[Acetate '[%']]]&lt;Q$10,_xlfn.NORM.DIST(Table2912[[#This Row],[Acetate '[%']]],Q$6,Q$2,FALSE),-100)</f>
        <v>-100</v>
      </c>
      <c r="BJ252">
        <f>IF(Table2912[[#This Row],[Propionate '[%']]]&lt;R$10,_xlfn.NORM.DIST(Table2912[[#This Row],[Propionate '[%']]],R$6,R$2,FALSE),-100)</f>
        <v>-100</v>
      </c>
      <c r="BK252">
        <f>IF(Table2912[[#This Row],[Butyrate '[%']]]&lt;S$10,_xlfn.NORM.DIST(Table2912[[#This Row],[Butyrate '[%']]],S$6,S$2,FALSE),-100)</f>
        <v>-100</v>
      </c>
      <c r="BL252">
        <f>IF(Table2912[[#This Row],[Valerate '[%']]]&lt;T$10,_xlfn.NORM.DIST(Table2912[[#This Row],[Valerate '[%']]],T$6,T$2,FALSE),-100)</f>
        <v>-100</v>
      </c>
      <c r="BM252">
        <f>IF(Table2912[[#This Row],[Caproate '[%']]]&lt;U$10,_xlfn.NORM.DIST(Table2912[[#This Row],[Caproate '[%']]],U$6,U$2,FALSE),-100)</f>
        <v>139.53833605325681</v>
      </c>
      <c r="BN252">
        <f>IF(Table2912[[#This Row],[Isobutyrate '[%']]]&lt;V$10,_xlfn.NORM.DIST(Table2912[[#This Row],[Isobutyrate '[%']]],V$6,V$2,FALSE),-100)</f>
        <v>-100</v>
      </c>
      <c r="BO252">
        <f>IF(Table2912[[#This Row],[Isovalerate '[%']]]&lt;W$10,_xlfn.NORM.DIST(Table2912[[#This Row],[Isovalerate '[%']]],W$6,W$2,FALSE),-100)</f>
        <v>-100</v>
      </c>
      <c r="BP252">
        <f>IF(Table2912[[#This Row],[CH4 '[g/mmol SCFA']]]&lt;X$10,_xlfn.NORM.DIST(Table2912[[#This Row],[CH4 '[g/mmol SCFA']]],X$6,X$2,FALSE),-100)</f>
        <v>-100</v>
      </c>
      <c r="BQ252">
        <f>IF(Table2912[[#This Row],[DMD '[mg/g']]]&gt;Y$10,_xlfn.NORM.DIST(Table2912[[#This Row],[DMD '[mg/g']]],Y$6,Y$2,FALSE),-100)</f>
        <v>-100</v>
      </c>
      <c r="BR252">
        <f>IF(Table2912[[#This Row],[CH4 '[ml/g']]]&lt;Z$10,_xlfn.NORM.DIST(Table2912[[#This Row],[CH4 '[ml/g']]],Z$6,Z$2,FALSE),-100)</f>
        <v>-100</v>
      </c>
      <c r="BS252">
        <f>IF(Table2912[[#This Row],[CH4 '[% GP']]]&lt;AA$10,_xlfn.NORM.DIST(Table2912[[#This Row],[CH4 '[% GP']]],AA$6,AA$2,FALSE),-100)</f>
        <v>-100</v>
      </c>
      <c r="BT252">
        <f>IF(Table2912[[#This Row],[CH4 '[g/g DDM']]]&lt;AB$10,_xlfn.NORM.DIST(Table2912[[#This Row],[CH4 '[g/g DDM']]],AB$6,AB$2,FALSE),-100)</f>
        <v>-100</v>
      </c>
    </row>
    <row r="253" spans="1:72" x14ac:dyDescent="0.25">
      <c r="A253" s="12" t="s">
        <v>200</v>
      </c>
      <c r="B253" s="13">
        <v>1155</v>
      </c>
      <c r="C253" s="117" t="s">
        <v>261</v>
      </c>
      <c r="D253" s="117" t="s">
        <v>262</v>
      </c>
      <c r="E253" s="117" t="s">
        <v>263</v>
      </c>
      <c r="F253" s="117" t="s">
        <v>264</v>
      </c>
      <c r="G253" s="15" t="s">
        <v>73</v>
      </c>
      <c r="H253" s="15" t="s">
        <v>74</v>
      </c>
      <c r="I253" t="s">
        <v>75</v>
      </c>
      <c r="J253" s="100">
        <v>3</v>
      </c>
      <c r="K253" s="100"/>
      <c r="L253" s="100"/>
      <c r="M253" t="s">
        <v>264</v>
      </c>
      <c r="N253" t="s">
        <v>237</v>
      </c>
      <c r="O253" s="18">
        <v>230.72628458498011</v>
      </c>
      <c r="P253" s="18">
        <v>5.7479655574253092</v>
      </c>
      <c r="Q253" s="97">
        <v>0.70402785465325213</v>
      </c>
      <c r="R253" s="97">
        <v>0.15519383685205057</v>
      </c>
      <c r="S253" s="97">
        <v>7.4972108406298005E-2</v>
      </c>
      <c r="T253" s="97">
        <v>1.7504186927123071E-2</v>
      </c>
      <c r="U253" s="97">
        <v>1.2236713708103659E-3</v>
      </c>
      <c r="V253" s="97">
        <v>1.5935269983725263E-2</v>
      </c>
      <c r="W253" s="97">
        <v>3.1143071806740578E-2</v>
      </c>
      <c r="X253" s="51">
        <f t="shared" si="20"/>
        <v>8.07090790638191</v>
      </c>
      <c r="Y253" s="18">
        <v>786.85368536853684</v>
      </c>
      <c r="Z253" s="18">
        <v>46.391300663034826</v>
      </c>
      <c r="AA253" s="18">
        <f t="shared" si="21"/>
        <v>20.106638802111938</v>
      </c>
      <c r="AB253" s="18">
        <f t="shared" si="22"/>
        <v>58.957975956237206</v>
      </c>
      <c r="AC253" s="18">
        <f>$CP$15*Table2912[[#This Row],[DMD '[mg/g']]]+$CS$15*Table2912[[#This Row],[CH4 '[ml/g']]]+$CR$15*Table2912[[#This Row],[CH4 '[% GP']]]+$CQ$15*Table2912[[#This Row],[CH4 '[g/g DDM']]]</f>
        <v>11.413380391502841</v>
      </c>
      <c r="AD253" s="18">
        <f>_xlfn.RANK.AVG(Table2912[[#This Row],[Index]],Table2912[Index])</f>
        <v>337</v>
      </c>
      <c r="AE25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5.3697137858521513</v>
      </c>
      <c r="AF253" s="18">
        <f>Table2912[[#This Row],[CH4 '[ml/g']]]/Table2912[[#This Row],[APB]]</f>
        <v>8.6394363858394581</v>
      </c>
      <c r="AG253" s="18">
        <f>Table2912[[#This Row],[Propionate '[%']]]/Table2912[[#This Row],[Acetate '[%']]]</f>
        <v>0.22043706911069116</v>
      </c>
      <c r="AH253" s="51"/>
      <c r="AI253" s="18"/>
      <c r="AJ253" s="18"/>
      <c r="AK253" s="18">
        <f>(Table2912[[#This Row],[DMD '[mg/g']]]-$AK$15)/$AK$15*100</f>
        <v>60.48769039890648</v>
      </c>
      <c r="AL253" s="18">
        <f>(Table2912[[#This Row],[CH4 '[ml/g']]]-AL$15)/AL$15*100</f>
        <v>17.947359461631837</v>
      </c>
      <c r="AM253" s="18">
        <f>(Table2912[[#This Row],[CH4 '[% GP']]]-AM$15)/AM$15*100</f>
        <v>29.533439828597292</v>
      </c>
      <c r="AN253" s="18">
        <f>(Table2912[[#This Row],[CH4 '[g/g DDM']]]-AN$15)/AN$15*100</f>
        <v>15.117390220273663</v>
      </c>
      <c r="AO253" s="18"/>
      <c r="AP253" s="18"/>
      <c r="AR253">
        <f>_xlfn.NORM.DIST(Table2912[[#This Row],[GP '[ml/g']]],O$6,O$2,FALSE)</f>
        <v>6.715573339771048E-3</v>
      </c>
      <c r="AS253">
        <f>_xlfn.NORM.DIST(Table2912[[#This Row],[SCFA '[mmol/g']]],P$6,P$2,FALSE)</f>
        <v>0.26788570705732717</v>
      </c>
      <c r="AT253">
        <f>_xlfn.NORM.DIST(Table2912[[#This Row],[Acetate '[%']]],Q$6,Q$2,FALSE)</f>
        <v>7.7731711426518828</v>
      </c>
      <c r="AU253">
        <f>_xlfn.NORM.DIST(Table2912[[#This Row],[Propionate '[%']]],R$6,R$2,FALSE)</f>
        <v>13.126095520959906</v>
      </c>
      <c r="AV253">
        <f>_xlfn.NORM.DIST(Table2912[[#This Row],[Butyrate '[%']]],S$6,S$2,FALSE)</f>
        <v>13.463037069841734</v>
      </c>
      <c r="AW253">
        <f>_xlfn.NORM.DIST(Table2912[[#This Row],[Valerate '[%']]],T$6,T$2,FALSE)</f>
        <v>77.360331523601673</v>
      </c>
      <c r="AX253">
        <f>_xlfn.NORM.DIST(Table2912[[#This Row],[Caproate '[%']]],U$6,U$2,FALSE)</f>
        <v>404.38923613822726</v>
      </c>
      <c r="AY253">
        <f>_xlfn.NORM.DIST(Table2912[[#This Row],[Isobutyrate '[%']]],V$6,V$2,FALSE)</f>
        <v>89.284392281792123</v>
      </c>
      <c r="AZ253">
        <f>_xlfn.NORM.DIST(Table2912[[#This Row],[Isovalerate '[%']]],W$6,W$2,FALSE)</f>
        <v>42.42637000849632</v>
      </c>
      <c r="BA253">
        <f>_xlfn.NORM.DIST(Table2912[[#This Row],[CH4 '[g/mmol SCFA']]],X$6,X$2,FALSE)</f>
        <v>0.12231209827461453</v>
      </c>
      <c r="BB253">
        <f>_xlfn.NORM.DIST(Table2912[[#This Row],[DMD '[mg/g']]],Y$6,Y$2,FALSE)</f>
        <v>2.9068876531455992E-3</v>
      </c>
      <c r="BC253">
        <f>_xlfn.NORM.DIST(Table2912[[#This Row],[CH4 '[ml/g']]],Z$6,Z$2,FALSE)</f>
        <v>3.0685541146896797E-2</v>
      </c>
      <c r="BD253">
        <f>_xlfn.NORM.DIST(Table2912[[#This Row],[CH4 '[% GP']]],AA$6,AA$2,FALSE)</f>
        <v>5.3161878051034235E-2</v>
      </c>
      <c r="BE253">
        <f>_xlfn.NORM.DIST(Table2912[[#This Row],[CH4 '[g/g DDM']]],AB$6,AB$2,FALSE)</f>
        <v>2.9534025958298807E-2</v>
      </c>
      <c r="BG253">
        <f>IF(Table2912[[#This Row],[GP '[ml/g']]]&lt;O$10,_xlfn.NORM.DIST(Table2912[[#This Row],[GP '[ml/g']]],O$6,O$2,FALSE),-100)</f>
        <v>-100</v>
      </c>
      <c r="BH253">
        <f>IF(Table2912[[#This Row],[SCFA '[mmol/g']]]&lt;P$10,_xlfn.NORM.DIST(Table2912[[#This Row],[SCFA '[mmol/g']]],P$6,P$2,FALSE),-100)</f>
        <v>-100</v>
      </c>
      <c r="BI253">
        <f>IF(Table2912[[#This Row],[Acetate '[%']]]&lt;Q$10,_xlfn.NORM.DIST(Table2912[[#This Row],[Acetate '[%']]],Q$6,Q$2,FALSE),-100)</f>
        <v>-100</v>
      </c>
      <c r="BJ253">
        <f>IF(Table2912[[#This Row],[Propionate '[%']]]&lt;R$10,_xlfn.NORM.DIST(Table2912[[#This Row],[Propionate '[%']]],R$6,R$2,FALSE),-100)</f>
        <v>-100</v>
      </c>
      <c r="BK253">
        <f>IF(Table2912[[#This Row],[Butyrate '[%']]]&lt;S$10,_xlfn.NORM.DIST(Table2912[[#This Row],[Butyrate '[%']]],S$6,S$2,FALSE),-100)</f>
        <v>13.463037069841734</v>
      </c>
      <c r="BL253">
        <f>IF(Table2912[[#This Row],[Valerate '[%']]]&lt;T$10,_xlfn.NORM.DIST(Table2912[[#This Row],[Valerate '[%']]],T$6,T$2,FALSE),-100)</f>
        <v>-100</v>
      </c>
      <c r="BM253">
        <f>IF(Table2912[[#This Row],[Caproate '[%']]]&lt;U$10,_xlfn.NORM.DIST(Table2912[[#This Row],[Caproate '[%']]],U$6,U$2,FALSE),-100)</f>
        <v>-100</v>
      </c>
      <c r="BN253">
        <f>IF(Table2912[[#This Row],[Isobutyrate '[%']]]&lt;V$10,_xlfn.NORM.DIST(Table2912[[#This Row],[Isobutyrate '[%']]],V$6,V$2,FALSE),-100)</f>
        <v>-100</v>
      </c>
      <c r="BO253">
        <f>IF(Table2912[[#This Row],[Isovalerate '[%']]]&lt;W$10,_xlfn.NORM.DIST(Table2912[[#This Row],[Isovalerate '[%']]],W$6,W$2,FALSE),-100)</f>
        <v>-100</v>
      </c>
      <c r="BP253">
        <f>IF(Table2912[[#This Row],[CH4 '[g/mmol SCFA']]]&lt;X$10,_xlfn.NORM.DIST(Table2912[[#This Row],[CH4 '[g/mmol SCFA']]],X$6,X$2,FALSE),-100)</f>
        <v>-100</v>
      </c>
      <c r="BQ253">
        <f>IF(Table2912[[#This Row],[DMD '[mg/g']]]&gt;Y$10,_xlfn.NORM.DIST(Table2912[[#This Row],[DMD '[mg/g']]],Y$6,Y$2,FALSE),-100)</f>
        <v>-100</v>
      </c>
      <c r="BR253">
        <f>IF(Table2912[[#This Row],[CH4 '[ml/g']]]&lt;Z$10,_xlfn.NORM.DIST(Table2912[[#This Row],[CH4 '[ml/g']]],Z$6,Z$2,FALSE),-100)</f>
        <v>-100</v>
      </c>
      <c r="BS253">
        <f>IF(Table2912[[#This Row],[CH4 '[% GP']]]&lt;AA$10,_xlfn.NORM.DIST(Table2912[[#This Row],[CH4 '[% GP']]],AA$6,AA$2,FALSE),-100)</f>
        <v>-100</v>
      </c>
      <c r="BT253">
        <f>IF(Table2912[[#This Row],[CH4 '[g/g DDM']]]&lt;AB$10,_xlfn.NORM.DIST(Table2912[[#This Row],[CH4 '[g/g DDM']]],AB$6,AB$2,FALSE),-100)</f>
        <v>-100</v>
      </c>
    </row>
    <row r="254" spans="1:72" x14ac:dyDescent="0.25">
      <c r="A254" s="12" t="s">
        <v>70</v>
      </c>
      <c r="B254" s="13">
        <v>992</v>
      </c>
      <c r="C254" s="96" t="s">
        <v>343</v>
      </c>
      <c r="D254" s="96"/>
      <c r="E254" s="96"/>
      <c r="F254" s="96" t="s">
        <v>344</v>
      </c>
      <c r="G254" t="s">
        <v>73</v>
      </c>
      <c r="H254" t="s">
        <v>74</v>
      </c>
      <c r="I254" t="s">
        <v>75</v>
      </c>
      <c r="J254" s="100">
        <v>2</v>
      </c>
      <c r="K254" s="100"/>
      <c r="L254" s="100"/>
      <c r="M254" t="s">
        <v>344</v>
      </c>
      <c r="N254" t="s">
        <v>180</v>
      </c>
      <c r="O254" s="18">
        <v>316.85712081128668</v>
      </c>
      <c r="P254" s="18">
        <v>7.2180335097001791</v>
      </c>
      <c r="Q254" s="97">
        <v>0.67417000091628221</v>
      </c>
      <c r="R254" s="97">
        <v>0.12815735622002991</v>
      </c>
      <c r="S254" s="97">
        <v>0.14258880302984026</v>
      </c>
      <c r="T254" s="97">
        <v>1.4782688372377142E-2</v>
      </c>
      <c r="U254" s="97">
        <v>2.8710179896765512E-3</v>
      </c>
      <c r="V254" s="97">
        <v>1.2614153507834208E-2</v>
      </c>
      <c r="W254" s="97">
        <v>2.481597996395956E-2</v>
      </c>
      <c r="X254" s="51">
        <f t="shared" si="20"/>
        <v>6.1998574858239275</v>
      </c>
      <c r="Y254" s="18">
        <v>787.91887125220455</v>
      </c>
      <c r="Z254" s="18">
        <v>44.750779088042613</v>
      </c>
      <c r="AA254" s="18">
        <f t="shared" si="21"/>
        <v>14.123330721891907</v>
      </c>
      <c r="AB254" s="18">
        <f t="shared" si="22"/>
        <v>56.796176257235949</v>
      </c>
      <c r="AC254" s="18">
        <f>$CP$15*Table2912[[#This Row],[DMD '[mg/g']]]+$CS$15*Table2912[[#This Row],[CH4 '[ml/g']]]+$CR$15*Table2912[[#This Row],[CH4 '[% GP']]]+$CQ$15*Table2912[[#This Row],[CH4 '[g/g DDM']]]</f>
        <v>14.209175689629731</v>
      </c>
      <c r="AD254" s="18">
        <f>_xlfn.RANK.AVG(Table2912[[#This Row],[Index]],Table2912[Index])</f>
        <v>286</v>
      </c>
      <c r="AE25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6.8204365079365097</v>
      </c>
      <c r="AF254" s="18">
        <f>Table2912[[#This Row],[CH4 '[ml/g']]]/Table2912[[#This Row],[APB]]</f>
        <v>6.5612778648359189</v>
      </c>
      <c r="AG254" s="18">
        <f>Table2912[[#This Row],[Propionate '[%']]]/Table2912[[#This Row],[Acetate '[%']]]</f>
        <v>0.1900964979839623</v>
      </c>
      <c r="AH254" s="51"/>
      <c r="AI254" s="18"/>
      <c r="AJ254" s="18"/>
      <c r="AK254" s="18">
        <f>(Table2912[[#This Row],[DMD '[mg/g']]]-$AK$15)/$AK$15*100</f>
        <v>60.704947082701864</v>
      </c>
      <c r="AL254" s="18">
        <f>(Table2912[[#This Row],[CH4 '[ml/g']]]-AL$15)/AL$15*100</f>
        <v>13.776422558706233</v>
      </c>
      <c r="AM254" s="18">
        <f>(Table2912[[#This Row],[CH4 '[% GP']]]-AM$15)/AM$15*100</f>
        <v>-9.012956951740442</v>
      </c>
      <c r="AN254" s="18">
        <f>(Table2912[[#This Row],[CH4 '[g/g DDM']]]-AN$15)/AN$15*100</f>
        <v>10.896405094991886</v>
      </c>
      <c r="AO254" s="18"/>
      <c r="AP254" s="18"/>
      <c r="AR254">
        <f>_xlfn.NORM.DIST(Table2912[[#This Row],[GP '[ml/g']]],O$6,O$2,FALSE)</f>
        <v>3.8585223689628443E-3</v>
      </c>
      <c r="AS254">
        <f>_xlfn.NORM.DIST(Table2912[[#This Row],[SCFA '[mmol/g']]],P$6,P$2,FALSE)</f>
        <v>0.28323308210901049</v>
      </c>
      <c r="AT254">
        <f>_xlfn.NORM.DIST(Table2912[[#This Row],[Acetate '[%']]],Q$6,Q$2,FALSE)</f>
        <v>14.017433682802956</v>
      </c>
      <c r="AU254">
        <f>_xlfn.NORM.DIST(Table2912[[#This Row],[Propionate '[%']]],R$6,R$2,FALSE)</f>
        <v>3.0912363256399149</v>
      </c>
      <c r="AV254">
        <f>_xlfn.NORM.DIST(Table2912[[#This Row],[Butyrate '[%']]],S$6,S$2,FALSE)</f>
        <v>0.37775229545637812</v>
      </c>
      <c r="AW254">
        <f>_xlfn.NORM.DIST(Table2912[[#This Row],[Valerate '[%']]],T$6,T$2,FALSE)</f>
        <v>66.236660853811429</v>
      </c>
      <c r="AX254">
        <f>_xlfn.NORM.DIST(Table2912[[#This Row],[Caproate '[%']]],U$6,U$2,FALSE)</f>
        <v>118.89137833616127</v>
      </c>
      <c r="AY254">
        <f>_xlfn.NORM.DIST(Table2912[[#This Row],[Isobutyrate '[%']]],V$6,V$2,FALSE)</f>
        <v>74.807990832548043</v>
      </c>
      <c r="AZ254">
        <f>_xlfn.NORM.DIST(Table2912[[#This Row],[Isovalerate '[%']]],W$6,W$2,FALSE)</f>
        <v>42.721276880039525</v>
      </c>
      <c r="BA254">
        <f>_xlfn.NORM.DIST(Table2912[[#This Row],[CH4 '[g/mmol SCFA']]],X$6,X$2,FALSE)</f>
        <v>0.29683999159239854</v>
      </c>
      <c r="BB254">
        <f>_xlfn.NORM.DIST(Table2912[[#This Row],[DMD '[mg/g']]],Y$6,Y$2,FALSE)</f>
        <v>2.9050040537844778E-3</v>
      </c>
      <c r="BC254">
        <f>_xlfn.NORM.DIST(Table2912[[#This Row],[CH4 '[ml/g']]],Z$6,Z$2,FALSE)</f>
        <v>3.2203684098867792E-2</v>
      </c>
      <c r="BD254">
        <f>_xlfn.NORM.DIST(Table2912[[#This Row],[CH4 '[% GP']]],AA$6,AA$2,FALSE)</f>
        <v>0.10858103357563723</v>
      </c>
      <c r="BE254">
        <f>_xlfn.NORM.DIST(Table2912[[#This Row],[CH4 '[g/g DDM']]],AB$6,AB$2,FALSE)</f>
        <v>3.1558625977835576E-2</v>
      </c>
      <c r="BG254">
        <f>IF(Table2912[[#This Row],[GP '[ml/g']]]&lt;O$10,_xlfn.NORM.DIST(Table2912[[#This Row],[GP '[ml/g']]],O$6,O$2,FALSE),-100)</f>
        <v>-100</v>
      </c>
      <c r="BH254">
        <f>IF(Table2912[[#This Row],[SCFA '[mmol/g']]]&lt;P$10,_xlfn.NORM.DIST(Table2912[[#This Row],[SCFA '[mmol/g']]],P$6,P$2,FALSE),-100)</f>
        <v>-100</v>
      </c>
      <c r="BI254">
        <f>IF(Table2912[[#This Row],[Acetate '[%']]]&lt;Q$10,_xlfn.NORM.DIST(Table2912[[#This Row],[Acetate '[%']]],Q$6,Q$2,FALSE),-100)</f>
        <v>-100</v>
      </c>
      <c r="BJ254">
        <f>IF(Table2912[[#This Row],[Propionate '[%']]]&lt;R$10,_xlfn.NORM.DIST(Table2912[[#This Row],[Propionate '[%']]],R$6,R$2,FALSE),-100)</f>
        <v>3.0912363256399149</v>
      </c>
      <c r="BK254">
        <f>IF(Table2912[[#This Row],[Butyrate '[%']]]&lt;S$10,_xlfn.NORM.DIST(Table2912[[#This Row],[Butyrate '[%']]],S$6,S$2,FALSE),-100)</f>
        <v>-100</v>
      </c>
      <c r="BL254">
        <f>IF(Table2912[[#This Row],[Valerate '[%']]]&lt;T$10,_xlfn.NORM.DIST(Table2912[[#This Row],[Valerate '[%']]],T$6,T$2,FALSE),-100)</f>
        <v>-100</v>
      </c>
      <c r="BM254">
        <f>IF(Table2912[[#This Row],[Caproate '[%']]]&lt;U$10,_xlfn.NORM.DIST(Table2912[[#This Row],[Caproate '[%']]],U$6,U$2,FALSE),-100)</f>
        <v>-100</v>
      </c>
      <c r="BN254">
        <f>IF(Table2912[[#This Row],[Isobutyrate '[%']]]&lt;V$10,_xlfn.NORM.DIST(Table2912[[#This Row],[Isobutyrate '[%']]],V$6,V$2,FALSE),-100)</f>
        <v>-100</v>
      </c>
      <c r="BO254">
        <f>IF(Table2912[[#This Row],[Isovalerate '[%']]]&lt;W$10,_xlfn.NORM.DIST(Table2912[[#This Row],[Isovalerate '[%']]],W$6,W$2,FALSE),-100)</f>
        <v>-100</v>
      </c>
      <c r="BP254">
        <f>IF(Table2912[[#This Row],[CH4 '[g/mmol SCFA']]]&lt;X$10,_xlfn.NORM.DIST(Table2912[[#This Row],[CH4 '[g/mmol SCFA']]],X$6,X$2,FALSE),-100)</f>
        <v>-100</v>
      </c>
      <c r="BQ254">
        <f>IF(Table2912[[#This Row],[DMD '[mg/g']]]&gt;Y$10,_xlfn.NORM.DIST(Table2912[[#This Row],[DMD '[mg/g']]],Y$6,Y$2,FALSE),-100)</f>
        <v>-100</v>
      </c>
      <c r="BR254">
        <f>IF(Table2912[[#This Row],[CH4 '[ml/g']]]&lt;Z$10,_xlfn.NORM.DIST(Table2912[[#This Row],[CH4 '[ml/g']]],Z$6,Z$2,FALSE),-100)</f>
        <v>-100</v>
      </c>
      <c r="BS254">
        <f>IF(Table2912[[#This Row],[CH4 '[% GP']]]&lt;AA$10,_xlfn.NORM.DIST(Table2912[[#This Row],[CH4 '[% GP']]],AA$6,AA$2,FALSE),-100)</f>
        <v>-100</v>
      </c>
      <c r="BT254">
        <f>IF(Table2912[[#This Row],[CH4 '[g/g DDM']]]&lt;AB$10,_xlfn.NORM.DIST(Table2912[[#This Row],[CH4 '[g/g DDM']]],AB$6,AB$2,FALSE),-100)</f>
        <v>-100</v>
      </c>
    </row>
    <row r="255" spans="1:72" x14ac:dyDescent="0.25">
      <c r="A255" s="12" t="s">
        <v>200</v>
      </c>
      <c r="B255" s="13">
        <v>1196</v>
      </c>
      <c r="C255" s="113" t="s">
        <v>345</v>
      </c>
      <c r="D255" s="113" t="s">
        <v>346</v>
      </c>
      <c r="E255" s="113" t="s">
        <v>347</v>
      </c>
      <c r="F255" s="113" t="s">
        <v>348</v>
      </c>
      <c r="G255" s="99" t="s">
        <v>349</v>
      </c>
      <c r="H255" s="99" t="s">
        <v>350</v>
      </c>
      <c r="I255" s="99" t="s">
        <v>48</v>
      </c>
      <c r="J255" s="70">
        <v>3</v>
      </c>
      <c r="K255" s="70"/>
      <c r="L255" s="70"/>
      <c r="M255" t="s">
        <v>351</v>
      </c>
      <c r="N255" t="s">
        <v>352</v>
      </c>
      <c r="O255" s="18">
        <v>273.13992917220037</v>
      </c>
      <c r="P255" s="18">
        <v>6.9516693704225005</v>
      </c>
      <c r="Q255" s="97">
        <v>0.7022910343881601</v>
      </c>
      <c r="R255" s="97">
        <v>0.14128868784545032</v>
      </c>
      <c r="S255" s="97">
        <v>0.10998998124732672</v>
      </c>
      <c r="T255" s="97">
        <v>1.173989954043626E-2</v>
      </c>
      <c r="U255" s="97">
        <v>1.1332442380198671E-3</v>
      </c>
      <c r="V255" s="97">
        <v>1.2892747046323053E-2</v>
      </c>
      <c r="W255" s="97">
        <v>2.0664405694283787E-2</v>
      </c>
      <c r="X255" s="51">
        <f t="shared" si="20"/>
        <v>6.5875259615983826</v>
      </c>
      <c r="Y255" s="18">
        <v>789.35731900519454</v>
      </c>
      <c r="Z255" s="18">
        <v>45.794302454106507</v>
      </c>
      <c r="AA255" s="18">
        <f t="shared" si="21"/>
        <v>16.765876227944545</v>
      </c>
      <c r="AB255" s="18">
        <f t="shared" si="22"/>
        <v>58.014667567559663</v>
      </c>
      <c r="AC255" s="18">
        <f>$CP$15*Table2912[[#This Row],[DMD '[mg/g']]]+$CS$15*Table2912[[#This Row],[CH4 '[ml/g']]]+$CR$15*Table2912[[#This Row],[CH4 '[% GP']]]+$CQ$15*Table2912[[#This Row],[CH4 '[g/g DDM']]]</f>
        <v>13.031968593326198</v>
      </c>
      <c r="AD255" s="18">
        <f>_xlfn.RANK.AVG(Table2912[[#This Row],[Index]],Table2912[Index])</f>
        <v>301</v>
      </c>
      <c r="AE25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6.6289013002512966</v>
      </c>
      <c r="AF255" s="18">
        <f>Table2912[[#This Row],[CH4 '[ml/g']]]/Table2912[[#This Row],[APB]]</f>
        <v>6.90827942367621</v>
      </c>
      <c r="AG255" s="18">
        <f>Table2912[[#This Row],[Propionate '[%']]]/Table2912[[#This Row],[Acetate '[%']]]</f>
        <v>0.20118253106924797</v>
      </c>
      <c r="AH255" s="51"/>
      <c r="AI255" s="18"/>
      <c r="AJ255" s="18"/>
      <c r="AK255" s="18">
        <f>(Table2912[[#This Row],[DMD '[mg/g']]]-$AK$15)/$AK$15*100</f>
        <v>60.998334737776183</v>
      </c>
      <c r="AL255" s="18">
        <f>(Table2912[[#This Row],[CH4 '[ml/g']]]-AL$15)/AL$15*100</f>
        <v>16.429523976529222</v>
      </c>
      <c r="AM255" s="18">
        <f>(Table2912[[#This Row],[CH4 '[% GP']]]-AM$15)/AM$15*100</f>
        <v>8.0111718781187626</v>
      </c>
      <c r="AN255" s="18">
        <f>(Table2912[[#This Row],[CH4 '[g/g DDM']]]-AN$15)/AN$15*100</f>
        <v>13.275549517362585</v>
      </c>
      <c r="AO255" s="18"/>
      <c r="AP255" s="18"/>
      <c r="AR255">
        <f>_xlfn.NORM.DIST(Table2912[[#This Row],[GP '[ml/g']]],O$6,O$2,FALSE)</f>
        <v>7.0813053048832111E-3</v>
      </c>
      <c r="AS255">
        <f>_xlfn.NORM.DIST(Table2912[[#This Row],[SCFA '[mmol/g']]],P$6,P$2,FALSE)</f>
        <v>0.31346857422437158</v>
      </c>
      <c r="AT255">
        <f>_xlfn.NORM.DIST(Table2912[[#This Row],[Acetate '[%']]],Q$6,Q$2,FALSE)</f>
        <v>8.2909630809575159</v>
      </c>
      <c r="AU255">
        <f>_xlfn.NORM.DIST(Table2912[[#This Row],[Propionate '[%']]],R$6,R$2,FALSE)</f>
        <v>7.3347511642744667</v>
      </c>
      <c r="AV255">
        <f>_xlfn.NORM.DIST(Table2912[[#This Row],[Butyrate '[%']]],S$6,S$2,FALSE)</f>
        <v>14.173654401127976</v>
      </c>
      <c r="AW255">
        <f>_xlfn.NORM.DIST(Table2912[[#This Row],[Valerate '[%']]],T$6,T$2,FALSE)</f>
        <v>40.029019148309253</v>
      </c>
      <c r="AX255">
        <f>_xlfn.NORM.DIST(Table2912[[#This Row],[Caproate '[%']]],U$6,U$2,FALSE)</f>
        <v>398.55007380489388</v>
      </c>
      <c r="AY255">
        <f>_xlfn.NORM.DIST(Table2912[[#This Row],[Isobutyrate '[%']]],V$6,V$2,FALSE)</f>
        <v>77.587760385577383</v>
      </c>
      <c r="AZ255">
        <f>_xlfn.NORM.DIST(Table2912[[#This Row],[Isovalerate '[%']]],W$6,W$2,FALSE)</f>
        <v>32.368164163722803</v>
      </c>
      <c r="BA255">
        <f>_xlfn.NORM.DIST(Table2912[[#This Row],[CH4 '[g/mmol SCFA']]],X$6,X$2,FALSE)</f>
        <v>0.28982823829557164</v>
      </c>
      <c r="BB255">
        <f>_xlfn.NORM.DIST(Table2912[[#This Row],[DMD '[mg/g']]],Y$6,Y$2,FALSE)</f>
        <v>2.9021831178856206E-3</v>
      </c>
      <c r="BC255">
        <f>_xlfn.NORM.DIST(Table2912[[#This Row],[CH4 '[ml/g']]],Z$6,Z$2,FALSE)</f>
        <v>3.1298232145506151E-2</v>
      </c>
      <c r="BD255">
        <f>_xlfn.NORM.DIST(Table2912[[#This Row],[CH4 '[% GP']]],AA$6,AA$2,FALSE)</f>
        <v>0.13103027918396382</v>
      </c>
      <c r="BE255">
        <f>_xlfn.NORM.DIST(Table2912[[#This Row],[CH4 '[g/g DDM']]],AB$6,AB$2,FALSE)</f>
        <v>3.0519693547727687E-2</v>
      </c>
      <c r="BG255">
        <f>IF(Table2912[[#This Row],[GP '[ml/g']]]&lt;O$10,_xlfn.NORM.DIST(Table2912[[#This Row],[GP '[ml/g']]],O$6,O$2,FALSE),-100)</f>
        <v>-100</v>
      </c>
      <c r="BH255">
        <f>IF(Table2912[[#This Row],[SCFA '[mmol/g']]]&lt;P$10,_xlfn.NORM.DIST(Table2912[[#This Row],[SCFA '[mmol/g']]],P$6,P$2,FALSE),-100)</f>
        <v>-100</v>
      </c>
      <c r="BI255">
        <f>IF(Table2912[[#This Row],[Acetate '[%']]]&lt;Q$10,_xlfn.NORM.DIST(Table2912[[#This Row],[Acetate '[%']]],Q$6,Q$2,FALSE),-100)</f>
        <v>-100</v>
      </c>
      <c r="BJ255">
        <f>IF(Table2912[[#This Row],[Propionate '[%']]]&lt;R$10,_xlfn.NORM.DIST(Table2912[[#This Row],[Propionate '[%']]],R$6,R$2,FALSE),-100)</f>
        <v>7.3347511642744667</v>
      </c>
      <c r="BK255">
        <f>IF(Table2912[[#This Row],[Butyrate '[%']]]&lt;S$10,_xlfn.NORM.DIST(Table2912[[#This Row],[Butyrate '[%']]],S$6,S$2,FALSE),-100)</f>
        <v>-100</v>
      </c>
      <c r="BL255">
        <f>IF(Table2912[[#This Row],[Valerate '[%']]]&lt;T$10,_xlfn.NORM.DIST(Table2912[[#This Row],[Valerate '[%']]],T$6,T$2,FALSE),-100)</f>
        <v>40.029019148309253</v>
      </c>
      <c r="BM255">
        <f>IF(Table2912[[#This Row],[Caproate '[%']]]&lt;U$10,_xlfn.NORM.DIST(Table2912[[#This Row],[Caproate '[%']]],U$6,U$2,FALSE),-100)</f>
        <v>-100</v>
      </c>
      <c r="BN255">
        <f>IF(Table2912[[#This Row],[Isobutyrate '[%']]]&lt;V$10,_xlfn.NORM.DIST(Table2912[[#This Row],[Isobutyrate '[%']]],V$6,V$2,FALSE),-100)</f>
        <v>-100</v>
      </c>
      <c r="BO255">
        <f>IF(Table2912[[#This Row],[Isovalerate '[%']]]&lt;W$10,_xlfn.NORM.DIST(Table2912[[#This Row],[Isovalerate '[%']]],W$6,W$2,FALSE),-100)</f>
        <v>-100</v>
      </c>
      <c r="BP255">
        <f>IF(Table2912[[#This Row],[CH4 '[g/mmol SCFA']]]&lt;X$10,_xlfn.NORM.DIST(Table2912[[#This Row],[CH4 '[g/mmol SCFA']]],X$6,X$2,FALSE),-100)</f>
        <v>-100</v>
      </c>
      <c r="BQ255">
        <f>IF(Table2912[[#This Row],[DMD '[mg/g']]]&gt;Y$10,_xlfn.NORM.DIST(Table2912[[#This Row],[DMD '[mg/g']]],Y$6,Y$2,FALSE),-100)</f>
        <v>-100</v>
      </c>
      <c r="BR255">
        <f>IF(Table2912[[#This Row],[CH4 '[ml/g']]]&lt;Z$10,_xlfn.NORM.DIST(Table2912[[#This Row],[CH4 '[ml/g']]],Z$6,Z$2,FALSE),-100)</f>
        <v>-100</v>
      </c>
      <c r="BS255">
        <f>IF(Table2912[[#This Row],[CH4 '[% GP']]]&lt;AA$10,_xlfn.NORM.DIST(Table2912[[#This Row],[CH4 '[% GP']]],AA$6,AA$2,FALSE),-100)</f>
        <v>-100</v>
      </c>
      <c r="BT255">
        <f>IF(Table2912[[#This Row],[CH4 '[g/g DDM']]]&lt;AB$10,_xlfn.NORM.DIST(Table2912[[#This Row],[CH4 '[g/g DDM']]],AB$6,AB$2,FALSE),-100)</f>
        <v>-100</v>
      </c>
    </row>
    <row r="256" spans="1:72" x14ac:dyDescent="0.25">
      <c r="A256" s="12" t="s">
        <v>200</v>
      </c>
      <c r="B256" s="13">
        <v>1195</v>
      </c>
      <c r="C256" s="113" t="s">
        <v>353</v>
      </c>
      <c r="D256" s="113" t="s">
        <v>354</v>
      </c>
      <c r="E256" s="113" t="s">
        <v>355</v>
      </c>
      <c r="F256" s="113" t="s">
        <v>356</v>
      </c>
      <c r="G256" s="122" t="s">
        <v>357</v>
      </c>
      <c r="H256" s="115" t="s">
        <v>358</v>
      </c>
      <c r="I256" t="s">
        <v>48</v>
      </c>
      <c r="J256" s="100">
        <v>3</v>
      </c>
      <c r="K256" s="100"/>
      <c r="L256" s="100"/>
      <c r="M256" t="s">
        <v>359</v>
      </c>
      <c r="N256" t="s">
        <v>208</v>
      </c>
      <c r="O256" s="18">
        <v>293.01833552920499</v>
      </c>
      <c r="P256" s="18">
        <v>6.4143080535221006</v>
      </c>
      <c r="Q256" s="97">
        <v>0.69080607159044316</v>
      </c>
      <c r="R256" s="97">
        <v>0.16600674226744788</v>
      </c>
      <c r="S256" s="97">
        <v>0.10428018219959506</v>
      </c>
      <c r="T256" s="97">
        <v>1.1343073548546106E-2</v>
      </c>
      <c r="U256" s="97">
        <v>1.52917872619054E-3</v>
      </c>
      <c r="V256" s="97">
        <v>9.7729375777265478E-3</v>
      </c>
      <c r="W256" s="97">
        <v>1.6261814090050744E-2</v>
      </c>
      <c r="X256" s="51">
        <f t="shared" si="20"/>
        <v>7.8770758965144889</v>
      </c>
      <c r="Y256" s="18">
        <v>789.50273682715158</v>
      </c>
      <c r="Z256" s="18">
        <v>50.525991361217706</v>
      </c>
      <c r="AA256" s="18">
        <f t="shared" si="21"/>
        <v>17.243286591593449</v>
      </c>
      <c r="AB256" s="18">
        <f t="shared" si="22"/>
        <v>63.997233960544868</v>
      </c>
      <c r="AC256" s="18">
        <f>$CP$15*Table2912[[#This Row],[DMD '[mg/g']]]+$CS$15*Table2912[[#This Row],[CH4 '[ml/g']]]+$CR$15*Table2912[[#This Row],[CH4 '[% GP']]]+$CQ$15*Table2912[[#This Row],[CH4 '[g/g DDM']]]</f>
        <v>10.40649470228955</v>
      </c>
      <c r="AD256" s="18">
        <f>_xlfn.RANK.AVG(Table2912[[#This Row],[Index]],Table2912[Index])</f>
        <v>354</v>
      </c>
      <c r="AE25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6.164746544795217</v>
      </c>
      <c r="AF256" s="18">
        <f>Table2912[[#This Row],[CH4 '[ml/g']]]/Table2912[[#This Row],[APB]]</f>
        <v>8.195955988470585</v>
      </c>
      <c r="AG256" s="18">
        <f>Table2912[[#This Row],[Propionate '[%']]]/Table2912[[#This Row],[Acetate '[%']]]</f>
        <v>0.24030874813426362</v>
      </c>
      <c r="AH256" s="51"/>
      <c r="AI256" s="18"/>
      <c r="AJ256" s="18"/>
      <c r="AK256" s="18">
        <f>(Table2912[[#This Row],[DMD '[mg/g']]]-$AK$15)/$AK$15*100</f>
        <v>61.027994343904602</v>
      </c>
      <c r="AL256" s="18">
        <f>(Table2912[[#This Row],[CH4 '[ml/g']]]-AL$15)/AL$15*100</f>
        <v>28.45958574266448</v>
      </c>
      <c r="AM256" s="18">
        <f>(Table2912[[#This Row],[CH4 '[% GP']]]-AM$15)/AM$15*100</f>
        <v>11.086803127175093</v>
      </c>
      <c r="AN256" s="18">
        <f>(Table2912[[#This Row],[CH4 '[g/g DDM']]]-AN$15)/AN$15*100</f>
        <v>24.956707474534877</v>
      </c>
      <c r="AO256" s="18"/>
      <c r="AP256" s="18"/>
      <c r="AR256">
        <f>_xlfn.NORM.DIST(Table2912[[#This Row],[GP '[ml/g']]],O$6,O$2,FALSE)</f>
        <v>5.8396183667467749E-3</v>
      </c>
      <c r="AS256">
        <f>_xlfn.NORM.DIST(Table2912[[#This Row],[SCFA '[mmol/g']]],P$6,P$2,FALSE)</f>
        <v>0.33099251608558822</v>
      </c>
      <c r="AT256">
        <f>_xlfn.NORM.DIST(Table2912[[#This Row],[Acetate '[%']]],Q$6,Q$2,FALSE)</f>
        <v>11.562172387139961</v>
      </c>
      <c r="AU256">
        <f>_xlfn.NORM.DIST(Table2912[[#This Row],[Propionate '[%']]],R$6,R$2,FALSE)</f>
        <v>16.287926776642529</v>
      </c>
      <c r="AV256">
        <f>_xlfn.NORM.DIST(Table2912[[#This Row],[Butyrate '[%']]],S$6,S$2,FALSE)</f>
        <v>18.57530932214906</v>
      </c>
      <c r="AW256">
        <f>_xlfn.NORM.DIST(Table2912[[#This Row],[Valerate '[%']]],T$6,T$2,FALSE)</f>
        <v>36.533812459317161</v>
      </c>
      <c r="AX256">
        <f>_xlfn.NORM.DIST(Table2912[[#This Row],[Caproate '[%']]],U$6,U$2,FALSE)</f>
        <v>398.85397239512861</v>
      </c>
      <c r="AY256">
        <f>_xlfn.NORM.DIST(Table2912[[#This Row],[Isobutyrate '[%']]],V$6,V$2,FALSE)</f>
        <v>41.119319749893542</v>
      </c>
      <c r="AZ256">
        <f>_xlfn.NORM.DIST(Table2912[[#This Row],[Isovalerate '[%']]],W$6,W$2,FALSE)</f>
        <v>18.891055002797469</v>
      </c>
      <c r="BA256">
        <f>_xlfn.NORM.DIST(Table2912[[#This Row],[CH4 '[g/mmol SCFA']]],X$6,X$2,FALSE)</f>
        <v>0.14675474214215539</v>
      </c>
      <c r="BB256">
        <f>_xlfn.NORM.DIST(Table2912[[#This Row],[DMD '[mg/g']]],Y$6,Y$2,FALSE)</f>
        <v>2.9018802369710685E-3</v>
      </c>
      <c r="BC256">
        <f>_xlfn.NORM.DIST(Table2912[[#This Row],[CH4 '[ml/g']]],Z$6,Z$2,FALSE)</f>
        <v>2.4974798588352224E-2</v>
      </c>
      <c r="BD256">
        <f>_xlfn.NORM.DIST(Table2912[[#This Row],[CH4 '[% GP']]],AA$6,AA$2,FALSE)</f>
        <v>0.12451871825378259</v>
      </c>
      <c r="BE256">
        <f>_xlfn.NORM.DIST(Table2912[[#This Row],[CH4 '[g/g DDM']]],AB$6,AB$2,FALSE)</f>
        <v>2.2375065966441288E-2</v>
      </c>
      <c r="BG256">
        <f>IF(Table2912[[#This Row],[GP '[ml/g']]]&lt;O$10,_xlfn.NORM.DIST(Table2912[[#This Row],[GP '[ml/g']]],O$6,O$2,FALSE),-100)</f>
        <v>-100</v>
      </c>
      <c r="BH256">
        <f>IF(Table2912[[#This Row],[SCFA '[mmol/g']]]&lt;P$10,_xlfn.NORM.DIST(Table2912[[#This Row],[SCFA '[mmol/g']]],P$6,P$2,FALSE),-100)</f>
        <v>-100</v>
      </c>
      <c r="BI256">
        <f>IF(Table2912[[#This Row],[Acetate '[%']]]&lt;Q$10,_xlfn.NORM.DIST(Table2912[[#This Row],[Acetate '[%']]],Q$6,Q$2,FALSE),-100)</f>
        <v>-100</v>
      </c>
      <c r="BJ256">
        <f>IF(Table2912[[#This Row],[Propionate '[%']]]&lt;R$10,_xlfn.NORM.DIST(Table2912[[#This Row],[Propionate '[%']]],R$6,R$2,FALSE),-100)</f>
        <v>-100</v>
      </c>
      <c r="BK256">
        <f>IF(Table2912[[#This Row],[Butyrate '[%']]]&lt;S$10,_xlfn.NORM.DIST(Table2912[[#This Row],[Butyrate '[%']]],S$6,S$2,FALSE),-100)</f>
        <v>-100</v>
      </c>
      <c r="BL256">
        <f>IF(Table2912[[#This Row],[Valerate '[%']]]&lt;T$10,_xlfn.NORM.DIST(Table2912[[#This Row],[Valerate '[%']]],T$6,T$2,FALSE),-100)</f>
        <v>36.533812459317161</v>
      </c>
      <c r="BM256">
        <f>IF(Table2912[[#This Row],[Caproate '[%']]]&lt;U$10,_xlfn.NORM.DIST(Table2912[[#This Row],[Caproate '[%']]],U$6,U$2,FALSE),-100)</f>
        <v>-100</v>
      </c>
      <c r="BN256">
        <f>IF(Table2912[[#This Row],[Isobutyrate '[%']]]&lt;V$10,_xlfn.NORM.DIST(Table2912[[#This Row],[Isobutyrate '[%']]],V$6,V$2,FALSE),-100)</f>
        <v>41.119319749893542</v>
      </c>
      <c r="BO256">
        <f>IF(Table2912[[#This Row],[Isovalerate '[%']]]&lt;W$10,_xlfn.NORM.DIST(Table2912[[#This Row],[Isovalerate '[%']]],W$6,W$2,FALSE),-100)</f>
        <v>18.891055002797469</v>
      </c>
      <c r="BP256">
        <f>IF(Table2912[[#This Row],[CH4 '[g/mmol SCFA']]]&lt;X$10,_xlfn.NORM.DIST(Table2912[[#This Row],[CH4 '[g/mmol SCFA']]],X$6,X$2,FALSE),-100)</f>
        <v>-100</v>
      </c>
      <c r="BQ256">
        <f>IF(Table2912[[#This Row],[DMD '[mg/g']]]&gt;Y$10,_xlfn.NORM.DIST(Table2912[[#This Row],[DMD '[mg/g']]],Y$6,Y$2,FALSE),-100)</f>
        <v>-100</v>
      </c>
      <c r="BR256">
        <f>IF(Table2912[[#This Row],[CH4 '[ml/g']]]&lt;Z$10,_xlfn.NORM.DIST(Table2912[[#This Row],[CH4 '[ml/g']]],Z$6,Z$2,FALSE),-100)</f>
        <v>-100</v>
      </c>
      <c r="BS256">
        <f>IF(Table2912[[#This Row],[CH4 '[% GP']]]&lt;AA$10,_xlfn.NORM.DIST(Table2912[[#This Row],[CH4 '[% GP']]],AA$6,AA$2,FALSE),-100)</f>
        <v>-100</v>
      </c>
      <c r="BT256">
        <f>IF(Table2912[[#This Row],[CH4 '[g/g DDM']]]&lt;AB$10,_xlfn.NORM.DIST(Table2912[[#This Row],[CH4 '[g/g DDM']]],AB$6,AB$2,FALSE),-100)</f>
        <v>-100</v>
      </c>
    </row>
    <row r="257" spans="1:72" x14ac:dyDescent="0.25">
      <c r="A257" s="12" t="s">
        <v>200</v>
      </c>
      <c r="B257" s="13">
        <v>1262</v>
      </c>
      <c r="C257" s="119" t="s">
        <v>312</v>
      </c>
      <c r="D257" s="119" t="s">
        <v>313</v>
      </c>
      <c r="E257" s="119" t="s">
        <v>314</v>
      </c>
      <c r="F257" s="120" t="s">
        <v>315</v>
      </c>
      <c r="G257" s="53" t="s">
        <v>316</v>
      </c>
      <c r="H257" s="121" t="s">
        <v>317</v>
      </c>
      <c r="I257" s="121" t="s">
        <v>48</v>
      </c>
      <c r="J257" s="100">
        <v>2</v>
      </c>
      <c r="K257" s="100"/>
      <c r="L257" s="100"/>
      <c r="M257" t="s">
        <v>318</v>
      </c>
      <c r="N257" t="s">
        <v>342</v>
      </c>
      <c r="O257" s="18">
        <v>252.56010498687729</v>
      </c>
      <c r="P257" s="18">
        <v>5.6625610419215526</v>
      </c>
      <c r="Q257" s="97">
        <v>0.7084871029988431</v>
      </c>
      <c r="R257" s="97">
        <v>0.1641700959017395</v>
      </c>
      <c r="S257" s="97">
        <v>7.8344404295287356E-2</v>
      </c>
      <c r="T257" s="97">
        <v>1.337648879199064E-2</v>
      </c>
      <c r="U257" s="97">
        <v>-3.6916602270903304E-4</v>
      </c>
      <c r="V257" s="97">
        <v>1.3094728954597779E-2</v>
      </c>
      <c r="W257" s="97">
        <v>2.2896345080250756E-2</v>
      </c>
      <c r="X257" s="51">
        <f t="shared" si="20"/>
        <v>6.631546403883009</v>
      </c>
      <c r="Y257" s="18">
        <v>789.56440205930426</v>
      </c>
      <c r="Z257" s="18">
        <v>37.551536314322895</v>
      </c>
      <c r="AA257" s="18">
        <f t="shared" si="21"/>
        <v>14.868356313153269</v>
      </c>
      <c r="AB257" s="18">
        <f t="shared" si="22"/>
        <v>47.55981426769339</v>
      </c>
      <c r="AC257" s="18">
        <f>$CP$15*Table2912[[#This Row],[DMD '[mg/g']]]+$CS$15*Table2912[[#This Row],[CH4 '[ml/g']]]+$CR$15*Table2912[[#This Row],[CH4 '[% GP']]]+$CQ$15*Table2912[[#This Row],[CH4 '[g/g DDM']]]</f>
        <v>17.979759499323947</v>
      </c>
      <c r="AD257" s="18">
        <f>_xlfn.RANK.AVG(Table2912[[#This Row],[Index]],Table2912[Index])</f>
        <v>204</v>
      </c>
      <c r="AE25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5.385104629061872</v>
      </c>
      <c r="AF257" s="18">
        <f>Table2912[[#This Row],[CH4 '[ml/g']]]/Table2912[[#This Row],[APB]]</f>
        <v>6.9732231592433651</v>
      </c>
      <c r="AG257" s="18">
        <f>Table2912[[#This Row],[Propionate '[%']]]/Table2912[[#This Row],[Acetate '[%']]]</f>
        <v>0.23171924401566357</v>
      </c>
      <c r="AH257" s="51"/>
      <c r="AI257" s="18"/>
      <c r="AJ257" s="18"/>
      <c r="AK257" s="18">
        <f>(Table2912[[#This Row],[DMD '[mg/g']]]-$AK$15)/$AK$15*100</f>
        <v>61.04057166402157</v>
      </c>
      <c r="AL257" s="18">
        <f>(Table2912[[#This Row],[CH4 '[ml/g']]]-AL$15)/AL$15*100</f>
        <v>-4.5272607428502107</v>
      </c>
      <c r="AM257" s="18">
        <f>(Table2912[[#This Row],[CH4 '[% GP']]]-AM$15)/AM$15*100</f>
        <v>-4.2132622565593625</v>
      </c>
      <c r="AN257" s="18">
        <f>(Table2912[[#This Row],[CH4 '[g/g DDM']]]-AN$15)/AN$15*100</f>
        <v>-7.1378959494521315</v>
      </c>
      <c r="AO257" s="18"/>
      <c r="AP257" s="18"/>
      <c r="AR257">
        <f>_xlfn.NORM.DIST(Table2912[[#This Row],[GP '[ml/g']]],O$6,O$2,FALSE)</f>
        <v>7.468589320770689E-3</v>
      </c>
      <c r="AS257">
        <f>_xlfn.NORM.DIST(Table2912[[#This Row],[SCFA '[mmol/g']]],P$6,P$2,FALSE)</f>
        <v>0.25496248633298163</v>
      </c>
      <c r="AT257">
        <f>_xlfn.NORM.DIST(Table2912[[#This Row],[Acetate '[%']]],Q$6,Q$2,FALSE)</f>
        <v>6.4755159959500173</v>
      </c>
      <c r="AU257">
        <f>_xlfn.NORM.DIST(Table2912[[#This Row],[Propionate '[%']]],R$6,R$2,FALSE)</f>
        <v>15.932608309846307</v>
      </c>
      <c r="AV257">
        <f>_xlfn.NORM.DIST(Table2912[[#This Row],[Butyrate '[%']]],S$6,S$2,FALSE)</f>
        <v>16.162932703459624</v>
      </c>
      <c r="AW257">
        <f>_xlfn.NORM.DIST(Table2912[[#This Row],[Valerate '[%']]],T$6,T$2,FALSE)</f>
        <v>54.80566948121151</v>
      </c>
      <c r="AX257">
        <f>_xlfn.NORM.DIST(Table2912[[#This Row],[Caproate '[%']]],U$6,U$2,FALSE)</f>
        <v>90.137135864565593</v>
      </c>
      <c r="AY257">
        <f>_xlfn.NORM.DIST(Table2912[[#This Row],[Isobutyrate '[%']]],V$6,V$2,FALSE)</f>
        <v>79.470249939096774</v>
      </c>
      <c r="AZ257">
        <f>_xlfn.NORM.DIST(Table2912[[#This Row],[Isovalerate '[%']]],W$6,W$2,FALSE)</f>
        <v>38.634850001588482</v>
      </c>
      <c r="BA257">
        <f>_xlfn.NORM.DIST(Table2912[[#This Row],[CH4 '[g/mmol SCFA']]],X$6,X$2,FALSE)</f>
        <v>0.28752030978294868</v>
      </c>
      <c r="BB257">
        <f>_xlfn.NORM.DIST(Table2912[[#This Row],[DMD '[mg/g']]],Y$6,Y$2,FALSE)</f>
        <v>2.9017508182983438E-3</v>
      </c>
      <c r="BC257">
        <f>_xlfn.NORM.DIST(Table2912[[#This Row],[CH4 '[ml/g']]],Z$6,Z$2,FALSE)</f>
        <v>3.1802377666217671E-2</v>
      </c>
      <c r="BD257">
        <f>_xlfn.NORM.DIST(Table2912[[#This Row],[CH4 '[% GP']]],AA$6,AA$2,FALSE)</f>
        <v>0.12409957181040353</v>
      </c>
      <c r="BE257">
        <f>_xlfn.NORM.DIST(Table2912[[#This Row],[CH4 '[g/g DDM']]],AB$6,AB$2,FALSE)</f>
        <v>2.9317316579577389E-2</v>
      </c>
      <c r="BG257">
        <f>IF(Table2912[[#This Row],[GP '[ml/g']]]&lt;O$10,_xlfn.NORM.DIST(Table2912[[#This Row],[GP '[ml/g']]],O$6,O$2,FALSE),-100)</f>
        <v>-100</v>
      </c>
      <c r="BH257">
        <f>IF(Table2912[[#This Row],[SCFA '[mmol/g']]]&lt;P$10,_xlfn.NORM.DIST(Table2912[[#This Row],[SCFA '[mmol/g']]],P$6,P$2,FALSE),-100)</f>
        <v>-100</v>
      </c>
      <c r="BI257">
        <f>IF(Table2912[[#This Row],[Acetate '[%']]]&lt;Q$10,_xlfn.NORM.DIST(Table2912[[#This Row],[Acetate '[%']]],Q$6,Q$2,FALSE),-100)</f>
        <v>-100</v>
      </c>
      <c r="BJ257">
        <f>IF(Table2912[[#This Row],[Propionate '[%']]]&lt;R$10,_xlfn.NORM.DIST(Table2912[[#This Row],[Propionate '[%']]],R$6,R$2,FALSE),-100)</f>
        <v>-100</v>
      </c>
      <c r="BK257">
        <f>IF(Table2912[[#This Row],[Butyrate '[%']]]&lt;S$10,_xlfn.NORM.DIST(Table2912[[#This Row],[Butyrate '[%']]],S$6,S$2,FALSE),-100)</f>
        <v>-100</v>
      </c>
      <c r="BL257">
        <f>IF(Table2912[[#This Row],[Valerate '[%']]]&lt;T$10,_xlfn.NORM.DIST(Table2912[[#This Row],[Valerate '[%']]],T$6,T$2,FALSE),-100)</f>
        <v>-100</v>
      </c>
      <c r="BM257">
        <f>IF(Table2912[[#This Row],[Caproate '[%']]]&lt;U$10,_xlfn.NORM.DIST(Table2912[[#This Row],[Caproate '[%']]],U$6,U$2,FALSE),-100)</f>
        <v>90.137135864565593</v>
      </c>
      <c r="BN257">
        <f>IF(Table2912[[#This Row],[Isobutyrate '[%']]]&lt;V$10,_xlfn.NORM.DIST(Table2912[[#This Row],[Isobutyrate '[%']]],V$6,V$2,FALSE),-100)</f>
        <v>-100</v>
      </c>
      <c r="BO257">
        <f>IF(Table2912[[#This Row],[Isovalerate '[%']]]&lt;W$10,_xlfn.NORM.DIST(Table2912[[#This Row],[Isovalerate '[%']]],W$6,W$2,FALSE),-100)</f>
        <v>-100</v>
      </c>
      <c r="BP257">
        <f>IF(Table2912[[#This Row],[CH4 '[g/mmol SCFA']]]&lt;X$10,_xlfn.NORM.DIST(Table2912[[#This Row],[CH4 '[g/mmol SCFA']]],X$6,X$2,FALSE),-100)</f>
        <v>-100</v>
      </c>
      <c r="BQ257">
        <f>IF(Table2912[[#This Row],[DMD '[mg/g']]]&gt;Y$10,_xlfn.NORM.DIST(Table2912[[#This Row],[DMD '[mg/g']]],Y$6,Y$2,FALSE),-100)</f>
        <v>-100</v>
      </c>
      <c r="BR257">
        <f>IF(Table2912[[#This Row],[CH4 '[ml/g']]]&lt;Z$10,_xlfn.NORM.DIST(Table2912[[#This Row],[CH4 '[ml/g']]],Z$6,Z$2,FALSE),-100)</f>
        <v>-100</v>
      </c>
      <c r="BS257">
        <f>IF(Table2912[[#This Row],[CH4 '[% GP']]]&lt;AA$10,_xlfn.NORM.DIST(Table2912[[#This Row],[CH4 '[% GP']]],AA$6,AA$2,FALSE),-100)</f>
        <v>-100</v>
      </c>
      <c r="BT257">
        <f>IF(Table2912[[#This Row],[CH4 '[g/g DDM']]]&lt;AB$10,_xlfn.NORM.DIST(Table2912[[#This Row],[CH4 '[g/g DDM']]],AB$6,AB$2,FALSE),-100)</f>
        <v>-100</v>
      </c>
    </row>
    <row r="258" spans="1:72" x14ac:dyDescent="0.25">
      <c r="A258" s="12" t="s">
        <v>86</v>
      </c>
      <c r="B258" s="13">
        <v>1065</v>
      </c>
      <c r="C258" s="104" t="s">
        <v>275</v>
      </c>
      <c r="D258" s="104" t="s">
        <v>276</v>
      </c>
      <c r="E258" s="104" t="s">
        <v>277</v>
      </c>
      <c r="F258" s="104" t="s">
        <v>278</v>
      </c>
      <c r="G258" s="23" t="s">
        <v>73</v>
      </c>
      <c r="H258" s="23" t="s">
        <v>74</v>
      </c>
      <c r="I258" s="104" t="s">
        <v>106</v>
      </c>
      <c r="J258" s="70">
        <v>2</v>
      </c>
      <c r="K258" s="70"/>
      <c r="L258" s="70"/>
      <c r="M258" t="s">
        <v>278</v>
      </c>
      <c r="N258" t="s">
        <v>124</v>
      </c>
      <c r="O258" s="18">
        <v>256.51322222222262</v>
      </c>
      <c r="P258" s="18">
        <v>6.5849818503762716</v>
      </c>
      <c r="Q258" s="97">
        <v>0.66396144408362168</v>
      </c>
      <c r="R258" s="97">
        <v>0.1807417954628095</v>
      </c>
      <c r="S258" s="97">
        <v>7.293172899777231E-2</v>
      </c>
      <c r="T258" s="97">
        <v>2.4083134213579264E-2</v>
      </c>
      <c r="U258" s="97">
        <v>9.090749273387834E-4</v>
      </c>
      <c r="V258" s="97">
        <v>1.978815080830704E-2</v>
      </c>
      <c r="W258" s="97">
        <v>3.7584671506571549E-2</v>
      </c>
      <c r="X258" s="51">
        <f t="shared" si="20"/>
        <v>8.3826902804592489</v>
      </c>
      <c r="Y258" s="18">
        <v>790.18902169101375</v>
      </c>
      <c r="Z258" s="18">
        <v>55.199863354149727</v>
      </c>
      <c r="AA258" s="18">
        <f t="shared" si="21"/>
        <v>21.519305272431126</v>
      </c>
      <c r="AB258" s="18">
        <f t="shared" si="22"/>
        <v>69.856530322354232</v>
      </c>
      <c r="AC258" s="18">
        <f>$CP$15*Table2912[[#This Row],[DMD '[mg/g']]]+$CS$15*Table2912[[#This Row],[CH4 '[ml/g']]]+$CR$15*Table2912[[#This Row],[CH4 '[% GP']]]+$CQ$15*Table2912[[#This Row],[CH4 '[g/g DDM']]]</f>
        <v>6.7430497789978787</v>
      </c>
      <c r="AD258" s="18">
        <f>_xlfn.RANK.AVG(Table2912[[#This Row],[Index]],Table2912[Index])</f>
        <v>386</v>
      </c>
      <c r="AE25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6.0426096131341813</v>
      </c>
      <c r="AF258" s="18">
        <f>Table2912[[#This Row],[CH4 '[ml/g']]]/Table2912[[#This Row],[APB]]</f>
        <v>9.1351033557037375</v>
      </c>
      <c r="AG258" s="18">
        <f>Table2912[[#This Row],[Propionate '[%']]]/Table2912[[#This Row],[Acetate '[%']]]</f>
        <v>0.27221730579892861</v>
      </c>
      <c r="AH258" s="51"/>
      <c r="AI258" s="18"/>
      <c r="AJ258" s="18"/>
      <c r="AK258" s="18">
        <f>(Table2912[[#This Row],[DMD '[mg/g']]]-$AK$15)/$AK$15*100</f>
        <v>61.167969888030548</v>
      </c>
      <c r="AL258" s="18">
        <f>(Table2912[[#This Row],[CH4 '[ml/g']]]-AL$15)/AL$15*100</f>
        <v>40.342651148228029</v>
      </c>
      <c r="AM258" s="18">
        <f>(Table2912[[#This Row],[CH4 '[% GP']]]-AM$15)/AM$15*100</f>
        <v>38.634291991503154</v>
      </c>
      <c r="AN258" s="18">
        <f>(Table2912[[#This Row],[CH4 '[g/g DDM']]]-AN$15)/AN$15*100</f>
        <v>36.397176635133356</v>
      </c>
      <c r="AO258" s="18"/>
      <c r="AP258" s="18"/>
      <c r="AR258">
        <f>_xlfn.NORM.DIST(Table2912[[#This Row],[GP '[ml/g']]],O$6,O$2,FALSE)</f>
        <v>7.4784877825136934E-3</v>
      </c>
      <c r="AS258">
        <f>_xlfn.NORM.DIST(Table2912[[#This Row],[SCFA '[mmol/g']]],P$6,P$2,FALSE)</f>
        <v>0.33248252041942017</v>
      </c>
      <c r="AT258">
        <f>_xlfn.NORM.DIST(Table2912[[#This Row],[Acetate '[%']]],Q$6,Q$2,FALSE)</f>
        <v>13.317425636425003</v>
      </c>
      <c r="AU258">
        <f>_xlfn.NORM.DIST(Table2912[[#This Row],[Propionate '[%']]],R$6,R$2,FALSE)</f>
        <v>15.65973411126288</v>
      </c>
      <c r="AV258">
        <f>_xlfn.NORM.DIST(Table2912[[#This Row],[Butyrate '[%']]],S$6,S$2,FALSE)</f>
        <v>11.833813897803996</v>
      </c>
      <c r="AW258">
        <f>_xlfn.NORM.DIST(Table2912[[#This Row],[Valerate '[%']]],T$6,T$2,FALSE)</f>
        <v>35.599023325454638</v>
      </c>
      <c r="AX258">
        <f>_xlfn.NORM.DIST(Table2912[[#This Row],[Caproate '[%']]],U$6,U$2,FALSE)</f>
        <v>370.58837445317818</v>
      </c>
      <c r="AY258">
        <f>_xlfn.NORM.DIST(Table2912[[#This Row],[Isobutyrate '[%']]],V$6,V$2,FALSE)</f>
        <v>54.120301249968399</v>
      </c>
      <c r="AZ258">
        <f>_xlfn.NORM.DIST(Table2912[[#This Row],[Isovalerate '[%']]],W$6,W$2,FALSE)</f>
        <v>24.715125520353897</v>
      </c>
      <c r="BA258">
        <f>_xlfn.NORM.DIST(Table2912[[#This Row],[CH4 '[g/mmol SCFA']]],X$6,X$2,FALSE)</f>
        <v>8.7332276051967153E-2</v>
      </c>
      <c r="BB258">
        <f>_xlfn.NORM.DIST(Table2912[[#This Row],[DMD '[mg/g']]],Y$6,Y$2,FALSE)</f>
        <v>2.9004070214912882E-3</v>
      </c>
      <c r="BC258">
        <f>_xlfn.NORM.DIST(Table2912[[#This Row],[CH4 '[ml/g']]],Z$6,Z$2,FALSE)</f>
        <v>1.7113812369346663E-2</v>
      </c>
      <c r="BD258">
        <f>_xlfn.NORM.DIST(Table2912[[#This Row],[CH4 '[% GP']]],AA$6,AA$2,FALSE)</f>
        <v>2.4754988971794886E-2</v>
      </c>
      <c r="BE258">
        <f>_xlfn.NORM.DIST(Table2912[[#This Row],[CH4 '[g/g DDM']]],AB$6,AB$2,FALSE)</f>
        <v>1.3048348389081976E-2</v>
      </c>
      <c r="BG258">
        <f>IF(Table2912[[#This Row],[GP '[ml/g']]]&lt;O$10,_xlfn.NORM.DIST(Table2912[[#This Row],[GP '[ml/g']]],O$6,O$2,FALSE),-100)</f>
        <v>-100</v>
      </c>
      <c r="BH258">
        <f>IF(Table2912[[#This Row],[SCFA '[mmol/g']]]&lt;P$10,_xlfn.NORM.DIST(Table2912[[#This Row],[SCFA '[mmol/g']]],P$6,P$2,FALSE),-100)</f>
        <v>-100</v>
      </c>
      <c r="BI258">
        <f>IF(Table2912[[#This Row],[Acetate '[%']]]&lt;Q$10,_xlfn.NORM.DIST(Table2912[[#This Row],[Acetate '[%']]],Q$6,Q$2,FALSE),-100)</f>
        <v>-100</v>
      </c>
      <c r="BJ258">
        <f>IF(Table2912[[#This Row],[Propionate '[%']]]&lt;R$10,_xlfn.NORM.DIST(Table2912[[#This Row],[Propionate '[%']]],R$6,R$2,FALSE),-100)</f>
        <v>-100</v>
      </c>
      <c r="BK258">
        <f>IF(Table2912[[#This Row],[Butyrate '[%']]]&lt;S$10,_xlfn.NORM.DIST(Table2912[[#This Row],[Butyrate '[%']]],S$6,S$2,FALSE),-100)</f>
        <v>11.833813897803996</v>
      </c>
      <c r="BL258">
        <f>IF(Table2912[[#This Row],[Valerate '[%']]]&lt;T$10,_xlfn.NORM.DIST(Table2912[[#This Row],[Valerate '[%']]],T$6,T$2,FALSE),-100)</f>
        <v>-100</v>
      </c>
      <c r="BM258">
        <f>IF(Table2912[[#This Row],[Caproate '[%']]]&lt;U$10,_xlfn.NORM.DIST(Table2912[[#This Row],[Caproate '[%']]],U$6,U$2,FALSE),-100)</f>
        <v>-100</v>
      </c>
      <c r="BN258">
        <f>IF(Table2912[[#This Row],[Isobutyrate '[%']]]&lt;V$10,_xlfn.NORM.DIST(Table2912[[#This Row],[Isobutyrate '[%']]],V$6,V$2,FALSE),-100)</f>
        <v>-100</v>
      </c>
      <c r="BO258">
        <f>IF(Table2912[[#This Row],[Isovalerate '[%']]]&lt;W$10,_xlfn.NORM.DIST(Table2912[[#This Row],[Isovalerate '[%']]],W$6,W$2,FALSE),-100)</f>
        <v>-100</v>
      </c>
      <c r="BP258">
        <f>IF(Table2912[[#This Row],[CH4 '[g/mmol SCFA']]]&lt;X$10,_xlfn.NORM.DIST(Table2912[[#This Row],[CH4 '[g/mmol SCFA']]],X$6,X$2,FALSE),-100)</f>
        <v>-100</v>
      </c>
      <c r="BQ258">
        <f>IF(Table2912[[#This Row],[DMD '[mg/g']]]&gt;Y$10,_xlfn.NORM.DIST(Table2912[[#This Row],[DMD '[mg/g']]],Y$6,Y$2,FALSE),-100)</f>
        <v>-100</v>
      </c>
      <c r="BR258">
        <f>IF(Table2912[[#This Row],[CH4 '[ml/g']]]&lt;Z$10,_xlfn.NORM.DIST(Table2912[[#This Row],[CH4 '[ml/g']]],Z$6,Z$2,FALSE),-100)</f>
        <v>-100</v>
      </c>
      <c r="BS258">
        <f>IF(Table2912[[#This Row],[CH4 '[% GP']]]&lt;AA$10,_xlfn.NORM.DIST(Table2912[[#This Row],[CH4 '[% GP']]],AA$6,AA$2,FALSE),-100)</f>
        <v>-100</v>
      </c>
      <c r="BT258">
        <f>IF(Table2912[[#This Row],[CH4 '[g/g DDM']]]&lt;AB$10,_xlfn.NORM.DIST(Table2912[[#This Row],[CH4 '[g/g DDM']]],AB$6,AB$2,FALSE),-100)</f>
        <v>-100</v>
      </c>
    </row>
    <row r="259" spans="1:72" x14ac:dyDescent="0.25">
      <c r="A259" s="12" t="s">
        <v>70</v>
      </c>
      <c r="B259" s="13">
        <v>1001</v>
      </c>
      <c r="C259" s="96" t="s">
        <v>279</v>
      </c>
      <c r="D259" s="96"/>
      <c r="E259" s="96"/>
      <c r="F259" s="96" t="s">
        <v>280</v>
      </c>
      <c r="G259" t="s">
        <v>73</v>
      </c>
      <c r="H259" t="s">
        <v>74</v>
      </c>
      <c r="I259" t="s">
        <v>75</v>
      </c>
      <c r="J259" s="107">
        <v>1</v>
      </c>
      <c r="K259" s="107"/>
      <c r="L259" s="107"/>
      <c r="M259" t="s">
        <v>280</v>
      </c>
      <c r="N259" t="s">
        <v>76</v>
      </c>
      <c r="O259" s="18">
        <v>247.12459845984597</v>
      </c>
      <c r="P259" s="18">
        <v>7.09017621250314</v>
      </c>
      <c r="Q259" s="97">
        <v>0.67572215205777897</v>
      </c>
      <c r="R259" s="97">
        <v>0.17041963698754276</v>
      </c>
      <c r="S259" s="97">
        <v>8.7623062434608961E-2</v>
      </c>
      <c r="T259" s="97">
        <v>1.5044639805132695E-2</v>
      </c>
      <c r="U259" s="97">
        <v>9.2819951627305826E-4</v>
      </c>
      <c r="V259" s="97">
        <v>1.6885613651635403E-2</v>
      </c>
      <c r="W259" s="97">
        <v>3.3376695547028115E-2</v>
      </c>
      <c r="X259" s="51">
        <f t="shared" si="20"/>
        <v>5.6823637151452138</v>
      </c>
      <c r="Y259" s="18">
        <v>791.51486014743182</v>
      </c>
      <c r="Z259" s="18">
        <v>40.288960043913562</v>
      </c>
      <c r="AA259" s="18">
        <f t="shared" si="21"/>
        <v>16.30309580470999</v>
      </c>
      <c r="AB259" s="18">
        <f t="shared" si="22"/>
        <v>50.901078517223446</v>
      </c>
      <c r="AC259" s="18">
        <f>$CP$15*Table2912[[#This Row],[DMD '[mg/g']]]+$CS$15*Table2912[[#This Row],[CH4 '[ml/g']]]+$CR$15*Table2912[[#This Row],[CH4 '[% GP']]]+$CQ$15*Table2912[[#This Row],[CH4 '[g/g DDM']]]</f>
        <v>16.318352781535928</v>
      </c>
      <c r="AD259" s="18">
        <f>_xlfn.RANK.AVG(Table2912[[#This Row],[Index]],Table2912[Index])</f>
        <v>246</v>
      </c>
      <c r="AE25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6.6205573380345317</v>
      </c>
      <c r="AF259" s="18">
        <f>Table2912[[#This Row],[CH4 '[ml/g']]]/Table2912[[#This Row],[APB]]</f>
        <v>6.0854332931242743</v>
      </c>
      <c r="AG259" s="18">
        <f>Table2912[[#This Row],[Propionate '[%']]]/Table2912[[#This Row],[Acetate '[%']]]</f>
        <v>0.25220371489755555</v>
      </c>
      <c r="AH259" s="51"/>
      <c r="AI259" s="18"/>
      <c r="AJ259" s="18"/>
      <c r="AK259" s="18">
        <f>(Table2912[[#This Row],[DMD '[mg/g']]]-$AK$15)/$AK$15*100</f>
        <v>61.43838960604068</v>
      </c>
      <c r="AL259" s="18">
        <f>(Table2912[[#This Row],[CH4 '[ml/g']]]-AL$15)/AL$15*100</f>
        <v>2.4324902453366684</v>
      </c>
      <c r="AM259" s="18">
        <f>(Table2912[[#This Row],[CH4 '[% GP']]]-AM$15)/AM$15*100</f>
        <v>5.0297914148356817</v>
      </c>
      <c r="AN259" s="18">
        <f>(Table2912[[#This Row],[CH4 '[g/g DDM']]]-AN$15)/AN$15*100</f>
        <v>-0.61396743590026504</v>
      </c>
      <c r="AO259" s="18"/>
      <c r="AP259" s="18"/>
      <c r="AR259">
        <f>_xlfn.NORM.DIST(Table2912[[#This Row],[GP '[ml/g']]],O$6,O$2,FALSE)</f>
        <v>7.38843007016198E-3</v>
      </c>
      <c r="AS259">
        <f>_xlfn.NORM.DIST(Table2912[[#This Row],[SCFA '[mmol/g']]],P$6,P$2,FALSE)</f>
        <v>0.29920136618986426</v>
      </c>
      <c r="AT259">
        <f>_xlfn.NORM.DIST(Table2912[[#This Row],[Acetate '[%']]],Q$6,Q$2,FALSE)</f>
        <v>13.968536152056823</v>
      </c>
      <c r="AU259">
        <f>_xlfn.NORM.DIST(Table2912[[#This Row],[Propionate '[%']]],R$6,R$2,FALSE)</f>
        <v>16.759933608482495</v>
      </c>
      <c r="AV259">
        <f>_xlfn.NORM.DIST(Table2912[[#This Row],[Butyrate '[%']]],S$6,S$2,FALSE)</f>
        <v>21.977451564285559</v>
      </c>
      <c r="AW259">
        <f>_xlfn.NORM.DIST(Table2912[[#This Row],[Valerate '[%']]],T$6,T$2,FALSE)</f>
        <v>68.05393825745773</v>
      </c>
      <c r="AX259">
        <f>_xlfn.NORM.DIST(Table2912[[#This Row],[Caproate '[%']]],U$6,U$2,FALSE)</f>
        <v>373.65673908678815</v>
      </c>
      <c r="AY259">
        <f>_xlfn.NORM.DIST(Table2912[[#This Row],[Isobutyrate '[%']]],V$6,V$2,FALSE)</f>
        <v>84.672057201927913</v>
      </c>
      <c r="AZ259">
        <f>_xlfn.NORM.DIST(Table2912[[#This Row],[Isovalerate '[%']]],W$6,W$2,FALSE)</f>
        <v>37.38779025421502</v>
      </c>
      <c r="BA259">
        <f>_xlfn.NORM.DIST(Table2912[[#This Row],[CH4 '[g/mmol SCFA']]],X$6,X$2,FALSE)</f>
        <v>0.26906189217083082</v>
      </c>
      <c r="BB259">
        <f>_xlfn.NORM.DIST(Table2912[[#This Row],[DMD '[mg/g']]],Y$6,Y$2,FALSE)</f>
        <v>2.8973565317962635E-3</v>
      </c>
      <c r="BC259">
        <f>_xlfn.NORM.DIST(Table2912[[#This Row],[CH4 '[ml/g']]],Z$6,Z$2,FALSE)</f>
        <v>3.3360967627979285E-2</v>
      </c>
      <c r="BD259">
        <f>_xlfn.NORM.DIST(Table2912[[#This Row],[CH4 '[% GP']]],AA$6,AA$2,FALSE)</f>
        <v>0.13429397035507076</v>
      </c>
      <c r="BE259">
        <f>_xlfn.NORM.DIST(Table2912[[#This Row],[CH4 '[g/g DDM']]],AB$6,AB$2,FALSE)</f>
        <v>3.2188622001847189E-2</v>
      </c>
      <c r="BG259">
        <f>IF(Table2912[[#This Row],[GP '[ml/g']]]&lt;O$10,_xlfn.NORM.DIST(Table2912[[#This Row],[GP '[ml/g']]],O$6,O$2,FALSE),-100)</f>
        <v>-100</v>
      </c>
      <c r="BH259">
        <f>IF(Table2912[[#This Row],[SCFA '[mmol/g']]]&lt;P$10,_xlfn.NORM.DIST(Table2912[[#This Row],[SCFA '[mmol/g']]],P$6,P$2,FALSE),-100)</f>
        <v>-100</v>
      </c>
      <c r="BI259">
        <f>IF(Table2912[[#This Row],[Acetate '[%']]]&lt;Q$10,_xlfn.NORM.DIST(Table2912[[#This Row],[Acetate '[%']]],Q$6,Q$2,FALSE),-100)</f>
        <v>-100</v>
      </c>
      <c r="BJ259">
        <f>IF(Table2912[[#This Row],[Propionate '[%']]]&lt;R$10,_xlfn.NORM.DIST(Table2912[[#This Row],[Propionate '[%']]],R$6,R$2,FALSE),-100)</f>
        <v>-100</v>
      </c>
      <c r="BK259">
        <f>IF(Table2912[[#This Row],[Butyrate '[%']]]&lt;S$10,_xlfn.NORM.DIST(Table2912[[#This Row],[Butyrate '[%']]],S$6,S$2,FALSE),-100)</f>
        <v>-100</v>
      </c>
      <c r="BL259">
        <f>IF(Table2912[[#This Row],[Valerate '[%']]]&lt;T$10,_xlfn.NORM.DIST(Table2912[[#This Row],[Valerate '[%']]],T$6,T$2,FALSE),-100)</f>
        <v>-100</v>
      </c>
      <c r="BM259">
        <f>IF(Table2912[[#This Row],[Caproate '[%']]]&lt;U$10,_xlfn.NORM.DIST(Table2912[[#This Row],[Caproate '[%']]],U$6,U$2,FALSE),-100)</f>
        <v>-100</v>
      </c>
      <c r="BN259">
        <f>IF(Table2912[[#This Row],[Isobutyrate '[%']]]&lt;V$10,_xlfn.NORM.DIST(Table2912[[#This Row],[Isobutyrate '[%']]],V$6,V$2,FALSE),-100)</f>
        <v>-100</v>
      </c>
      <c r="BO259">
        <f>IF(Table2912[[#This Row],[Isovalerate '[%']]]&lt;W$10,_xlfn.NORM.DIST(Table2912[[#This Row],[Isovalerate '[%']]],W$6,W$2,FALSE),-100)</f>
        <v>-100</v>
      </c>
      <c r="BP259">
        <f>IF(Table2912[[#This Row],[CH4 '[g/mmol SCFA']]]&lt;X$10,_xlfn.NORM.DIST(Table2912[[#This Row],[CH4 '[g/mmol SCFA']]],X$6,X$2,FALSE),-100)</f>
        <v>-100</v>
      </c>
      <c r="BQ259">
        <f>IF(Table2912[[#This Row],[DMD '[mg/g']]]&gt;Y$10,_xlfn.NORM.DIST(Table2912[[#This Row],[DMD '[mg/g']]],Y$6,Y$2,FALSE),-100)</f>
        <v>-100</v>
      </c>
      <c r="BR259">
        <f>IF(Table2912[[#This Row],[CH4 '[ml/g']]]&lt;Z$10,_xlfn.NORM.DIST(Table2912[[#This Row],[CH4 '[ml/g']]],Z$6,Z$2,FALSE),-100)</f>
        <v>-100</v>
      </c>
      <c r="BS259">
        <f>IF(Table2912[[#This Row],[CH4 '[% GP']]]&lt;AA$10,_xlfn.NORM.DIST(Table2912[[#This Row],[CH4 '[% GP']]],AA$6,AA$2,FALSE),-100)</f>
        <v>-100</v>
      </c>
      <c r="BT259">
        <f>IF(Table2912[[#This Row],[CH4 '[g/g DDM']]]&lt;AB$10,_xlfn.NORM.DIST(Table2912[[#This Row],[CH4 '[g/g DDM']]],AB$6,AB$2,FALSE),-100)</f>
        <v>-100</v>
      </c>
    </row>
    <row r="260" spans="1:72" x14ac:dyDescent="0.25">
      <c r="A260" s="12" t="s">
        <v>70</v>
      </c>
      <c r="B260" s="13">
        <v>990</v>
      </c>
      <c r="C260" s="96" t="s">
        <v>257</v>
      </c>
      <c r="D260" s="96"/>
      <c r="E260" s="96"/>
      <c r="F260" s="96" t="s">
        <v>258</v>
      </c>
      <c r="G260" t="s">
        <v>73</v>
      </c>
      <c r="H260" t="s">
        <v>74</v>
      </c>
      <c r="I260" t="s">
        <v>75</v>
      </c>
      <c r="J260" s="100">
        <v>1</v>
      </c>
      <c r="K260" s="100"/>
      <c r="L260" s="100"/>
      <c r="M260" t="s">
        <v>258</v>
      </c>
      <c r="N260" t="s">
        <v>80</v>
      </c>
      <c r="O260" s="18">
        <v>274.95205599300078</v>
      </c>
      <c r="P260" s="18">
        <v>6.8750546806649178</v>
      </c>
      <c r="Q260" s="97">
        <v>0.67187352242191478</v>
      </c>
      <c r="R260" s="97">
        <v>0.1629067887498358</v>
      </c>
      <c r="S260" s="97">
        <v>9.6031839259177909E-2</v>
      </c>
      <c r="T260" s="97">
        <v>1.849121450401274E-2</v>
      </c>
      <c r="U260" s="97">
        <v>1.6379535815093131E-3</v>
      </c>
      <c r="V260" s="97">
        <v>1.6940835248348846E-2</v>
      </c>
      <c r="W260" s="97">
        <v>3.2117846235200614E-2</v>
      </c>
      <c r="X260" s="51">
        <f t="shared" si="20"/>
        <v>6.4177231861704751</v>
      </c>
      <c r="Y260" s="18">
        <v>791.55730533683277</v>
      </c>
      <c r="Z260" s="18">
        <v>44.122197830293096</v>
      </c>
      <c r="AA260" s="18">
        <f t="shared" si="21"/>
        <v>16.047233278887095</v>
      </c>
      <c r="AB260" s="18">
        <f t="shared" si="22"/>
        <v>55.741002619535806</v>
      </c>
      <c r="AC260" s="18">
        <f>$CP$15*Table2912[[#This Row],[DMD '[mg/g']]]+$CS$15*Table2912[[#This Row],[CH4 '[ml/g']]]+$CR$15*Table2912[[#This Row],[CH4 '[% GP']]]+$CQ$15*Table2912[[#This Row],[CH4 '[g/g DDM']]]</f>
        <v>14.386392513507467</v>
      </c>
      <c r="AD260" s="18">
        <f>_xlfn.RANK.AVG(Table2912[[#This Row],[Index]],Table2912[Index])</f>
        <v>283</v>
      </c>
      <c r="AE26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6.3993844316399322</v>
      </c>
      <c r="AF260" s="18">
        <f>Table2912[[#This Row],[CH4 '[ml/g']]]/Table2912[[#This Row],[APB]]</f>
        <v>6.8947565662946371</v>
      </c>
      <c r="AG260" s="18">
        <f>Table2912[[#This Row],[Propionate '[%']]]/Table2912[[#This Row],[Acetate '[%']]]</f>
        <v>0.24246645136811273</v>
      </c>
      <c r="AH260" s="51"/>
      <c r="AI260" s="18"/>
      <c r="AJ260" s="18"/>
      <c r="AK260" s="18">
        <f>(Table2912[[#This Row],[DMD '[mg/g']]]-$AK$15)/$AK$15*100</f>
        <v>61.447046781500568</v>
      </c>
      <c r="AL260" s="18">
        <f>(Table2912[[#This Row],[CH4 '[ml/g']]]-AL$15)/AL$15*100</f>
        <v>12.17828888926803</v>
      </c>
      <c r="AM260" s="18">
        <f>(Table2912[[#This Row],[CH4 '[% GP']]]-AM$15)/AM$15*100</f>
        <v>3.3814426570317822</v>
      </c>
      <c r="AN260" s="18">
        <f>(Table2912[[#This Row],[CH4 '[g/g DDM']]]-AN$15)/AN$15*100</f>
        <v>8.83614380835213</v>
      </c>
      <c r="AO260" s="18"/>
      <c r="AP260" s="18"/>
      <c r="AR260">
        <f>_xlfn.NORM.DIST(Table2912[[#This Row],[GP '[ml/g']]],O$6,O$2,FALSE)</f>
        <v>6.9980915954673418E-3</v>
      </c>
      <c r="AS260">
        <f>_xlfn.NORM.DIST(Table2912[[#This Row],[SCFA '[mmol/g']]],P$6,P$2,FALSE)</f>
        <v>0.31981196322361294</v>
      </c>
      <c r="AT260">
        <f>_xlfn.NORM.DIST(Table2912[[#This Row],[Acetate '[%']]],Q$6,Q$2,FALSE)</f>
        <v>14.013327791412227</v>
      </c>
      <c r="AU260">
        <f>_xlfn.NORM.DIST(Table2912[[#This Row],[Propionate '[%']]],R$6,R$2,FALSE)</f>
        <v>15.638378375467292</v>
      </c>
      <c r="AV260">
        <f>_xlfn.NORM.DIST(Table2912[[#This Row],[Butyrate '[%']]],S$6,S$2,FALSE)</f>
        <v>22.661866433824105</v>
      </c>
      <c r="AW260">
        <f>_xlfn.NORM.DIST(Table2912[[#This Row],[Valerate '[%']]],T$6,T$2,FALSE)</f>
        <v>76.39320420152869</v>
      </c>
      <c r="AX260">
        <f>_xlfn.NORM.DIST(Table2912[[#This Row],[Caproate '[%']]],U$6,U$2,FALSE)</f>
        <v>387.7058431850287</v>
      </c>
      <c r="AY260">
        <f>_xlfn.NORM.DIST(Table2912[[#This Row],[Isobutyrate '[%']]],V$6,V$2,FALSE)</f>
        <v>84.291882939089035</v>
      </c>
      <c r="AZ260">
        <f>_xlfn.NORM.DIST(Table2912[[#This Row],[Isovalerate '[%']]],W$6,W$2,FALSE)</f>
        <v>40.46967566563228</v>
      </c>
      <c r="BA260">
        <f>_xlfn.NORM.DIST(Table2912[[#This Row],[CH4 '[g/mmol SCFA']]],X$6,X$2,FALSE)</f>
        <v>0.29590511430928484</v>
      </c>
      <c r="BB260">
        <f>_xlfn.NORM.DIST(Table2912[[#This Row],[DMD '[mg/g']]],Y$6,Y$2,FALSE)</f>
        <v>2.8972544318694813E-3</v>
      </c>
      <c r="BC260">
        <f>_xlfn.NORM.DIST(Table2912[[#This Row],[CH4 '[ml/g']]],Z$6,Z$2,FALSE)</f>
        <v>3.2640467456253569E-2</v>
      </c>
      <c r="BD260">
        <f>_xlfn.NORM.DIST(Table2912[[#This Row],[CH4 '[% GP']]],AA$6,AA$2,FALSE)</f>
        <v>0.13471345078170099</v>
      </c>
      <c r="BE260">
        <f>_xlfn.NORM.DIST(Table2912[[#This Row],[CH4 '[g/g DDM']]],AB$6,AB$2,FALSE)</f>
        <v>3.222364820857912E-2</v>
      </c>
      <c r="BG260">
        <f>IF(Table2912[[#This Row],[GP '[ml/g']]]&lt;O$10,_xlfn.NORM.DIST(Table2912[[#This Row],[GP '[ml/g']]],O$6,O$2,FALSE),-100)</f>
        <v>-100</v>
      </c>
      <c r="BH260">
        <f>IF(Table2912[[#This Row],[SCFA '[mmol/g']]]&lt;P$10,_xlfn.NORM.DIST(Table2912[[#This Row],[SCFA '[mmol/g']]],P$6,P$2,FALSE),-100)</f>
        <v>-100</v>
      </c>
      <c r="BI260">
        <f>IF(Table2912[[#This Row],[Acetate '[%']]]&lt;Q$10,_xlfn.NORM.DIST(Table2912[[#This Row],[Acetate '[%']]],Q$6,Q$2,FALSE),-100)</f>
        <v>-100</v>
      </c>
      <c r="BJ260">
        <f>IF(Table2912[[#This Row],[Propionate '[%']]]&lt;R$10,_xlfn.NORM.DIST(Table2912[[#This Row],[Propionate '[%']]],R$6,R$2,FALSE),-100)</f>
        <v>-100</v>
      </c>
      <c r="BK260">
        <f>IF(Table2912[[#This Row],[Butyrate '[%']]]&lt;S$10,_xlfn.NORM.DIST(Table2912[[#This Row],[Butyrate '[%']]],S$6,S$2,FALSE),-100)</f>
        <v>-100</v>
      </c>
      <c r="BL260">
        <f>IF(Table2912[[#This Row],[Valerate '[%']]]&lt;T$10,_xlfn.NORM.DIST(Table2912[[#This Row],[Valerate '[%']]],T$6,T$2,FALSE),-100)</f>
        <v>-100</v>
      </c>
      <c r="BM260">
        <f>IF(Table2912[[#This Row],[Caproate '[%']]]&lt;U$10,_xlfn.NORM.DIST(Table2912[[#This Row],[Caproate '[%']]],U$6,U$2,FALSE),-100)</f>
        <v>-100</v>
      </c>
      <c r="BN260">
        <f>IF(Table2912[[#This Row],[Isobutyrate '[%']]]&lt;V$10,_xlfn.NORM.DIST(Table2912[[#This Row],[Isobutyrate '[%']]],V$6,V$2,FALSE),-100)</f>
        <v>-100</v>
      </c>
      <c r="BO260">
        <f>IF(Table2912[[#This Row],[Isovalerate '[%']]]&lt;W$10,_xlfn.NORM.DIST(Table2912[[#This Row],[Isovalerate '[%']]],W$6,W$2,FALSE),-100)</f>
        <v>-100</v>
      </c>
      <c r="BP260">
        <f>IF(Table2912[[#This Row],[CH4 '[g/mmol SCFA']]]&lt;X$10,_xlfn.NORM.DIST(Table2912[[#This Row],[CH4 '[g/mmol SCFA']]],X$6,X$2,FALSE),-100)</f>
        <v>-100</v>
      </c>
      <c r="BQ260">
        <f>IF(Table2912[[#This Row],[DMD '[mg/g']]]&gt;Y$10,_xlfn.NORM.DIST(Table2912[[#This Row],[DMD '[mg/g']]],Y$6,Y$2,FALSE),-100)</f>
        <v>-100</v>
      </c>
      <c r="BR260">
        <f>IF(Table2912[[#This Row],[CH4 '[ml/g']]]&lt;Z$10,_xlfn.NORM.DIST(Table2912[[#This Row],[CH4 '[ml/g']]],Z$6,Z$2,FALSE),-100)</f>
        <v>-100</v>
      </c>
      <c r="BS260">
        <f>IF(Table2912[[#This Row],[CH4 '[% GP']]]&lt;AA$10,_xlfn.NORM.DIST(Table2912[[#This Row],[CH4 '[% GP']]],AA$6,AA$2,FALSE),-100)</f>
        <v>-100</v>
      </c>
      <c r="BT260">
        <f>IF(Table2912[[#This Row],[CH4 '[g/g DDM']]]&lt;AB$10,_xlfn.NORM.DIST(Table2912[[#This Row],[CH4 '[g/g DDM']]],AB$6,AB$2,FALSE),-100)</f>
        <v>-100</v>
      </c>
    </row>
    <row r="261" spans="1:72" x14ac:dyDescent="0.25">
      <c r="A261" s="12" t="s">
        <v>200</v>
      </c>
      <c r="B261" s="13">
        <v>1154</v>
      </c>
      <c r="C261" s="117" t="s">
        <v>360</v>
      </c>
      <c r="D261" s="117" t="s">
        <v>262</v>
      </c>
      <c r="E261" s="117" t="s">
        <v>361</v>
      </c>
      <c r="F261" s="117" t="s">
        <v>362</v>
      </c>
      <c r="G261" s="23" t="s">
        <v>73</v>
      </c>
      <c r="H261" s="23" t="s">
        <v>74</v>
      </c>
      <c r="I261" s="104" t="s">
        <v>106</v>
      </c>
      <c r="J261" s="100">
        <v>3</v>
      </c>
      <c r="K261" s="100"/>
      <c r="L261" s="100"/>
      <c r="M261" t="s">
        <v>362</v>
      </c>
      <c r="N261" t="s">
        <v>245</v>
      </c>
      <c r="O261" s="18">
        <v>266.72781078107784</v>
      </c>
      <c r="P261" s="18">
        <v>6.716276192836677</v>
      </c>
      <c r="Q261" s="97">
        <v>0.61397060243696133</v>
      </c>
      <c r="R261" s="97">
        <v>0.19887167159086139</v>
      </c>
      <c r="S261" s="97">
        <v>9.9117509676868804E-2</v>
      </c>
      <c r="T261" s="97">
        <v>2.3289654715157697E-2</v>
      </c>
      <c r="U261" s="97">
        <v>2.2856453466219007E-3</v>
      </c>
      <c r="V261" s="97">
        <v>2.1277924599267625E-2</v>
      </c>
      <c r="W261" s="97">
        <v>4.1186991634261177E-2</v>
      </c>
      <c r="X261" s="51">
        <f t="shared" si="20"/>
        <v>8.2966422438134444</v>
      </c>
      <c r="Y261" s="18">
        <v>791.74004356957425</v>
      </c>
      <c r="Z261" s="18">
        <v>55.722540782607304</v>
      </c>
      <c r="AA261" s="18">
        <f t="shared" si="21"/>
        <v>20.891162649830576</v>
      </c>
      <c r="AB261" s="18">
        <f t="shared" si="22"/>
        <v>70.379844034894617</v>
      </c>
      <c r="AC261" s="18">
        <f>$CP$15*Table2912[[#This Row],[DMD '[mg/g']]]+$CS$15*Table2912[[#This Row],[CH4 '[ml/g']]]+$CR$15*Table2912[[#This Row],[CH4 '[% GP']]]+$CQ$15*Table2912[[#This Row],[CH4 '[g/g DDM']]]</f>
        <v>6.8612467707309932</v>
      </c>
      <c r="AD261" s="18">
        <f>_xlfn.RANK.AVG(Table2912[[#This Row],[Index]],Table2912[Index])</f>
        <v>385</v>
      </c>
      <c r="AE26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6.1249737841203054</v>
      </c>
      <c r="AF261" s="18">
        <f>Table2912[[#This Row],[CH4 '[ml/g']]]/Table2912[[#This Row],[APB]]</f>
        <v>9.0975966178131831</v>
      </c>
      <c r="AG261" s="18">
        <f>Table2912[[#This Row],[Propionate '[%']]]/Table2912[[#This Row],[Acetate '[%']]]</f>
        <v>0.3239107390508657</v>
      </c>
      <c r="AH261" s="51"/>
      <c r="AI261" s="18"/>
      <c r="AJ261" s="18"/>
      <c r="AK261" s="18">
        <f>(Table2912[[#This Row],[DMD '[mg/g']]]-$AK$15)/$AK$15*100</f>
        <v>61.484318306646344</v>
      </c>
      <c r="AL261" s="18">
        <f>(Table2912[[#This Row],[CH4 '[ml/g']]]-AL$15)/AL$15*100</f>
        <v>41.671530090091572</v>
      </c>
      <c r="AM261" s="18">
        <f>(Table2912[[#This Row],[CH4 '[% GP']]]-AM$15)/AM$15*100</f>
        <v>34.587595007029591</v>
      </c>
      <c r="AN261" s="18">
        <f>(Table2912[[#This Row],[CH4 '[g/g DDM']]]-AN$15)/AN$15*100</f>
        <v>37.418963897620927</v>
      </c>
      <c r="AO261" s="18"/>
      <c r="AP261" s="18"/>
      <c r="AR261">
        <f>_xlfn.NORM.DIST(Table2912[[#This Row],[GP '[ml/g']]],O$6,O$2,FALSE)</f>
        <v>7.3156538470515132E-3</v>
      </c>
      <c r="AS261">
        <f>_xlfn.NORM.DIST(Table2912[[#This Row],[SCFA '[mmol/g']]],P$6,P$2,FALSE)</f>
        <v>0.3290639458938065</v>
      </c>
      <c r="AT261">
        <f>_xlfn.NORM.DIST(Table2912[[#This Row],[Acetate '[%']]],Q$6,Q$2,FALSE)</f>
        <v>1.6128878164038822</v>
      </c>
      <c r="AU261">
        <f>_xlfn.NORM.DIST(Table2912[[#This Row],[Propionate '[%']]],R$6,R$2,FALSE)</f>
        <v>8.8016725030136467</v>
      </c>
      <c r="AV261">
        <f>_xlfn.NORM.DIST(Table2912[[#This Row],[Butyrate '[%']]],S$6,S$2,FALSE)</f>
        <v>21.603133480721052</v>
      </c>
      <c r="AW261">
        <f>_xlfn.NORM.DIST(Table2912[[#This Row],[Valerate '[%']]],T$6,T$2,FALSE)</f>
        <v>42.619732914370061</v>
      </c>
      <c r="AX261">
        <f>_xlfn.NORM.DIST(Table2912[[#This Row],[Caproate '[%']]],U$6,U$2,FALSE)</f>
        <v>253.80875175194535</v>
      </c>
      <c r="AY261">
        <f>_xlfn.NORM.DIST(Table2912[[#This Row],[Isobutyrate '[%']]],V$6,V$2,FALSE)</f>
        <v>36.393276422186467</v>
      </c>
      <c r="AZ261">
        <f>_xlfn.NORM.DIST(Table2912[[#This Row],[Isovalerate '[%']]],W$6,W$2,FALSE)</f>
        <v>14.449200951247105</v>
      </c>
      <c r="BA261">
        <f>_xlfn.NORM.DIST(Table2912[[#This Row],[CH4 '[g/mmol SCFA']]],X$6,X$2,FALSE)</f>
        <v>9.6359461974515018E-2</v>
      </c>
      <c r="BB261">
        <f>_xlfn.NORM.DIST(Table2912[[#This Row],[DMD '[mg/g']]],Y$6,Y$2,FALSE)</f>
        <v>2.8968117202457034E-3</v>
      </c>
      <c r="BC261">
        <f>_xlfn.NORM.DIST(Table2912[[#This Row],[CH4 '[ml/g']]],Z$6,Z$2,FALSE)</f>
        <v>1.6249088569040063E-2</v>
      </c>
      <c r="BD261">
        <f>_xlfn.NORM.DIST(Table2912[[#This Row],[CH4 '[% GP']]],AA$6,AA$2,FALSE)</f>
        <v>3.576524578350556E-2</v>
      </c>
      <c r="BE261">
        <f>_xlfn.NORM.DIST(Table2912[[#This Row],[CH4 '[g/g DDM']]],AB$6,AB$2,FALSE)</f>
        <v>1.2294735324720911E-2</v>
      </c>
      <c r="BG261">
        <f>IF(Table2912[[#This Row],[GP '[ml/g']]]&lt;O$10,_xlfn.NORM.DIST(Table2912[[#This Row],[GP '[ml/g']]],O$6,O$2,FALSE),-100)</f>
        <v>-100</v>
      </c>
      <c r="BH261">
        <f>IF(Table2912[[#This Row],[SCFA '[mmol/g']]]&lt;P$10,_xlfn.NORM.DIST(Table2912[[#This Row],[SCFA '[mmol/g']]],P$6,P$2,FALSE),-100)</f>
        <v>-100</v>
      </c>
      <c r="BI261">
        <f>IF(Table2912[[#This Row],[Acetate '[%']]]&lt;Q$10,_xlfn.NORM.DIST(Table2912[[#This Row],[Acetate '[%']]],Q$6,Q$2,FALSE),-100)</f>
        <v>1.6128878164038822</v>
      </c>
      <c r="BJ261">
        <f>IF(Table2912[[#This Row],[Propionate '[%']]]&lt;R$10,_xlfn.NORM.DIST(Table2912[[#This Row],[Propionate '[%']]],R$6,R$2,FALSE),-100)</f>
        <v>-100</v>
      </c>
      <c r="BK261">
        <f>IF(Table2912[[#This Row],[Butyrate '[%']]]&lt;S$10,_xlfn.NORM.DIST(Table2912[[#This Row],[Butyrate '[%']]],S$6,S$2,FALSE),-100)</f>
        <v>-100</v>
      </c>
      <c r="BL261">
        <f>IF(Table2912[[#This Row],[Valerate '[%']]]&lt;T$10,_xlfn.NORM.DIST(Table2912[[#This Row],[Valerate '[%']]],T$6,T$2,FALSE),-100)</f>
        <v>-100</v>
      </c>
      <c r="BM261">
        <f>IF(Table2912[[#This Row],[Caproate '[%']]]&lt;U$10,_xlfn.NORM.DIST(Table2912[[#This Row],[Caproate '[%']]],U$6,U$2,FALSE),-100)</f>
        <v>-100</v>
      </c>
      <c r="BN261">
        <f>IF(Table2912[[#This Row],[Isobutyrate '[%']]]&lt;V$10,_xlfn.NORM.DIST(Table2912[[#This Row],[Isobutyrate '[%']]],V$6,V$2,FALSE),-100)</f>
        <v>-100</v>
      </c>
      <c r="BO261">
        <f>IF(Table2912[[#This Row],[Isovalerate '[%']]]&lt;W$10,_xlfn.NORM.DIST(Table2912[[#This Row],[Isovalerate '[%']]],W$6,W$2,FALSE),-100)</f>
        <v>-100</v>
      </c>
      <c r="BP261">
        <f>IF(Table2912[[#This Row],[CH4 '[g/mmol SCFA']]]&lt;X$10,_xlfn.NORM.DIST(Table2912[[#This Row],[CH4 '[g/mmol SCFA']]],X$6,X$2,FALSE),-100)</f>
        <v>-100</v>
      </c>
      <c r="BQ261">
        <f>IF(Table2912[[#This Row],[DMD '[mg/g']]]&gt;Y$10,_xlfn.NORM.DIST(Table2912[[#This Row],[DMD '[mg/g']]],Y$6,Y$2,FALSE),-100)</f>
        <v>-100</v>
      </c>
      <c r="BR261">
        <f>IF(Table2912[[#This Row],[CH4 '[ml/g']]]&lt;Z$10,_xlfn.NORM.DIST(Table2912[[#This Row],[CH4 '[ml/g']]],Z$6,Z$2,FALSE),-100)</f>
        <v>-100</v>
      </c>
      <c r="BS261">
        <f>IF(Table2912[[#This Row],[CH4 '[% GP']]]&lt;AA$10,_xlfn.NORM.DIST(Table2912[[#This Row],[CH4 '[% GP']]],AA$6,AA$2,FALSE),-100)</f>
        <v>-100</v>
      </c>
      <c r="BT261">
        <f>IF(Table2912[[#This Row],[CH4 '[g/g DDM']]]&lt;AB$10,_xlfn.NORM.DIST(Table2912[[#This Row],[CH4 '[g/g DDM']]],AB$6,AB$2,FALSE),-100)</f>
        <v>-100</v>
      </c>
    </row>
    <row r="262" spans="1:72" x14ac:dyDescent="0.25">
      <c r="A262" s="12" t="s">
        <v>200</v>
      </c>
      <c r="B262" s="13">
        <v>1254</v>
      </c>
      <c r="C262" s="113" t="s">
        <v>201</v>
      </c>
      <c r="D262" s="113" t="s">
        <v>202</v>
      </c>
      <c r="E262" s="113" t="s">
        <v>203</v>
      </c>
      <c r="F262" s="114" t="s">
        <v>204</v>
      </c>
      <c r="G262" t="s">
        <v>205</v>
      </c>
      <c r="H262" t="s">
        <v>206</v>
      </c>
      <c r="I262" s="115" t="s">
        <v>48</v>
      </c>
      <c r="J262" s="107">
        <v>1</v>
      </c>
      <c r="K262" s="107"/>
      <c r="L262" s="107"/>
      <c r="M262" t="s">
        <v>207</v>
      </c>
      <c r="N262" t="s">
        <v>363</v>
      </c>
      <c r="O262" s="18">
        <v>133.51200787401615</v>
      </c>
      <c r="P262" s="18">
        <v>3.4003463681725443</v>
      </c>
      <c r="Q262" s="97">
        <v>0.7169477384609686</v>
      </c>
      <c r="R262" s="97">
        <v>0.2221320150531802</v>
      </c>
      <c r="S262" s="97">
        <v>5.455510661287645E-2</v>
      </c>
      <c r="T262" s="97">
        <v>5.6627054534489447E-3</v>
      </c>
      <c r="U262" s="97">
        <v>-6.2206305870113354E-4</v>
      </c>
      <c r="V262" s="97">
        <v>8.4234599362050628E-4</v>
      </c>
      <c r="W262" s="97">
        <v>4.8215148460655036E-4</v>
      </c>
      <c r="X262" s="51">
        <f t="shared" si="20"/>
        <v>2.8934648942850814</v>
      </c>
      <c r="Y262" s="18">
        <v>793.17602490258446</v>
      </c>
      <c r="Z262" s="101">
        <v>9.8387828447170307</v>
      </c>
      <c r="AA262" s="18">
        <f t="shared" si="21"/>
        <v>7.3692119543292671</v>
      </c>
      <c r="AB262" s="18">
        <f t="shared" si="22"/>
        <v>12.404286735627695</v>
      </c>
      <c r="AC262" s="18">
        <f>$CP$15*Table2912[[#This Row],[DMD '[mg/g']]]+$CS$15*Table2912[[#This Row],[CH4 '[ml/g']]]+$CR$15*Table2912[[#This Row],[CH4 '[% GP']]]+$CQ$15*Table2912[[#This Row],[CH4 '[g/g DDM']]]</f>
        <v>35.112086317409108</v>
      </c>
      <c r="AD262" s="18">
        <f>_xlfn.RANK.AVG(Table2912[[#This Row],[Index]],Table2912[Index])</f>
        <v>18</v>
      </c>
      <c r="AE26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3.3787026879225643</v>
      </c>
      <c r="AF262" s="18">
        <f>Table2912[[#This Row],[CH4 '[ml/g']]]/Table2912[[#This Row],[APB]]</f>
        <v>2.9120001827584669</v>
      </c>
      <c r="AG262" s="18">
        <f>Table2912[[#This Row],[Propionate '[%']]]/Table2912[[#This Row],[Acetate '[%']]]</f>
        <v>0.30983013563864292</v>
      </c>
      <c r="AH262" s="51"/>
      <c r="AI262" s="18"/>
      <c r="AJ262" s="18"/>
      <c r="AK262" s="18">
        <f>(Table2912[[#This Row],[DMD '[mg/g']]]-$AK$15)/$AK$15*100</f>
        <v>61.777202907527155</v>
      </c>
      <c r="AL262" s="18">
        <f>(Table2912[[#This Row],[CH4 '[ml/g']]]-AL$15)/AL$15*100</f>
        <v>-74.985429589917828</v>
      </c>
      <c r="AM262" s="18">
        <f>(Table2912[[#This Row],[CH4 '[% GP']]]-AM$15)/AM$15*100</f>
        <v>-52.525164316870999</v>
      </c>
      <c r="AN262" s="18">
        <f>(Table2912[[#This Row],[CH4 '[g/g DDM']]]-AN$15)/AN$15*100</f>
        <v>-75.780221532548154</v>
      </c>
      <c r="AO262" s="18"/>
      <c r="AP262" s="18"/>
      <c r="AR262">
        <f>_xlfn.NORM.DIST(Table2912[[#This Row],[GP '[ml/g']]],O$6,O$2,FALSE)</f>
        <v>5.4719656188586879E-4</v>
      </c>
      <c r="AS262">
        <f>_xlfn.NORM.DIST(Table2912[[#This Row],[SCFA '[mmol/g']]],P$6,P$2,FALSE)</f>
        <v>1.0849946589537605E-2</v>
      </c>
      <c r="AT262">
        <f>_xlfn.NORM.DIST(Table2912[[#This Row],[Acetate '[%']]],Q$6,Q$2,FALSE)</f>
        <v>4.2798387834994509</v>
      </c>
      <c r="AU262">
        <f>_xlfn.NORM.DIST(Table2912[[#This Row],[Propionate '[%']]],R$6,R$2,FALSE)</f>
        <v>1.7914055393385762</v>
      </c>
      <c r="AV262">
        <f>_xlfn.NORM.DIST(Table2912[[#This Row],[Butyrate '[%']]],S$6,S$2,FALSE)</f>
        <v>1.9819375609662739</v>
      </c>
      <c r="AW262">
        <f>_xlfn.NORM.DIST(Table2912[[#This Row],[Valerate '[%']]],T$6,T$2,FALSE)</f>
        <v>5.1590593140671022</v>
      </c>
      <c r="AX262">
        <f>_xlfn.NORM.DIST(Table2912[[#This Row],[Caproate '[%']]],U$6,U$2,FALSE)</f>
        <v>55.71213251967751</v>
      </c>
      <c r="AY262">
        <f>_xlfn.NORM.DIST(Table2912[[#This Row],[Isobutyrate '[%']]],V$6,V$2,FALSE)</f>
        <v>0.42775156874171655</v>
      </c>
      <c r="AZ262">
        <f>_xlfn.NORM.DIST(Table2912[[#This Row],[Isovalerate '[%']]],W$6,W$2,FALSE)</f>
        <v>0.34775707532965694</v>
      </c>
      <c r="BA262">
        <f>_xlfn.NORM.DIST(Table2912[[#This Row],[CH4 '[g/mmol SCFA']]],X$6,X$2,FALSE)</f>
        <v>1.2220081358147184E-2</v>
      </c>
      <c r="BB262">
        <f>_xlfn.NORM.DIST(Table2912[[#This Row],[DMD '[mg/g']]],Y$6,Y$2,FALSE)</f>
        <v>2.8931555288238316E-3</v>
      </c>
      <c r="BC262">
        <f>_xlfn.NORM.DIST(Table2912[[#This Row],[CH4 '[ml/g']]],Z$6,Z$2,FALSE)</f>
        <v>9.9894843511390101E-4</v>
      </c>
      <c r="BD262">
        <f>_xlfn.NORM.DIST(Table2912[[#This Row],[CH4 '[% GP']]],AA$6,AA$2,FALSE)</f>
        <v>1.8014586485420475E-3</v>
      </c>
      <c r="BE262">
        <f>_xlfn.NORM.DIST(Table2912[[#This Row],[CH4 '[g/g DDM']]],AB$6,AB$2,FALSE)</f>
        <v>1.115074043957643E-4</v>
      </c>
      <c r="BG262">
        <f>IF(Table2912[[#This Row],[GP '[ml/g']]]&lt;O$10,_xlfn.NORM.DIST(Table2912[[#This Row],[GP '[ml/g']]],O$6,O$2,FALSE),-100)</f>
        <v>5.4719656188586879E-4</v>
      </c>
      <c r="BH262">
        <f>IF(Table2912[[#This Row],[SCFA '[mmol/g']]]&lt;P$10,_xlfn.NORM.DIST(Table2912[[#This Row],[SCFA '[mmol/g']]],P$6,P$2,FALSE),-100)</f>
        <v>1.0849946589537605E-2</v>
      </c>
      <c r="BI262">
        <f>IF(Table2912[[#This Row],[Acetate '[%']]]&lt;Q$10,_xlfn.NORM.DIST(Table2912[[#This Row],[Acetate '[%']]],Q$6,Q$2,FALSE),-100)</f>
        <v>-100</v>
      </c>
      <c r="BJ262">
        <f>IF(Table2912[[#This Row],[Propionate '[%']]]&lt;R$10,_xlfn.NORM.DIST(Table2912[[#This Row],[Propionate '[%']]],R$6,R$2,FALSE),-100)</f>
        <v>-100</v>
      </c>
      <c r="BK262">
        <f>IF(Table2912[[#This Row],[Butyrate '[%']]]&lt;S$10,_xlfn.NORM.DIST(Table2912[[#This Row],[Butyrate '[%']]],S$6,S$2,FALSE),-100)</f>
        <v>1.9819375609662739</v>
      </c>
      <c r="BL262">
        <f>IF(Table2912[[#This Row],[Valerate '[%']]]&lt;T$10,_xlfn.NORM.DIST(Table2912[[#This Row],[Valerate '[%']]],T$6,T$2,FALSE),-100)</f>
        <v>5.1590593140671022</v>
      </c>
      <c r="BM262">
        <f>IF(Table2912[[#This Row],[Caproate '[%']]]&lt;U$10,_xlfn.NORM.DIST(Table2912[[#This Row],[Caproate '[%']]],U$6,U$2,FALSE),-100)</f>
        <v>55.71213251967751</v>
      </c>
      <c r="BN262">
        <f>IF(Table2912[[#This Row],[Isobutyrate '[%']]]&lt;V$10,_xlfn.NORM.DIST(Table2912[[#This Row],[Isobutyrate '[%']]],V$6,V$2,FALSE),-100)</f>
        <v>0.42775156874171655</v>
      </c>
      <c r="BO262">
        <f>IF(Table2912[[#This Row],[Isovalerate '[%']]]&lt;W$10,_xlfn.NORM.DIST(Table2912[[#This Row],[Isovalerate '[%']]],W$6,W$2,FALSE),-100)</f>
        <v>0.34775707532965694</v>
      </c>
      <c r="BP262">
        <f>IF(Table2912[[#This Row],[CH4 '[g/mmol SCFA']]]&lt;X$10,_xlfn.NORM.DIST(Table2912[[#This Row],[CH4 '[g/mmol SCFA']]],X$6,X$2,FALSE),-100)</f>
        <v>1.2220081358147184E-2</v>
      </c>
      <c r="BQ262">
        <f>IF(Table2912[[#This Row],[DMD '[mg/g']]]&gt;Y$10,_xlfn.NORM.DIST(Table2912[[#This Row],[DMD '[mg/g']]],Y$6,Y$2,FALSE),-100)</f>
        <v>-100</v>
      </c>
      <c r="BR262">
        <f>IF(Table2912[[#This Row],[CH4 '[ml/g']]]&lt;Z$10,_xlfn.NORM.DIST(Table2912[[#This Row],[CH4 '[ml/g']]],Z$6,Z$2,FALSE),-100)</f>
        <v>9.9894843511390101E-4</v>
      </c>
      <c r="BS262">
        <f>IF(Table2912[[#This Row],[CH4 '[% GP']]]&lt;AA$10,_xlfn.NORM.DIST(Table2912[[#This Row],[CH4 '[% GP']]],AA$6,AA$2,FALSE),-100)</f>
        <v>1.8014586485420475E-3</v>
      </c>
      <c r="BT262">
        <f>IF(Table2912[[#This Row],[CH4 '[g/g DDM']]]&lt;AB$10,_xlfn.NORM.DIST(Table2912[[#This Row],[CH4 '[g/g DDM']]],AB$6,AB$2,FALSE),-100)</f>
        <v>1.115074043957643E-4</v>
      </c>
    </row>
    <row r="263" spans="1:72" x14ac:dyDescent="0.25">
      <c r="A263" s="12" t="s">
        <v>70</v>
      </c>
      <c r="B263" s="13">
        <v>1041</v>
      </c>
      <c r="C263" s="32" t="s">
        <v>319</v>
      </c>
      <c r="D263" t="s">
        <v>320</v>
      </c>
      <c r="E263" t="s">
        <v>321</v>
      </c>
      <c r="F263" t="s">
        <v>301</v>
      </c>
      <c r="G263" s="111" t="s">
        <v>73</v>
      </c>
      <c r="H263" s="111" t="s">
        <v>74</v>
      </c>
      <c r="I263" s="109" t="s">
        <v>75</v>
      </c>
      <c r="J263" s="70">
        <v>3</v>
      </c>
      <c r="K263" s="70"/>
      <c r="L263" s="70"/>
      <c r="M263" t="s">
        <v>322</v>
      </c>
      <c r="N263" t="s">
        <v>84</v>
      </c>
      <c r="O263" s="18">
        <v>301.96823192239845</v>
      </c>
      <c r="P263" s="18">
        <v>8.1780882679086275</v>
      </c>
      <c r="Q263" s="97">
        <v>0.65720677966101682</v>
      </c>
      <c r="R263" s="97">
        <v>0.18474576271186444</v>
      </c>
      <c r="S263" s="97">
        <v>9.8969491525423725E-2</v>
      </c>
      <c r="T263" s="97">
        <v>1.7506660142445497E-2</v>
      </c>
      <c r="U263" s="97">
        <v>1.4372881355932201E-3</v>
      </c>
      <c r="V263" s="97">
        <v>1.6487250584461481E-2</v>
      </c>
      <c r="W263" s="97">
        <v>2.857065187843201E-2</v>
      </c>
      <c r="X263" s="51">
        <f t="shared" si="20"/>
        <v>6.3831792318731013</v>
      </c>
      <c r="Y263" s="18">
        <v>793.51350209633631</v>
      </c>
      <c r="Z263" s="18">
        <v>52.202203188139414</v>
      </c>
      <c r="AA263" s="18">
        <f t="shared" si="21"/>
        <v>17.287316237144655</v>
      </c>
      <c r="AB263" s="18">
        <f t="shared" si="22"/>
        <v>65.786156190448551</v>
      </c>
      <c r="AC263" s="18">
        <f>$CP$15*Table2912[[#This Row],[DMD '[mg/g']]]+$CS$15*Table2912[[#This Row],[CH4 '[ml/g']]]+$CR$15*Table2912[[#This Row],[CH4 '[% GP']]]+$CQ$15*Table2912[[#This Row],[CH4 '[g/g DDM']]]</f>
        <v>10.017638792687329</v>
      </c>
      <c r="AD263" s="18">
        <f>_xlfn.RANK.AVG(Table2912[[#This Row],[Index]],Table2912[Index])</f>
        <v>358</v>
      </c>
      <c r="AE26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7.694943446440452</v>
      </c>
      <c r="AF263" s="18">
        <f>Table2912[[#This Row],[CH4 '[ml/g']]]/Table2912[[#This Row],[APB]]</f>
        <v>6.7839619032271452</v>
      </c>
      <c r="AG263" s="18">
        <f>Table2912[[#This Row],[Propionate '[%']]]/Table2912[[#This Row],[Acetate '[%']]]</f>
        <v>0.281107512017991</v>
      </c>
      <c r="AH263" s="51"/>
      <c r="AI263" s="18"/>
      <c r="AJ263" s="18"/>
      <c r="AK263" s="18">
        <f>(Table2912[[#This Row],[DMD '[mg/g']]]-$AK$15)/$AK$15*100</f>
        <v>61.846035190319562</v>
      </c>
      <c r="AL263" s="18">
        <f>(Table2912[[#This Row],[CH4 '[ml/g']]]-AL$15)/AL$15*100</f>
        <v>32.721263170504024</v>
      </c>
      <c r="AM263" s="18">
        <f>(Table2912[[#This Row],[CH4 '[% GP']]]-AM$15)/AM$15*100</f>
        <v>11.370456277699809</v>
      </c>
      <c r="AN263" s="18">
        <f>(Table2912[[#This Row],[CH4 '[g/g DDM']]]-AN$15)/AN$15*100</f>
        <v>28.449637058250655</v>
      </c>
      <c r="AO263" s="18"/>
      <c r="AP263" s="18"/>
      <c r="AR263">
        <f>_xlfn.NORM.DIST(Table2912[[#This Row],[GP '[ml/g']]],O$6,O$2,FALSE)</f>
        <v>5.1167232000786213E-3</v>
      </c>
      <c r="AS263">
        <f>_xlfn.NORM.DIST(Table2912[[#This Row],[SCFA '[mmol/g']]],P$6,P$2,FALSE)</f>
        <v>0.13046995234443493</v>
      </c>
      <c r="AT263">
        <f>_xlfn.NORM.DIST(Table2912[[#This Row],[Acetate '[%']]],Q$6,Q$2,FALSE)</f>
        <v>11.993350973304819</v>
      </c>
      <c r="AU263">
        <f>_xlfn.NORM.DIST(Table2912[[#This Row],[Propionate '[%']]],R$6,R$2,FALSE)</f>
        <v>14.497084455599078</v>
      </c>
      <c r="AV263">
        <f>_xlfn.NORM.DIST(Table2912[[#This Row],[Butyrate '[%']]],S$6,S$2,FALSE)</f>
        <v>21.668465792845915</v>
      </c>
      <c r="AW263">
        <f>_xlfn.NORM.DIST(Table2912[[#This Row],[Valerate '[%']]],T$6,T$2,FALSE)</f>
        <v>77.361437760166709</v>
      </c>
      <c r="AX263">
        <f>_xlfn.NORM.DIST(Table2912[[#This Row],[Caproate '[%']]],U$6,U$2,FALSE)</f>
        <v>404.62136395279413</v>
      </c>
      <c r="AY263">
        <f>_xlfn.NORM.DIST(Table2912[[#This Row],[Isobutyrate '[%']]],V$6,V$2,FALSE)</f>
        <v>87.063216081832806</v>
      </c>
      <c r="AZ263">
        <f>_xlfn.NORM.DIST(Table2912[[#This Row],[Isovalerate '[%']]],W$6,W$2,FALSE)</f>
        <v>45.295665583365263</v>
      </c>
      <c r="BA263">
        <f>_xlfn.NORM.DIST(Table2912[[#This Row],[CH4 '[g/mmol SCFA']]],X$6,X$2,FALSE)</f>
        <v>0.29657457165927747</v>
      </c>
      <c r="BB263">
        <f>_xlfn.NORM.DIST(Table2912[[#This Row],[DMD '[mg/g']]],Y$6,Y$2,FALSE)</f>
        <v>2.8922506957693474E-3</v>
      </c>
      <c r="BC263">
        <f>_xlfn.NORM.DIST(Table2912[[#This Row],[CH4 '[ml/g']]],Z$6,Z$2,FALSE)</f>
        <v>2.2198658426593895E-2</v>
      </c>
      <c r="BD263">
        <f>_xlfn.NORM.DIST(Table2912[[#This Row],[CH4 '[% GP']]],AA$6,AA$2,FALSE)</f>
        <v>0.12377260635844757</v>
      </c>
      <c r="BE263">
        <f>_xlfn.NORM.DIST(Table2912[[#This Row],[CH4 '[g/g DDM']]],AB$6,AB$2,FALSE)</f>
        <v>1.9452682688707288E-2</v>
      </c>
      <c r="BG263">
        <f>IF(Table2912[[#This Row],[GP '[ml/g']]]&lt;O$10,_xlfn.NORM.DIST(Table2912[[#This Row],[GP '[ml/g']]],O$6,O$2,FALSE),-100)</f>
        <v>-100</v>
      </c>
      <c r="BH263">
        <f>IF(Table2912[[#This Row],[SCFA '[mmol/g']]]&lt;P$10,_xlfn.NORM.DIST(Table2912[[#This Row],[SCFA '[mmol/g']]],P$6,P$2,FALSE),-100)</f>
        <v>-100</v>
      </c>
      <c r="BI263">
        <f>IF(Table2912[[#This Row],[Acetate '[%']]]&lt;Q$10,_xlfn.NORM.DIST(Table2912[[#This Row],[Acetate '[%']]],Q$6,Q$2,FALSE),-100)</f>
        <v>-100</v>
      </c>
      <c r="BJ263">
        <f>IF(Table2912[[#This Row],[Propionate '[%']]]&lt;R$10,_xlfn.NORM.DIST(Table2912[[#This Row],[Propionate '[%']]],R$6,R$2,FALSE),-100)</f>
        <v>-100</v>
      </c>
      <c r="BK263">
        <f>IF(Table2912[[#This Row],[Butyrate '[%']]]&lt;S$10,_xlfn.NORM.DIST(Table2912[[#This Row],[Butyrate '[%']]],S$6,S$2,FALSE),-100)</f>
        <v>-100</v>
      </c>
      <c r="BL263">
        <f>IF(Table2912[[#This Row],[Valerate '[%']]]&lt;T$10,_xlfn.NORM.DIST(Table2912[[#This Row],[Valerate '[%']]],T$6,T$2,FALSE),-100)</f>
        <v>-100</v>
      </c>
      <c r="BM263">
        <f>IF(Table2912[[#This Row],[Caproate '[%']]]&lt;U$10,_xlfn.NORM.DIST(Table2912[[#This Row],[Caproate '[%']]],U$6,U$2,FALSE),-100)</f>
        <v>-100</v>
      </c>
      <c r="BN263">
        <f>IF(Table2912[[#This Row],[Isobutyrate '[%']]]&lt;V$10,_xlfn.NORM.DIST(Table2912[[#This Row],[Isobutyrate '[%']]],V$6,V$2,FALSE),-100)</f>
        <v>-100</v>
      </c>
      <c r="BO263">
        <f>IF(Table2912[[#This Row],[Isovalerate '[%']]]&lt;W$10,_xlfn.NORM.DIST(Table2912[[#This Row],[Isovalerate '[%']]],W$6,W$2,FALSE),-100)</f>
        <v>-100</v>
      </c>
      <c r="BP263">
        <f>IF(Table2912[[#This Row],[CH4 '[g/mmol SCFA']]]&lt;X$10,_xlfn.NORM.DIST(Table2912[[#This Row],[CH4 '[g/mmol SCFA']]],X$6,X$2,FALSE),-100)</f>
        <v>-100</v>
      </c>
      <c r="BQ263">
        <f>IF(Table2912[[#This Row],[DMD '[mg/g']]]&gt;Y$10,_xlfn.NORM.DIST(Table2912[[#This Row],[DMD '[mg/g']]],Y$6,Y$2,FALSE),-100)</f>
        <v>-100</v>
      </c>
      <c r="BR263">
        <f>IF(Table2912[[#This Row],[CH4 '[ml/g']]]&lt;Z$10,_xlfn.NORM.DIST(Table2912[[#This Row],[CH4 '[ml/g']]],Z$6,Z$2,FALSE),-100)</f>
        <v>-100</v>
      </c>
      <c r="BS263">
        <f>IF(Table2912[[#This Row],[CH4 '[% GP']]]&lt;AA$10,_xlfn.NORM.DIST(Table2912[[#This Row],[CH4 '[% GP']]],AA$6,AA$2,FALSE),-100)</f>
        <v>-100</v>
      </c>
      <c r="BT263">
        <f>IF(Table2912[[#This Row],[CH4 '[g/g DDM']]]&lt;AB$10,_xlfn.NORM.DIST(Table2912[[#This Row],[CH4 '[g/g DDM']]],AB$6,AB$2,FALSE),-100)</f>
        <v>-100</v>
      </c>
    </row>
    <row r="264" spans="1:72" x14ac:dyDescent="0.25">
      <c r="A264" s="12" t="s">
        <v>200</v>
      </c>
      <c r="B264" s="13">
        <v>1195</v>
      </c>
      <c r="C264" s="113" t="s">
        <v>353</v>
      </c>
      <c r="D264" s="113" t="s">
        <v>354</v>
      </c>
      <c r="E264" s="113" t="s">
        <v>355</v>
      </c>
      <c r="F264" s="113" t="s">
        <v>356</v>
      </c>
      <c r="G264" s="123" t="s">
        <v>357</v>
      </c>
      <c r="H264" s="124" t="s">
        <v>358</v>
      </c>
      <c r="I264" t="s">
        <v>48</v>
      </c>
      <c r="J264" s="100">
        <v>1</v>
      </c>
      <c r="K264" s="100"/>
      <c r="L264" s="100"/>
      <c r="M264" t="s">
        <v>359</v>
      </c>
      <c r="N264" t="s">
        <v>363</v>
      </c>
      <c r="O264" s="18">
        <v>267.12952755905508</v>
      </c>
      <c r="P264" s="18">
        <v>6.3873774760190916</v>
      </c>
      <c r="Q264" s="97">
        <v>0.65579587178233134</v>
      </c>
      <c r="R264" s="97">
        <v>0.18939881617386076</v>
      </c>
      <c r="S264" s="97">
        <v>0.13277985237495116</v>
      </c>
      <c r="T264" s="97">
        <v>7.963673015286974E-3</v>
      </c>
      <c r="U264" s="97">
        <v>1.6840535300774299E-3</v>
      </c>
      <c r="V264" s="97">
        <v>5.3187382166134216E-3</v>
      </c>
      <c r="W264" s="97">
        <v>7.0589949068789234E-3</v>
      </c>
      <c r="X264" s="51">
        <f t="shared" si="20"/>
        <v>5.8093255523710754</v>
      </c>
      <c r="Y264" s="18">
        <v>793.63211459844956</v>
      </c>
      <c r="Z264" s="18">
        <v>37.106355184077174</v>
      </c>
      <c r="AA264" s="18">
        <f t="shared" si="21"/>
        <v>13.890772586296723</v>
      </c>
      <c r="AB264" s="18">
        <f t="shared" si="22"/>
        <v>46.755107941734067</v>
      </c>
      <c r="AC264" s="18">
        <f>$CP$15*Table2912[[#This Row],[DMD '[mg/g']]]+$CS$15*Table2912[[#This Row],[CH4 '[ml/g']]]+$CR$15*Table2912[[#This Row],[CH4 '[% GP']]]+$CQ$15*Table2912[[#This Row],[CH4 '[g/g DDM']]]</f>
        <v>18.939070931460833</v>
      </c>
      <c r="AD264" s="18">
        <f>_xlfn.RANK.AVG(Table2912[[#This Row],[Index]],Table2912[Index])</f>
        <v>182</v>
      </c>
      <c r="AE26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6.2466925510312699</v>
      </c>
      <c r="AF264" s="18">
        <f>Table2912[[#This Row],[CH4 '[ml/g']]]/Table2912[[#This Row],[APB]]</f>
        <v>5.9401603137889767</v>
      </c>
      <c r="AG264" s="18">
        <f>Table2912[[#This Row],[Propionate '[%']]]/Table2912[[#This Row],[Acetate '[%']]]</f>
        <v>0.28880757614272556</v>
      </c>
      <c r="AH264" s="51"/>
      <c r="AI264" s="18"/>
      <c r="AJ264" s="18"/>
      <c r="AK264" s="18">
        <f>(Table2912[[#This Row],[DMD '[mg/g']]]-$AK$15)/$AK$15*100</f>
        <v>61.870227548912467</v>
      </c>
      <c r="AL264" s="18">
        <f>(Table2912[[#This Row],[CH4 '[ml/g']]]-AL$15)/AL$15*100</f>
        <v>-5.6591095602830581</v>
      </c>
      <c r="AM264" s="18">
        <f>(Table2912[[#This Row],[CH4 '[% GP']]]-AM$15)/AM$15*100</f>
        <v>-10.511171325622037</v>
      </c>
      <c r="AN264" s="18">
        <f>(Table2912[[#This Row],[CH4 '[g/g DDM']]]-AN$15)/AN$15*100</f>
        <v>-8.7091115591423787</v>
      </c>
      <c r="AO264" s="18"/>
      <c r="AP264" s="18"/>
      <c r="AR264">
        <f>_xlfn.NORM.DIST(Table2912[[#This Row],[GP '[ml/g']]],O$6,O$2,FALSE)</f>
        <v>7.3038458953614818E-3</v>
      </c>
      <c r="AS264">
        <f>_xlfn.NORM.DIST(Table2912[[#This Row],[SCFA '[mmol/g']]],P$6,P$2,FALSE)</f>
        <v>0.33014634523123515</v>
      </c>
      <c r="AT264">
        <f>_xlfn.NORM.DIST(Table2912[[#This Row],[Acetate '[%']]],Q$6,Q$2,FALSE)</f>
        <v>11.650593318081803</v>
      </c>
      <c r="AU264">
        <f>_xlfn.NORM.DIST(Table2912[[#This Row],[Propionate '[%']]],R$6,R$2,FALSE)</f>
        <v>12.789407089014125</v>
      </c>
      <c r="AV264">
        <f>_xlfn.NORM.DIST(Table2912[[#This Row],[Butyrate '[%']]],S$6,S$2,FALSE)</f>
        <v>1.6318157974373173</v>
      </c>
      <c r="AW264">
        <f>_xlfn.NORM.DIST(Table2912[[#This Row],[Valerate '[%']]],T$6,T$2,FALSE)</f>
        <v>13.197242170458987</v>
      </c>
      <c r="AX264">
        <f>_xlfn.NORM.DIST(Table2912[[#This Row],[Caproate '[%']]],U$6,U$2,FALSE)</f>
        <v>381.65558113938175</v>
      </c>
      <c r="AY264">
        <f>_xlfn.NORM.DIST(Table2912[[#This Row],[Isobutyrate '[%']]],V$6,V$2,FALSE)</f>
        <v>7.0179570733769197</v>
      </c>
      <c r="AZ264">
        <f>_xlfn.NORM.DIST(Table2912[[#This Row],[Isovalerate '[%']]],W$6,W$2,FALSE)</f>
        <v>2.7216763446732726</v>
      </c>
      <c r="BA264">
        <f>_xlfn.NORM.DIST(Table2912[[#This Row],[CH4 '[g/mmol SCFA']]],X$6,X$2,FALSE)</f>
        <v>0.27945028299537378</v>
      </c>
      <c r="BB264">
        <f>_xlfn.NORM.DIST(Table2912[[#This Row],[DMD '[mg/g']]],Y$6,Y$2,FALSE)</f>
        <v>2.8919285635747071E-3</v>
      </c>
      <c r="BC264">
        <f>_xlfn.NORM.DIST(Table2912[[#This Row],[CH4 '[ml/g']]],Z$6,Z$2,FALSE)</f>
        <v>3.1398589698333944E-2</v>
      </c>
      <c r="BD264">
        <f>_xlfn.NORM.DIST(Table2912[[#This Row],[CH4 '[% GP']]],AA$6,AA$2,FALSE)</f>
        <v>0.10280515355340432</v>
      </c>
      <c r="BE264">
        <f>_xlfn.NORM.DIST(Table2912[[#This Row],[CH4 '[g/g DDM']]],AB$6,AB$2,FALSE)</f>
        <v>2.8342533147393292E-2</v>
      </c>
      <c r="BG264">
        <f>IF(Table2912[[#This Row],[GP '[ml/g']]]&lt;O$10,_xlfn.NORM.DIST(Table2912[[#This Row],[GP '[ml/g']]],O$6,O$2,FALSE),-100)</f>
        <v>-100</v>
      </c>
      <c r="BH264">
        <f>IF(Table2912[[#This Row],[SCFA '[mmol/g']]]&lt;P$10,_xlfn.NORM.DIST(Table2912[[#This Row],[SCFA '[mmol/g']]],P$6,P$2,FALSE),-100)</f>
        <v>-100</v>
      </c>
      <c r="BI264">
        <f>IF(Table2912[[#This Row],[Acetate '[%']]]&lt;Q$10,_xlfn.NORM.DIST(Table2912[[#This Row],[Acetate '[%']]],Q$6,Q$2,FALSE),-100)</f>
        <v>-100</v>
      </c>
      <c r="BJ264">
        <f>IF(Table2912[[#This Row],[Propionate '[%']]]&lt;R$10,_xlfn.NORM.DIST(Table2912[[#This Row],[Propionate '[%']]],R$6,R$2,FALSE),-100)</f>
        <v>-100</v>
      </c>
      <c r="BK264">
        <f>IF(Table2912[[#This Row],[Butyrate '[%']]]&lt;S$10,_xlfn.NORM.DIST(Table2912[[#This Row],[Butyrate '[%']]],S$6,S$2,FALSE),-100)</f>
        <v>-100</v>
      </c>
      <c r="BL264">
        <f>IF(Table2912[[#This Row],[Valerate '[%']]]&lt;T$10,_xlfn.NORM.DIST(Table2912[[#This Row],[Valerate '[%']]],T$6,T$2,FALSE),-100)</f>
        <v>13.197242170458987</v>
      </c>
      <c r="BM264">
        <f>IF(Table2912[[#This Row],[Caproate '[%']]]&lt;U$10,_xlfn.NORM.DIST(Table2912[[#This Row],[Caproate '[%']]],U$6,U$2,FALSE),-100)</f>
        <v>-100</v>
      </c>
      <c r="BN264">
        <f>IF(Table2912[[#This Row],[Isobutyrate '[%']]]&lt;V$10,_xlfn.NORM.DIST(Table2912[[#This Row],[Isobutyrate '[%']]],V$6,V$2,FALSE),-100)</f>
        <v>7.0179570733769197</v>
      </c>
      <c r="BO264">
        <f>IF(Table2912[[#This Row],[Isovalerate '[%']]]&lt;W$10,_xlfn.NORM.DIST(Table2912[[#This Row],[Isovalerate '[%']]],W$6,W$2,FALSE),-100)</f>
        <v>2.7216763446732726</v>
      </c>
      <c r="BP264">
        <f>IF(Table2912[[#This Row],[CH4 '[g/mmol SCFA']]]&lt;X$10,_xlfn.NORM.DIST(Table2912[[#This Row],[CH4 '[g/mmol SCFA']]],X$6,X$2,FALSE),-100)</f>
        <v>-100</v>
      </c>
      <c r="BQ264">
        <f>IF(Table2912[[#This Row],[DMD '[mg/g']]]&gt;Y$10,_xlfn.NORM.DIST(Table2912[[#This Row],[DMD '[mg/g']]],Y$6,Y$2,FALSE),-100)</f>
        <v>-100</v>
      </c>
      <c r="BR264">
        <f>IF(Table2912[[#This Row],[CH4 '[ml/g']]]&lt;Z$10,_xlfn.NORM.DIST(Table2912[[#This Row],[CH4 '[ml/g']]],Z$6,Z$2,FALSE),-100)</f>
        <v>-100</v>
      </c>
      <c r="BS264">
        <f>IF(Table2912[[#This Row],[CH4 '[% GP']]]&lt;AA$10,_xlfn.NORM.DIST(Table2912[[#This Row],[CH4 '[% GP']]],AA$6,AA$2,FALSE),-100)</f>
        <v>-100</v>
      </c>
      <c r="BT264">
        <f>IF(Table2912[[#This Row],[CH4 '[g/g DDM']]]&lt;AB$10,_xlfn.NORM.DIST(Table2912[[#This Row],[CH4 '[g/g DDM']]],AB$6,AB$2,FALSE),-100)</f>
        <v>-100</v>
      </c>
    </row>
    <row r="265" spans="1:72" x14ac:dyDescent="0.25">
      <c r="A265" s="12" t="s">
        <v>86</v>
      </c>
      <c r="B265" s="13">
        <v>1044</v>
      </c>
      <c r="C265" s="104" t="s">
        <v>284</v>
      </c>
      <c r="D265" s="104" t="s">
        <v>285</v>
      </c>
      <c r="E265" s="104" t="s">
        <v>286</v>
      </c>
      <c r="F265" s="104" t="s">
        <v>287</v>
      </c>
      <c r="G265" s="23" t="s">
        <v>73</v>
      </c>
      <c r="H265" s="23" t="s">
        <v>74</v>
      </c>
      <c r="I265" s="99" t="s">
        <v>75</v>
      </c>
      <c r="J265" s="100">
        <v>2</v>
      </c>
      <c r="K265" s="100"/>
      <c r="L265" s="100"/>
      <c r="M265" t="s">
        <v>287</v>
      </c>
      <c r="N265" t="s">
        <v>98</v>
      </c>
      <c r="O265" s="18">
        <v>206.63755468066418</v>
      </c>
      <c r="P265" s="18">
        <v>5.3928268751445838</v>
      </c>
      <c r="Q265" s="97">
        <v>0.66859704992284041</v>
      </c>
      <c r="R265" s="97">
        <v>0.16368100502755389</v>
      </c>
      <c r="S265" s="97">
        <v>9.9419582508205429E-2</v>
      </c>
      <c r="T265" s="97">
        <v>1.6771121299150579E-2</v>
      </c>
      <c r="U265" s="97">
        <v>9.2513308497080217E-4</v>
      </c>
      <c r="V265" s="97">
        <v>1.7819201819300502E-2</v>
      </c>
      <c r="W265" s="97">
        <v>3.2786906337978275E-2</v>
      </c>
      <c r="X265" s="51">
        <f t="shared" si="20"/>
        <v>6.3907782634712857</v>
      </c>
      <c r="Y265" s="18">
        <v>794.46483826698602</v>
      </c>
      <c r="Z265" s="18">
        <v>34.464360772337784</v>
      </c>
      <c r="AA265" s="18">
        <f t="shared" si="21"/>
        <v>16.678653028777219</v>
      </c>
      <c r="AB265" s="18">
        <f t="shared" si="22"/>
        <v>43.380599256622816</v>
      </c>
      <c r="AC265" s="18">
        <f>$CP$15*Table2912[[#This Row],[DMD '[mg/g']]]+$CS$15*Table2912[[#This Row],[CH4 '[ml/g']]]+$CR$15*Table2912[[#This Row],[CH4 '[% GP']]]+$CQ$15*Table2912[[#This Row],[CH4 '[g/g DDM']]]</f>
        <v>19.566060866289554</v>
      </c>
      <c r="AD265" s="18">
        <f>_xlfn.RANK.AVG(Table2912[[#This Row],[Index]],Table2912[Index])</f>
        <v>170</v>
      </c>
      <c r="AE26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5.0244840587954513</v>
      </c>
      <c r="AF265" s="18">
        <f>Table2912[[#This Row],[CH4 '[ml/g']]]/Table2912[[#This Row],[APB]]</f>
        <v>6.8592835341983598</v>
      </c>
      <c r="AG265" s="18">
        <f>Table2912[[#This Row],[Propionate '[%']]]/Table2912[[#This Row],[Acetate '[%']]]</f>
        <v>0.24481263422631544</v>
      </c>
      <c r="AH265" s="51"/>
      <c r="AI265" s="18"/>
      <c r="AJ265" s="18"/>
      <c r="AK265" s="18">
        <f>(Table2912[[#This Row],[DMD '[mg/g']]]-$AK$15)/$AK$15*100</f>
        <v>62.040070940115925</v>
      </c>
      <c r="AL265" s="18">
        <f>(Table2912[[#This Row],[CH4 '[ml/g']]]-AL$15)/AL$15*100</f>
        <v>-12.37623669669353</v>
      </c>
      <c r="AM265" s="18">
        <f>(Table2912[[#This Row],[CH4 '[% GP']]]-AM$15)/AM$15*100</f>
        <v>7.4492519504672128</v>
      </c>
      <c r="AN265" s="18">
        <f>(Table2912[[#This Row],[CH4 '[g/g DDM']]]-AN$15)/AN$15*100</f>
        <v>-15.29795092828898</v>
      </c>
      <c r="AO265" s="18"/>
      <c r="AP265" s="18"/>
      <c r="AR265">
        <f>_xlfn.NORM.DIST(Table2912[[#This Row],[GP '[ml/g']]],O$6,O$2,FALSE)</f>
        <v>4.9172044177079668E-3</v>
      </c>
      <c r="AS265">
        <f>_xlfn.NORM.DIST(Table2912[[#This Row],[SCFA '[mmol/g']]],P$6,P$2,FALSE)</f>
        <v>0.210953331445565</v>
      </c>
      <c r="AT265">
        <f>_xlfn.NORM.DIST(Table2912[[#This Row],[Acetate '[%']]],Q$6,Q$2,FALSE)</f>
        <v>13.850263279991802</v>
      </c>
      <c r="AU265">
        <f>_xlfn.NORM.DIST(Table2912[[#This Row],[Propionate '[%']]],R$6,R$2,FALSE)</f>
        <v>15.823351973904469</v>
      </c>
      <c r="AV265">
        <f>_xlfn.NORM.DIST(Table2912[[#This Row],[Butyrate '[%']]],S$6,S$2,FALSE)</f>
        <v>21.465551574208387</v>
      </c>
      <c r="AW265">
        <f>_xlfn.NORM.DIST(Table2912[[#This Row],[Valerate '[%']]],T$6,T$2,FALSE)</f>
        <v>76.25545332887414</v>
      </c>
      <c r="AX265">
        <f>_xlfn.NORM.DIST(Table2912[[#This Row],[Caproate '[%']]],U$6,U$2,FALSE)</f>
        <v>373.17261212223679</v>
      </c>
      <c r="AY265">
        <f>_xlfn.NORM.DIST(Table2912[[#This Row],[Isobutyrate '[%']]],V$6,V$2,FALSE)</f>
        <v>76.843099454188845</v>
      </c>
      <c r="AZ265">
        <f>_xlfn.NORM.DIST(Table2912[[#This Row],[Isovalerate '[%']]],W$6,W$2,FALSE)</f>
        <v>38.900737147992913</v>
      </c>
      <c r="BA265">
        <f>_xlfn.NORM.DIST(Table2912[[#This Row],[CH4 '[g/mmol SCFA']]],X$6,X$2,FALSE)</f>
        <v>0.29644403982669593</v>
      </c>
      <c r="BB265">
        <f>_xlfn.NORM.DIST(Table2912[[#This Row],[DMD '[mg/g']]],Y$6,Y$2,FALSE)</f>
        <v>2.8896068786455733E-3</v>
      </c>
      <c r="BC265">
        <f>_xlfn.NORM.DIST(Table2912[[#This Row],[CH4 '[ml/g']]],Z$6,Z$2,FALSE)</f>
        <v>2.8280228528700487E-2</v>
      </c>
      <c r="BD265">
        <f>_xlfn.NORM.DIST(Table2912[[#This Row],[CH4 '[% GP']]],AA$6,AA$2,FALSE)</f>
        <v>0.13188537245278706</v>
      </c>
      <c r="BE265">
        <f>_xlfn.NORM.DIST(Table2912[[#This Row],[CH4 '[g/g DDM']]],AB$6,AB$2,FALSE)</f>
        <v>2.3447073057901113E-2</v>
      </c>
      <c r="BG265">
        <f>IF(Table2912[[#This Row],[GP '[ml/g']]]&lt;O$10,_xlfn.NORM.DIST(Table2912[[#This Row],[GP '[ml/g']]],O$6,O$2,FALSE),-100)</f>
        <v>-100</v>
      </c>
      <c r="BH265">
        <f>IF(Table2912[[#This Row],[SCFA '[mmol/g']]]&lt;P$10,_xlfn.NORM.DIST(Table2912[[#This Row],[SCFA '[mmol/g']]],P$6,P$2,FALSE),-100)</f>
        <v>-100</v>
      </c>
      <c r="BI265">
        <f>IF(Table2912[[#This Row],[Acetate '[%']]]&lt;Q$10,_xlfn.NORM.DIST(Table2912[[#This Row],[Acetate '[%']]],Q$6,Q$2,FALSE),-100)</f>
        <v>-100</v>
      </c>
      <c r="BJ265">
        <f>IF(Table2912[[#This Row],[Propionate '[%']]]&lt;R$10,_xlfn.NORM.DIST(Table2912[[#This Row],[Propionate '[%']]],R$6,R$2,FALSE),-100)</f>
        <v>-100</v>
      </c>
      <c r="BK265">
        <f>IF(Table2912[[#This Row],[Butyrate '[%']]]&lt;S$10,_xlfn.NORM.DIST(Table2912[[#This Row],[Butyrate '[%']]],S$6,S$2,FALSE),-100)</f>
        <v>-100</v>
      </c>
      <c r="BL265">
        <f>IF(Table2912[[#This Row],[Valerate '[%']]]&lt;T$10,_xlfn.NORM.DIST(Table2912[[#This Row],[Valerate '[%']]],T$6,T$2,FALSE),-100)</f>
        <v>-100</v>
      </c>
      <c r="BM265">
        <f>IF(Table2912[[#This Row],[Caproate '[%']]]&lt;U$10,_xlfn.NORM.DIST(Table2912[[#This Row],[Caproate '[%']]],U$6,U$2,FALSE),-100)</f>
        <v>-100</v>
      </c>
      <c r="BN265">
        <f>IF(Table2912[[#This Row],[Isobutyrate '[%']]]&lt;V$10,_xlfn.NORM.DIST(Table2912[[#This Row],[Isobutyrate '[%']]],V$6,V$2,FALSE),-100)</f>
        <v>-100</v>
      </c>
      <c r="BO265">
        <f>IF(Table2912[[#This Row],[Isovalerate '[%']]]&lt;W$10,_xlfn.NORM.DIST(Table2912[[#This Row],[Isovalerate '[%']]],W$6,W$2,FALSE),-100)</f>
        <v>-100</v>
      </c>
      <c r="BP265">
        <f>IF(Table2912[[#This Row],[CH4 '[g/mmol SCFA']]]&lt;X$10,_xlfn.NORM.DIST(Table2912[[#This Row],[CH4 '[g/mmol SCFA']]],X$6,X$2,FALSE),-100)</f>
        <v>-100</v>
      </c>
      <c r="BQ265">
        <f>IF(Table2912[[#This Row],[DMD '[mg/g']]]&gt;Y$10,_xlfn.NORM.DIST(Table2912[[#This Row],[DMD '[mg/g']]],Y$6,Y$2,FALSE),-100)</f>
        <v>-100</v>
      </c>
      <c r="BR265">
        <f>IF(Table2912[[#This Row],[CH4 '[ml/g']]]&lt;Z$10,_xlfn.NORM.DIST(Table2912[[#This Row],[CH4 '[ml/g']]],Z$6,Z$2,FALSE),-100)</f>
        <v>-100</v>
      </c>
      <c r="BS265">
        <f>IF(Table2912[[#This Row],[CH4 '[% GP']]]&lt;AA$10,_xlfn.NORM.DIST(Table2912[[#This Row],[CH4 '[% GP']]],AA$6,AA$2,FALSE),-100)</f>
        <v>-100</v>
      </c>
      <c r="BT265">
        <f>IF(Table2912[[#This Row],[CH4 '[g/g DDM']]]&lt;AB$10,_xlfn.NORM.DIST(Table2912[[#This Row],[CH4 '[g/g DDM']]],AB$6,AB$2,FALSE),-100)</f>
        <v>-100</v>
      </c>
    </row>
    <row r="266" spans="1:72" x14ac:dyDescent="0.25">
      <c r="A266" s="12" t="s">
        <v>70</v>
      </c>
      <c r="B266" s="13">
        <v>1041</v>
      </c>
      <c r="C266" s="32" t="s">
        <v>319</v>
      </c>
      <c r="D266" t="s">
        <v>320</v>
      </c>
      <c r="E266" t="s">
        <v>321</v>
      </c>
      <c r="F266" t="s">
        <v>301</v>
      </c>
      <c r="G266" s="108" t="s">
        <v>73</v>
      </c>
      <c r="H266" s="108" t="s">
        <v>74</v>
      </c>
      <c r="I266" s="109" t="s">
        <v>75</v>
      </c>
      <c r="J266" s="70">
        <v>2</v>
      </c>
      <c r="K266" s="70"/>
      <c r="L266" s="70"/>
      <c r="M266" t="s">
        <v>322</v>
      </c>
      <c r="N266" t="s">
        <v>85</v>
      </c>
      <c r="O266" s="18">
        <v>314.34757495590804</v>
      </c>
      <c r="P266" s="18">
        <v>7.4960317460317487</v>
      </c>
      <c r="Q266" s="97">
        <v>0.66325510264102105</v>
      </c>
      <c r="R266" s="97">
        <v>0.19041755970024474</v>
      </c>
      <c r="S266" s="97">
        <v>9.4805964704272883E-2</v>
      </c>
      <c r="T266" s="97">
        <v>1.6719604729133575E-2</v>
      </c>
      <c r="U266" s="97">
        <v>9.7283657865535739E-4</v>
      </c>
      <c r="V266" s="97">
        <v>1.3058055408505383E-2</v>
      </c>
      <c r="W266" s="97">
        <v>2.3719192988647723E-2</v>
      </c>
      <c r="X266" s="51">
        <f t="shared" si="20"/>
        <v>5.5628585879926264</v>
      </c>
      <c r="Y266" s="18">
        <v>797.13891851573021</v>
      </c>
      <c r="Z266" s="18">
        <v>41.699364574278079</v>
      </c>
      <c r="AA266" s="18">
        <f t="shared" si="21"/>
        <v>13.265368622655046</v>
      </c>
      <c r="AB266" s="18">
        <f t="shared" si="22"/>
        <v>52.311289294370603</v>
      </c>
      <c r="AC266" s="18">
        <f>$CP$15*Table2912[[#This Row],[DMD '[mg/g']]]+$CS$15*Table2912[[#This Row],[CH4 '[ml/g']]]+$CR$15*Table2912[[#This Row],[CH4 '[% GP']]]+$CQ$15*Table2912[[#This Row],[CH4 '[g/g DDM']]]</f>
        <v>17.119570909790063</v>
      </c>
      <c r="AD266" s="18">
        <f>_xlfn.RANK.AVG(Table2912[[#This Row],[Index]],Table2912[Index])</f>
        <v>231</v>
      </c>
      <c r="AE26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7.1098258987659646</v>
      </c>
      <c r="AF266" s="18">
        <f>Table2912[[#This Row],[CH4 '[ml/g']]]/Table2912[[#This Row],[APB]]</f>
        <v>5.8650331482119329</v>
      </c>
      <c r="AG266" s="18">
        <f>Table2912[[#This Row],[Propionate '[%']]]/Table2912[[#This Row],[Acetate '[%']]]</f>
        <v>0.28709550660374789</v>
      </c>
      <c r="AH266" s="51"/>
      <c r="AI266" s="18"/>
      <c r="AJ266" s="18"/>
      <c r="AK266" s="18">
        <f>(Table2912[[#This Row],[DMD '[mg/g']]]-$AK$15)/$AK$15*100</f>
        <v>62.585479789362509</v>
      </c>
      <c r="AL266" s="18">
        <f>(Table2912[[#This Row],[CH4 '[ml/g']]]-AL$15)/AL$15*100</f>
        <v>6.0183670746485536</v>
      </c>
      <c r="AM266" s="18">
        <f>(Table2912[[#This Row],[CH4 '[% GP']]]-AM$15)/AM$15*100</f>
        <v>-14.540224987462141</v>
      </c>
      <c r="AN266" s="18">
        <f>(Table2912[[#This Row],[CH4 '[g/g DDM']]]-AN$15)/AN$15*100</f>
        <v>2.1395155609750809</v>
      </c>
      <c r="AO266" s="18"/>
      <c r="AP266" s="18"/>
      <c r="AR266">
        <f>_xlfn.NORM.DIST(Table2912[[#This Row],[GP '[ml/g']]],O$6,O$2,FALSE)</f>
        <v>4.0686655779061352E-3</v>
      </c>
      <c r="AS266">
        <f>_xlfn.NORM.DIST(Table2912[[#This Row],[SCFA '[mmol/g']]],P$6,P$2,FALSE)</f>
        <v>0.24171831351728804</v>
      </c>
      <c r="AT266">
        <f>_xlfn.NORM.DIST(Table2912[[#This Row],[Acetate '[%']]],Q$6,Q$2,FALSE)</f>
        <v>13.20721580427197</v>
      </c>
      <c r="AU266">
        <f>_xlfn.NORM.DIST(Table2912[[#This Row],[Propionate '[%']]],R$6,R$2,FALSE)</f>
        <v>12.379717181209809</v>
      </c>
      <c r="AV266">
        <f>_xlfn.NORM.DIST(Table2912[[#This Row],[Butyrate '[%']]],S$6,S$2,FALSE)</f>
        <v>22.894226460927626</v>
      </c>
      <c r="AW266">
        <f>_xlfn.NORM.DIST(Table2912[[#This Row],[Valerate '[%']]],T$6,T$2,FALSE)</f>
        <v>76.12048325250872</v>
      </c>
      <c r="AX266">
        <f>_xlfn.NORM.DIST(Table2912[[#This Row],[Caproate '[%']]],U$6,U$2,FALSE)</f>
        <v>380.35402246205837</v>
      </c>
      <c r="AY266">
        <f>_xlfn.NORM.DIST(Table2912[[#This Row],[Isobutyrate '[%']]],V$6,V$2,FALSE)</f>
        <v>79.137338172620687</v>
      </c>
      <c r="AZ266">
        <f>_xlfn.NORM.DIST(Table2912[[#This Row],[Isovalerate '[%']]],W$6,W$2,FALSE)</f>
        <v>40.573032575280067</v>
      </c>
      <c r="BA266">
        <f>_xlfn.NORM.DIST(Table2912[[#This Row],[CH4 '[g/mmol SCFA']]],X$6,X$2,FALSE)</f>
        <v>0.25752036459512956</v>
      </c>
      <c r="BB266">
        <f>_xlfn.NORM.DIST(Table2912[[#This Row],[DMD '[mg/g']]],Y$6,Y$2,FALSE)</f>
        <v>2.8814420493032773E-3</v>
      </c>
      <c r="BC266">
        <f>_xlfn.NORM.DIST(Table2912[[#This Row],[CH4 '[ml/g']]],Z$6,Z$2,FALSE)</f>
        <v>3.3495301258016023E-2</v>
      </c>
      <c r="BD266">
        <f>_xlfn.NORM.DIST(Table2912[[#This Row],[CH4 '[% GP']]],AA$6,AA$2,FALSE)</f>
        <v>8.6077268059904857E-2</v>
      </c>
      <c r="BE266">
        <f>_xlfn.NORM.DIST(Table2912[[#This Row],[CH4 '[g/g DDM']]],AB$6,AB$2,FALSE)</f>
        <v>3.2731207341405118E-2</v>
      </c>
      <c r="BG266">
        <f>IF(Table2912[[#This Row],[GP '[ml/g']]]&lt;O$10,_xlfn.NORM.DIST(Table2912[[#This Row],[GP '[ml/g']]],O$6,O$2,FALSE),-100)</f>
        <v>-100</v>
      </c>
      <c r="BH266">
        <f>IF(Table2912[[#This Row],[SCFA '[mmol/g']]]&lt;P$10,_xlfn.NORM.DIST(Table2912[[#This Row],[SCFA '[mmol/g']]],P$6,P$2,FALSE),-100)</f>
        <v>-100</v>
      </c>
      <c r="BI266">
        <f>IF(Table2912[[#This Row],[Acetate '[%']]]&lt;Q$10,_xlfn.NORM.DIST(Table2912[[#This Row],[Acetate '[%']]],Q$6,Q$2,FALSE),-100)</f>
        <v>-100</v>
      </c>
      <c r="BJ266">
        <f>IF(Table2912[[#This Row],[Propionate '[%']]]&lt;R$10,_xlfn.NORM.DIST(Table2912[[#This Row],[Propionate '[%']]],R$6,R$2,FALSE),-100)</f>
        <v>-100</v>
      </c>
      <c r="BK266">
        <f>IF(Table2912[[#This Row],[Butyrate '[%']]]&lt;S$10,_xlfn.NORM.DIST(Table2912[[#This Row],[Butyrate '[%']]],S$6,S$2,FALSE),-100)</f>
        <v>-100</v>
      </c>
      <c r="BL266">
        <f>IF(Table2912[[#This Row],[Valerate '[%']]]&lt;T$10,_xlfn.NORM.DIST(Table2912[[#This Row],[Valerate '[%']]],T$6,T$2,FALSE),-100)</f>
        <v>-100</v>
      </c>
      <c r="BM266">
        <f>IF(Table2912[[#This Row],[Caproate '[%']]]&lt;U$10,_xlfn.NORM.DIST(Table2912[[#This Row],[Caproate '[%']]],U$6,U$2,FALSE),-100)</f>
        <v>-100</v>
      </c>
      <c r="BN266">
        <f>IF(Table2912[[#This Row],[Isobutyrate '[%']]]&lt;V$10,_xlfn.NORM.DIST(Table2912[[#This Row],[Isobutyrate '[%']]],V$6,V$2,FALSE),-100)</f>
        <v>-100</v>
      </c>
      <c r="BO266">
        <f>IF(Table2912[[#This Row],[Isovalerate '[%']]]&lt;W$10,_xlfn.NORM.DIST(Table2912[[#This Row],[Isovalerate '[%']]],W$6,W$2,FALSE),-100)</f>
        <v>-100</v>
      </c>
      <c r="BP266">
        <f>IF(Table2912[[#This Row],[CH4 '[g/mmol SCFA']]]&lt;X$10,_xlfn.NORM.DIST(Table2912[[#This Row],[CH4 '[g/mmol SCFA']]],X$6,X$2,FALSE),-100)</f>
        <v>-100</v>
      </c>
      <c r="BQ266">
        <f>IF(Table2912[[#This Row],[DMD '[mg/g']]]&gt;Y$10,_xlfn.NORM.DIST(Table2912[[#This Row],[DMD '[mg/g']]],Y$6,Y$2,FALSE),-100)</f>
        <v>-100</v>
      </c>
      <c r="BR266">
        <f>IF(Table2912[[#This Row],[CH4 '[ml/g']]]&lt;Z$10,_xlfn.NORM.DIST(Table2912[[#This Row],[CH4 '[ml/g']]],Z$6,Z$2,FALSE),-100)</f>
        <v>-100</v>
      </c>
      <c r="BS266">
        <f>IF(Table2912[[#This Row],[CH4 '[% GP']]]&lt;AA$10,_xlfn.NORM.DIST(Table2912[[#This Row],[CH4 '[% GP']]],AA$6,AA$2,FALSE),-100)</f>
        <v>-100</v>
      </c>
      <c r="BT266">
        <f>IF(Table2912[[#This Row],[CH4 '[g/g DDM']]]&lt;AB$10,_xlfn.NORM.DIST(Table2912[[#This Row],[CH4 '[g/g DDM']]],AB$6,AB$2,FALSE),-100)</f>
        <v>-100</v>
      </c>
    </row>
    <row r="267" spans="1:72" x14ac:dyDescent="0.25">
      <c r="A267" s="12" t="s">
        <v>70</v>
      </c>
      <c r="B267" s="13">
        <v>992</v>
      </c>
      <c r="C267" s="96" t="s">
        <v>343</v>
      </c>
      <c r="D267" s="96"/>
      <c r="E267" s="96"/>
      <c r="F267" s="96" t="s">
        <v>344</v>
      </c>
      <c r="G267" t="s">
        <v>73</v>
      </c>
      <c r="H267" t="s">
        <v>74</v>
      </c>
      <c r="I267" t="s">
        <v>75</v>
      </c>
      <c r="J267" s="100">
        <v>3</v>
      </c>
      <c r="K267" s="100"/>
      <c r="L267" s="100"/>
      <c r="M267" t="s">
        <v>344</v>
      </c>
      <c r="N267" t="s">
        <v>76</v>
      </c>
      <c r="O267" s="18">
        <v>295.43036454922418</v>
      </c>
      <c r="P267" s="18">
        <v>7.8490994984439064</v>
      </c>
      <c r="Q267" s="97">
        <v>0.68459284869651549</v>
      </c>
      <c r="R267" s="97">
        <v>0.12693345847919654</v>
      </c>
      <c r="S267" s="97">
        <v>0.13579438069059857</v>
      </c>
      <c r="T267" s="97">
        <v>1.3525441033177849E-2</v>
      </c>
      <c r="U267" s="97">
        <v>2.6068903626852028E-3</v>
      </c>
      <c r="V267" s="97">
        <v>1.239695273679086E-2</v>
      </c>
      <c r="W267" s="97">
        <v>2.4150028001035488E-2</v>
      </c>
      <c r="X267" s="51">
        <f t="shared" si="20"/>
        <v>6.1524283060273461</v>
      </c>
      <c r="Y267" s="18">
        <v>797.68708697981788</v>
      </c>
      <c r="Z267" s="18">
        <v>48.291021931051333</v>
      </c>
      <c r="AA267" s="18">
        <f t="shared" si="21"/>
        <v>16.345991382685092</v>
      </c>
      <c r="AB267" s="18">
        <f t="shared" si="22"/>
        <v>60.538803647793202</v>
      </c>
      <c r="AC267" s="18">
        <f>$CP$15*Table2912[[#This Row],[DMD '[mg/g']]]+$CS$15*Table2912[[#This Row],[CH4 '[ml/g']]]+$CR$15*Table2912[[#This Row],[CH4 '[% GP']]]+$CQ$15*Table2912[[#This Row],[CH4 '[g/g DDM']]]</f>
        <v>12.848786041502287</v>
      </c>
      <c r="AD267" s="18">
        <f>_xlfn.RANK.AVG(Table2912[[#This Row],[Index]],Table2912[Index])</f>
        <v>306</v>
      </c>
      <c r="AE26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7.4356143359969948</v>
      </c>
      <c r="AF267" s="18">
        <f>Table2912[[#This Row],[CH4 '[ml/g']]]/Table2912[[#This Row],[APB]]</f>
        <v>6.4945571070391308</v>
      </c>
      <c r="AG267" s="18">
        <f>Table2912[[#This Row],[Propionate '[%']]]/Table2912[[#This Row],[Acetate '[%']]]</f>
        <v>0.18541452590526106</v>
      </c>
      <c r="AH267" s="51"/>
      <c r="AI267" s="18"/>
      <c r="AJ267" s="18"/>
      <c r="AK267" s="18">
        <f>(Table2912[[#This Row],[DMD '[mg/g']]]-$AK$15)/$AK$15*100</f>
        <v>62.697284934825781</v>
      </c>
      <c r="AL267" s="18">
        <f>(Table2912[[#This Row],[CH4 '[ml/g']]]-AL$15)/AL$15*100</f>
        <v>22.777297490383624</v>
      </c>
      <c r="AM267" s="18">
        <f>(Table2912[[#This Row],[CH4 '[% GP']]]-AM$15)/AM$15*100</f>
        <v>5.3061385369597023</v>
      </c>
      <c r="AN267" s="18">
        <f>(Table2912[[#This Row],[CH4 '[g/g DDM']]]-AN$15)/AN$15*100</f>
        <v>18.204008362913854</v>
      </c>
      <c r="AO267" s="18"/>
      <c r="AP267" s="18"/>
      <c r="AR267">
        <f>_xlfn.NORM.DIST(Table2912[[#This Row],[GP '[ml/g']]],O$6,O$2,FALSE)</f>
        <v>5.6509404667288163E-3</v>
      </c>
      <c r="AS267">
        <f>_xlfn.NORM.DIST(Table2912[[#This Row],[SCFA '[mmol/g']]],P$6,P$2,FALSE)</f>
        <v>0.18290665261346278</v>
      </c>
      <c r="AT267">
        <f>_xlfn.NORM.DIST(Table2912[[#This Row],[Acetate '[%']]],Q$6,Q$2,FALSE)</f>
        <v>12.931758578992319</v>
      </c>
      <c r="AU267">
        <f>_xlfn.NORM.DIST(Table2912[[#This Row],[Propionate '[%']]],R$6,R$2,FALSE)</f>
        <v>2.8080091592298619</v>
      </c>
      <c r="AV267">
        <f>_xlfn.NORM.DIST(Table2912[[#This Row],[Butyrate '[%']]],S$6,S$2,FALSE)</f>
        <v>1.0769592310735323</v>
      </c>
      <c r="AW267">
        <f>_xlfn.NORM.DIST(Table2912[[#This Row],[Valerate '[%']]],T$6,T$2,FALSE)</f>
        <v>56.113941012988462</v>
      </c>
      <c r="AX267">
        <f>_xlfn.NORM.DIST(Table2912[[#This Row],[Caproate '[%']]],U$6,U$2,FALSE)</f>
        <v>174.9559439004596</v>
      </c>
      <c r="AY267">
        <f>_xlfn.NORM.DIST(Table2912[[#This Row],[Isobutyrate '[%']]],V$6,V$2,FALSE)</f>
        <v>72.510389618311649</v>
      </c>
      <c r="AZ267">
        <f>_xlfn.NORM.DIST(Table2912[[#This Row],[Isovalerate '[%']]],W$6,W$2,FALSE)</f>
        <v>41.480799472353148</v>
      </c>
      <c r="BA267">
        <f>_xlfn.NORM.DIST(Table2912[[#This Row],[CH4 '[g/mmol SCFA']]],X$6,X$2,FALSE)</f>
        <v>0.29600711964578807</v>
      </c>
      <c r="BB267">
        <f>_xlfn.NORM.DIST(Table2912[[#This Row],[DMD '[mg/g']]],Y$6,Y$2,FALSE)</f>
        <v>2.8796352836145322E-3</v>
      </c>
      <c r="BC267">
        <f>_xlfn.NORM.DIST(Table2912[[#This Row],[CH4 '[ml/g']]],Z$6,Z$2,FALSE)</f>
        <v>2.8336548550532858E-2</v>
      </c>
      <c r="BD267">
        <f>_xlfn.NORM.DIST(Table2912[[#This Row],[CH4 '[% GP']]],AA$6,AA$2,FALSE)</f>
        <v>0.1341257335390614</v>
      </c>
      <c r="BE267">
        <f>_xlfn.NORM.DIST(Table2912[[#This Row],[CH4 '[g/g DDM']]],AB$6,AB$2,FALSE)</f>
        <v>2.757742703379755E-2</v>
      </c>
      <c r="BG267">
        <f>IF(Table2912[[#This Row],[GP '[ml/g']]]&lt;O$10,_xlfn.NORM.DIST(Table2912[[#This Row],[GP '[ml/g']]],O$6,O$2,FALSE),-100)</f>
        <v>-100</v>
      </c>
      <c r="BH267">
        <f>IF(Table2912[[#This Row],[SCFA '[mmol/g']]]&lt;P$10,_xlfn.NORM.DIST(Table2912[[#This Row],[SCFA '[mmol/g']]],P$6,P$2,FALSE),-100)</f>
        <v>-100</v>
      </c>
      <c r="BI267">
        <f>IF(Table2912[[#This Row],[Acetate '[%']]]&lt;Q$10,_xlfn.NORM.DIST(Table2912[[#This Row],[Acetate '[%']]],Q$6,Q$2,FALSE),-100)</f>
        <v>-100</v>
      </c>
      <c r="BJ267">
        <f>IF(Table2912[[#This Row],[Propionate '[%']]]&lt;R$10,_xlfn.NORM.DIST(Table2912[[#This Row],[Propionate '[%']]],R$6,R$2,FALSE),-100)</f>
        <v>2.8080091592298619</v>
      </c>
      <c r="BK267">
        <f>IF(Table2912[[#This Row],[Butyrate '[%']]]&lt;S$10,_xlfn.NORM.DIST(Table2912[[#This Row],[Butyrate '[%']]],S$6,S$2,FALSE),-100)</f>
        <v>-100</v>
      </c>
      <c r="BL267">
        <f>IF(Table2912[[#This Row],[Valerate '[%']]]&lt;T$10,_xlfn.NORM.DIST(Table2912[[#This Row],[Valerate '[%']]],T$6,T$2,FALSE),-100)</f>
        <v>-100</v>
      </c>
      <c r="BM267">
        <f>IF(Table2912[[#This Row],[Caproate '[%']]]&lt;U$10,_xlfn.NORM.DIST(Table2912[[#This Row],[Caproate '[%']]],U$6,U$2,FALSE),-100)</f>
        <v>-100</v>
      </c>
      <c r="BN267">
        <f>IF(Table2912[[#This Row],[Isobutyrate '[%']]]&lt;V$10,_xlfn.NORM.DIST(Table2912[[#This Row],[Isobutyrate '[%']]],V$6,V$2,FALSE),-100)</f>
        <v>-100</v>
      </c>
      <c r="BO267">
        <f>IF(Table2912[[#This Row],[Isovalerate '[%']]]&lt;W$10,_xlfn.NORM.DIST(Table2912[[#This Row],[Isovalerate '[%']]],W$6,W$2,FALSE),-100)</f>
        <v>-100</v>
      </c>
      <c r="BP267">
        <f>IF(Table2912[[#This Row],[CH4 '[g/mmol SCFA']]]&lt;X$10,_xlfn.NORM.DIST(Table2912[[#This Row],[CH4 '[g/mmol SCFA']]],X$6,X$2,FALSE),-100)</f>
        <v>-100</v>
      </c>
      <c r="BQ267">
        <f>IF(Table2912[[#This Row],[DMD '[mg/g']]]&gt;Y$10,_xlfn.NORM.DIST(Table2912[[#This Row],[DMD '[mg/g']]],Y$6,Y$2,FALSE),-100)</f>
        <v>-100</v>
      </c>
      <c r="BR267">
        <f>IF(Table2912[[#This Row],[CH4 '[ml/g']]]&lt;Z$10,_xlfn.NORM.DIST(Table2912[[#This Row],[CH4 '[ml/g']]],Z$6,Z$2,FALSE),-100)</f>
        <v>-100</v>
      </c>
      <c r="BS267">
        <f>IF(Table2912[[#This Row],[CH4 '[% GP']]]&lt;AA$10,_xlfn.NORM.DIST(Table2912[[#This Row],[CH4 '[% GP']]],AA$6,AA$2,FALSE),-100)</f>
        <v>-100</v>
      </c>
      <c r="BT267">
        <f>IF(Table2912[[#This Row],[CH4 '[g/g DDM']]]&lt;AB$10,_xlfn.NORM.DIST(Table2912[[#This Row],[CH4 '[g/g DDM']]],AB$6,AB$2,FALSE),-100)</f>
        <v>-100</v>
      </c>
    </row>
    <row r="268" spans="1:72" x14ac:dyDescent="0.25">
      <c r="A268" s="12" t="s">
        <v>86</v>
      </c>
      <c r="B268" s="13">
        <v>1084</v>
      </c>
      <c r="C268" s="32">
        <v>6294</v>
      </c>
      <c r="D268" s="104" t="s">
        <v>164</v>
      </c>
      <c r="E268" t="s">
        <v>165</v>
      </c>
      <c r="F268" t="s">
        <v>166</v>
      </c>
      <c r="G268" s="32" t="s">
        <v>143</v>
      </c>
      <c r="H268" s="32" t="s">
        <v>144</v>
      </c>
      <c r="I268" s="32" t="s">
        <v>52</v>
      </c>
      <c r="J268" s="100">
        <v>1</v>
      </c>
      <c r="K268" s="70"/>
      <c r="L268" s="70"/>
      <c r="M268" s="118" t="s">
        <v>166</v>
      </c>
      <c r="N268" t="s">
        <v>99</v>
      </c>
      <c r="O268" s="18">
        <v>251.12197923569764</v>
      </c>
      <c r="P268" s="18">
        <v>5.9990904888442733</v>
      </c>
      <c r="Q268" s="97">
        <v>0.66592093380247341</v>
      </c>
      <c r="R268" s="97">
        <v>0.21130578052519228</v>
      </c>
      <c r="S268" s="97">
        <v>8.3345312733614993E-2</v>
      </c>
      <c r="T268" s="97">
        <v>1.3591179125720783E-2</v>
      </c>
      <c r="U268" s="97">
        <v>-1.0925269607800892E-5</v>
      </c>
      <c r="V268" s="97">
        <v>9.5484752542899232E-3</v>
      </c>
      <c r="W268" s="97">
        <v>1.6299243828316413E-2</v>
      </c>
      <c r="X268" s="51">
        <f t="shared" si="20"/>
        <v>3.597701031690387</v>
      </c>
      <c r="Y268" s="18">
        <v>797.84431696038985</v>
      </c>
      <c r="Z268" s="18">
        <v>21.582934040919032</v>
      </c>
      <c r="AA268" s="18">
        <f t="shared" si="21"/>
        <v>8.5946017575234865</v>
      </c>
      <c r="AB268" s="18">
        <f t="shared" si="22"/>
        <v>27.051560789635289</v>
      </c>
      <c r="AC268" s="18">
        <f>$CP$15*Table2912[[#This Row],[DMD '[mg/g']]]+$CS$15*Table2912[[#This Row],[CH4 '[ml/g']]]+$CR$15*Table2912[[#This Row],[CH4 '[% GP']]]+$CQ$15*Table2912[[#This Row],[CH4 '[g/g DDM']]]</f>
        <v>28.992010410440841</v>
      </c>
      <c r="AD268" s="18">
        <f>_xlfn.RANK.AVG(Table2912[[#This Row],[Index]],Table2912[Index])</f>
        <v>56</v>
      </c>
      <c r="AE26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5.762558511393193</v>
      </c>
      <c r="AF268" s="18">
        <f>Table2912[[#This Row],[CH4 '[ml/g']]]/Table2912[[#This Row],[APB]]</f>
        <v>3.7453735173790026</v>
      </c>
      <c r="AG268" s="18">
        <f>Table2912[[#This Row],[Propionate '[%']]]/Table2912[[#This Row],[Acetate '[%']]]</f>
        <v>0.31731361757711335</v>
      </c>
      <c r="AH268" s="51"/>
      <c r="AI268" s="18"/>
      <c r="AJ268" s="18"/>
      <c r="AK268" s="18">
        <f>(Table2912[[#This Row],[DMD '[mg/g']]]-$AK$15)/$AK$15*100</f>
        <v>62.729353764028303</v>
      </c>
      <c r="AL268" s="18">
        <f>(Table2912[[#This Row],[CH4 '[ml/g']]]-AL$15)/AL$15*100</f>
        <v>-45.126563748419038</v>
      </c>
      <c r="AM268" s="18">
        <f>(Table2912[[#This Row],[CH4 '[% GP']]]-AM$15)/AM$15*100</f>
        <v>-44.630808731094888</v>
      </c>
      <c r="AN268" s="18">
        <f>(Table2912[[#This Row],[CH4 '[g/g DDM']]]-AN$15)/AN$15*100</f>
        <v>-47.180936438533614</v>
      </c>
      <c r="AO268" s="18"/>
      <c r="AP268" s="18"/>
      <c r="AR268">
        <f>_xlfn.NORM.DIST(Table2912[[#This Row],[GP '[ml/g']]],O$6,O$2,FALSE)</f>
        <v>7.4548254059063294E-3</v>
      </c>
      <c r="AS268">
        <f>_xlfn.NORM.DIST(Table2912[[#This Row],[SCFA '[mmol/g']]],P$6,P$2,FALSE)</f>
        <v>0.30083165791574867</v>
      </c>
      <c r="AT268">
        <f>_xlfn.NORM.DIST(Table2912[[#This Row],[Acetate '[%']]],Q$6,Q$2,FALSE)</f>
        <v>13.584069413193809</v>
      </c>
      <c r="AU268">
        <f>_xlfn.NORM.DIST(Table2912[[#This Row],[Propionate '[%']]],R$6,R$2,FALSE)</f>
        <v>4.2341531673958031</v>
      </c>
      <c r="AV268">
        <f>_xlfn.NORM.DIST(Table2912[[#This Row],[Butyrate '[%']]],S$6,S$2,FALSE)</f>
        <v>19.766512356632262</v>
      </c>
      <c r="AW268">
        <f>_xlfn.NORM.DIST(Table2912[[#This Row],[Valerate '[%']]],T$6,T$2,FALSE)</f>
        <v>56.686161264658807</v>
      </c>
      <c r="AX268">
        <f>_xlfn.NORM.DIST(Table2912[[#This Row],[Caproate '[%']]],U$6,U$2,FALSE)</f>
        <v>159.01461762685304</v>
      </c>
      <c r="AY268">
        <f>_xlfn.NORM.DIST(Table2912[[#This Row],[Isobutyrate '[%']]],V$6,V$2,FALSE)</f>
        <v>38.537316602365259</v>
      </c>
      <c r="AZ268">
        <f>_xlfn.NORM.DIST(Table2912[[#This Row],[Isovalerate '[%']]],W$6,W$2,FALSE)</f>
        <v>18.997853281893754</v>
      </c>
      <c r="BA268">
        <f>_xlfn.NORM.DIST(Table2912[[#This Row],[CH4 '[g/mmol SCFA']]],X$6,X$2,FALSE)</f>
        <v>4.0115738276226935E-2</v>
      </c>
      <c r="BB268">
        <f>_xlfn.NORM.DIST(Table2912[[#This Row],[DMD '[mg/g']]],Y$6,Y$2,FALSE)</f>
        <v>2.8791087315972906E-3</v>
      </c>
      <c r="BC268">
        <f>_xlfn.NORM.DIST(Table2912[[#This Row],[CH4 '[ml/g']]],Z$6,Z$2,FALSE)</f>
        <v>8.3889357077688888E-3</v>
      </c>
      <c r="BD268">
        <f>_xlfn.NORM.DIST(Table2912[[#This Row],[CH4 '[% GP']]],AA$6,AA$2,FALSE)</f>
        <v>5.5763036543363736E-3</v>
      </c>
      <c r="BE268">
        <f>_xlfn.NORM.DIST(Table2912[[#This Row],[CH4 '[g/g DDM']]],AB$6,AB$2,FALSE)</f>
        <v>3.1465402559104527E-3</v>
      </c>
      <c r="BG268">
        <f>IF(Table2912[[#This Row],[GP '[ml/g']]]&lt;O$10,_xlfn.NORM.DIST(Table2912[[#This Row],[GP '[ml/g']]],O$6,O$2,FALSE),-100)</f>
        <v>-100</v>
      </c>
      <c r="BH268">
        <f>IF(Table2912[[#This Row],[SCFA '[mmol/g']]]&lt;P$10,_xlfn.NORM.DIST(Table2912[[#This Row],[SCFA '[mmol/g']]],P$6,P$2,FALSE),-100)</f>
        <v>-100</v>
      </c>
      <c r="BI268">
        <f>IF(Table2912[[#This Row],[Acetate '[%']]]&lt;Q$10,_xlfn.NORM.DIST(Table2912[[#This Row],[Acetate '[%']]],Q$6,Q$2,FALSE),-100)</f>
        <v>-100</v>
      </c>
      <c r="BJ268">
        <f>IF(Table2912[[#This Row],[Propionate '[%']]]&lt;R$10,_xlfn.NORM.DIST(Table2912[[#This Row],[Propionate '[%']]],R$6,R$2,FALSE),-100)</f>
        <v>-100</v>
      </c>
      <c r="BK268">
        <f>IF(Table2912[[#This Row],[Butyrate '[%']]]&lt;S$10,_xlfn.NORM.DIST(Table2912[[#This Row],[Butyrate '[%']]],S$6,S$2,FALSE),-100)</f>
        <v>-100</v>
      </c>
      <c r="BL268">
        <f>IF(Table2912[[#This Row],[Valerate '[%']]]&lt;T$10,_xlfn.NORM.DIST(Table2912[[#This Row],[Valerate '[%']]],T$6,T$2,FALSE),-100)</f>
        <v>-100</v>
      </c>
      <c r="BM268">
        <f>IF(Table2912[[#This Row],[Caproate '[%']]]&lt;U$10,_xlfn.NORM.DIST(Table2912[[#This Row],[Caproate '[%']]],U$6,U$2,FALSE),-100)</f>
        <v>159.01461762685304</v>
      </c>
      <c r="BN268">
        <f>IF(Table2912[[#This Row],[Isobutyrate '[%']]]&lt;V$10,_xlfn.NORM.DIST(Table2912[[#This Row],[Isobutyrate '[%']]],V$6,V$2,FALSE),-100)</f>
        <v>38.537316602365259</v>
      </c>
      <c r="BO268">
        <f>IF(Table2912[[#This Row],[Isovalerate '[%']]]&lt;W$10,_xlfn.NORM.DIST(Table2912[[#This Row],[Isovalerate '[%']]],W$6,W$2,FALSE),-100)</f>
        <v>18.997853281893754</v>
      </c>
      <c r="BP268">
        <f>IF(Table2912[[#This Row],[CH4 '[g/mmol SCFA']]]&lt;X$10,_xlfn.NORM.DIST(Table2912[[#This Row],[CH4 '[g/mmol SCFA']]],X$6,X$2,FALSE),-100)</f>
        <v>4.0115738276226935E-2</v>
      </c>
      <c r="BQ268">
        <f>IF(Table2912[[#This Row],[DMD '[mg/g']]]&gt;Y$10,_xlfn.NORM.DIST(Table2912[[#This Row],[DMD '[mg/g']]],Y$6,Y$2,FALSE),-100)</f>
        <v>-100</v>
      </c>
      <c r="BR268">
        <f>IF(Table2912[[#This Row],[CH4 '[ml/g']]]&lt;Z$10,_xlfn.NORM.DIST(Table2912[[#This Row],[CH4 '[ml/g']]],Z$6,Z$2,FALSE),-100)</f>
        <v>8.3889357077688888E-3</v>
      </c>
      <c r="BS268">
        <f>IF(Table2912[[#This Row],[CH4 '[% GP']]]&lt;AA$10,_xlfn.NORM.DIST(Table2912[[#This Row],[CH4 '[% GP']]],AA$6,AA$2,FALSE),-100)</f>
        <v>5.5763036543363736E-3</v>
      </c>
      <c r="BT268">
        <f>IF(Table2912[[#This Row],[CH4 '[g/g DDM']]]&lt;AB$10,_xlfn.NORM.DIST(Table2912[[#This Row],[CH4 '[g/g DDM']]],AB$6,AB$2,FALSE),-100)</f>
        <v>3.1465402559104527E-3</v>
      </c>
    </row>
    <row r="269" spans="1:72" x14ac:dyDescent="0.25">
      <c r="A269" s="12" t="s">
        <v>86</v>
      </c>
      <c r="B269" s="13">
        <v>1090</v>
      </c>
      <c r="C269" s="104" t="s">
        <v>364</v>
      </c>
      <c r="D269" s="104" t="s">
        <v>365</v>
      </c>
      <c r="E269" s="104" t="s">
        <v>366</v>
      </c>
      <c r="F269" s="104" t="s">
        <v>367</v>
      </c>
      <c r="G269" s="32" t="s">
        <v>143</v>
      </c>
      <c r="H269" s="32" t="s">
        <v>144</v>
      </c>
      <c r="I269" s="32" t="s">
        <v>52</v>
      </c>
      <c r="J269" s="70">
        <v>3</v>
      </c>
      <c r="K269" s="70"/>
      <c r="L269" s="70"/>
      <c r="M269" t="s">
        <v>367</v>
      </c>
      <c r="N269" t="s">
        <v>99</v>
      </c>
      <c r="O269" s="18">
        <v>276.25400927766697</v>
      </c>
      <c r="P269" s="18">
        <v>7.1307546037706739</v>
      </c>
      <c r="Q269" s="97">
        <v>0.67366758071343491</v>
      </c>
      <c r="R269" s="97">
        <v>0.18195118026497814</v>
      </c>
      <c r="S269" s="97">
        <v>8.0307404113913225E-2</v>
      </c>
      <c r="T269" s="97">
        <v>1.7873561756969719E-2</v>
      </c>
      <c r="U269" s="97">
        <v>7.747760615505815E-4</v>
      </c>
      <c r="V269" s="97">
        <v>1.7652815720333438E-2</v>
      </c>
      <c r="W269" s="97">
        <v>2.7772681368820114E-2</v>
      </c>
      <c r="X269" s="51">
        <f t="shared" si="20"/>
        <v>8.6799916456334483</v>
      </c>
      <c r="Y269" s="18">
        <v>797.98260700348169</v>
      </c>
      <c r="Z269" s="18">
        <v>61.894890387791698</v>
      </c>
      <c r="AA269" s="18">
        <f t="shared" si="21"/>
        <v>22.405065015936195</v>
      </c>
      <c r="AB269" s="18">
        <f t="shared" si="22"/>
        <v>77.564209851909268</v>
      </c>
      <c r="AC269" s="18">
        <f>$CP$15*Table2912[[#This Row],[DMD '[mg/g']]]+$CS$15*Table2912[[#This Row],[CH4 '[ml/g']]]+$CR$15*Table2912[[#This Row],[CH4 '[% GP']]]+$CQ$15*Table2912[[#This Row],[CH4 '[g/g DDM']]]</f>
        <v>4.0396410958149573</v>
      </c>
      <c r="AD269" s="18">
        <f>_xlfn.RANK.AVG(Table2912[[#This Row],[Index]],Table2912[Index])</f>
        <v>418</v>
      </c>
      <c r="AE26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6.6738598105215372</v>
      </c>
      <c r="AF269" s="18">
        <f>Table2912[[#This Row],[CH4 '[ml/g']]]/Table2912[[#This Row],[APB]]</f>
        <v>9.2742269309002534</v>
      </c>
      <c r="AG269" s="18">
        <f>Table2912[[#This Row],[Propionate '[%']]]/Table2912[[#This Row],[Acetate '[%']]]</f>
        <v>0.27009045035577661</v>
      </c>
      <c r="AH269" s="51"/>
      <c r="AI269" s="18"/>
      <c r="AJ269" s="18"/>
      <c r="AK269" s="18">
        <f>(Table2912[[#This Row],[DMD '[mg/g']]]-$AK$15)/$AK$15*100</f>
        <v>62.75755957920547</v>
      </c>
      <c r="AL269" s="18">
        <f>(Table2912[[#This Row],[CH4 '[ml/g']]]-AL$15)/AL$15*100</f>
        <v>57.364393346793378</v>
      </c>
      <c r="AM269" s="18">
        <f>(Table2912[[#This Row],[CH4 '[% GP']]]-AM$15)/AM$15*100</f>
        <v>44.340641400130131</v>
      </c>
      <c r="AN269" s="18">
        <f>(Table2912[[#This Row],[CH4 '[g/g DDM']]]-AN$15)/AN$15*100</f>
        <v>51.446674819318147</v>
      </c>
      <c r="AO269" s="18"/>
      <c r="AP269" s="18"/>
      <c r="AR269">
        <f>_xlfn.NORM.DIST(Table2912[[#This Row],[GP '[ml/g']]],O$6,O$2,FALSE)</f>
        <v>6.9339665280333061E-3</v>
      </c>
      <c r="AS269">
        <f>_xlfn.NORM.DIST(Table2912[[#This Row],[SCFA '[mmol/g']]],P$6,P$2,FALSE)</f>
        <v>0.29440073703099051</v>
      </c>
      <c r="AT269">
        <f>_xlfn.NORM.DIST(Table2912[[#This Row],[Acetate '[%']]],Q$6,Q$2,FALSE)</f>
        <v>14.024346873233169</v>
      </c>
      <c r="AU269">
        <f>_xlfn.NORM.DIST(Table2912[[#This Row],[Propionate '[%']]],R$6,R$2,FALSE)</f>
        <v>15.344925646139062</v>
      </c>
      <c r="AV269">
        <f>_xlfn.NORM.DIST(Table2912[[#This Row],[Butyrate '[%']]],S$6,S$2,FALSE)</f>
        <v>17.666333602497144</v>
      </c>
      <c r="AW269">
        <f>_xlfn.NORM.DIST(Table2912[[#This Row],[Valerate '[%']]],T$6,T$2,FALSE)</f>
        <v>77.328259538084978</v>
      </c>
      <c r="AX269">
        <f>_xlfn.NORM.DIST(Table2912[[#This Row],[Caproate '[%']]],U$6,U$2,FALSE)</f>
        <v>346.01095871842949</v>
      </c>
      <c r="AY269">
        <f>_xlfn.NORM.DIST(Table2912[[#This Row],[Isobutyrate '[%']]],V$6,V$2,FALSE)</f>
        <v>78.438632416282175</v>
      </c>
      <c r="AZ269">
        <f>_xlfn.NORM.DIST(Table2912[[#This Row],[Isovalerate '[%']]],W$6,W$2,FALSE)</f>
        <v>45.42548165530107</v>
      </c>
      <c r="BA269">
        <f>_xlfn.NORM.DIST(Table2912[[#This Row],[CH4 '[g/mmol SCFA']]],X$6,X$2,FALSE)</f>
        <v>6.0231258179389367E-2</v>
      </c>
      <c r="BB269">
        <f>_xlfn.NORM.DIST(Table2912[[#This Row],[DMD '[mg/g']]],Y$6,Y$2,FALSE)</f>
        <v>2.8786425449357795E-3</v>
      </c>
      <c r="BC269">
        <f>_xlfn.NORM.DIST(Table2912[[#This Row],[CH4 '[ml/g']]],Z$6,Z$2,FALSE)</f>
        <v>7.6140824973843849E-3</v>
      </c>
      <c r="BD269">
        <f>_xlfn.NORM.DIST(Table2912[[#This Row],[CH4 '[% GP']]],AA$6,AA$2,FALSE)</f>
        <v>1.3649689383664483E-2</v>
      </c>
      <c r="BE269">
        <f>_xlfn.NORM.DIST(Table2912[[#This Row],[CH4 '[g/g DDM']]],AB$6,AB$2,FALSE)</f>
        <v>4.5027887327951065E-3</v>
      </c>
      <c r="BG269">
        <f>IF(Table2912[[#This Row],[GP '[ml/g']]]&lt;O$10,_xlfn.NORM.DIST(Table2912[[#This Row],[GP '[ml/g']]],O$6,O$2,FALSE),-100)</f>
        <v>-100</v>
      </c>
      <c r="BH269">
        <f>IF(Table2912[[#This Row],[SCFA '[mmol/g']]]&lt;P$10,_xlfn.NORM.DIST(Table2912[[#This Row],[SCFA '[mmol/g']]],P$6,P$2,FALSE),-100)</f>
        <v>-100</v>
      </c>
      <c r="BI269">
        <f>IF(Table2912[[#This Row],[Acetate '[%']]]&lt;Q$10,_xlfn.NORM.DIST(Table2912[[#This Row],[Acetate '[%']]],Q$6,Q$2,FALSE),-100)</f>
        <v>-100</v>
      </c>
      <c r="BJ269">
        <f>IF(Table2912[[#This Row],[Propionate '[%']]]&lt;R$10,_xlfn.NORM.DIST(Table2912[[#This Row],[Propionate '[%']]],R$6,R$2,FALSE),-100)</f>
        <v>-100</v>
      </c>
      <c r="BK269">
        <f>IF(Table2912[[#This Row],[Butyrate '[%']]]&lt;S$10,_xlfn.NORM.DIST(Table2912[[#This Row],[Butyrate '[%']]],S$6,S$2,FALSE),-100)</f>
        <v>-100</v>
      </c>
      <c r="BL269">
        <f>IF(Table2912[[#This Row],[Valerate '[%']]]&lt;T$10,_xlfn.NORM.DIST(Table2912[[#This Row],[Valerate '[%']]],T$6,T$2,FALSE),-100)</f>
        <v>-100</v>
      </c>
      <c r="BM269">
        <f>IF(Table2912[[#This Row],[Caproate '[%']]]&lt;U$10,_xlfn.NORM.DIST(Table2912[[#This Row],[Caproate '[%']]],U$6,U$2,FALSE),-100)</f>
        <v>-100</v>
      </c>
      <c r="BN269">
        <f>IF(Table2912[[#This Row],[Isobutyrate '[%']]]&lt;V$10,_xlfn.NORM.DIST(Table2912[[#This Row],[Isobutyrate '[%']]],V$6,V$2,FALSE),-100)</f>
        <v>-100</v>
      </c>
      <c r="BO269">
        <f>IF(Table2912[[#This Row],[Isovalerate '[%']]]&lt;W$10,_xlfn.NORM.DIST(Table2912[[#This Row],[Isovalerate '[%']]],W$6,W$2,FALSE),-100)</f>
        <v>-100</v>
      </c>
      <c r="BP269">
        <f>IF(Table2912[[#This Row],[CH4 '[g/mmol SCFA']]]&lt;X$10,_xlfn.NORM.DIST(Table2912[[#This Row],[CH4 '[g/mmol SCFA']]],X$6,X$2,FALSE),-100)</f>
        <v>-100</v>
      </c>
      <c r="BQ269">
        <f>IF(Table2912[[#This Row],[DMD '[mg/g']]]&gt;Y$10,_xlfn.NORM.DIST(Table2912[[#This Row],[DMD '[mg/g']]],Y$6,Y$2,FALSE),-100)</f>
        <v>-100</v>
      </c>
      <c r="BR269">
        <f>IF(Table2912[[#This Row],[CH4 '[ml/g']]]&lt;Z$10,_xlfn.NORM.DIST(Table2912[[#This Row],[CH4 '[ml/g']]],Z$6,Z$2,FALSE),-100)</f>
        <v>-100</v>
      </c>
      <c r="BS269">
        <f>IF(Table2912[[#This Row],[CH4 '[% GP']]]&lt;AA$10,_xlfn.NORM.DIST(Table2912[[#This Row],[CH4 '[% GP']]],AA$6,AA$2,FALSE),-100)</f>
        <v>-100</v>
      </c>
      <c r="BT269">
        <f>IF(Table2912[[#This Row],[CH4 '[g/g DDM']]]&lt;AB$10,_xlfn.NORM.DIST(Table2912[[#This Row],[CH4 '[g/g DDM']]],AB$6,AB$2,FALSE),-100)</f>
        <v>-100</v>
      </c>
    </row>
    <row r="270" spans="1:72" x14ac:dyDescent="0.25">
      <c r="A270" s="12" t="s">
        <v>70</v>
      </c>
      <c r="B270" s="13">
        <v>1029</v>
      </c>
      <c r="C270" s="96" t="s">
        <v>368</v>
      </c>
      <c r="D270" s="96"/>
      <c r="E270" s="96"/>
      <c r="F270" s="96" t="s">
        <v>369</v>
      </c>
      <c r="G270" t="s">
        <v>73</v>
      </c>
      <c r="H270" t="s">
        <v>74</v>
      </c>
      <c r="I270" t="s">
        <v>75</v>
      </c>
      <c r="J270" s="70">
        <v>1</v>
      </c>
      <c r="K270" s="70"/>
      <c r="L270" s="70"/>
      <c r="M270" t="s">
        <v>369</v>
      </c>
      <c r="N270" t="s">
        <v>81</v>
      </c>
      <c r="O270" s="18">
        <v>232.4483814523181</v>
      </c>
      <c r="P270" s="18">
        <v>6.9534120734908109</v>
      </c>
      <c r="Q270" s="97">
        <v>0.6542417665376995</v>
      </c>
      <c r="R270" s="97">
        <v>0.18278758139095977</v>
      </c>
      <c r="S270" s="97">
        <v>8.6565380139033074E-2</v>
      </c>
      <c r="T270" s="97">
        <v>1.9203548174011514E-2</v>
      </c>
      <c r="U270" s="97">
        <v>1.242490012896732E-3</v>
      </c>
      <c r="V270" s="97">
        <v>2.0430310465226014E-2</v>
      </c>
      <c r="W270" s="97">
        <v>3.5528923280173645E-2</v>
      </c>
      <c r="X270" s="51">
        <f t="shared" si="20"/>
        <v>4.5274451217699507</v>
      </c>
      <c r="Y270" s="18">
        <v>798.55643044619455</v>
      </c>
      <c r="Z270" s="18">
        <v>31.481191571782247</v>
      </c>
      <c r="AA270" s="18">
        <f t="shared" si="21"/>
        <v>13.543304270432166</v>
      </c>
      <c r="AB270" s="18">
        <f t="shared" si="22"/>
        <v>39.422626093176767</v>
      </c>
      <c r="AC270" s="18">
        <f>$CP$15*Table2912[[#This Row],[DMD '[mg/g']]]+$CS$15*Table2912[[#This Row],[CH4 '[ml/g']]]+$CR$15*Table2912[[#This Row],[CH4 '[% GP']]]+$CQ$15*Table2912[[#This Row],[CH4 '[g/g DDM']]]</f>
        <v>22.461484440221028</v>
      </c>
      <c r="AD270" s="18">
        <f>_xlfn.RANK.AVG(Table2912[[#This Row],[Index]],Table2912[Index])</f>
        <v>126</v>
      </c>
      <c r="AE27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6.4221347331583543</v>
      </c>
      <c r="AF270" s="18">
        <f>Table2912[[#This Row],[CH4 '[ml/g']]]/Table2912[[#This Row],[APB]]</f>
        <v>4.9019824217079373</v>
      </c>
      <c r="AG270" s="18">
        <f>Table2912[[#This Row],[Propionate '[%']]]/Table2912[[#This Row],[Acetate '[%']]]</f>
        <v>0.27938843213616044</v>
      </c>
      <c r="AH270" s="51"/>
      <c r="AI270" s="18"/>
      <c r="AJ270" s="18"/>
      <c r="AK270" s="18">
        <f>(Table2912[[#This Row],[DMD '[mg/g']]]-$AK$15)/$AK$15*100</f>
        <v>62.874597347128748</v>
      </c>
      <c r="AL270" s="18">
        <f>(Table2912[[#This Row],[CH4 '[ml/g']]]-AL$15)/AL$15*100</f>
        <v>-19.960782182678511</v>
      </c>
      <c r="AM270" s="18">
        <f>(Table2912[[#This Row],[CH4 '[% GP']]]-AM$15)/AM$15*100</f>
        <v>-12.749674072319712</v>
      </c>
      <c r="AN270" s="18">
        <f>(Table2912[[#This Row],[CH4 '[g/g DDM']]]-AN$15)/AN$15*100</f>
        <v>-23.02602391159478</v>
      </c>
      <c r="AO270" s="18"/>
      <c r="AP270" s="18"/>
      <c r="AR270">
        <f>_xlfn.NORM.DIST(Table2912[[#This Row],[GP '[ml/g']]],O$6,O$2,FALSE)</f>
        <v>6.8134537631622128E-3</v>
      </c>
      <c r="AS270">
        <f>_xlfn.NORM.DIST(Table2912[[#This Row],[SCFA '[mmol/g']]],P$6,P$2,FALSE)</f>
        <v>0.31331087655986795</v>
      </c>
      <c r="AT270">
        <f>_xlfn.NORM.DIST(Table2912[[#This Row],[Acetate '[%']]],Q$6,Q$2,FALSE)</f>
        <v>11.252279353885303</v>
      </c>
      <c r="AU270">
        <f>_xlfn.NORM.DIST(Table2912[[#This Row],[Propionate '[%']]],R$6,R$2,FALSE)</f>
        <v>15.108001245910671</v>
      </c>
      <c r="AV270">
        <f>_xlfn.NORM.DIST(Table2912[[#This Row],[Butyrate '[%']]],S$6,S$2,FALSE)</f>
        <v>21.530624886437991</v>
      </c>
      <c r="AW270">
        <f>_xlfn.NORM.DIST(Table2912[[#This Row],[Valerate '[%']]],T$6,T$2,FALSE)</f>
        <v>73.997761326492565</v>
      </c>
      <c r="AX270">
        <f>_xlfn.NORM.DIST(Table2912[[#This Row],[Caproate '[%']]],U$6,U$2,FALSE)</f>
        <v>405.18158622592864</v>
      </c>
      <c r="AY270">
        <f>_xlfn.NORM.DIST(Table2912[[#This Row],[Isobutyrate '[%']]],V$6,V$2,FALSE)</f>
        <v>46.249904426343647</v>
      </c>
      <c r="AZ270">
        <f>_xlfn.NORM.DIST(Table2912[[#This Row],[Isovalerate '[%']]],W$6,W$2,FALSE)</f>
        <v>31.134670186381403</v>
      </c>
      <c r="BA270">
        <f>_xlfn.NORM.DIST(Table2912[[#This Row],[CH4 '[g/mmol SCFA']]],X$6,X$2,FALSE)</f>
        <v>0.1263363865813549</v>
      </c>
      <c r="BB270">
        <f>_xlfn.NORM.DIST(Table2912[[#This Row],[DMD '[mg/g']]],Y$6,Y$2,FALSE)</f>
        <v>2.8766775447116449E-3</v>
      </c>
      <c r="BC270">
        <f>_xlfn.NORM.DIST(Table2912[[#This Row],[CH4 '[ml/g']]],Z$6,Z$2,FALSE)</f>
        <v>2.3685681269987633E-2</v>
      </c>
      <c r="BD270">
        <f>_xlfn.NORM.DIST(Table2912[[#This Row],[CH4 '[% GP']]],AA$6,AA$2,FALSE)</f>
        <v>9.3660296081608752E-2</v>
      </c>
      <c r="BE270">
        <f>_xlfn.NORM.DIST(Table2912[[#This Row],[CH4 '[g/g DDM']]],AB$6,AB$2,FALSE)</f>
        <v>1.701237149708219E-2</v>
      </c>
      <c r="BG270">
        <f>IF(Table2912[[#This Row],[GP '[ml/g']]]&lt;O$10,_xlfn.NORM.DIST(Table2912[[#This Row],[GP '[ml/g']]],O$6,O$2,FALSE),-100)</f>
        <v>-100</v>
      </c>
      <c r="BH270">
        <f>IF(Table2912[[#This Row],[SCFA '[mmol/g']]]&lt;P$10,_xlfn.NORM.DIST(Table2912[[#This Row],[SCFA '[mmol/g']]],P$6,P$2,FALSE),-100)</f>
        <v>-100</v>
      </c>
      <c r="BI270">
        <f>IF(Table2912[[#This Row],[Acetate '[%']]]&lt;Q$10,_xlfn.NORM.DIST(Table2912[[#This Row],[Acetate '[%']]],Q$6,Q$2,FALSE),-100)</f>
        <v>-100</v>
      </c>
      <c r="BJ270">
        <f>IF(Table2912[[#This Row],[Propionate '[%']]]&lt;R$10,_xlfn.NORM.DIST(Table2912[[#This Row],[Propionate '[%']]],R$6,R$2,FALSE),-100)</f>
        <v>-100</v>
      </c>
      <c r="BK270">
        <f>IF(Table2912[[#This Row],[Butyrate '[%']]]&lt;S$10,_xlfn.NORM.DIST(Table2912[[#This Row],[Butyrate '[%']]],S$6,S$2,FALSE),-100)</f>
        <v>-100</v>
      </c>
      <c r="BL270">
        <f>IF(Table2912[[#This Row],[Valerate '[%']]]&lt;T$10,_xlfn.NORM.DIST(Table2912[[#This Row],[Valerate '[%']]],T$6,T$2,FALSE),-100)</f>
        <v>-100</v>
      </c>
      <c r="BM270">
        <f>IF(Table2912[[#This Row],[Caproate '[%']]]&lt;U$10,_xlfn.NORM.DIST(Table2912[[#This Row],[Caproate '[%']]],U$6,U$2,FALSE),-100)</f>
        <v>-100</v>
      </c>
      <c r="BN270">
        <f>IF(Table2912[[#This Row],[Isobutyrate '[%']]]&lt;V$10,_xlfn.NORM.DIST(Table2912[[#This Row],[Isobutyrate '[%']]],V$6,V$2,FALSE),-100)</f>
        <v>-100</v>
      </c>
      <c r="BO270">
        <f>IF(Table2912[[#This Row],[Isovalerate '[%']]]&lt;W$10,_xlfn.NORM.DIST(Table2912[[#This Row],[Isovalerate '[%']]],W$6,W$2,FALSE),-100)</f>
        <v>-100</v>
      </c>
      <c r="BP270">
        <f>IF(Table2912[[#This Row],[CH4 '[g/mmol SCFA']]]&lt;X$10,_xlfn.NORM.DIST(Table2912[[#This Row],[CH4 '[g/mmol SCFA']]],X$6,X$2,FALSE),-100)</f>
        <v>0.1263363865813549</v>
      </c>
      <c r="BQ270">
        <f>IF(Table2912[[#This Row],[DMD '[mg/g']]]&gt;Y$10,_xlfn.NORM.DIST(Table2912[[#This Row],[DMD '[mg/g']]],Y$6,Y$2,FALSE),-100)</f>
        <v>-100</v>
      </c>
      <c r="BR270">
        <f>IF(Table2912[[#This Row],[CH4 '[ml/g']]]&lt;Z$10,_xlfn.NORM.DIST(Table2912[[#This Row],[CH4 '[ml/g']]],Z$6,Z$2,FALSE),-100)</f>
        <v>-100</v>
      </c>
      <c r="BS270">
        <f>IF(Table2912[[#This Row],[CH4 '[% GP']]]&lt;AA$10,_xlfn.NORM.DIST(Table2912[[#This Row],[CH4 '[% GP']]],AA$6,AA$2,FALSE),-100)</f>
        <v>-100</v>
      </c>
      <c r="BT270">
        <f>IF(Table2912[[#This Row],[CH4 '[g/g DDM']]]&lt;AB$10,_xlfn.NORM.DIST(Table2912[[#This Row],[CH4 '[g/g DDM']]],AB$6,AB$2,FALSE),-100)</f>
        <v>-100</v>
      </c>
    </row>
    <row r="271" spans="1:72" x14ac:dyDescent="0.25">
      <c r="A271" s="12" t="s">
        <v>200</v>
      </c>
      <c r="B271" s="13">
        <v>1154</v>
      </c>
      <c r="C271" s="117" t="s">
        <v>360</v>
      </c>
      <c r="D271" s="117" t="s">
        <v>262</v>
      </c>
      <c r="E271" s="117" t="s">
        <v>361</v>
      </c>
      <c r="F271" s="117" t="s">
        <v>362</v>
      </c>
      <c r="G271" t="s">
        <v>73</v>
      </c>
      <c r="H271" t="s">
        <v>74</v>
      </c>
      <c r="I271" t="s">
        <v>75</v>
      </c>
      <c r="J271" s="100">
        <v>1</v>
      </c>
      <c r="K271" s="100"/>
      <c r="L271" s="100"/>
      <c r="M271" t="s">
        <v>362</v>
      </c>
      <c r="N271" t="s">
        <v>237</v>
      </c>
      <c r="O271" s="18">
        <v>255.61917989417981</v>
      </c>
      <c r="P271" s="18">
        <v>7.2343017139015497</v>
      </c>
      <c r="Q271" s="97">
        <v>0.62939350578112219</v>
      </c>
      <c r="R271" s="97">
        <v>0.20453869574465477</v>
      </c>
      <c r="S271" s="97">
        <v>8.9579787457177651E-2</v>
      </c>
      <c r="T271" s="97">
        <v>2.0377826591723693E-2</v>
      </c>
      <c r="U271" s="97">
        <v>1.5721801716530189E-3</v>
      </c>
      <c r="V271" s="97">
        <v>1.88980086604849E-2</v>
      </c>
      <c r="W271" s="97">
        <v>3.5639995593183732E-2</v>
      </c>
      <c r="X271" s="51">
        <f t="shared" si="20"/>
        <v>6.0997132008953381</v>
      </c>
      <c r="Y271" s="18">
        <v>799.38096984301592</v>
      </c>
      <c r="Z271" s="18">
        <v>44.12716566354505</v>
      </c>
      <c r="AA271" s="18">
        <f t="shared" si="21"/>
        <v>17.262853938351821</v>
      </c>
      <c r="AB271" s="18">
        <f t="shared" si="22"/>
        <v>55.20167145361345</v>
      </c>
      <c r="AC271" s="18">
        <f>$CP$15*Table2912[[#This Row],[DMD '[mg/g']]]+$CS$15*Table2912[[#This Row],[CH4 '[ml/g']]]+$CR$15*Table2912[[#This Row],[CH4 '[% GP']]]+$CQ$15*Table2912[[#This Row],[CH4 '[g/g DDM']]]</f>
        <v>14.91892348712291</v>
      </c>
      <c r="AD271" s="18">
        <f>_xlfn.RANK.AVG(Table2912[[#This Row],[Index]],Table2912[Index])</f>
        <v>271</v>
      </c>
      <c r="AE27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6.6809643647080179</v>
      </c>
      <c r="AF271" s="18">
        <f>Table2912[[#This Row],[CH4 '[ml/g']]]/Table2912[[#This Row],[APB]]</f>
        <v>6.6049095990760556</v>
      </c>
      <c r="AG271" s="18">
        <f>Table2912[[#This Row],[Propionate '[%']]]/Table2912[[#This Row],[Acetate '[%']]]</f>
        <v>0.32497744871200679</v>
      </c>
      <c r="AH271" s="51"/>
      <c r="AI271" s="18"/>
      <c r="AJ271" s="18"/>
      <c r="AK271" s="18">
        <f>(Table2912[[#This Row],[DMD '[mg/g']]]-$AK$15)/$AK$15*100</f>
        <v>63.042771463739498</v>
      </c>
      <c r="AL271" s="18">
        <f>(Table2912[[#This Row],[CH4 '[ml/g']]]-AL$15)/AL$15*100</f>
        <v>12.190919335190847</v>
      </c>
      <c r="AM271" s="18">
        <f>(Table2912[[#This Row],[CH4 '[% GP']]]-AM$15)/AM$15*100</f>
        <v>11.212862274050732</v>
      </c>
      <c r="AN271" s="18">
        <f>(Table2912[[#This Row],[CH4 '[g/g DDM']]]-AN$15)/AN$15*100</f>
        <v>7.7830819404968983</v>
      </c>
      <c r="AO271" s="18"/>
      <c r="AP271" s="18"/>
      <c r="AR271">
        <f>_xlfn.NORM.DIST(Table2912[[#This Row],[GP '[ml/g']]],O$6,O$2,FALSE)</f>
        <v>7.4798427767146132E-3</v>
      </c>
      <c r="AS271">
        <f>_xlfn.NORM.DIST(Table2912[[#This Row],[SCFA '[mmol/g']]],P$6,P$2,FALSE)</f>
        <v>0.28103412092720959</v>
      </c>
      <c r="AT271">
        <f>_xlfn.NORM.DIST(Table2912[[#This Row],[Acetate '[%']]],Q$6,Q$2,FALSE)</f>
        <v>4.3010477014398534</v>
      </c>
      <c r="AU271">
        <f>_xlfn.NORM.DIST(Table2912[[#This Row],[Propionate '[%']]],R$6,R$2,FALSE)</f>
        <v>6.5234270134534356</v>
      </c>
      <c r="AV271">
        <f>_xlfn.NORM.DIST(Table2912[[#This Row],[Butyrate '[%']]],S$6,S$2,FALSE)</f>
        <v>22.60541169593397</v>
      </c>
      <c r="AW271">
        <f>_xlfn.NORM.DIST(Table2912[[#This Row],[Valerate '[%']]],T$6,T$2,FALSE)</f>
        <v>67.344792184260669</v>
      </c>
      <c r="AX271">
        <f>_xlfn.NORM.DIST(Table2912[[#This Row],[Caproate '[%']]],U$6,U$2,FALSE)</f>
        <v>394.9897310426166</v>
      </c>
      <c r="AY271">
        <f>_xlfn.NORM.DIST(Table2912[[#This Row],[Isobutyrate '[%']]],V$6,V$2,FALSE)</f>
        <v>64.988796236435732</v>
      </c>
      <c r="AZ271">
        <f>_xlfn.NORM.DIST(Table2912[[#This Row],[Isovalerate '[%']]],W$6,W$2,FALSE)</f>
        <v>30.791743853911289</v>
      </c>
      <c r="BA271">
        <f>_xlfn.NORM.DIST(Table2912[[#This Row],[CH4 '[g/mmol SCFA']]],X$6,X$2,FALSE)</f>
        <v>0.29465161191105321</v>
      </c>
      <c r="BB271">
        <f>_xlfn.NORM.DIST(Table2912[[#This Row],[DMD '[mg/g']]],Y$6,Y$2,FALSE)</f>
        <v>2.8737678234377075E-3</v>
      </c>
      <c r="BC271">
        <f>_xlfn.NORM.DIST(Table2912[[#This Row],[CH4 '[ml/g']]],Z$6,Z$2,FALSE)</f>
        <v>3.2637348937033024E-2</v>
      </c>
      <c r="BD271">
        <f>_xlfn.NORM.DIST(Table2912[[#This Row],[CH4 '[% GP']]],AA$6,AA$2,FALSE)</f>
        <v>0.124189972030244</v>
      </c>
      <c r="BE271">
        <f>_xlfn.NORM.DIST(Table2912[[#This Row],[CH4 '[g/g DDM']]],AB$6,AB$2,FALSE)</f>
        <v>3.2474128369909525E-2</v>
      </c>
      <c r="BG271">
        <f>IF(Table2912[[#This Row],[GP '[ml/g']]]&lt;O$10,_xlfn.NORM.DIST(Table2912[[#This Row],[GP '[ml/g']]],O$6,O$2,FALSE),-100)</f>
        <v>-100</v>
      </c>
      <c r="BH271">
        <f>IF(Table2912[[#This Row],[SCFA '[mmol/g']]]&lt;P$10,_xlfn.NORM.DIST(Table2912[[#This Row],[SCFA '[mmol/g']]],P$6,P$2,FALSE),-100)</f>
        <v>-100</v>
      </c>
      <c r="BI271">
        <f>IF(Table2912[[#This Row],[Acetate '[%']]]&lt;Q$10,_xlfn.NORM.DIST(Table2912[[#This Row],[Acetate '[%']]],Q$6,Q$2,FALSE),-100)</f>
        <v>4.3010477014398534</v>
      </c>
      <c r="BJ271">
        <f>IF(Table2912[[#This Row],[Propionate '[%']]]&lt;R$10,_xlfn.NORM.DIST(Table2912[[#This Row],[Propionate '[%']]],R$6,R$2,FALSE),-100)</f>
        <v>-100</v>
      </c>
      <c r="BK271">
        <f>IF(Table2912[[#This Row],[Butyrate '[%']]]&lt;S$10,_xlfn.NORM.DIST(Table2912[[#This Row],[Butyrate '[%']]],S$6,S$2,FALSE),-100)</f>
        <v>-100</v>
      </c>
      <c r="BL271">
        <f>IF(Table2912[[#This Row],[Valerate '[%']]]&lt;T$10,_xlfn.NORM.DIST(Table2912[[#This Row],[Valerate '[%']]],T$6,T$2,FALSE),-100)</f>
        <v>-100</v>
      </c>
      <c r="BM271">
        <f>IF(Table2912[[#This Row],[Caproate '[%']]]&lt;U$10,_xlfn.NORM.DIST(Table2912[[#This Row],[Caproate '[%']]],U$6,U$2,FALSE),-100)</f>
        <v>-100</v>
      </c>
      <c r="BN271">
        <f>IF(Table2912[[#This Row],[Isobutyrate '[%']]]&lt;V$10,_xlfn.NORM.DIST(Table2912[[#This Row],[Isobutyrate '[%']]],V$6,V$2,FALSE),-100)</f>
        <v>-100</v>
      </c>
      <c r="BO271">
        <f>IF(Table2912[[#This Row],[Isovalerate '[%']]]&lt;W$10,_xlfn.NORM.DIST(Table2912[[#This Row],[Isovalerate '[%']]],W$6,W$2,FALSE),-100)</f>
        <v>-100</v>
      </c>
      <c r="BP271">
        <f>IF(Table2912[[#This Row],[CH4 '[g/mmol SCFA']]]&lt;X$10,_xlfn.NORM.DIST(Table2912[[#This Row],[CH4 '[g/mmol SCFA']]],X$6,X$2,FALSE),-100)</f>
        <v>-100</v>
      </c>
      <c r="BQ271">
        <f>IF(Table2912[[#This Row],[DMD '[mg/g']]]&gt;Y$10,_xlfn.NORM.DIST(Table2912[[#This Row],[DMD '[mg/g']]],Y$6,Y$2,FALSE),-100)</f>
        <v>-100</v>
      </c>
      <c r="BR271">
        <f>IF(Table2912[[#This Row],[CH4 '[ml/g']]]&lt;Z$10,_xlfn.NORM.DIST(Table2912[[#This Row],[CH4 '[ml/g']]],Z$6,Z$2,FALSE),-100)</f>
        <v>-100</v>
      </c>
      <c r="BS271">
        <f>IF(Table2912[[#This Row],[CH4 '[% GP']]]&lt;AA$10,_xlfn.NORM.DIST(Table2912[[#This Row],[CH4 '[% GP']]],AA$6,AA$2,FALSE),-100)</f>
        <v>-100</v>
      </c>
      <c r="BT271">
        <f>IF(Table2912[[#This Row],[CH4 '[g/g DDM']]]&lt;AB$10,_xlfn.NORM.DIST(Table2912[[#This Row],[CH4 '[g/g DDM']]],AB$6,AB$2,FALSE),-100)</f>
        <v>-100</v>
      </c>
    </row>
    <row r="272" spans="1:72" x14ac:dyDescent="0.25">
      <c r="A272" s="12" t="s">
        <v>86</v>
      </c>
      <c r="B272" s="13">
        <v>1065</v>
      </c>
      <c r="C272" s="104" t="s">
        <v>275</v>
      </c>
      <c r="D272" s="104" t="s">
        <v>276</v>
      </c>
      <c r="E272" s="104" t="s">
        <v>277</v>
      </c>
      <c r="F272" s="104" t="s">
        <v>278</v>
      </c>
      <c r="G272" s="32" t="s">
        <v>73</v>
      </c>
      <c r="H272" s="32" t="s">
        <v>74</v>
      </c>
      <c r="I272" s="104" t="s">
        <v>106</v>
      </c>
      <c r="J272" s="70">
        <v>1</v>
      </c>
      <c r="K272" s="70"/>
      <c r="L272" s="70"/>
      <c r="M272" t="s">
        <v>278</v>
      </c>
      <c r="N272" t="s">
        <v>145</v>
      </c>
      <c r="O272" s="18">
        <v>284.86863656485127</v>
      </c>
      <c r="P272" s="18">
        <v>6.4436897471841039</v>
      </c>
      <c r="Q272" s="97">
        <v>0.63937073631199692</v>
      </c>
      <c r="R272" s="97">
        <v>0.17567644540166125</v>
      </c>
      <c r="S272" s="97">
        <v>8.9748348012250498E-2</v>
      </c>
      <c r="T272" s="97">
        <v>2.7004617823551749E-2</v>
      </c>
      <c r="U272" s="97">
        <v>9.2087783382175422E-4</v>
      </c>
      <c r="V272" s="97">
        <v>2.2448631267731597E-2</v>
      </c>
      <c r="W272" s="97">
        <v>4.4830343348986154E-2</v>
      </c>
      <c r="X272" s="51">
        <f t="shared" si="20"/>
        <v>6.4258855318627592</v>
      </c>
      <c r="Y272" s="18">
        <v>799.45210340296671</v>
      </c>
      <c r="Z272" s="18">
        <v>41.406412718242734</v>
      </c>
      <c r="AA272" s="18">
        <f t="shared" si="21"/>
        <v>14.535265523628969</v>
      </c>
      <c r="AB272" s="18">
        <f t="shared" si="22"/>
        <v>51.793487742406604</v>
      </c>
      <c r="AC272" s="18">
        <f>$CP$15*Table2912[[#This Row],[DMD '[mg/g']]]+$CS$15*Table2912[[#This Row],[CH4 '[ml/g']]]+$CR$15*Table2912[[#This Row],[CH4 '[% GP']]]+$CQ$15*Table2912[[#This Row],[CH4 '[g/g DDM']]]</f>
        <v>17.146027538280343</v>
      </c>
      <c r="AD272" s="18">
        <f>_xlfn.RANK.AVG(Table2912[[#This Row],[Index]],Table2912[Index])</f>
        <v>229</v>
      </c>
      <c r="AE27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5.8302216781928475</v>
      </c>
      <c r="AF272" s="18">
        <f>Table2912[[#This Row],[CH4 '[ml/g']]]/Table2912[[#This Row],[APB]]</f>
        <v>7.1020305922702391</v>
      </c>
      <c r="AG272" s="18">
        <f>Table2912[[#This Row],[Propionate '[%']]]/Table2912[[#This Row],[Acetate '[%']]]</f>
        <v>0.27476460123119484</v>
      </c>
      <c r="AH272" s="51"/>
      <c r="AI272" s="18"/>
      <c r="AJ272" s="18"/>
      <c r="AK272" s="18">
        <f>(Table2912[[#This Row],[DMD '[mg/g']]]-$AK$15)/$AK$15*100</f>
        <v>63.057279956180508</v>
      </c>
      <c r="AL272" s="18">
        <f>(Table2912[[#This Row],[CH4 '[ml/g']]]-AL$15)/AL$15*100</f>
        <v>5.2735529096021923</v>
      </c>
      <c r="AM272" s="18">
        <f>(Table2912[[#This Row],[CH4 '[% GP']]]-AM$15)/AM$15*100</f>
        <v>-6.3591403502054265</v>
      </c>
      <c r="AN272" s="18">
        <f>(Table2912[[#This Row],[CH4 '[g/g DDM']]]-AN$15)/AN$15*100</f>
        <v>1.128490973591888</v>
      </c>
      <c r="AO272" s="18"/>
      <c r="AP272" s="18"/>
      <c r="AR272">
        <f>_xlfn.NORM.DIST(Table2912[[#This Row],[GP '[ml/g']]],O$6,O$2,FALSE)</f>
        <v>6.4269939368447326E-3</v>
      </c>
      <c r="AS272">
        <f>_xlfn.NORM.DIST(Table2912[[#This Row],[SCFA '[mmol/g']]],P$6,P$2,FALSE)</f>
        <v>0.33172721043904158</v>
      </c>
      <c r="AT272">
        <f>_xlfn.NORM.DIST(Table2912[[#This Row],[Acetate '[%']]],Q$6,Q$2,FALSE)</f>
        <v>6.935984163979807</v>
      </c>
      <c r="AU272">
        <f>_xlfn.NORM.DIST(Table2912[[#This Row],[Propionate '[%']]],R$6,R$2,FALSE)</f>
        <v>16.576688197948936</v>
      </c>
      <c r="AV272">
        <f>_xlfn.NORM.DIST(Table2912[[#This Row],[Butyrate '[%']]],S$6,S$2,FALSE)</f>
        <v>22.646816754227281</v>
      </c>
      <c r="AW272">
        <f>_xlfn.NORM.DIST(Table2912[[#This Row],[Valerate '[%']]],T$6,T$2,FALSE)</f>
        <v>14.959519080214591</v>
      </c>
      <c r="AX272">
        <f>_xlfn.NORM.DIST(Table2912[[#This Row],[Caproate '[%']]],U$6,U$2,FALSE)</f>
        <v>372.49579680439359</v>
      </c>
      <c r="AY272">
        <f>_xlfn.NORM.DIST(Table2912[[#This Row],[Isobutyrate '[%']]],V$6,V$2,FALSE)</f>
        <v>24.60648972365513</v>
      </c>
      <c r="AZ272">
        <f>_xlfn.NORM.DIST(Table2912[[#This Row],[Isovalerate '[%']]],W$6,W$2,FALSE)</f>
        <v>7.0751205337007761</v>
      </c>
      <c r="BA272">
        <f>_xlfn.NORM.DIST(Table2912[[#This Row],[CH4 '[g/mmol SCFA']]],X$6,X$2,FALSE)</f>
        <v>0.2957185042793648</v>
      </c>
      <c r="BB272">
        <f>_xlfn.NORM.DIST(Table2912[[#This Row],[DMD '[mg/g']]],Y$6,Y$2,FALSE)</f>
        <v>2.8735120470164866E-3</v>
      </c>
      <c r="BC272">
        <f>_xlfn.NORM.DIST(Table2912[[#This Row],[CH4 '[ml/g']]],Z$6,Z$2,FALSE)</f>
        <v>3.3506017487817272E-2</v>
      </c>
      <c r="BD272">
        <f>_xlfn.NORM.DIST(Table2912[[#This Row],[CH4 '[% GP']]],AA$6,AA$2,FALSE)</f>
        <v>0.11782285886765627</v>
      </c>
      <c r="BE272">
        <f>_xlfn.NORM.DIST(Table2912[[#This Row],[CH4 '[g/g DDM']]],AB$6,AB$2,FALSE)</f>
        <v>3.2581934544743021E-2</v>
      </c>
      <c r="BG272">
        <f>IF(Table2912[[#This Row],[GP '[ml/g']]]&lt;O$10,_xlfn.NORM.DIST(Table2912[[#This Row],[GP '[ml/g']]],O$6,O$2,FALSE),-100)</f>
        <v>-100</v>
      </c>
      <c r="BH272">
        <f>IF(Table2912[[#This Row],[SCFA '[mmol/g']]]&lt;P$10,_xlfn.NORM.DIST(Table2912[[#This Row],[SCFA '[mmol/g']]],P$6,P$2,FALSE),-100)</f>
        <v>-100</v>
      </c>
      <c r="BI272">
        <f>IF(Table2912[[#This Row],[Acetate '[%']]]&lt;Q$10,_xlfn.NORM.DIST(Table2912[[#This Row],[Acetate '[%']]],Q$6,Q$2,FALSE),-100)</f>
        <v>6.935984163979807</v>
      </c>
      <c r="BJ272">
        <f>IF(Table2912[[#This Row],[Propionate '[%']]]&lt;R$10,_xlfn.NORM.DIST(Table2912[[#This Row],[Propionate '[%']]],R$6,R$2,FALSE),-100)</f>
        <v>-100</v>
      </c>
      <c r="BK272">
        <f>IF(Table2912[[#This Row],[Butyrate '[%']]]&lt;S$10,_xlfn.NORM.DIST(Table2912[[#This Row],[Butyrate '[%']]],S$6,S$2,FALSE),-100)</f>
        <v>-100</v>
      </c>
      <c r="BL272">
        <f>IF(Table2912[[#This Row],[Valerate '[%']]]&lt;T$10,_xlfn.NORM.DIST(Table2912[[#This Row],[Valerate '[%']]],T$6,T$2,FALSE),-100)</f>
        <v>-100</v>
      </c>
      <c r="BM272">
        <f>IF(Table2912[[#This Row],[Caproate '[%']]]&lt;U$10,_xlfn.NORM.DIST(Table2912[[#This Row],[Caproate '[%']]],U$6,U$2,FALSE),-100)</f>
        <v>-100</v>
      </c>
      <c r="BN272">
        <f>IF(Table2912[[#This Row],[Isobutyrate '[%']]]&lt;V$10,_xlfn.NORM.DIST(Table2912[[#This Row],[Isobutyrate '[%']]],V$6,V$2,FALSE),-100)</f>
        <v>-100</v>
      </c>
      <c r="BO272">
        <f>IF(Table2912[[#This Row],[Isovalerate '[%']]]&lt;W$10,_xlfn.NORM.DIST(Table2912[[#This Row],[Isovalerate '[%']]],W$6,W$2,FALSE),-100)</f>
        <v>-100</v>
      </c>
      <c r="BP272">
        <f>IF(Table2912[[#This Row],[CH4 '[g/mmol SCFA']]]&lt;X$10,_xlfn.NORM.DIST(Table2912[[#This Row],[CH4 '[g/mmol SCFA']]],X$6,X$2,FALSE),-100)</f>
        <v>-100</v>
      </c>
      <c r="BQ272">
        <f>IF(Table2912[[#This Row],[DMD '[mg/g']]]&gt;Y$10,_xlfn.NORM.DIST(Table2912[[#This Row],[DMD '[mg/g']]],Y$6,Y$2,FALSE),-100)</f>
        <v>-100</v>
      </c>
      <c r="BR272">
        <f>IF(Table2912[[#This Row],[CH4 '[ml/g']]]&lt;Z$10,_xlfn.NORM.DIST(Table2912[[#This Row],[CH4 '[ml/g']]],Z$6,Z$2,FALSE),-100)</f>
        <v>-100</v>
      </c>
      <c r="BS272">
        <f>IF(Table2912[[#This Row],[CH4 '[% GP']]]&lt;AA$10,_xlfn.NORM.DIST(Table2912[[#This Row],[CH4 '[% GP']]],AA$6,AA$2,FALSE),-100)</f>
        <v>-100</v>
      </c>
      <c r="BT272">
        <f>IF(Table2912[[#This Row],[CH4 '[g/g DDM']]]&lt;AB$10,_xlfn.NORM.DIST(Table2912[[#This Row],[CH4 '[g/g DDM']]],AB$6,AB$2,FALSE),-100)</f>
        <v>-100</v>
      </c>
    </row>
    <row r="273" spans="1:72" x14ac:dyDescent="0.25">
      <c r="A273" s="12" t="s">
        <v>200</v>
      </c>
      <c r="B273" s="13">
        <v>1195</v>
      </c>
      <c r="C273" s="113" t="s">
        <v>353</v>
      </c>
      <c r="D273" s="113" t="s">
        <v>354</v>
      </c>
      <c r="E273" s="113" t="s">
        <v>355</v>
      </c>
      <c r="F273" s="113" t="s">
        <v>356</v>
      </c>
      <c r="G273" s="122" t="s">
        <v>357</v>
      </c>
      <c r="H273" s="115" t="s">
        <v>358</v>
      </c>
      <c r="I273" t="s">
        <v>48</v>
      </c>
      <c r="J273" s="100">
        <v>2</v>
      </c>
      <c r="K273" s="100"/>
      <c r="L273" s="100"/>
      <c r="M273" t="s">
        <v>359</v>
      </c>
      <c r="N273" t="s">
        <v>352</v>
      </c>
      <c r="O273" s="18">
        <v>306.93665566556598</v>
      </c>
      <c r="P273" s="18">
        <v>7.2232029195060949</v>
      </c>
      <c r="Q273" s="97">
        <v>0.67498522997983934</v>
      </c>
      <c r="R273" s="97">
        <v>0.16510440362240003</v>
      </c>
      <c r="S273" s="97">
        <v>0.11335545708783393</v>
      </c>
      <c r="T273" s="97">
        <v>1.1796271447540314E-2</v>
      </c>
      <c r="U273" s="97">
        <v>1.9117682919723058E-3</v>
      </c>
      <c r="V273" s="97">
        <v>1.2053619584926602E-2</v>
      </c>
      <c r="W273" s="97">
        <v>2.0793249985487504E-2</v>
      </c>
      <c r="X273" s="51">
        <f t="shared" si="20"/>
        <v>6.3891291607336207</v>
      </c>
      <c r="Y273" s="18">
        <v>799.97752231018785</v>
      </c>
      <c r="Z273" s="18">
        <v>46.149976406912614</v>
      </c>
      <c r="AA273" s="18">
        <f t="shared" si="21"/>
        <v>15.035667964401425</v>
      </c>
      <c r="AB273" s="18">
        <f t="shared" si="22"/>
        <v>57.689091405518461</v>
      </c>
      <c r="AC273" s="18">
        <f>$CP$15*Table2912[[#This Row],[DMD '[mg/g']]]+$CS$15*Table2912[[#This Row],[CH4 '[ml/g']]]+$CR$15*Table2912[[#This Row],[CH4 '[% GP']]]+$CQ$15*Table2912[[#This Row],[CH4 '[g/g DDM']]]</f>
        <v>14.617746588304698</v>
      </c>
      <c r="AD273" s="18">
        <f>_xlfn.RANK.AVG(Table2912[[#This Row],[Index]],Table2912[Index])</f>
        <v>277</v>
      </c>
      <c r="AE27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6.8869273626612912</v>
      </c>
      <c r="AF273" s="18">
        <f>Table2912[[#This Row],[CH4 '[ml/g']]]/Table2912[[#This Row],[APB]]</f>
        <v>6.7010981787208861</v>
      </c>
      <c r="AG273" s="18">
        <f>Table2912[[#This Row],[Propionate '[%']]]/Table2912[[#This Row],[Acetate '[%']]]</f>
        <v>0.24460446879308961</v>
      </c>
      <c r="AH273" s="51"/>
      <c r="AI273" s="18"/>
      <c r="AJ273" s="18"/>
      <c r="AK273" s="18">
        <f>(Table2912[[#This Row],[DMD '[mg/g']]]-$AK$15)/$AK$15*100</f>
        <v>63.16444507274516</v>
      </c>
      <c r="AL273" s="18">
        <f>(Table2912[[#This Row],[CH4 '[ml/g']]]-AL$15)/AL$15*100</f>
        <v>17.333805662172676</v>
      </c>
      <c r="AM273" s="18">
        <f>(Table2912[[#This Row],[CH4 '[% GP']]]-AM$15)/AM$15*100</f>
        <v>-3.1353867387826266</v>
      </c>
      <c r="AN273" s="18">
        <f>(Table2912[[#This Row],[CH4 '[g/g DDM']]]-AN$15)/AN$15*100</f>
        <v>12.639851336001406</v>
      </c>
      <c r="AO273" s="18"/>
      <c r="AP273" s="18"/>
      <c r="AR273">
        <f>_xlfn.NORM.DIST(Table2912[[#This Row],[GP '[ml/g']]],O$6,O$2,FALSE)</f>
        <v>4.6973450731398634E-3</v>
      </c>
      <c r="AS273">
        <f>_xlfn.NORM.DIST(Table2912[[#This Row],[SCFA '[mmol/g']]],P$6,P$2,FALSE)</f>
        <v>0.28253811659176503</v>
      </c>
      <c r="AT273">
        <f>_xlfn.NORM.DIST(Table2912[[#This Row],[Acetate '[%']]],Q$6,Q$2,FALSE)</f>
        <v>13.996926845071238</v>
      </c>
      <c r="AU273">
        <f>_xlfn.NORM.DIST(Table2912[[#This Row],[Propionate '[%']]],R$6,R$2,FALSE)</f>
        <v>16.124416714608717</v>
      </c>
      <c r="AV273">
        <f>_xlfn.NORM.DIST(Table2912[[#This Row],[Butyrate '[%']]],S$6,S$2,FALSE)</f>
        <v>11.485500280053103</v>
      </c>
      <c r="AW273">
        <f>_xlfn.NORM.DIST(Table2912[[#This Row],[Valerate '[%']]],T$6,T$2,FALSE)</f>
        <v>40.532460819114135</v>
      </c>
      <c r="AX273">
        <f>_xlfn.NORM.DIST(Table2912[[#This Row],[Caproate '[%']]],U$6,U$2,FALSE)</f>
        <v>341.85711319294461</v>
      </c>
      <c r="AY273">
        <f>_xlfn.NORM.DIST(Table2912[[#This Row],[Isobutyrate '[%']]],V$6,V$2,FALSE)</f>
        <v>68.683231821864993</v>
      </c>
      <c r="AZ273">
        <f>_xlfn.NORM.DIST(Table2912[[#This Row],[Isovalerate '[%']]],W$6,W$2,FALSE)</f>
        <v>32.758054523641796</v>
      </c>
      <c r="BA273">
        <f>_xlfn.NORM.DIST(Table2912[[#This Row],[CH4 '[g/mmol SCFA']]],X$6,X$2,FALSE)</f>
        <v>0.29647317063680406</v>
      </c>
      <c r="BB273">
        <f>_xlfn.NORM.DIST(Table2912[[#This Row],[DMD '[mg/g']]],Y$6,Y$2,FALSE)</f>
        <v>2.8715994474630305E-3</v>
      </c>
      <c r="BC273">
        <f>_xlfn.NORM.DIST(Table2912[[#This Row],[CH4 '[ml/g']]],Z$6,Z$2,FALSE)</f>
        <v>3.094111649830926E-2</v>
      </c>
      <c r="BD273">
        <f>_xlfn.NORM.DIST(Table2912[[#This Row],[CH4 '[% GP']]],AA$6,AA$2,FALSE)</f>
        <v>0.12677084463805902</v>
      </c>
      <c r="BE273">
        <f>_xlfn.NORM.DIST(Table2912[[#This Row],[CH4 '[g/g DDM']]],AB$6,AB$2,FALSE)</f>
        <v>3.0824264527146563E-2</v>
      </c>
      <c r="BG273">
        <f>IF(Table2912[[#This Row],[GP '[ml/g']]]&lt;O$10,_xlfn.NORM.DIST(Table2912[[#This Row],[GP '[ml/g']]],O$6,O$2,FALSE),-100)</f>
        <v>-100</v>
      </c>
      <c r="BH273">
        <f>IF(Table2912[[#This Row],[SCFA '[mmol/g']]]&lt;P$10,_xlfn.NORM.DIST(Table2912[[#This Row],[SCFA '[mmol/g']]],P$6,P$2,FALSE),-100)</f>
        <v>-100</v>
      </c>
      <c r="BI273">
        <f>IF(Table2912[[#This Row],[Acetate '[%']]]&lt;Q$10,_xlfn.NORM.DIST(Table2912[[#This Row],[Acetate '[%']]],Q$6,Q$2,FALSE),-100)</f>
        <v>-100</v>
      </c>
      <c r="BJ273">
        <f>IF(Table2912[[#This Row],[Propionate '[%']]]&lt;R$10,_xlfn.NORM.DIST(Table2912[[#This Row],[Propionate '[%']]],R$6,R$2,FALSE),-100)</f>
        <v>-100</v>
      </c>
      <c r="BK273">
        <f>IF(Table2912[[#This Row],[Butyrate '[%']]]&lt;S$10,_xlfn.NORM.DIST(Table2912[[#This Row],[Butyrate '[%']]],S$6,S$2,FALSE),-100)</f>
        <v>-100</v>
      </c>
      <c r="BL273">
        <f>IF(Table2912[[#This Row],[Valerate '[%']]]&lt;T$10,_xlfn.NORM.DIST(Table2912[[#This Row],[Valerate '[%']]],T$6,T$2,FALSE),-100)</f>
        <v>40.532460819114135</v>
      </c>
      <c r="BM273">
        <f>IF(Table2912[[#This Row],[Caproate '[%']]]&lt;U$10,_xlfn.NORM.DIST(Table2912[[#This Row],[Caproate '[%']]],U$6,U$2,FALSE),-100)</f>
        <v>-100</v>
      </c>
      <c r="BN273">
        <f>IF(Table2912[[#This Row],[Isobutyrate '[%']]]&lt;V$10,_xlfn.NORM.DIST(Table2912[[#This Row],[Isobutyrate '[%']]],V$6,V$2,FALSE),-100)</f>
        <v>-100</v>
      </c>
      <c r="BO273">
        <f>IF(Table2912[[#This Row],[Isovalerate '[%']]]&lt;W$10,_xlfn.NORM.DIST(Table2912[[#This Row],[Isovalerate '[%']]],W$6,W$2,FALSE),-100)</f>
        <v>-100</v>
      </c>
      <c r="BP273">
        <f>IF(Table2912[[#This Row],[CH4 '[g/mmol SCFA']]]&lt;X$10,_xlfn.NORM.DIST(Table2912[[#This Row],[CH4 '[g/mmol SCFA']]],X$6,X$2,FALSE),-100)</f>
        <v>-100</v>
      </c>
      <c r="BQ273">
        <f>IF(Table2912[[#This Row],[DMD '[mg/g']]]&gt;Y$10,_xlfn.NORM.DIST(Table2912[[#This Row],[DMD '[mg/g']]],Y$6,Y$2,FALSE),-100)</f>
        <v>-100</v>
      </c>
      <c r="BR273">
        <f>IF(Table2912[[#This Row],[CH4 '[ml/g']]]&lt;Z$10,_xlfn.NORM.DIST(Table2912[[#This Row],[CH4 '[ml/g']]],Z$6,Z$2,FALSE),-100)</f>
        <v>-100</v>
      </c>
      <c r="BS273">
        <f>IF(Table2912[[#This Row],[CH4 '[% GP']]]&lt;AA$10,_xlfn.NORM.DIST(Table2912[[#This Row],[CH4 '[% GP']]],AA$6,AA$2,FALSE),-100)</f>
        <v>-100</v>
      </c>
      <c r="BT273">
        <f>IF(Table2912[[#This Row],[CH4 '[g/g DDM']]]&lt;AB$10,_xlfn.NORM.DIST(Table2912[[#This Row],[CH4 '[g/g DDM']]],AB$6,AB$2,FALSE),-100)</f>
        <v>-100</v>
      </c>
    </row>
    <row r="274" spans="1:72" x14ac:dyDescent="0.25">
      <c r="A274" s="12" t="s">
        <v>86</v>
      </c>
      <c r="B274" s="13">
        <v>1067</v>
      </c>
      <c r="C274" s="32">
        <v>21802</v>
      </c>
      <c r="D274" t="s">
        <v>323</v>
      </c>
      <c r="E274" t="s">
        <v>324</v>
      </c>
      <c r="F274" t="s">
        <v>325</v>
      </c>
      <c r="G274" s="23" t="s">
        <v>73</v>
      </c>
      <c r="H274" s="23" t="s">
        <v>74</v>
      </c>
      <c r="I274" s="105" t="s">
        <v>44</v>
      </c>
      <c r="J274" s="70">
        <v>3</v>
      </c>
      <c r="K274" s="70"/>
      <c r="L274" s="70"/>
      <c r="M274" t="s">
        <v>325</v>
      </c>
      <c r="N274" t="s">
        <v>98</v>
      </c>
      <c r="O274" s="18">
        <v>248.36343873517788</v>
      </c>
      <c r="P274" s="18">
        <v>7.0499823985131922</v>
      </c>
      <c r="Q274" s="97">
        <v>0.65940090054726197</v>
      </c>
      <c r="R274" s="97">
        <v>0.17746446546849476</v>
      </c>
      <c r="S274" s="97">
        <v>7.1353388309999655E-2</v>
      </c>
      <c r="T274" s="97">
        <v>2.4433547130901331E-2</v>
      </c>
      <c r="U274" s="97">
        <v>9.5705781669413298E-4</v>
      </c>
      <c r="V274" s="97">
        <v>2.4585127615480651E-2</v>
      </c>
      <c r="W274" s="97">
        <v>4.1805513111167383E-2</v>
      </c>
      <c r="X274" s="51">
        <f t="shared" si="20"/>
        <v>6.8368688823795427</v>
      </c>
      <c r="Y274" s="18">
        <v>800.24598940632075</v>
      </c>
      <c r="Z274" s="18">
        <v>48.199805281718334</v>
      </c>
      <c r="AA274" s="18">
        <f t="shared" si="21"/>
        <v>19.406964860521306</v>
      </c>
      <c r="AB274" s="18">
        <f t="shared" si="22"/>
        <v>60.231236294575332</v>
      </c>
      <c r="AC274" s="18">
        <f>$CP$15*Table2912[[#This Row],[DMD '[mg/g']]]+$CS$15*Table2912[[#This Row],[CH4 '[ml/g']]]+$CR$15*Table2912[[#This Row],[CH4 '[% GP']]]+$CQ$15*Table2912[[#This Row],[CH4 '[g/g DDM']]]</f>
        <v>12.283526557161011</v>
      </c>
      <c r="AD274" s="18">
        <f>_xlfn.RANK.AVG(Table2912[[#This Row],[Index]],Table2912[Index])</f>
        <v>316</v>
      </c>
      <c r="AE27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6.40292623199616</v>
      </c>
      <c r="AF274" s="18">
        <f>Table2912[[#This Row],[CH4 '[ml/g']]]/Table2912[[#This Row],[APB]]</f>
        <v>7.527777696525435</v>
      </c>
      <c r="AG274" s="18">
        <f>Table2912[[#This Row],[Propionate '[%']]]/Table2912[[#This Row],[Acetate '[%']]]</f>
        <v>0.26912985002175493</v>
      </c>
      <c r="AH274" s="51"/>
      <c r="AI274" s="18"/>
      <c r="AJ274" s="18"/>
      <c r="AK274" s="18">
        <f>(Table2912[[#This Row],[DMD '[mg/g']]]-$AK$15)/$AK$15*100</f>
        <v>63.219201967206786</v>
      </c>
      <c r="AL274" s="18">
        <f>(Table2912[[#This Row],[CH4 '[ml/g']]]-AL$15)/AL$15*100</f>
        <v>22.545384119255889</v>
      </c>
      <c r="AM274" s="18">
        <f>(Table2912[[#This Row],[CH4 '[% GP']]]-AM$15)/AM$15*100</f>
        <v>25.025915060054277</v>
      </c>
      <c r="AN274" s="18">
        <f>(Table2912[[#This Row],[CH4 '[g/g DDM']]]-AN$15)/AN$15*100</f>
        <v>17.603472974017883</v>
      </c>
      <c r="AO274" s="18"/>
      <c r="AP274" s="18"/>
      <c r="AR274">
        <f>_xlfn.NORM.DIST(Table2912[[#This Row],[GP '[ml/g']]],O$6,O$2,FALSE)</f>
        <v>7.4133949936434768E-3</v>
      </c>
      <c r="AS274">
        <f>_xlfn.NORM.DIST(Table2912[[#This Row],[SCFA '[mmol/g']]],P$6,P$2,FALSE)</f>
        <v>0.30369052920933481</v>
      </c>
      <c r="AT274">
        <f>_xlfn.NORM.DIST(Table2912[[#This Row],[Acetate '[%']]],Q$6,Q$2,FALSE)</f>
        <v>12.485327120637889</v>
      </c>
      <c r="AU274">
        <f>_xlfn.NORM.DIST(Table2912[[#This Row],[Propionate '[%']]],R$6,R$2,FALSE)</f>
        <v>16.331585054967395</v>
      </c>
      <c r="AV274">
        <f>_xlfn.NORM.DIST(Table2912[[#This Row],[Butyrate '[%']]],S$6,S$2,FALSE)</f>
        <v>10.608610271899751</v>
      </c>
      <c r="AW274">
        <f>_xlfn.NORM.DIST(Table2912[[#This Row],[Valerate '[%']]],T$6,T$2,FALSE)</f>
        <v>32.631718459273444</v>
      </c>
      <c r="AX274">
        <f>_xlfn.NORM.DIST(Table2912[[#This Row],[Caproate '[%']]],U$6,U$2,FALSE)</f>
        <v>378.06253075756996</v>
      </c>
      <c r="AY274">
        <f>_xlfn.NORM.DIST(Table2912[[#This Row],[Isobutyrate '[%']]],V$6,V$2,FALSE)</f>
        <v>10.057621371141705</v>
      </c>
      <c r="AZ274">
        <f>_xlfn.NORM.DIST(Table2912[[#This Row],[Isovalerate '[%']]],W$6,W$2,FALSE)</f>
        <v>12.955842943927127</v>
      </c>
      <c r="BA274">
        <f>_xlfn.NORM.DIST(Table2912[[#This Row],[CH4 '[g/mmol SCFA']]],X$6,X$2,FALSE)</f>
        <v>0.27308329238195306</v>
      </c>
      <c r="BB274">
        <f>_xlfn.NORM.DIST(Table2912[[#This Row],[DMD '[mg/g']]],Y$6,Y$2,FALSE)</f>
        <v>2.8706063362412201E-3</v>
      </c>
      <c r="BC274">
        <f>_xlfn.NORM.DIST(Table2912[[#This Row],[CH4 '[ml/g']]],Z$6,Z$2,FALSE)</f>
        <v>2.8461667952871597E-2</v>
      </c>
      <c r="BD274">
        <f>_xlfn.NORM.DIST(Table2912[[#This Row],[CH4 '[% GP']]],AA$6,AA$2,FALSE)</f>
        <v>7.1352306335610738E-2</v>
      </c>
      <c r="BE274">
        <f>_xlfn.NORM.DIST(Table2912[[#This Row],[CH4 '[g/g DDM']]],AB$6,AB$2,FALSE)</f>
        <v>2.7984804034863545E-2</v>
      </c>
      <c r="BG274">
        <f>IF(Table2912[[#This Row],[GP '[ml/g']]]&lt;O$10,_xlfn.NORM.DIST(Table2912[[#This Row],[GP '[ml/g']]],O$6,O$2,FALSE),-100)</f>
        <v>-100</v>
      </c>
      <c r="BH274">
        <f>IF(Table2912[[#This Row],[SCFA '[mmol/g']]]&lt;P$10,_xlfn.NORM.DIST(Table2912[[#This Row],[SCFA '[mmol/g']]],P$6,P$2,FALSE),-100)</f>
        <v>-100</v>
      </c>
      <c r="BI274">
        <f>IF(Table2912[[#This Row],[Acetate '[%']]]&lt;Q$10,_xlfn.NORM.DIST(Table2912[[#This Row],[Acetate '[%']]],Q$6,Q$2,FALSE),-100)</f>
        <v>-100</v>
      </c>
      <c r="BJ274">
        <f>IF(Table2912[[#This Row],[Propionate '[%']]]&lt;R$10,_xlfn.NORM.DIST(Table2912[[#This Row],[Propionate '[%']]],R$6,R$2,FALSE),-100)</f>
        <v>-100</v>
      </c>
      <c r="BK274">
        <f>IF(Table2912[[#This Row],[Butyrate '[%']]]&lt;S$10,_xlfn.NORM.DIST(Table2912[[#This Row],[Butyrate '[%']]],S$6,S$2,FALSE),-100)</f>
        <v>10.608610271899751</v>
      </c>
      <c r="BL274">
        <f>IF(Table2912[[#This Row],[Valerate '[%']]]&lt;T$10,_xlfn.NORM.DIST(Table2912[[#This Row],[Valerate '[%']]],T$6,T$2,FALSE),-100)</f>
        <v>-100</v>
      </c>
      <c r="BM274">
        <f>IF(Table2912[[#This Row],[Caproate '[%']]]&lt;U$10,_xlfn.NORM.DIST(Table2912[[#This Row],[Caproate '[%']]],U$6,U$2,FALSE),-100)</f>
        <v>-100</v>
      </c>
      <c r="BN274">
        <f>IF(Table2912[[#This Row],[Isobutyrate '[%']]]&lt;V$10,_xlfn.NORM.DIST(Table2912[[#This Row],[Isobutyrate '[%']]],V$6,V$2,FALSE),-100)</f>
        <v>-100</v>
      </c>
      <c r="BO274">
        <f>IF(Table2912[[#This Row],[Isovalerate '[%']]]&lt;W$10,_xlfn.NORM.DIST(Table2912[[#This Row],[Isovalerate '[%']]],W$6,W$2,FALSE),-100)</f>
        <v>-100</v>
      </c>
      <c r="BP274">
        <f>IF(Table2912[[#This Row],[CH4 '[g/mmol SCFA']]]&lt;X$10,_xlfn.NORM.DIST(Table2912[[#This Row],[CH4 '[g/mmol SCFA']]],X$6,X$2,FALSE),-100)</f>
        <v>-100</v>
      </c>
      <c r="BQ274">
        <f>IF(Table2912[[#This Row],[DMD '[mg/g']]]&gt;Y$10,_xlfn.NORM.DIST(Table2912[[#This Row],[DMD '[mg/g']]],Y$6,Y$2,FALSE),-100)</f>
        <v>-100</v>
      </c>
      <c r="BR274">
        <f>IF(Table2912[[#This Row],[CH4 '[ml/g']]]&lt;Z$10,_xlfn.NORM.DIST(Table2912[[#This Row],[CH4 '[ml/g']]],Z$6,Z$2,FALSE),-100)</f>
        <v>-100</v>
      </c>
      <c r="BS274">
        <f>IF(Table2912[[#This Row],[CH4 '[% GP']]]&lt;AA$10,_xlfn.NORM.DIST(Table2912[[#This Row],[CH4 '[% GP']]],AA$6,AA$2,FALSE),-100)</f>
        <v>-100</v>
      </c>
      <c r="BT274">
        <f>IF(Table2912[[#This Row],[CH4 '[g/g DDM']]]&lt;AB$10,_xlfn.NORM.DIST(Table2912[[#This Row],[CH4 '[g/g DDM']]],AB$6,AB$2,FALSE),-100)</f>
        <v>-100</v>
      </c>
    </row>
    <row r="275" spans="1:72" x14ac:dyDescent="0.25">
      <c r="A275" s="12" t="s">
        <v>70</v>
      </c>
      <c r="B275" s="13">
        <v>987</v>
      </c>
      <c r="C275" s="96" t="s">
        <v>370</v>
      </c>
      <c r="D275" s="96"/>
      <c r="E275" s="96"/>
      <c r="F275" s="96" t="s">
        <v>371</v>
      </c>
      <c r="G275" t="s">
        <v>73</v>
      </c>
      <c r="H275" t="s">
        <v>74</v>
      </c>
      <c r="I275" t="s">
        <v>75</v>
      </c>
      <c r="J275" s="100">
        <v>3</v>
      </c>
      <c r="K275" s="100"/>
      <c r="L275" s="100"/>
      <c r="M275" t="s">
        <v>371</v>
      </c>
      <c r="N275" t="s">
        <v>80</v>
      </c>
      <c r="O275" s="18">
        <v>294.3758742806545</v>
      </c>
      <c r="P275" s="18">
        <v>7.1676071305329856</v>
      </c>
      <c r="Q275" s="97">
        <v>0.6587941261345136</v>
      </c>
      <c r="R275" s="97">
        <v>0.15502307519694161</v>
      </c>
      <c r="S275" s="97">
        <v>0.12504334242268828</v>
      </c>
      <c r="T275" s="97">
        <v>1.6330617628108064E-2</v>
      </c>
      <c r="U275" s="97">
        <v>2.1476868801741434E-3</v>
      </c>
      <c r="V275" s="97">
        <v>1.4634811133748666E-2</v>
      </c>
      <c r="W275" s="97">
        <v>2.8026340603825688E-2</v>
      </c>
      <c r="X275" s="51">
        <f t="shared" si="20"/>
        <v>6.7301461854246964</v>
      </c>
      <c r="Y275" s="18">
        <v>800.55761207139972</v>
      </c>
      <c r="Z275" s="18">
        <v>48.23904378817943</v>
      </c>
      <c r="AA275" s="18">
        <f t="shared" si="21"/>
        <v>16.386887650374803</v>
      </c>
      <c r="AB275" s="18">
        <f t="shared" si="22"/>
        <v>60.256804833025697</v>
      </c>
      <c r="AC275" s="18">
        <f>$CP$15*Table2912[[#This Row],[DMD '[mg/g']]]+$CS$15*Table2912[[#This Row],[CH4 '[ml/g']]]+$CR$15*Table2912[[#This Row],[CH4 '[% GP']]]+$CQ$15*Table2912[[#This Row],[CH4 '[g/g DDM']]]</f>
        <v>13.20844052058662</v>
      </c>
      <c r="AD275" s="18">
        <f>_xlfn.RANK.AVG(Table2912[[#This Row],[Index]],Table2912[Index])</f>
        <v>298</v>
      </c>
      <c r="AE27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6.7293835279882748</v>
      </c>
      <c r="AF275" s="18">
        <f>Table2912[[#This Row],[CH4 '[ml/g']]]/Table2912[[#This Row],[APB]]</f>
        <v>7.1684194529183447</v>
      </c>
      <c r="AG275" s="18">
        <f>Table2912[[#This Row],[Propionate '[%']]]/Table2912[[#This Row],[Acetate '[%']]]</f>
        <v>0.2353133840256626</v>
      </c>
      <c r="AH275" s="51"/>
      <c r="AI275" s="18"/>
      <c r="AJ275" s="18"/>
      <c r="AK275" s="18">
        <f>(Table2912[[#This Row],[DMD '[mg/g']]]-$AK$15)/$AK$15*100</f>
        <v>63.282760927054639</v>
      </c>
      <c r="AL275" s="18">
        <f>(Table2912[[#This Row],[CH4 '[ml/g']]]-AL$15)/AL$15*100</f>
        <v>22.645145888384128</v>
      </c>
      <c r="AM275" s="18">
        <f>(Table2912[[#This Row],[CH4 '[% GP']]]-AM$15)/AM$15*100</f>
        <v>5.5696054586136041</v>
      </c>
      <c r="AN275" s="18">
        <f>(Table2912[[#This Row],[CH4 '[g/g DDM']]]-AN$15)/AN$15*100</f>
        <v>17.653396387608904</v>
      </c>
      <c r="AO275" s="18"/>
      <c r="AP275" s="18"/>
      <c r="AR275">
        <f>_xlfn.NORM.DIST(Table2912[[#This Row],[GP '[ml/g']]],O$6,O$2,FALSE)</f>
        <v>5.7341073816066174E-3</v>
      </c>
      <c r="AS275">
        <f>_xlfn.NORM.DIST(Table2912[[#This Row],[SCFA '[mmol/g']]],P$6,P$2,FALSE)</f>
        <v>0.28981986810610905</v>
      </c>
      <c r="AT275">
        <f>_xlfn.NORM.DIST(Table2912[[#This Row],[Acetate '[%']]],Q$6,Q$2,FALSE)</f>
        <v>12.354642068306241</v>
      </c>
      <c r="AU275">
        <f>_xlfn.NORM.DIST(Table2912[[#This Row],[Propionate '[%']]],R$6,R$2,FALSE)</f>
        <v>13.059719441913582</v>
      </c>
      <c r="AV275">
        <f>_xlfn.NORM.DIST(Table2912[[#This Row],[Butyrate '[%']]],S$6,S$2,FALSE)</f>
        <v>4.1271122180866673</v>
      </c>
      <c r="AW275">
        <f>_xlfn.NORM.DIST(Table2912[[#This Row],[Valerate '[%']]],T$6,T$2,FALSE)</f>
        <v>74.867244937728429</v>
      </c>
      <c r="AX275">
        <f>_xlfn.NORM.DIST(Table2912[[#This Row],[Caproate '[%']]],U$6,U$2,FALSE)</f>
        <v>288.12725284910118</v>
      </c>
      <c r="AY275">
        <f>_xlfn.NORM.DIST(Table2912[[#This Row],[Isobutyrate '[%']]],V$6,V$2,FALSE)</f>
        <v>89.091252338153879</v>
      </c>
      <c r="AZ275">
        <f>_xlfn.NORM.DIST(Table2912[[#This Row],[Isovalerate '[%']]],W$6,W$2,FALSE)</f>
        <v>45.424822538140582</v>
      </c>
      <c r="BA275">
        <f>_xlfn.NORM.DIST(Table2912[[#This Row],[CH4 '[g/mmol SCFA']]],X$6,X$2,FALSE)</f>
        <v>0.28131591008565832</v>
      </c>
      <c r="BB275">
        <f>_xlfn.NORM.DIST(Table2912[[#This Row],[DMD '[mg/g']]],Y$6,Y$2,FALSE)</f>
        <v>2.8694401581732662E-3</v>
      </c>
      <c r="BC275">
        <f>_xlfn.NORM.DIST(Table2912[[#This Row],[CH4 '[ml/g']]],Z$6,Z$2,FALSE)</f>
        <v>2.8407982336661034E-2</v>
      </c>
      <c r="BD275">
        <f>_xlfn.NORM.DIST(Table2912[[#This Row],[CH4 '[% GP']]],AA$6,AA$2,FALSE)</f>
        <v>0.1339393627198622</v>
      </c>
      <c r="BE275">
        <f>_xlfn.NORM.DIST(Table2912[[#This Row],[CH4 '[g/g DDM']]],AB$6,AB$2,FALSE)</f>
        <v>2.7951393368990069E-2</v>
      </c>
      <c r="BG275">
        <f>IF(Table2912[[#This Row],[GP '[ml/g']]]&lt;O$10,_xlfn.NORM.DIST(Table2912[[#This Row],[GP '[ml/g']]],O$6,O$2,FALSE),-100)</f>
        <v>-100</v>
      </c>
      <c r="BH275">
        <f>IF(Table2912[[#This Row],[SCFA '[mmol/g']]]&lt;P$10,_xlfn.NORM.DIST(Table2912[[#This Row],[SCFA '[mmol/g']]],P$6,P$2,FALSE),-100)</f>
        <v>-100</v>
      </c>
      <c r="BI275">
        <f>IF(Table2912[[#This Row],[Acetate '[%']]]&lt;Q$10,_xlfn.NORM.DIST(Table2912[[#This Row],[Acetate '[%']]],Q$6,Q$2,FALSE),-100)</f>
        <v>-100</v>
      </c>
      <c r="BJ275">
        <f>IF(Table2912[[#This Row],[Propionate '[%']]]&lt;R$10,_xlfn.NORM.DIST(Table2912[[#This Row],[Propionate '[%']]],R$6,R$2,FALSE),-100)</f>
        <v>-100</v>
      </c>
      <c r="BK275">
        <f>IF(Table2912[[#This Row],[Butyrate '[%']]]&lt;S$10,_xlfn.NORM.DIST(Table2912[[#This Row],[Butyrate '[%']]],S$6,S$2,FALSE),-100)</f>
        <v>-100</v>
      </c>
      <c r="BL275">
        <f>IF(Table2912[[#This Row],[Valerate '[%']]]&lt;T$10,_xlfn.NORM.DIST(Table2912[[#This Row],[Valerate '[%']]],T$6,T$2,FALSE),-100)</f>
        <v>-100</v>
      </c>
      <c r="BM275">
        <f>IF(Table2912[[#This Row],[Caproate '[%']]]&lt;U$10,_xlfn.NORM.DIST(Table2912[[#This Row],[Caproate '[%']]],U$6,U$2,FALSE),-100)</f>
        <v>-100</v>
      </c>
      <c r="BN275">
        <f>IF(Table2912[[#This Row],[Isobutyrate '[%']]]&lt;V$10,_xlfn.NORM.DIST(Table2912[[#This Row],[Isobutyrate '[%']]],V$6,V$2,FALSE),-100)</f>
        <v>-100</v>
      </c>
      <c r="BO275">
        <f>IF(Table2912[[#This Row],[Isovalerate '[%']]]&lt;W$10,_xlfn.NORM.DIST(Table2912[[#This Row],[Isovalerate '[%']]],W$6,W$2,FALSE),-100)</f>
        <v>-100</v>
      </c>
      <c r="BP275">
        <f>IF(Table2912[[#This Row],[CH4 '[g/mmol SCFA']]]&lt;X$10,_xlfn.NORM.DIST(Table2912[[#This Row],[CH4 '[g/mmol SCFA']]],X$6,X$2,FALSE),-100)</f>
        <v>-100</v>
      </c>
      <c r="BQ275">
        <f>IF(Table2912[[#This Row],[DMD '[mg/g']]]&gt;Y$10,_xlfn.NORM.DIST(Table2912[[#This Row],[DMD '[mg/g']]],Y$6,Y$2,FALSE),-100)</f>
        <v>-100</v>
      </c>
      <c r="BR275">
        <f>IF(Table2912[[#This Row],[CH4 '[ml/g']]]&lt;Z$10,_xlfn.NORM.DIST(Table2912[[#This Row],[CH4 '[ml/g']]],Z$6,Z$2,FALSE),-100)</f>
        <v>-100</v>
      </c>
      <c r="BS275">
        <f>IF(Table2912[[#This Row],[CH4 '[% GP']]]&lt;AA$10,_xlfn.NORM.DIST(Table2912[[#This Row],[CH4 '[% GP']]],AA$6,AA$2,FALSE),-100)</f>
        <v>-100</v>
      </c>
      <c r="BT275">
        <f>IF(Table2912[[#This Row],[CH4 '[g/g DDM']]]&lt;AB$10,_xlfn.NORM.DIST(Table2912[[#This Row],[CH4 '[g/g DDM']]],AB$6,AB$2,FALSE),-100)</f>
        <v>-100</v>
      </c>
    </row>
    <row r="276" spans="1:72" x14ac:dyDescent="0.25">
      <c r="A276" s="12" t="s">
        <v>70</v>
      </c>
      <c r="B276" s="13">
        <v>1006</v>
      </c>
      <c r="C276" s="96" t="s">
        <v>308</v>
      </c>
      <c r="D276" s="96"/>
      <c r="E276" s="96"/>
      <c r="F276" s="96" t="s">
        <v>309</v>
      </c>
      <c r="G276" t="s">
        <v>73</v>
      </c>
      <c r="H276" t="s">
        <v>74</v>
      </c>
      <c r="I276" t="s">
        <v>75</v>
      </c>
      <c r="J276" s="70">
        <v>1</v>
      </c>
      <c r="K276" s="70"/>
      <c r="L276" s="70"/>
      <c r="M276" t="s">
        <v>309</v>
      </c>
      <c r="N276" t="s">
        <v>85</v>
      </c>
      <c r="O276" s="18">
        <v>285.50261698824625</v>
      </c>
      <c r="P276" s="18">
        <v>6.9058208284625984</v>
      </c>
      <c r="Q276" s="97">
        <v>0.65113382806652931</v>
      </c>
      <c r="R276" s="97">
        <v>0.15807710324714855</v>
      </c>
      <c r="S276" s="97">
        <v>0.126008517050094</v>
      </c>
      <c r="T276" s="97">
        <v>1.8446695150916705E-2</v>
      </c>
      <c r="U276" s="97">
        <v>2.4994203656692627E-3</v>
      </c>
      <c r="V276" s="97">
        <v>1.4397814597947893E-2</v>
      </c>
      <c r="W276" s="97">
        <v>2.9436621521694253E-2</v>
      </c>
      <c r="X276" s="51">
        <f t="shared" si="20"/>
        <v>5.4493802538524552</v>
      </c>
      <c r="Y276" s="18">
        <v>801.26974912503431</v>
      </c>
      <c r="Z276" s="18">
        <v>37.632443659267089</v>
      </c>
      <c r="AA276" s="18">
        <f t="shared" si="21"/>
        <v>13.181120389105352</v>
      </c>
      <c r="AB276" s="18">
        <f t="shared" si="22"/>
        <v>46.966010760247386</v>
      </c>
      <c r="AC276" s="18">
        <f>$CP$15*Table2912[[#This Row],[DMD '[mg/g']]]+$CS$15*Table2912[[#This Row],[CH4 '[ml/g']]]+$CR$15*Table2912[[#This Row],[CH4 '[% GP']]]+$CQ$15*Table2912[[#This Row],[CH4 '[g/g DDM']]]</f>
        <v>19.68542890445773</v>
      </c>
      <c r="AD276" s="18">
        <f>_xlfn.RANK.AVG(Table2912[[#This Row],[Index]],Table2912[Index])</f>
        <v>166</v>
      </c>
      <c r="AE27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6.4584579456938371</v>
      </c>
      <c r="AF276" s="18">
        <f>Table2912[[#This Row],[CH4 '[ml/g']]]/Table2912[[#This Row],[APB]]</f>
        <v>5.8268465902698088</v>
      </c>
      <c r="AG276" s="18">
        <f>Table2912[[#This Row],[Propionate '[%']]]/Table2912[[#This Row],[Acetate '[%']]]</f>
        <v>0.2427720637960728</v>
      </c>
      <c r="AH276" s="51"/>
      <c r="AI276" s="18"/>
      <c r="AJ276" s="18"/>
      <c r="AK276" s="18">
        <f>(Table2912[[#This Row],[DMD '[mg/g']]]-$AK$15)/$AK$15*100</f>
        <v>63.428009317080004</v>
      </c>
      <c r="AL276" s="18">
        <f>(Table2912[[#This Row],[CH4 '[ml/g']]]-AL$15)/AL$15*100</f>
        <v>-4.3215582175743261</v>
      </c>
      <c r="AM276" s="18">
        <f>(Table2912[[#This Row],[CH4 '[% GP']]]-AM$15)/AM$15*100</f>
        <v>-15.082979228913409</v>
      </c>
      <c r="AN276" s="18">
        <f>(Table2912[[#This Row],[CH4 '[g/g DDM']]]-AN$15)/AN$15*100</f>
        <v>-8.297316858534364</v>
      </c>
      <c r="AO276" s="18"/>
      <c r="AP276" s="18"/>
      <c r="AR276">
        <f>_xlfn.NORM.DIST(Table2912[[#This Row],[GP '[ml/g']]],O$6,O$2,FALSE)</f>
        <v>6.3845993062257942E-3</v>
      </c>
      <c r="AS276">
        <f>_xlfn.NORM.DIST(Table2912[[#This Row],[SCFA '[mmol/g']]],P$6,P$2,FALSE)</f>
        <v>0.31740506504776844</v>
      </c>
      <c r="AT276">
        <f>_xlfn.NORM.DIST(Table2912[[#This Row],[Acetate '[%']]],Q$6,Q$2,FALSE)</f>
        <v>10.402517695197707</v>
      </c>
      <c r="AU276">
        <f>_xlfn.NORM.DIST(Table2912[[#This Row],[Propionate '[%']]],R$6,R$2,FALSE)</f>
        <v>14.18808075085774</v>
      </c>
      <c r="AV276">
        <f>_xlfn.NORM.DIST(Table2912[[#This Row],[Butyrate '[%']]],S$6,S$2,FALSE)</f>
        <v>3.7162263982739763</v>
      </c>
      <c r="AW276">
        <f>_xlfn.NORM.DIST(Table2912[[#This Row],[Valerate '[%']]],T$6,T$2,FALSE)</f>
        <v>76.496943341168929</v>
      </c>
      <c r="AX276">
        <f>_xlfn.NORM.DIST(Table2912[[#This Row],[Caproate '[%']]],U$6,U$2,FALSE)</f>
        <v>200.5273052540656</v>
      </c>
      <c r="AY276">
        <f>_xlfn.NORM.DIST(Table2912[[#This Row],[Isobutyrate '[%']]],V$6,V$2,FALSE)</f>
        <v>88.231294392822448</v>
      </c>
      <c r="AZ276">
        <f>_xlfn.NORM.DIST(Table2912[[#This Row],[Isovalerate '[%']]],W$6,W$2,FALSE)</f>
        <v>44.735298705434047</v>
      </c>
      <c r="BA276">
        <f>_xlfn.NORM.DIST(Table2912[[#This Row],[CH4 '[g/mmol SCFA']]],X$6,X$2,FALSE)</f>
        <v>0.24521136087710582</v>
      </c>
      <c r="BB276">
        <f>_xlfn.NORM.DIST(Table2912[[#This Row],[DMD '[mg/g']]],Y$6,Y$2,FALSE)</f>
        <v>2.8667210895260342E-3</v>
      </c>
      <c r="BC276">
        <f>_xlfn.NORM.DIST(Table2912[[#This Row],[CH4 '[ml/g']]],Z$6,Z$2,FALSE)</f>
        <v>3.1871532926935404E-2</v>
      </c>
      <c r="BD276">
        <f>_xlfn.NORM.DIST(Table2912[[#This Row],[CH4 '[% GP']]],AA$6,AA$2,FALSE)</f>
        <v>8.3756467006821655E-2</v>
      </c>
      <c r="BE276">
        <f>_xlfn.NORM.DIST(Table2912[[#This Row],[CH4 '[g/g DDM']]],AB$6,AB$2,FALSE)</f>
        <v>2.8606976696493768E-2</v>
      </c>
      <c r="BG276">
        <f>IF(Table2912[[#This Row],[GP '[ml/g']]]&lt;O$10,_xlfn.NORM.DIST(Table2912[[#This Row],[GP '[ml/g']]],O$6,O$2,FALSE),-100)</f>
        <v>-100</v>
      </c>
      <c r="BH276">
        <f>IF(Table2912[[#This Row],[SCFA '[mmol/g']]]&lt;P$10,_xlfn.NORM.DIST(Table2912[[#This Row],[SCFA '[mmol/g']]],P$6,P$2,FALSE),-100)</f>
        <v>-100</v>
      </c>
      <c r="BI276">
        <f>IF(Table2912[[#This Row],[Acetate '[%']]]&lt;Q$10,_xlfn.NORM.DIST(Table2912[[#This Row],[Acetate '[%']]],Q$6,Q$2,FALSE),-100)</f>
        <v>-100</v>
      </c>
      <c r="BJ276">
        <f>IF(Table2912[[#This Row],[Propionate '[%']]]&lt;R$10,_xlfn.NORM.DIST(Table2912[[#This Row],[Propionate '[%']]],R$6,R$2,FALSE),-100)</f>
        <v>-100</v>
      </c>
      <c r="BK276">
        <f>IF(Table2912[[#This Row],[Butyrate '[%']]]&lt;S$10,_xlfn.NORM.DIST(Table2912[[#This Row],[Butyrate '[%']]],S$6,S$2,FALSE),-100)</f>
        <v>-100</v>
      </c>
      <c r="BL276">
        <f>IF(Table2912[[#This Row],[Valerate '[%']]]&lt;T$10,_xlfn.NORM.DIST(Table2912[[#This Row],[Valerate '[%']]],T$6,T$2,FALSE),-100)</f>
        <v>-100</v>
      </c>
      <c r="BM276">
        <f>IF(Table2912[[#This Row],[Caproate '[%']]]&lt;U$10,_xlfn.NORM.DIST(Table2912[[#This Row],[Caproate '[%']]],U$6,U$2,FALSE),-100)</f>
        <v>-100</v>
      </c>
      <c r="BN276">
        <f>IF(Table2912[[#This Row],[Isobutyrate '[%']]]&lt;V$10,_xlfn.NORM.DIST(Table2912[[#This Row],[Isobutyrate '[%']]],V$6,V$2,FALSE),-100)</f>
        <v>-100</v>
      </c>
      <c r="BO276">
        <f>IF(Table2912[[#This Row],[Isovalerate '[%']]]&lt;W$10,_xlfn.NORM.DIST(Table2912[[#This Row],[Isovalerate '[%']]],W$6,W$2,FALSE),-100)</f>
        <v>-100</v>
      </c>
      <c r="BP276">
        <f>IF(Table2912[[#This Row],[CH4 '[g/mmol SCFA']]]&lt;X$10,_xlfn.NORM.DIST(Table2912[[#This Row],[CH4 '[g/mmol SCFA']]],X$6,X$2,FALSE),-100)</f>
        <v>-100</v>
      </c>
      <c r="BQ276">
        <f>IF(Table2912[[#This Row],[DMD '[mg/g']]]&gt;Y$10,_xlfn.NORM.DIST(Table2912[[#This Row],[DMD '[mg/g']]],Y$6,Y$2,FALSE),-100)</f>
        <v>-100</v>
      </c>
      <c r="BR276">
        <f>IF(Table2912[[#This Row],[CH4 '[ml/g']]]&lt;Z$10,_xlfn.NORM.DIST(Table2912[[#This Row],[CH4 '[ml/g']]],Z$6,Z$2,FALSE),-100)</f>
        <v>-100</v>
      </c>
      <c r="BS276">
        <f>IF(Table2912[[#This Row],[CH4 '[% GP']]]&lt;AA$10,_xlfn.NORM.DIST(Table2912[[#This Row],[CH4 '[% GP']]],AA$6,AA$2,FALSE),-100)</f>
        <v>-100</v>
      </c>
      <c r="BT276">
        <f>IF(Table2912[[#This Row],[CH4 '[g/g DDM']]]&lt;AB$10,_xlfn.NORM.DIST(Table2912[[#This Row],[CH4 '[g/g DDM']]],AB$6,AB$2,FALSE),-100)</f>
        <v>-100</v>
      </c>
    </row>
    <row r="277" spans="1:72" x14ac:dyDescent="0.25">
      <c r="A277" s="12" t="s">
        <v>70</v>
      </c>
      <c r="B277" s="13">
        <v>1012</v>
      </c>
      <c r="C277" s="96" t="s">
        <v>306</v>
      </c>
      <c r="D277" s="96"/>
      <c r="E277" s="96"/>
      <c r="F277" s="96" t="s">
        <v>307</v>
      </c>
      <c r="G277" s="15" t="s">
        <v>73</v>
      </c>
      <c r="H277" s="15" t="s">
        <v>74</v>
      </c>
      <c r="I277" t="s">
        <v>75</v>
      </c>
      <c r="J277" s="70">
        <v>1</v>
      </c>
      <c r="K277" s="70"/>
      <c r="L277" s="70"/>
      <c r="M277" t="s">
        <v>307</v>
      </c>
      <c r="N277" t="s">
        <v>85</v>
      </c>
      <c r="O277" s="18">
        <v>225.05614844093128</v>
      </c>
      <c r="P277" s="18">
        <v>4.9423662399151738</v>
      </c>
      <c r="Q277" s="97">
        <v>0.62849650038984539</v>
      </c>
      <c r="R277" s="97">
        <v>0.14886112395357337</v>
      </c>
      <c r="S277" s="97">
        <v>0.18242888283913589</v>
      </c>
      <c r="T277" s="97">
        <v>1.3602551795248736E-2</v>
      </c>
      <c r="U277" s="97">
        <v>6.8313666400325011E-3</v>
      </c>
      <c r="V277" s="97">
        <v>7.8306727033162007E-3</v>
      </c>
      <c r="W277" s="97">
        <v>1.1948901678847917E-2</v>
      </c>
      <c r="X277" s="51">
        <f t="shared" si="20"/>
        <v>5.5466378284728659</v>
      </c>
      <c r="Y277" s="18">
        <v>802.0727804635651</v>
      </c>
      <c r="Z277" s="18">
        <v>27.413515548480703</v>
      </c>
      <c r="AA277" s="18">
        <f t="shared" si="21"/>
        <v>12.180745000030832</v>
      </c>
      <c r="AB277" s="18">
        <f t="shared" si="22"/>
        <v>34.178339193404391</v>
      </c>
      <c r="AC277" s="18">
        <f>$CP$15*Table2912[[#This Row],[DMD '[mg/g']]]+$CS$15*Table2912[[#This Row],[CH4 '[ml/g']]]+$CR$15*Table2912[[#This Row],[CH4 '[% GP']]]+$CQ$15*Table2912[[#This Row],[CH4 '[g/g DDM']]]</f>
        <v>25.289043078445228</v>
      </c>
      <c r="AD277" s="18">
        <f>_xlfn.RANK.AVG(Table2912[[#This Row],[Index]],Table2912[Index])</f>
        <v>87</v>
      </c>
      <c r="AE27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4.7436164306251607</v>
      </c>
      <c r="AF277" s="18">
        <f>Table2912[[#This Row],[CH4 '[ml/g']]]/Table2912[[#This Row],[APB]]</f>
        <v>5.7790329275986334</v>
      </c>
      <c r="AG277" s="18">
        <f>Table2912[[#This Row],[Propionate '[%']]]/Table2912[[#This Row],[Acetate '[%']]]</f>
        <v>0.23685274915808985</v>
      </c>
      <c r="AH277" s="51"/>
      <c r="AI277" s="18"/>
      <c r="AJ277" s="18"/>
      <c r="AK277" s="18">
        <f>(Table2912[[#This Row],[DMD '[mg/g']]]-$AK$15)/$AK$15*100</f>
        <v>63.591796622439553</v>
      </c>
      <c r="AL277" s="18">
        <f>(Table2912[[#This Row],[CH4 '[ml/g']]]-AL$15)/AL$15*100</f>
        <v>-30.302627296671975</v>
      </c>
      <c r="AM277" s="18">
        <f>(Table2912[[#This Row],[CH4 '[% GP']]]-AM$15)/AM$15*100</f>
        <v>-21.527719523003888</v>
      </c>
      <c r="AN277" s="18">
        <f>(Table2912[[#This Row],[CH4 '[g/g DDM']]]-AN$15)/AN$15*100</f>
        <v>-33.265666838215623</v>
      </c>
      <c r="AO277" s="18"/>
      <c r="AP277" s="18"/>
      <c r="AR277">
        <f>_xlfn.NORM.DIST(Table2912[[#This Row],[GP '[ml/g']]],O$6,O$2,FALSE)</f>
        <v>6.3561226085617406E-3</v>
      </c>
      <c r="AS277">
        <f>_xlfn.NORM.DIST(Table2912[[#This Row],[SCFA '[mmol/g']]],P$6,P$2,FALSE)</f>
        <v>0.13732625952854655</v>
      </c>
      <c r="AT277">
        <f>_xlfn.NORM.DIST(Table2912[[#This Row],[Acetate '[%']]],Q$6,Q$2,FALSE)</f>
        <v>4.0954099924699303</v>
      </c>
      <c r="AU277">
        <f>_xlfn.NORM.DIST(Table2912[[#This Row],[Propionate '[%']]],R$6,R$2,FALSE)</f>
        <v>10.506889313629721</v>
      </c>
      <c r="AV277">
        <f>_xlfn.NORM.DIST(Table2912[[#This Row],[Butyrate '[%']]],S$6,S$2,FALSE)</f>
        <v>3.6713296365403341E-5</v>
      </c>
      <c r="AW277">
        <f>_xlfn.NORM.DIST(Table2912[[#This Row],[Valerate '[%']]],T$6,T$2,FALSE)</f>
        <v>56.784808485239083</v>
      </c>
      <c r="AX277">
        <f>_xlfn.NORM.DIST(Table2912[[#This Row],[Caproate '[%']]],U$6,U$2,FALSE)</f>
        <v>6.0237325438715608E-5</v>
      </c>
      <c r="AY277">
        <f>_xlfn.NORM.DIST(Table2912[[#This Row],[Isobutyrate '[%']]],V$6,V$2,FALSE)</f>
        <v>21.544560693467062</v>
      </c>
      <c r="AZ277">
        <f>_xlfn.NORM.DIST(Table2912[[#This Row],[Isovalerate '[%']]],W$6,W$2,FALSE)</f>
        <v>8.7359570013197434</v>
      </c>
      <c r="BA277">
        <f>_xlfn.NORM.DIST(Table2912[[#This Row],[CH4 '[g/mmol SCFA']]],X$6,X$2,FALSE)</f>
        <v>0.25583588226910775</v>
      </c>
      <c r="BB277">
        <f>_xlfn.NORM.DIST(Table2912[[#This Row],[DMD '[mg/g']]],Y$6,Y$2,FALSE)</f>
        <v>2.8635649823183992E-3</v>
      </c>
      <c r="BC277">
        <f>_xlfn.NORM.DIST(Table2912[[#This Row],[CH4 '[ml/g']]],Z$6,Z$2,FALSE)</f>
        <v>1.6809955399948201E-2</v>
      </c>
      <c r="BD277">
        <f>_xlfn.NORM.DIST(Table2912[[#This Row],[CH4 '[% GP']]],AA$6,AA$2,FALSE)</f>
        <v>5.6911988127062565E-2</v>
      </c>
      <c r="BE277">
        <f>_xlfn.NORM.DIST(Table2912[[#This Row],[CH4 '[g/g DDM']]],AB$6,AB$2,FALSE)</f>
        <v>9.4427617212260329E-3</v>
      </c>
      <c r="BG277">
        <f>IF(Table2912[[#This Row],[GP '[ml/g']]]&lt;O$10,_xlfn.NORM.DIST(Table2912[[#This Row],[GP '[ml/g']]],O$6,O$2,FALSE),-100)</f>
        <v>-100</v>
      </c>
      <c r="BH277">
        <f>IF(Table2912[[#This Row],[SCFA '[mmol/g']]]&lt;P$10,_xlfn.NORM.DIST(Table2912[[#This Row],[SCFA '[mmol/g']]],P$6,P$2,FALSE),-100)</f>
        <v>0.13732625952854655</v>
      </c>
      <c r="BI277">
        <f>IF(Table2912[[#This Row],[Acetate '[%']]]&lt;Q$10,_xlfn.NORM.DIST(Table2912[[#This Row],[Acetate '[%']]],Q$6,Q$2,FALSE),-100)</f>
        <v>4.0954099924699303</v>
      </c>
      <c r="BJ277">
        <f>IF(Table2912[[#This Row],[Propionate '[%']]]&lt;R$10,_xlfn.NORM.DIST(Table2912[[#This Row],[Propionate '[%']]],R$6,R$2,FALSE),-100)</f>
        <v>-100</v>
      </c>
      <c r="BK277">
        <f>IF(Table2912[[#This Row],[Butyrate '[%']]]&lt;S$10,_xlfn.NORM.DIST(Table2912[[#This Row],[Butyrate '[%']]],S$6,S$2,FALSE),-100)</f>
        <v>-100</v>
      </c>
      <c r="BL277">
        <f>IF(Table2912[[#This Row],[Valerate '[%']]]&lt;T$10,_xlfn.NORM.DIST(Table2912[[#This Row],[Valerate '[%']]],T$6,T$2,FALSE),-100)</f>
        <v>-100</v>
      </c>
      <c r="BM277">
        <f>IF(Table2912[[#This Row],[Caproate '[%']]]&lt;U$10,_xlfn.NORM.DIST(Table2912[[#This Row],[Caproate '[%']]],U$6,U$2,FALSE),-100)</f>
        <v>-100</v>
      </c>
      <c r="BN277">
        <f>IF(Table2912[[#This Row],[Isobutyrate '[%']]]&lt;V$10,_xlfn.NORM.DIST(Table2912[[#This Row],[Isobutyrate '[%']]],V$6,V$2,FALSE),-100)</f>
        <v>21.544560693467062</v>
      </c>
      <c r="BO277">
        <f>IF(Table2912[[#This Row],[Isovalerate '[%']]]&lt;W$10,_xlfn.NORM.DIST(Table2912[[#This Row],[Isovalerate '[%']]],W$6,W$2,FALSE),-100)</f>
        <v>8.7359570013197434</v>
      </c>
      <c r="BP277">
        <f>IF(Table2912[[#This Row],[CH4 '[g/mmol SCFA']]]&lt;X$10,_xlfn.NORM.DIST(Table2912[[#This Row],[CH4 '[g/mmol SCFA']]],X$6,X$2,FALSE),-100)</f>
        <v>-100</v>
      </c>
      <c r="BQ277">
        <f>IF(Table2912[[#This Row],[DMD '[mg/g']]]&gt;Y$10,_xlfn.NORM.DIST(Table2912[[#This Row],[DMD '[mg/g']]],Y$6,Y$2,FALSE),-100)</f>
        <v>-100</v>
      </c>
      <c r="BR277">
        <f>IF(Table2912[[#This Row],[CH4 '[ml/g']]]&lt;Z$10,_xlfn.NORM.DIST(Table2912[[#This Row],[CH4 '[ml/g']]],Z$6,Z$2,FALSE),-100)</f>
        <v>1.6809955399948201E-2</v>
      </c>
      <c r="BS277">
        <f>IF(Table2912[[#This Row],[CH4 '[% GP']]]&lt;AA$10,_xlfn.NORM.DIST(Table2912[[#This Row],[CH4 '[% GP']]],AA$6,AA$2,FALSE),-100)</f>
        <v>-100</v>
      </c>
      <c r="BT277">
        <f>IF(Table2912[[#This Row],[CH4 '[g/g DDM']]]&lt;AB$10,_xlfn.NORM.DIST(Table2912[[#This Row],[CH4 '[g/g DDM']]],AB$6,AB$2,FALSE),-100)</f>
        <v>9.4427617212260329E-3</v>
      </c>
    </row>
    <row r="278" spans="1:72" x14ac:dyDescent="0.25">
      <c r="A278" s="12" t="s">
        <v>70</v>
      </c>
      <c r="B278" s="13">
        <v>1038</v>
      </c>
      <c r="C278" s="102" t="s">
        <v>372</v>
      </c>
      <c r="D278" t="s">
        <v>373</v>
      </c>
      <c r="E278" t="s">
        <v>374</v>
      </c>
      <c r="F278" t="s">
        <v>375</v>
      </c>
      <c r="G278" t="s">
        <v>143</v>
      </c>
      <c r="H278" t="s">
        <v>144</v>
      </c>
      <c r="I278" t="s">
        <v>52</v>
      </c>
      <c r="J278" s="70">
        <v>1</v>
      </c>
      <c r="K278" s="70"/>
      <c r="L278" s="70"/>
      <c r="M278" t="s">
        <v>375</v>
      </c>
      <c r="N278" t="s">
        <v>80</v>
      </c>
      <c r="O278" s="18">
        <v>278.04267279090158</v>
      </c>
      <c r="P278" s="18">
        <v>7.28565179352581</v>
      </c>
      <c r="Q278" s="97">
        <v>0.66956390735118787</v>
      </c>
      <c r="R278" s="97">
        <v>0.19013051248937901</v>
      </c>
      <c r="S278" s="97">
        <v>7.854259776378926E-2</v>
      </c>
      <c r="T278" s="97">
        <v>1.9716195962560037E-2</v>
      </c>
      <c r="U278" s="97">
        <v>3.9088837652722459E-4</v>
      </c>
      <c r="V278" s="97">
        <v>1.5465254441657257E-2</v>
      </c>
      <c r="W278" s="97">
        <v>2.619064361489936E-2</v>
      </c>
      <c r="X278" s="51">
        <f t="shared" si="20"/>
        <v>5.3566118215009313</v>
      </c>
      <c r="Y278" s="18">
        <v>802.38407699037634</v>
      </c>
      <c r="Z278" s="18">
        <v>39.026408524539818</v>
      </c>
      <c r="AA278" s="18">
        <f t="shared" si="21"/>
        <v>14.036121913519775</v>
      </c>
      <c r="AB278" s="18">
        <f t="shared" si="22"/>
        <v>48.638064542509476</v>
      </c>
      <c r="AC278" s="18">
        <f>$CP$15*Table2912[[#This Row],[DMD '[mg/g']]]+$CS$15*Table2912[[#This Row],[CH4 '[ml/g']]]+$CR$15*Table2912[[#This Row],[CH4 '[% GP']]]+$CQ$15*Table2912[[#This Row],[CH4 '[g/g DDM']]]</f>
        <v>18.834447435852397</v>
      </c>
      <c r="AD278" s="18">
        <f>_xlfn.RANK.AVG(Table2912[[#This Row],[Index]],Table2912[Index])</f>
        <v>184</v>
      </c>
      <c r="AE27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6.8356682100614847</v>
      </c>
      <c r="AF278" s="18">
        <f>Table2912[[#This Row],[CH4 '[ml/g']]]/Table2912[[#This Row],[APB]]</f>
        <v>5.7092309523005342</v>
      </c>
      <c r="AG278" s="18">
        <f>Table2912[[#This Row],[Propionate '[%']]]/Table2912[[#This Row],[Acetate '[%']]]</f>
        <v>0.28396171060286124</v>
      </c>
      <c r="AH278" s="51"/>
      <c r="AI278" s="18"/>
      <c r="AJ278" s="18"/>
      <c r="AK278" s="18">
        <f>(Table2912[[#This Row],[DMD '[mg/g']]]-$AK$15)/$AK$15*100</f>
        <v>63.655289062706565</v>
      </c>
      <c r="AL278" s="18">
        <f>(Table2912[[#This Row],[CH4 '[ml/g']]]-AL$15)/AL$15*100</f>
        <v>-0.7774783428702472</v>
      </c>
      <c r="AM278" s="18">
        <f>(Table2912[[#This Row],[CH4 '[% GP']]]-AM$15)/AM$15*100</f>
        <v>-9.5747841692567146</v>
      </c>
      <c r="AN278" s="18">
        <f>(Table2912[[#This Row],[CH4 '[g/g DDM']]]-AN$15)/AN$15*100</f>
        <v>-5.0325767686638487</v>
      </c>
      <c r="AO278" s="18"/>
      <c r="AP278" s="18"/>
      <c r="AR278">
        <f>_xlfn.NORM.DIST(Table2912[[#This Row],[GP '[ml/g']]],O$6,O$2,FALSE)</f>
        <v>6.8401770721126373E-3</v>
      </c>
      <c r="AS278">
        <f>_xlfn.NORM.DIST(Table2912[[#This Row],[SCFA '[mmol/g']]],P$6,P$2,FALSE)</f>
        <v>0.27387356811937202</v>
      </c>
      <c r="AT278">
        <f>_xlfn.NORM.DIST(Table2912[[#This Row],[Acetate '[%']]],Q$6,Q$2,FALSE)</f>
        <v>13.917380784636793</v>
      </c>
      <c r="AU278">
        <f>_xlfn.NORM.DIST(Table2912[[#This Row],[Propionate '[%']]],R$6,R$2,FALSE)</f>
        <v>12.496131847692322</v>
      </c>
      <c r="AV278">
        <f>_xlfn.NORM.DIST(Table2912[[#This Row],[Butyrate '[%']]],S$6,S$2,FALSE)</f>
        <v>16.318234131157816</v>
      </c>
      <c r="AW278">
        <f>_xlfn.NORM.DIST(Table2912[[#This Row],[Valerate '[%']]],T$6,T$2,FALSE)</f>
        <v>71.470822324640309</v>
      </c>
      <c r="AX278">
        <f>_xlfn.NORM.DIST(Table2912[[#This Row],[Caproate '[%']]],U$6,U$2,FALSE)</f>
        <v>256.42628811762256</v>
      </c>
      <c r="AY278">
        <f>_xlfn.NORM.DIST(Table2912[[#This Row],[Isobutyrate '[%']]],V$6,V$2,FALSE)</f>
        <v>90.108227170895489</v>
      </c>
      <c r="AZ278">
        <f>_xlfn.NORM.DIST(Table2912[[#This Row],[Isovalerate '[%']]],W$6,W$2,FALSE)</f>
        <v>44.582155421281428</v>
      </c>
      <c r="BA278">
        <f>_xlfn.NORM.DIST(Table2912[[#This Row],[CH4 '[g/mmol SCFA']]],X$6,X$2,FALSE)</f>
        <v>0.23433791970547524</v>
      </c>
      <c r="BB278">
        <f>_xlfn.NORM.DIST(Table2912[[#This Row],[DMD '[mg/g']]],Y$6,Y$2,FALSE)</f>
        <v>2.8623159219570023E-3</v>
      </c>
      <c r="BC278">
        <f>_xlfn.NORM.DIST(Table2912[[#This Row],[CH4 '[ml/g']]],Z$6,Z$2,FALSE)</f>
        <v>3.2847866930672237E-2</v>
      </c>
      <c r="BD278">
        <f>_xlfn.NORM.DIST(Table2912[[#This Row],[CH4 '[% GP']]],AA$6,AA$2,FALSE)</f>
        <v>0.10645491948406156</v>
      </c>
      <c r="BE278">
        <f>_xlfn.NORM.DIST(Table2912[[#This Row],[CH4 '[g/g DDM']]],AB$6,AB$2,FALSE)</f>
        <v>3.0465771251491042E-2</v>
      </c>
      <c r="BG278">
        <f>IF(Table2912[[#This Row],[GP '[ml/g']]]&lt;O$10,_xlfn.NORM.DIST(Table2912[[#This Row],[GP '[ml/g']]],O$6,O$2,FALSE),-100)</f>
        <v>-100</v>
      </c>
      <c r="BH278">
        <f>IF(Table2912[[#This Row],[SCFA '[mmol/g']]]&lt;P$10,_xlfn.NORM.DIST(Table2912[[#This Row],[SCFA '[mmol/g']]],P$6,P$2,FALSE),-100)</f>
        <v>-100</v>
      </c>
      <c r="BI278">
        <f>IF(Table2912[[#This Row],[Acetate '[%']]]&lt;Q$10,_xlfn.NORM.DIST(Table2912[[#This Row],[Acetate '[%']]],Q$6,Q$2,FALSE),-100)</f>
        <v>-100</v>
      </c>
      <c r="BJ278">
        <f>IF(Table2912[[#This Row],[Propionate '[%']]]&lt;R$10,_xlfn.NORM.DIST(Table2912[[#This Row],[Propionate '[%']]],R$6,R$2,FALSE),-100)</f>
        <v>-100</v>
      </c>
      <c r="BK278">
        <f>IF(Table2912[[#This Row],[Butyrate '[%']]]&lt;S$10,_xlfn.NORM.DIST(Table2912[[#This Row],[Butyrate '[%']]],S$6,S$2,FALSE),-100)</f>
        <v>-100</v>
      </c>
      <c r="BL278">
        <f>IF(Table2912[[#This Row],[Valerate '[%']]]&lt;T$10,_xlfn.NORM.DIST(Table2912[[#This Row],[Valerate '[%']]],T$6,T$2,FALSE),-100)</f>
        <v>-100</v>
      </c>
      <c r="BM278">
        <f>IF(Table2912[[#This Row],[Caproate '[%']]]&lt;U$10,_xlfn.NORM.DIST(Table2912[[#This Row],[Caproate '[%']]],U$6,U$2,FALSE),-100)</f>
        <v>-100</v>
      </c>
      <c r="BN278">
        <f>IF(Table2912[[#This Row],[Isobutyrate '[%']]]&lt;V$10,_xlfn.NORM.DIST(Table2912[[#This Row],[Isobutyrate '[%']]],V$6,V$2,FALSE),-100)</f>
        <v>-100</v>
      </c>
      <c r="BO278">
        <f>IF(Table2912[[#This Row],[Isovalerate '[%']]]&lt;W$10,_xlfn.NORM.DIST(Table2912[[#This Row],[Isovalerate '[%']]],W$6,W$2,FALSE),-100)</f>
        <v>-100</v>
      </c>
      <c r="BP278">
        <f>IF(Table2912[[#This Row],[CH4 '[g/mmol SCFA']]]&lt;X$10,_xlfn.NORM.DIST(Table2912[[#This Row],[CH4 '[g/mmol SCFA']]],X$6,X$2,FALSE),-100)</f>
        <v>-100</v>
      </c>
      <c r="BQ278">
        <f>IF(Table2912[[#This Row],[DMD '[mg/g']]]&gt;Y$10,_xlfn.NORM.DIST(Table2912[[#This Row],[DMD '[mg/g']]],Y$6,Y$2,FALSE),-100)</f>
        <v>-100</v>
      </c>
      <c r="BR278">
        <f>IF(Table2912[[#This Row],[CH4 '[ml/g']]]&lt;Z$10,_xlfn.NORM.DIST(Table2912[[#This Row],[CH4 '[ml/g']]],Z$6,Z$2,FALSE),-100)</f>
        <v>-100</v>
      </c>
      <c r="BS278">
        <f>IF(Table2912[[#This Row],[CH4 '[% GP']]]&lt;AA$10,_xlfn.NORM.DIST(Table2912[[#This Row],[CH4 '[% GP']]],AA$6,AA$2,FALSE),-100)</f>
        <v>-100</v>
      </c>
      <c r="BT278">
        <f>IF(Table2912[[#This Row],[CH4 '[g/g DDM']]]&lt;AB$10,_xlfn.NORM.DIST(Table2912[[#This Row],[CH4 '[g/g DDM']]],AB$6,AB$2,FALSE),-100)</f>
        <v>-100</v>
      </c>
    </row>
    <row r="279" spans="1:72" x14ac:dyDescent="0.25">
      <c r="A279" s="12" t="s">
        <v>200</v>
      </c>
      <c r="B279" s="13">
        <v>1144</v>
      </c>
      <c r="C279" s="117" t="s">
        <v>310</v>
      </c>
      <c r="D279" s="117" t="s">
        <v>233</v>
      </c>
      <c r="E279" s="117" t="s">
        <v>234</v>
      </c>
      <c r="F279" s="117" t="s">
        <v>235</v>
      </c>
      <c r="G279" t="s">
        <v>73</v>
      </c>
      <c r="H279" t="s">
        <v>74</v>
      </c>
      <c r="I279" t="s">
        <v>75</v>
      </c>
      <c r="J279" s="70">
        <v>1</v>
      </c>
      <c r="K279" s="70"/>
      <c r="L279" s="70"/>
      <c r="M279" t="s">
        <v>311</v>
      </c>
      <c r="N279" t="s">
        <v>237</v>
      </c>
      <c r="O279" s="18">
        <v>282.18711023276154</v>
      </c>
      <c r="P279" s="18">
        <v>6.7949103987895967</v>
      </c>
      <c r="Q279" s="97">
        <v>0.68375035588256616</v>
      </c>
      <c r="R279" s="97">
        <v>0.16260622415533077</v>
      </c>
      <c r="S279" s="97">
        <v>9.5629065882499642E-2</v>
      </c>
      <c r="T279" s="97">
        <v>1.50402710329893E-2</v>
      </c>
      <c r="U279" s="97">
        <v>1.2747940311518421E-3</v>
      </c>
      <c r="V279" s="97">
        <v>1.4387589790793267E-2</v>
      </c>
      <c r="W279" s="97">
        <v>2.7311699224669153E-2</v>
      </c>
      <c r="X279" s="51">
        <f t="shared" si="20"/>
        <v>7.2284419557484112</v>
      </c>
      <c r="Y279" s="18">
        <v>802.93913709690889</v>
      </c>
      <c r="Z279" s="18">
        <v>49.116615412161892</v>
      </c>
      <c r="AA279" s="18">
        <f t="shared" si="21"/>
        <v>17.405690632590602</v>
      </c>
      <c r="AB279" s="18">
        <f t="shared" si="22"/>
        <v>61.171031704528652</v>
      </c>
      <c r="AC279" s="18">
        <f>$CP$15*Table2912[[#This Row],[DMD '[mg/g']]]+$CS$15*Table2912[[#This Row],[CH4 '[ml/g']]]+$CR$15*Table2912[[#This Row],[CH4 '[% GP']]]+$CQ$15*Table2912[[#This Row],[CH4 '[g/g DDM']]]</f>
        <v>12.740407836211787</v>
      </c>
      <c r="AD279" s="18">
        <f>_xlfn.RANK.AVG(Table2912[[#This Row],[Index]],Table2912[Index])</f>
        <v>308</v>
      </c>
      <c r="AE27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6.4007080609750382</v>
      </c>
      <c r="AF279" s="18">
        <f>Table2912[[#This Row],[CH4 '[ml/g']]]/Table2912[[#This Row],[APB]]</f>
        <v>7.6736221905861797</v>
      </c>
      <c r="AG279" s="18">
        <f>Table2912[[#This Row],[Propionate '[%']]]/Table2912[[#This Row],[Acetate '[%']]]</f>
        <v>0.23781519491195457</v>
      </c>
      <c r="AH279" s="51"/>
      <c r="AI279" s="18"/>
      <c r="AJ279" s="18"/>
      <c r="AK279" s="18">
        <f>(Table2912[[#This Row],[DMD '[mg/g']]]-$AK$15)/$AK$15*100</f>
        <v>63.768499836432888</v>
      </c>
      <c r="AL279" s="18">
        <f>(Table2912[[#This Row],[CH4 '[ml/g']]]-AL$15)/AL$15*100</f>
        <v>24.876324025402031</v>
      </c>
      <c r="AM279" s="18">
        <f>(Table2912[[#This Row],[CH4 '[% GP']]]-AM$15)/AM$15*100</f>
        <v>12.133062239872542</v>
      </c>
      <c r="AN279" s="18">
        <f>(Table2912[[#This Row],[CH4 '[g/g DDM']]]-AN$15)/AN$15*100</f>
        <v>19.438454470247031</v>
      </c>
      <c r="AO279" s="18"/>
      <c r="AP279" s="18"/>
      <c r="AR279">
        <f>_xlfn.NORM.DIST(Table2912[[#This Row],[GP '[ml/g']]],O$6,O$2,FALSE)</f>
        <v>6.5991245226751163E-3</v>
      </c>
      <c r="AS279">
        <f>_xlfn.NORM.DIST(Table2912[[#This Row],[SCFA '[mmol/g']]],P$6,P$2,FALSE)</f>
        <v>0.32516096378775639</v>
      </c>
      <c r="AT279">
        <f>_xlfn.NORM.DIST(Table2912[[#This Row],[Acetate '[%']]],Q$6,Q$2,FALSE)</f>
        <v>13.08140227095514</v>
      </c>
      <c r="AU279">
        <f>_xlfn.NORM.DIST(Table2912[[#This Row],[Propionate '[%']]],R$6,R$2,FALSE)</f>
        <v>15.562698778439882</v>
      </c>
      <c r="AV279">
        <f>_xlfn.NORM.DIST(Table2912[[#This Row],[Butyrate '[%']]],S$6,S$2,FALSE)</f>
        <v>22.7505132584627</v>
      </c>
      <c r="AW279">
        <f>_xlfn.NORM.DIST(Table2912[[#This Row],[Valerate '[%']]],T$6,T$2,FALSE)</f>
        <v>68.024665502902195</v>
      </c>
      <c r="AX279">
        <f>_xlfn.NORM.DIST(Table2912[[#This Row],[Caproate '[%']]],U$6,U$2,FALSE)</f>
        <v>406.19625469465961</v>
      </c>
      <c r="AY279">
        <f>_xlfn.NORM.DIST(Table2912[[#This Row],[Isobutyrate '[%']]],V$6,V$2,FALSE)</f>
        <v>88.18868750000486</v>
      </c>
      <c r="AZ279">
        <f>_xlfn.NORM.DIST(Table2912[[#This Row],[Isovalerate '[%']]],W$6,W$2,FALSE)</f>
        <v>45.329750706502828</v>
      </c>
      <c r="BA279">
        <f>_xlfn.NORM.DIST(Table2912[[#This Row],[CH4 '[g/mmol SCFA']]],X$6,X$2,FALSE)</f>
        <v>0.23196374587672233</v>
      </c>
      <c r="BB279">
        <f>_xlfn.NORM.DIST(Table2912[[#This Row],[DMD '[mg/g']]],Y$6,Y$2,FALSE)</f>
        <v>2.8600533838228368E-3</v>
      </c>
      <c r="BC279">
        <f>_xlfn.NORM.DIST(Table2912[[#This Row],[CH4 '[ml/g']]],Z$6,Z$2,FALSE)</f>
        <v>2.7156237385093821E-2</v>
      </c>
      <c r="BD279">
        <f>_xlfn.NORM.DIST(Table2912[[#This Row],[CH4 '[% GP']]],AA$6,AA$2,FALSE)</f>
        <v>0.12165534616582287</v>
      </c>
      <c r="BE279">
        <f>_xlfn.NORM.DIST(Table2912[[#This Row],[CH4 '[g/g DDM']]],AB$6,AB$2,FALSE)</f>
        <v>2.6704708108467864E-2</v>
      </c>
      <c r="BG279">
        <f>IF(Table2912[[#This Row],[GP '[ml/g']]]&lt;O$10,_xlfn.NORM.DIST(Table2912[[#This Row],[GP '[ml/g']]],O$6,O$2,FALSE),-100)</f>
        <v>-100</v>
      </c>
      <c r="BH279">
        <f>IF(Table2912[[#This Row],[SCFA '[mmol/g']]]&lt;P$10,_xlfn.NORM.DIST(Table2912[[#This Row],[SCFA '[mmol/g']]],P$6,P$2,FALSE),-100)</f>
        <v>-100</v>
      </c>
      <c r="BI279">
        <f>IF(Table2912[[#This Row],[Acetate '[%']]]&lt;Q$10,_xlfn.NORM.DIST(Table2912[[#This Row],[Acetate '[%']]],Q$6,Q$2,FALSE),-100)</f>
        <v>-100</v>
      </c>
      <c r="BJ279">
        <f>IF(Table2912[[#This Row],[Propionate '[%']]]&lt;R$10,_xlfn.NORM.DIST(Table2912[[#This Row],[Propionate '[%']]],R$6,R$2,FALSE),-100)</f>
        <v>-100</v>
      </c>
      <c r="BK279">
        <f>IF(Table2912[[#This Row],[Butyrate '[%']]]&lt;S$10,_xlfn.NORM.DIST(Table2912[[#This Row],[Butyrate '[%']]],S$6,S$2,FALSE),-100)</f>
        <v>-100</v>
      </c>
      <c r="BL279">
        <f>IF(Table2912[[#This Row],[Valerate '[%']]]&lt;T$10,_xlfn.NORM.DIST(Table2912[[#This Row],[Valerate '[%']]],T$6,T$2,FALSE),-100)</f>
        <v>-100</v>
      </c>
      <c r="BM279">
        <f>IF(Table2912[[#This Row],[Caproate '[%']]]&lt;U$10,_xlfn.NORM.DIST(Table2912[[#This Row],[Caproate '[%']]],U$6,U$2,FALSE),-100)</f>
        <v>-100</v>
      </c>
      <c r="BN279">
        <f>IF(Table2912[[#This Row],[Isobutyrate '[%']]]&lt;V$10,_xlfn.NORM.DIST(Table2912[[#This Row],[Isobutyrate '[%']]],V$6,V$2,FALSE),-100)</f>
        <v>-100</v>
      </c>
      <c r="BO279">
        <f>IF(Table2912[[#This Row],[Isovalerate '[%']]]&lt;W$10,_xlfn.NORM.DIST(Table2912[[#This Row],[Isovalerate '[%']]],W$6,W$2,FALSE),-100)</f>
        <v>-100</v>
      </c>
      <c r="BP279">
        <f>IF(Table2912[[#This Row],[CH4 '[g/mmol SCFA']]]&lt;X$10,_xlfn.NORM.DIST(Table2912[[#This Row],[CH4 '[g/mmol SCFA']]],X$6,X$2,FALSE),-100)</f>
        <v>-100</v>
      </c>
      <c r="BQ279">
        <f>IF(Table2912[[#This Row],[DMD '[mg/g']]]&gt;Y$10,_xlfn.NORM.DIST(Table2912[[#This Row],[DMD '[mg/g']]],Y$6,Y$2,FALSE),-100)</f>
        <v>-100</v>
      </c>
      <c r="BR279">
        <f>IF(Table2912[[#This Row],[CH4 '[ml/g']]]&lt;Z$10,_xlfn.NORM.DIST(Table2912[[#This Row],[CH4 '[ml/g']]],Z$6,Z$2,FALSE),-100)</f>
        <v>-100</v>
      </c>
      <c r="BS279">
        <f>IF(Table2912[[#This Row],[CH4 '[% GP']]]&lt;AA$10,_xlfn.NORM.DIST(Table2912[[#This Row],[CH4 '[% GP']]],AA$6,AA$2,FALSE),-100)</f>
        <v>-100</v>
      </c>
      <c r="BT279">
        <f>IF(Table2912[[#This Row],[CH4 '[g/g DDM']]]&lt;AB$10,_xlfn.NORM.DIST(Table2912[[#This Row],[CH4 '[g/g DDM']]],AB$6,AB$2,FALSE),-100)</f>
        <v>-100</v>
      </c>
    </row>
    <row r="280" spans="1:72" x14ac:dyDescent="0.25">
      <c r="A280" s="12" t="s">
        <v>70</v>
      </c>
      <c r="B280" s="13">
        <v>987</v>
      </c>
      <c r="C280" s="96" t="s">
        <v>370</v>
      </c>
      <c r="D280" s="96"/>
      <c r="E280" s="96"/>
      <c r="F280" s="96" t="s">
        <v>371</v>
      </c>
      <c r="G280" t="s">
        <v>73</v>
      </c>
      <c r="H280" t="s">
        <v>74</v>
      </c>
      <c r="I280" t="s">
        <v>75</v>
      </c>
      <c r="J280" s="100">
        <v>2</v>
      </c>
      <c r="K280" s="100"/>
      <c r="L280" s="100"/>
      <c r="M280" t="s">
        <v>371</v>
      </c>
      <c r="N280" t="s">
        <v>180</v>
      </c>
      <c r="O280" s="18">
        <v>297.28840194776473</v>
      </c>
      <c r="P280" s="18">
        <v>7.1318061088977407</v>
      </c>
      <c r="Q280" s="97">
        <v>0.66724928983893683</v>
      </c>
      <c r="R280" s="97">
        <v>0.1558657096014236</v>
      </c>
      <c r="S280" s="97">
        <v>0.11805698894960881</v>
      </c>
      <c r="T280" s="97">
        <v>1.5277190285408091E-2</v>
      </c>
      <c r="U280" s="97">
        <v>1.6838790787463568E-3</v>
      </c>
      <c r="V280" s="97">
        <v>1.4059155672174556E-2</v>
      </c>
      <c r="W280" s="97">
        <v>2.7807786573701952E-2</v>
      </c>
      <c r="X280" s="51">
        <f t="shared" si="20"/>
        <v>6.113999102921813</v>
      </c>
      <c r="Y280" s="18">
        <v>803.4528552456843</v>
      </c>
      <c r="Z280" s="18">
        <v>43.603856152013094</v>
      </c>
      <c r="AA280" s="18">
        <f t="shared" si="21"/>
        <v>14.667190467684152</v>
      </c>
      <c r="AB280" s="18">
        <f t="shared" si="22"/>
        <v>54.2705845991171</v>
      </c>
      <c r="AC280" s="18">
        <f>$CP$15*Table2912[[#This Row],[DMD '[mg/g']]]+$CS$15*Table2912[[#This Row],[CH4 '[ml/g']]]+$CR$15*Table2912[[#This Row],[CH4 '[% GP']]]+$CQ$15*Table2912[[#This Row],[CH4 '[g/g DDM']]]</f>
        <v>16.430224357650822</v>
      </c>
      <c r="AD280" s="18">
        <f>_xlfn.RANK.AVG(Table2912[[#This Row],[Index]],Table2912[Index])</f>
        <v>243</v>
      </c>
      <c r="AE28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6.7122561363230169</v>
      </c>
      <c r="AF280" s="18">
        <f>Table2912[[#This Row],[CH4 '[ml/g']]]/Table2912[[#This Row],[APB]]</f>
        <v>6.496154983724943</v>
      </c>
      <c r="AG280" s="18">
        <f>Table2912[[#This Row],[Propionate '[%']]]/Table2912[[#This Row],[Acetate '[%']]]</f>
        <v>0.2335944181207702</v>
      </c>
      <c r="AH280" s="51"/>
      <c r="AI280" s="18"/>
      <c r="AJ280" s="18"/>
      <c r="AK280" s="18">
        <f>(Table2912[[#This Row],[DMD '[mg/g']]]-$AK$15)/$AK$15*100</f>
        <v>63.873278451245305</v>
      </c>
      <c r="AL280" s="18">
        <f>(Table2912[[#This Row],[CH4 '[ml/g']]]-AL$15)/AL$15*100</f>
        <v>10.860433356479493</v>
      </c>
      <c r="AM280" s="18">
        <f>(Table2912[[#This Row],[CH4 '[% GP']]]-AM$15)/AM$15*100</f>
        <v>-5.5092373917423592</v>
      </c>
      <c r="AN280" s="18">
        <f>(Table2912[[#This Row],[CH4 '[g/g DDM']]]-AN$15)/AN$15*100</f>
        <v>5.965104185670592</v>
      </c>
      <c r="AO280" s="18"/>
      <c r="AP280" s="18"/>
      <c r="AR280">
        <f>_xlfn.NORM.DIST(Table2912[[#This Row],[GP '[ml/g']]],O$6,O$2,FALSE)</f>
        <v>5.502086817623055E-3</v>
      </c>
      <c r="AS280">
        <f>_xlfn.NORM.DIST(Table2912[[#This Row],[SCFA '[mmol/g']]],P$6,P$2,FALSE)</f>
        <v>0.29427288722510531</v>
      </c>
      <c r="AT280">
        <f>_xlfn.NORM.DIST(Table2912[[#This Row],[Acetate '[%']]],Q$6,Q$2,FALSE)</f>
        <v>13.730741974709586</v>
      </c>
      <c r="AU280">
        <f>_xlfn.NORM.DIST(Table2912[[#This Row],[Propionate '[%']]],R$6,R$2,FALSE)</f>
        <v>13.383834663341524</v>
      </c>
      <c r="AV280">
        <f>_xlfn.NORM.DIST(Table2912[[#This Row],[Butyrate '[%']]],S$6,S$2,FALSE)</f>
        <v>8.0373790733746695</v>
      </c>
      <c r="AW280">
        <f>_xlfn.NORM.DIST(Table2912[[#This Row],[Valerate '[%']]],T$6,T$2,FALSE)</f>
        <v>69.55829477566644</v>
      </c>
      <c r="AX280">
        <f>_xlfn.NORM.DIST(Table2912[[#This Row],[Caproate '[%']]],U$6,U$2,FALSE)</f>
        <v>381.67988830135545</v>
      </c>
      <c r="AY280">
        <f>_xlfn.NORM.DIST(Table2912[[#This Row],[Isobutyrate '[%']]],V$6,V$2,FALSE)</f>
        <v>86.584707765033258</v>
      </c>
      <c r="AZ280">
        <f>_xlfn.NORM.DIST(Table2912[[#This Row],[Isovalerate '[%']]],W$6,W$2,FALSE)</f>
        <v>45.427650252524117</v>
      </c>
      <c r="BA280">
        <f>_xlfn.NORM.DIST(Table2912[[#This Row],[CH4 '[g/mmol SCFA']]],X$6,X$2,FALSE)</f>
        <v>0.29506335241364956</v>
      </c>
      <c r="BB280">
        <f>_xlfn.NORM.DIST(Table2912[[#This Row],[DMD '[mg/g']]],Y$6,Y$2,FALSE)</f>
        <v>2.857919038929829E-3</v>
      </c>
      <c r="BC280">
        <f>_xlfn.NORM.DIST(Table2912[[#This Row],[CH4 '[ml/g']]],Z$6,Z$2,FALSE)</f>
        <v>3.2935970879750337E-2</v>
      </c>
      <c r="BD280">
        <f>_xlfn.NORM.DIST(Table2912[[#This Row],[CH4 '[% GP']]],AA$6,AA$2,FALSE)</f>
        <v>0.12045206408935026</v>
      </c>
      <c r="BE280">
        <f>_xlfn.NORM.DIST(Table2912[[#This Row],[CH4 '[g/g DDM']]],AB$6,AB$2,FALSE)</f>
        <v>3.2758720808122636E-2</v>
      </c>
      <c r="BG280">
        <f>IF(Table2912[[#This Row],[GP '[ml/g']]]&lt;O$10,_xlfn.NORM.DIST(Table2912[[#This Row],[GP '[ml/g']]],O$6,O$2,FALSE),-100)</f>
        <v>-100</v>
      </c>
      <c r="BH280">
        <f>IF(Table2912[[#This Row],[SCFA '[mmol/g']]]&lt;P$10,_xlfn.NORM.DIST(Table2912[[#This Row],[SCFA '[mmol/g']]],P$6,P$2,FALSE),-100)</f>
        <v>-100</v>
      </c>
      <c r="BI280">
        <f>IF(Table2912[[#This Row],[Acetate '[%']]]&lt;Q$10,_xlfn.NORM.DIST(Table2912[[#This Row],[Acetate '[%']]],Q$6,Q$2,FALSE),-100)</f>
        <v>-100</v>
      </c>
      <c r="BJ280">
        <f>IF(Table2912[[#This Row],[Propionate '[%']]]&lt;R$10,_xlfn.NORM.DIST(Table2912[[#This Row],[Propionate '[%']]],R$6,R$2,FALSE),-100)</f>
        <v>-100</v>
      </c>
      <c r="BK280">
        <f>IF(Table2912[[#This Row],[Butyrate '[%']]]&lt;S$10,_xlfn.NORM.DIST(Table2912[[#This Row],[Butyrate '[%']]],S$6,S$2,FALSE),-100)</f>
        <v>-100</v>
      </c>
      <c r="BL280">
        <f>IF(Table2912[[#This Row],[Valerate '[%']]]&lt;T$10,_xlfn.NORM.DIST(Table2912[[#This Row],[Valerate '[%']]],T$6,T$2,FALSE),-100)</f>
        <v>-100</v>
      </c>
      <c r="BM280">
        <f>IF(Table2912[[#This Row],[Caproate '[%']]]&lt;U$10,_xlfn.NORM.DIST(Table2912[[#This Row],[Caproate '[%']]],U$6,U$2,FALSE),-100)</f>
        <v>-100</v>
      </c>
      <c r="BN280">
        <f>IF(Table2912[[#This Row],[Isobutyrate '[%']]]&lt;V$10,_xlfn.NORM.DIST(Table2912[[#This Row],[Isobutyrate '[%']]],V$6,V$2,FALSE),-100)</f>
        <v>-100</v>
      </c>
      <c r="BO280">
        <f>IF(Table2912[[#This Row],[Isovalerate '[%']]]&lt;W$10,_xlfn.NORM.DIST(Table2912[[#This Row],[Isovalerate '[%']]],W$6,W$2,FALSE),-100)</f>
        <v>-100</v>
      </c>
      <c r="BP280">
        <f>IF(Table2912[[#This Row],[CH4 '[g/mmol SCFA']]]&lt;X$10,_xlfn.NORM.DIST(Table2912[[#This Row],[CH4 '[g/mmol SCFA']]],X$6,X$2,FALSE),-100)</f>
        <v>-100</v>
      </c>
      <c r="BQ280">
        <f>IF(Table2912[[#This Row],[DMD '[mg/g']]]&gt;Y$10,_xlfn.NORM.DIST(Table2912[[#This Row],[DMD '[mg/g']]],Y$6,Y$2,FALSE),-100)</f>
        <v>-100</v>
      </c>
      <c r="BR280">
        <f>IF(Table2912[[#This Row],[CH4 '[ml/g']]]&lt;Z$10,_xlfn.NORM.DIST(Table2912[[#This Row],[CH4 '[ml/g']]],Z$6,Z$2,FALSE),-100)</f>
        <v>-100</v>
      </c>
      <c r="BS280">
        <f>IF(Table2912[[#This Row],[CH4 '[% GP']]]&lt;AA$10,_xlfn.NORM.DIST(Table2912[[#This Row],[CH4 '[% GP']]],AA$6,AA$2,FALSE),-100)</f>
        <v>-100</v>
      </c>
      <c r="BT280">
        <f>IF(Table2912[[#This Row],[CH4 '[g/g DDM']]]&lt;AB$10,_xlfn.NORM.DIST(Table2912[[#This Row],[CH4 '[g/g DDM']]],AB$6,AB$2,FALSE),-100)</f>
        <v>-100</v>
      </c>
    </row>
    <row r="281" spans="1:72" x14ac:dyDescent="0.25">
      <c r="A281" s="12" t="s">
        <v>86</v>
      </c>
      <c r="B281" s="13">
        <v>1088</v>
      </c>
      <c r="C281" s="104" t="s">
        <v>288</v>
      </c>
      <c r="D281" s="104" t="s">
        <v>289</v>
      </c>
      <c r="E281" s="104" t="s">
        <v>290</v>
      </c>
      <c r="F281" s="104" t="s">
        <v>291</v>
      </c>
      <c r="G281" s="32" t="s">
        <v>143</v>
      </c>
      <c r="H281" s="32" t="s">
        <v>144</v>
      </c>
      <c r="I281" s="32" t="s">
        <v>52</v>
      </c>
      <c r="J281" s="100">
        <v>2</v>
      </c>
      <c r="K281" s="100"/>
      <c r="L281" s="100"/>
      <c r="M281" t="s">
        <v>291</v>
      </c>
      <c r="N281" t="s">
        <v>124</v>
      </c>
      <c r="O281" s="18">
        <v>290.75831146106685</v>
      </c>
      <c r="P281" s="18">
        <v>7.1039769494677589</v>
      </c>
      <c r="Q281" s="97">
        <v>0.67448889476015017</v>
      </c>
      <c r="R281" s="97">
        <v>0.17787540968558924</v>
      </c>
      <c r="S281" s="97">
        <v>8.3143318999893745E-2</v>
      </c>
      <c r="T281" s="97">
        <v>1.7487248760330192E-2</v>
      </c>
      <c r="U281" s="97">
        <v>1.4162048260867722E-3</v>
      </c>
      <c r="V281" s="97">
        <v>1.7079461018612359E-2</v>
      </c>
      <c r="W281" s="97">
        <v>2.8509461949337678E-2</v>
      </c>
      <c r="X281" s="51">
        <f t="shared" si="20"/>
        <v>7.3714075189506563</v>
      </c>
      <c r="Y281" s="18">
        <v>805.42041159393375</v>
      </c>
      <c r="Z281" s="18">
        <v>52.366309099758787</v>
      </c>
      <c r="AA281" s="18">
        <f t="shared" si="21"/>
        <v>18.010253545846012</v>
      </c>
      <c r="AB281" s="18">
        <f t="shared" si="22"/>
        <v>65.017360307675119</v>
      </c>
      <c r="AC281" s="18">
        <f>$CP$15*Table2912[[#This Row],[DMD '[mg/g']]]+$CS$15*Table2912[[#This Row],[CH4 '[ml/g']]]+$CR$15*Table2912[[#This Row],[CH4 '[% GP']]]+$CQ$15*Table2912[[#This Row],[CH4 '[g/g DDM']]]</f>
        <v>11.213257136405687</v>
      </c>
      <c r="AD281" s="18">
        <f>_xlfn.RANK.AVG(Table2912[[#This Row],[Index]],Table2912[Index])</f>
        <v>343</v>
      </c>
      <c r="AE28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6.6458245930091415</v>
      </c>
      <c r="AF281" s="18">
        <f>Table2912[[#This Row],[CH4 '[ml/g']]]/Table2912[[#This Row],[APB]]</f>
        <v>7.8795803841774301</v>
      </c>
      <c r="AG281" s="18">
        <f>Table2912[[#This Row],[Propionate '[%']]]/Table2912[[#This Row],[Acetate '[%']]]</f>
        <v>0.26371881148442355</v>
      </c>
      <c r="AH281" s="51"/>
      <c r="AI281" s="18"/>
      <c r="AJ281" s="18"/>
      <c r="AK281" s="18">
        <f>(Table2912[[#This Row],[DMD '[mg/g']]]-$AK$15)/$AK$15*100</f>
        <v>64.274583776405436</v>
      </c>
      <c r="AL281" s="18">
        <f>(Table2912[[#This Row],[CH4 '[ml/g']]]-AL$15)/AL$15*100</f>
        <v>33.13849352772425</v>
      </c>
      <c r="AM281" s="18">
        <f>(Table2912[[#This Row],[CH4 '[% GP']]]-AM$15)/AM$15*100</f>
        <v>16.027851146039477</v>
      </c>
      <c r="AN281" s="18">
        <f>(Table2912[[#This Row],[CH4 '[g/g DDM']]]-AN$15)/AN$15*100</f>
        <v>26.94853777182567</v>
      </c>
      <c r="AO281" s="18"/>
      <c r="AP281" s="18"/>
      <c r="AR281">
        <f>_xlfn.NORM.DIST(Table2912[[#This Row],[GP '[ml/g']]],O$6,O$2,FALSE)</f>
        <v>6.0109524425155034E-3</v>
      </c>
      <c r="AS281">
        <f>_xlfn.NORM.DIST(Table2912[[#This Row],[SCFA '[mmol/g']]],P$6,P$2,FALSE)</f>
        <v>0.29759819943304888</v>
      </c>
      <c r="AT281">
        <f>_xlfn.NORM.DIST(Table2912[[#This Row],[Acetate '[%']]],Q$6,Q$2,FALSE)</f>
        <v>14.010779108735852</v>
      </c>
      <c r="AU281">
        <f>_xlfn.NORM.DIST(Table2912[[#This Row],[Propionate '[%']]],R$6,R$2,FALSE)</f>
        <v>16.262744705257507</v>
      </c>
      <c r="AV281">
        <f>_xlfn.NORM.DIST(Table2912[[#This Row],[Butyrate '[%']]],S$6,S$2,FALSE)</f>
        <v>19.638164936852895</v>
      </c>
      <c r="AW281">
        <f>_xlfn.NORM.DIST(Table2912[[#This Row],[Valerate '[%']]],T$6,T$2,FALSE)</f>
        <v>77.35227712689472</v>
      </c>
      <c r="AX281">
        <f>_xlfn.NORM.DIST(Table2912[[#This Row],[Caproate '[%']]],U$6,U$2,FALSE)</f>
        <v>405.45367888644478</v>
      </c>
      <c r="AY281">
        <f>_xlfn.NORM.DIST(Table2912[[#This Row],[Isobutyrate '[%']]],V$6,V$2,FALSE)</f>
        <v>83.28784123422929</v>
      </c>
      <c r="AZ281">
        <f>_xlfn.NORM.DIST(Table2912[[#This Row],[Isovalerate '[%']]],W$6,W$2,FALSE)</f>
        <v>45.318852440978489</v>
      </c>
      <c r="BA281">
        <f>_xlfn.NORM.DIST(Table2912[[#This Row],[CH4 '[g/mmol SCFA']]],X$6,X$2,FALSE)</f>
        <v>0.21395417475878806</v>
      </c>
      <c r="BB281">
        <f>_xlfn.NORM.DIST(Table2912[[#This Row],[DMD '[mg/g']]],Y$6,Y$2,FALSE)</f>
        <v>2.8493875136556307E-3</v>
      </c>
      <c r="BC281">
        <f>_xlfn.NORM.DIST(Table2912[[#This Row],[CH4 '[ml/g']]],Z$6,Z$2,FALSE)</f>
        <v>2.1920675524373552E-2</v>
      </c>
      <c r="BD281">
        <f>_xlfn.NORM.DIST(Table2912[[#This Row],[CH4 '[% GP']]],AA$6,AA$2,FALSE)</f>
        <v>0.10865227772612919</v>
      </c>
      <c r="BE281">
        <f>_xlfn.NORM.DIST(Table2912[[#This Row],[CH4 '[g/g DDM']]],AB$6,AB$2,FALSE)</f>
        <v>2.071366053126061E-2</v>
      </c>
      <c r="BG281">
        <f>IF(Table2912[[#This Row],[GP '[ml/g']]]&lt;O$10,_xlfn.NORM.DIST(Table2912[[#This Row],[GP '[ml/g']]],O$6,O$2,FALSE),-100)</f>
        <v>-100</v>
      </c>
      <c r="BH281">
        <f>IF(Table2912[[#This Row],[SCFA '[mmol/g']]]&lt;P$10,_xlfn.NORM.DIST(Table2912[[#This Row],[SCFA '[mmol/g']]],P$6,P$2,FALSE),-100)</f>
        <v>-100</v>
      </c>
      <c r="BI281">
        <f>IF(Table2912[[#This Row],[Acetate '[%']]]&lt;Q$10,_xlfn.NORM.DIST(Table2912[[#This Row],[Acetate '[%']]],Q$6,Q$2,FALSE),-100)</f>
        <v>-100</v>
      </c>
      <c r="BJ281">
        <f>IF(Table2912[[#This Row],[Propionate '[%']]]&lt;R$10,_xlfn.NORM.DIST(Table2912[[#This Row],[Propionate '[%']]],R$6,R$2,FALSE),-100)</f>
        <v>-100</v>
      </c>
      <c r="BK281">
        <f>IF(Table2912[[#This Row],[Butyrate '[%']]]&lt;S$10,_xlfn.NORM.DIST(Table2912[[#This Row],[Butyrate '[%']]],S$6,S$2,FALSE),-100)</f>
        <v>-100</v>
      </c>
      <c r="BL281">
        <f>IF(Table2912[[#This Row],[Valerate '[%']]]&lt;T$10,_xlfn.NORM.DIST(Table2912[[#This Row],[Valerate '[%']]],T$6,T$2,FALSE),-100)</f>
        <v>-100</v>
      </c>
      <c r="BM281">
        <f>IF(Table2912[[#This Row],[Caproate '[%']]]&lt;U$10,_xlfn.NORM.DIST(Table2912[[#This Row],[Caproate '[%']]],U$6,U$2,FALSE),-100)</f>
        <v>-100</v>
      </c>
      <c r="BN281">
        <f>IF(Table2912[[#This Row],[Isobutyrate '[%']]]&lt;V$10,_xlfn.NORM.DIST(Table2912[[#This Row],[Isobutyrate '[%']]],V$6,V$2,FALSE),-100)</f>
        <v>-100</v>
      </c>
      <c r="BO281">
        <f>IF(Table2912[[#This Row],[Isovalerate '[%']]]&lt;W$10,_xlfn.NORM.DIST(Table2912[[#This Row],[Isovalerate '[%']]],W$6,W$2,FALSE),-100)</f>
        <v>-100</v>
      </c>
      <c r="BP281">
        <f>IF(Table2912[[#This Row],[CH4 '[g/mmol SCFA']]]&lt;X$10,_xlfn.NORM.DIST(Table2912[[#This Row],[CH4 '[g/mmol SCFA']]],X$6,X$2,FALSE),-100)</f>
        <v>-100</v>
      </c>
      <c r="BQ281">
        <f>IF(Table2912[[#This Row],[DMD '[mg/g']]]&gt;Y$10,_xlfn.NORM.DIST(Table2912[[#This Row],[DMD '[mg/g']]],Y$6,Y$2,FALSE),-100)</f>
        <v>-100</v>
      </c>
      <c r="BR281">
        <f>IF(Table2912[[#This Row],[CH4 '[ml/g']]]&lt;Z$10,_xlfn.NORM.DIST(Table2912[[#This Row],[CH4 '[ml/g']]],Z$6,Z$2,FALSE),-100)</f>
        <v>-100</v>
      </c>
      <c r="BS281">
        <f>IF(Table2912[[#This Row],[CH4 '[% GP']]]&lt;AA$10,_xlfn.NORM.DIST(Table2912[[#This Row],[CH4 '[% GP']]],AA$6,AA$2,FALSE),-100)</f>
        <v>-100</v>
      </c>
      <c r="BT281">
        <f>IF(Table2912[[#This Row],[CH4 '[g/g DDM']]]&lt;AB$10,_xlfn.NORM.DIST(Table2912[[#This Row],[CH4 '[g/g DDM']]],AB$6,AB$2,FALSE),-100)</f>
        <v>-100</v>
      </c>
    </row>
    <row r="282" spans="1:72" x14ac:dyDescent="0.25">
      <c r="A282" s="12" t="s">
        <v>70</v>
      </c>
      <c r="B282" s="13">
        <v>1012</v>
      </c>
      <c r="C282" s="96" t="s">
        <v>306</v>
      </c>
      <c r="D282" s="96"/>
      <c r="E282" s="96"/>
      <c r="F282" s="96" t="s">
        <v>307</v>
      </c>
      <c r="G282" t="s">
        <v>73</v>
      </c>
      <c r="H282" t="s">
        <v>74</v>
      </c>
      <c r="I282" t="s">
        <v>75</v>
      </c>
      <c r="J282" s="70">
        <v>3</v>
      </c>
      <c r="K282" s="70"/>
      <c r="L282" s="70"/>
      <c r="M282" t="s">
        <v>307</v>
      </c>
      <c r="N282" t="s">
        <v>81</v>
      </c>
      <c r="O282" s="18">
        <v>268.57152230971082</v>
      </c>
      <c r="P282" s="18">
        <v>7.682305336832898</v>
      </c>
      <c r="Q282" s="97">
        <v>0.68425697894572013</v>
      </c>
      <c r="R282" s="97">
        <v>0.14675359801842069</v>
      </c>
      <c r="S282" s="97">
        <v>0.11849616353723291</v>
      </c>
      <c r="T282" s="97">
        <v>1.335288339715575E-2</v>
      </c>
      <c r="U282" s="97">
        <v>1.181545119364528E-3</v>
      </c>
      <c r="V282" s="97">
        <v>1.3566415647643314E-2</v>
      </c>
      <c r="W282" s="97">
        <v>2.2392415334462679E-2</v>
      </c>
      <c r="X282" s="51">
        <f t="shared" si="20"/>
        <v>4.8892014762615252</v>
      </c>
      <c r="Y282" s="18">
        <v>805.77427821522303</v>
      </c>
      <c r="Z282" s="18">
        <v>37.560338593935199</v>
      </c>
      <c r="AA282" s="18">
        <f t="shared" si="21"/>
        <v>13.985227573987327</v>
      </c>
      <c r="AB282" s="18">
        <f t="shared" si="22"/>
        <v>46.613970698010789</v>
      </c>
      <c r="AC282" s="18">
        <f>$CP$15*Table2912[[#This Row],[DMD '[mg/g']]]+$CS$15*Table2912[[#This Row],[CH4 '[ml/g']]]+$CR$15*Table2912[[#This Row],[CH4 '[% GP']]]+$CQ$15*Table2912[[#This Row],[CH4 '[g/g DDM']]]</f>
        <v>19.953153046792089</v>
      </c>
      <c r="AD282" s="18">
        <f>_xlfn.RANK.AVG(Table2912[[#This Row],[Index]],Table2912[Index])</f>
        <v>162</v>
      </c>
      <c r="AE28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7.2944006999125133</v>
      </c>
      <c r="AF282" s="18">
        <f>Table2912[[#This Row],[CH4 '[ml/g']]]/Table2912[[#This Row],[APB]]</f>
        <v>5.1492014408237381</v>
      </c>
      <c r="AG282" s="18">
        <f>Table2912[[#This Row],[Propionate '[%']]]/Table2912[[#This Row],[Acetate '[%']]]</f>
        <v>0.21447146691077035</v>
      </c>
      <c r="AH282" s="51"/>
      <c r="AI282" s="18"/>
      <c r="AJ282" s="18"/>
      <c r="AK282" s="18">
        <f>(Table2912[[#This Row],[DMD '[mg/g']]]-$AK$15)/$AK$15*100</f>
        <v>64.346758867932621</v>
      </c>
      <c r="AL282" s="18">
        <f>(Table2912[[#This Row],[CH4 '[ml/g']]]-AL$15)/AL$15*100</f>
        <v>-4.504881425549855</v>
      </c>
      <c r="AM282" s="18">
        <f>(Table2912[[#This Row],[CH4 '[% GP']]]-AM$15)/AM$15*100</f>
        <v>-9.9026618882691064</v>
      </c>
      <c r="AN282" s="18">
        <f>(Table2912[[#This Row],[CH4 '[g/g DDM']]]-AN$15)/AN$15*100</f>
        <v>-8.9846866767883178</v>
      </c>
      <c r="AO282" s="18"/>
      <c r="AP282" s="18"/>
      <c r="AR282">
        <f>_xlfn.NORM.DIST(Table2912[[#This Row],[GP '[ml/g']]],O$6,O$2,FALSE)</f>
        <v>7.2582245292288124E-3</v>
      </c>
      <c r="AS282">
        <f>_xlfn.NORM.DIST(Table2912[[#This Row],[SCFA '[mmol/g']]],P$6,P$2,FALSE)</f>
        <v>0.21092244635951291</v>
      </c>
      <c r="AT282">
        <f>_xlfn.NORM.DIST(Table2912[[#This Row],[Acetate '[%']]],Q$6,Q$2,FALSE)</f>
        <v>12.992575993985367</v>
      </c>
      <c r="AU282">
        <f>_xlfn.NORM.DIST(Table2912[[#This Row],[Propionate '[%']]],R$6,R$2,FALSE)</f>
        <v>9.604232990199236</v>
      </c>
      <c r="AV282">
        <f>_xlfn.NORM.DIST(Table2912[[#This Row],[Butyrate '[%']]],S$6,S$2,FALSE)</f>
        <v>7.7445947372511394</v>
      </c>
      <c r="AW282">
        <f>_xlfn.NORM.DIST(Table2912[[#This Row],[Valerate '[%']]],T$6,T$2,FALSE)</f>
        <v>54.596972798707</v>
      </c>
      <c r="AX282">
        <f>_xlfn.NORM.DIST(Table2912[[#This Row],[Caproate '[%']]],U$6,U$2,FALSE)</f>
        <v>402.08379803267712</v>
      </c>
      <c r="AY282">
        <f>_xlfn.NORM.DIST(Table2912[[#This Row],[Isobutyrate '[%']]],V$6,V$2,FALSE)</f>
        <v>83.366979211137419</v>
      </c>
      <c r="AZ282">
        <f>_xlfn.NORM.DIST(Table2912[[#This Row],[Isovalerate '[%']]],W$6,W$2,FALSE)</f>
        <v>37.331677681594435</v>
      </c>
      <c r="BA282">
        <f>_xlfn.NORM.DIST(Table2912[[#This Row],[CH4 '[g/mmol SCFA']]],X$6,X$2,FALSE)</f>
        <v>0.17337906713886875</v>
      </c>
      <c r="BB282">
        <f>_xlfn.NORM.DIST(Table2912[[#This Row],[DMD '[mg/g']]],Y$6,Y$2,FALSE)</f>
        <v>2.8477933207553055E-3</v>
      </c>
      <c r="BC282">
        <f>_xlfn.NORM.DIST(Table2912[[#This Row],[CH4 '[ml/g']]],Z$6,Z$2,FALSE)</f>
        <v>3.1809965309030103E-2</v>
      </c>
      <c r="BD282">
        <f>_xlfn.NORM.DIST(Table2912[[#This Row],[CH4 '[% GP']]],AA$6,AA$2,FALSE)</f>
        <v>0.10519126352317416</v>
      </c>
      <c r="BE282">
        <f>_xlfn.NORM.DIST(Table2912[[#This Row],[CH4 '[g/g DDM']]],AB$6,AB$2,FALSE)</f>
        <v>2.8162188130517289E-2</v>
      </c>
      <c r="BG282">
        <f>IF(Table2912[[#This Row],[GP '[ml/g']]]&lt;O$10,_xlfn.NORM.DIST(Table2912[[#This Row],[GP '[ml/g']]],O$6,O$2,FALSE),-100)</f>
        <v>-100</v>
      </c>
      <c r="BH282">
        <f>IF(Table2912[[#This Row],[SCFA '[mmol/g']]]&lt;P$10,_xlfn.NORM.DIST(Table2912[[#This Row],[SCFA '[mmol/g']]],P$6,P$2,FALSE),-100)</f>
        <v>-100</v>
      </c>
      <c r="BI282">
        <f>IF(Table2912[[#This Row],[Acetate '[%']]]&lt;Q$10,_xlfn.NORM.DIST(Table2912[[#This Row],[Acetate '[%']]],Q$6,Q$2,FALSE),-100)</f>
        <v>-100</v>
      </c>
      <c r="BJ282">
        <f>IF(Table2912[[#This Row],[Propionate '[%']]]&lt;R$10,_xlfn.NORM.DIST(Table2912[[#This Row],[Propionate '[%']]],R$6,R$2,FALSE),-100)</f>
        <v>9.604232990199236</v>
      </c>
      <c r="BK282">
        <f>IF(Table2912[[#This Row],[Butyrate '[%']]]&lt;S$10,_xlfn.NORM.DIST(Table2912[[#This Row],[Butyrate '[%']]],S$6,S$2,FALSE),-100)</f>
        <v>-100</v>
      </c>
      <c r="BL282">
        <f>IF(Table2912[[#This Row],[Valerate '[%']]]&lt;T$10,_xlfn.NORM.DIST(Table2912[[#This Row],[Valerate '[%']]],T$6,T$2,FALSE),-100)</f>
        <v>-100</v>
      </c>
      <c r="BM282">
        <f>IF(Table2912[[#This Row],[Caproate '[%']]]&lt;U$10,_xlfn.NORM.DIST(Table2912[[#This Row],[Caproate '[%']]],U$6,U$2,FALSE),-100)</f>
        <v>-100</v>
      </c>
      <c r="BN282">
        <f>IF(Table2912[[#This Row],[Isobutyrate '[%']]]&lt;V$10,_xlfn.NORM.DIST(Table2912[[#This Row],[Isobutyrate '[%']]],V$6,V$2,FALSE),-100)</f>
        <v>-100</v>
      </c>
      <c r="BO282">
        <f>IF(Table2912[[#This Row],[Isovalerate '[%']]]&lt;W$10,_xlfn.NORM.DIST(Table2912[[#This Row],[Isovalerate '[%']]],W$6,W$2,FALSE),-100)</f>
        <v>-100</v>
      </c>
      <c r="BP282">
        <f>IF(Table2912[[#This Row],[CH4 '[g/mmol SCFA']]]&lt;X$10,_xlfn.NORM.DIST(Table2912[[#This Row],[CH4 '[g/mmol SCFA']]],X$6,X$2,FALSE),-100)</f>
        <v>0.17337906713886875</v>
      </c>
      <c r="BQ282">
        <f>IF(Table2912[[#This Row],[DMD '[mg/g']]]&gt;Y$10,_xlfn.NORM.DIST(Table2912[[#This Row],[DMD '[mg/g']]],Y$6,Y$2,FALSE),-100)</f>
        <v>-100</v>
      </c>
      <c r="BR282">
        <f>IF(Table2912[[#This Row],[CH4 '[ml/g']]]&lt;Z$10,_xlfn.NORM.DIST(Table2912[[#This Row],[CH4 '[ml/g']]],Z$6,Z$2,FALSE),-100)</f>
        <v>-100</v>
      </c>
      <c r="BS282">
        <f>IF(Table2912[[#This Row],[CH4 '[% GP']]]&lt;AA$10,_xlfn.NORM.DIST(Table2912[[#This Row],[CH4 '[% GP']]],AA$6,AA$2,FALSE),-100)</f>
        <v>-100</v>
      </c>
      <c r="BT282">
        <f>IF(Table2912[[#This Row],[CH4 '[g/g DDM']]]&lt;AB$10,_xlfn.NORM.DIST(Table2912[[#This Row],[CH4 '[g/g DDM']]],AB$6,AB$2,FALSE),-100)</f>
        <v>-100</v>
      </c>
    </row>
    <row r="283" spans="1:72" x14ac:dyDescent="0.25">
      <c r="A283" s="12" t="s">
        <v>200</v>
      </c>
      <c r="B283" s="13">
        <v>1261</v>
      </c>
      <c r="C283" s="113" t="s">
        <v>326</v>
      </c>
      <c r="D283" s="113" t="s">
        <v>327</v>
      </c>
      <c r="E283" s="113" t="s">
        <v>328</v>
      </c>
      <c r="F283" s="114" t="s">
        <v>329</v>
      </c>
      <c r="G283" t="s">
        <v>73</v>
      </c>
      <c r="H283" t="s">
        <v>74</v>
      </c>
      <c r="I283" t="s">
        <v>75</v>
      </c>
      <c r="J283" s="107">
        <v>1</v>
      </c>
      <c r="K283" s="107"/>
      <c r="L283" s="107"/>
      <c r="M283" t="s">
        <v>330</v>
      </c>
      <c r="N283" t="s">
        <v>363</v>
      </c>
      <c r="O283" s="18">
        <v>229.05698853615448</v>
      </c>
      <c r="P283" s="18">
        <v>5.9421651382702123</v>
      </c>
      <c r="Q283" s="97">
        <v>0.7191786557486517</v>
      </c>
      <c r="R283" s="97">
        <v>0.17227418366026803</v>
      </c>
      <c r="S283" s="97">
        <v>7.2203458805763399E-2</v>
      </c>
      <c r="T283" s="97">
        <v>1.2021202828168546E-2</v>
      </c>
      <c r="U283" s="97">
        <v>3.7897475093789484E-4</v>
      </c>
      <c r="V283" s="97">
        <v>8.9691763313421193E-3</v>
      </c>
      <c r="W283" s="97">
        <v>1.4974347874868128E-2</v>
      </c>
      <c r="X283" s="51">
        <f t="shared" si="20"/>
        <v>6.8752468582093034</v>
      </c>
      <c r="Y283" s="18">
        <v>806.80162564220541</v>
      </c>
      <c r="Z283" s="18">
        <v>40.853852197853129</v>
      </c>
      <c r="AA283" s="18">
        <f t="shared" si="21"/>
        <v>17.835671576291912</v>
      </c>
      <c r="AB283" s="18">
        <f t="shared" si="22"/>
        <v>50.636799554455415</v>
      </c>
      <c r="AC283" s="18">
        <f>$CP$15*Table2912[[#This Row],[DMD '[mg/g']]]+$CS$15*Table2912[[#This Row],[CH4 '[ml/g']]]+$CR$15*Table2912[[#This Row],[CH4 '[% GP']]]+$CQ$15*Table2912[[#This Row],[CH4 '[g/g DDM']]]</f>
        <v>17.242695418445621</v>
      </c>
      <c r="AD283" s="18">
        <f>_xlfn.RANK.AVG(Table2912[[#This Row],[Index]],Table2912[Index])</f>
        <v>223</v>
      </c>
      <c r="AE28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5.7262048605258133</v>
      </c>
      <c r="AF283" s="18">
        <f>Table2912[[#This Row],[CH4 '[ml/g']]]/Table2912[[#This Row],[APB]]</f>
        <v>7.1345425448333843</v>
      </c>
      <c r="AG283" s="18">
        <f>Table2912[[#This Row],[Propionate '[%']]]/Table2912[[#This Row],[Acetate '[%']]]</f>
        <v>0.23954295957370117</v>
      </c>
      <c r="AH283" s="51"/>
      <c r="AI283" s="18"/>
      <c r="AJ283" s="18"/>
      <c r="AK283" s="18">
        <f>(Table2912[[#This Row],[DMD '[mg/g']]]-$AK$15)/$AK$15*100</f>
        <v>64.55629797140196</v>
      </c>
      <c r="AL283" s="18">
        <f>(Table2912[[#This Row],[CH4 '[ml/g']]]-AL$15)/AL$15*100</f>
        <v>3.8686978313605556</v>
      </c>
      <c r="AM283" s="18">
        <f>(Table2912[[#This Row],[CH4 '[% GP']]]-AM$15)/AM$15*100</f>
        <v>14.903137897298032</v>
      </c>
      <c r="AN283" s="18">
        <f>(Table2912[[#This Row],[CH4 '[g/g DDM']]]-AN$15)/AN$15*100</f>
        <v>-1.1299808164572716</v>
      </c>
      <c r="AO283" s="18"/>
      <c r="AP283" s="18"/>
      <c r="AR283">
        <f>_xlfn.NORM.DIST(Table2912[[#This Row],[GP '[ml/g']]],O$6,O$2,FALSE)</f>
        <v>6.6154502817191525E-3</v>
      </c>
      <c r="AS283">
        <f>_xlfn.NORM.DIST(Table2912[[#This Row],[SCFA '[mmol/g']]],P$6,P$2,FALSE)</f>
        <v>0.29415393057548628</v>
      </c>
      <c r="AT283">
        <f>_xlfn.NORM.DIST(Table2912[[#This Row],[Acetate '[%']]],Q$6,Q$2,FALSE)</f>
        <v>3.7809595035241017</v>
      </c>
      <c r="AU283">
        <f>_xlfn.NORM.DIST(Table2912[[#This Row],[Propionate '[%']]],R$6,R$2,FALSE)</f>
        <v>16.788621725252135</v>
      </c>
      <c r="AV283">
        <f>_xlfn.NORM.DIST(Table2912[[#This Row],[Butyrate '[%']]],S$6,S$2,FALSE)</f>
        <v>11.263441026931963</v>
      </c>
      <c r="AW283">
        <f>_xlfn.NORM.DIST(Table2912[[#This Row],[Valerate '[%']]],T$6,T$2,FALSE)</f>
        <v>42.554391754792064</v>
      </c>
      <c r="AX283">
        <f>_xlfn.NORM.DIST(Table2912[[#This Row],[Caproate '[%']]],U$6,U$2,FALSE)</f>
        <v>253.4305012397617</v>
      </c>
      <c r="AY283">
        <f>_xlfn.NORM.DIST(Table2912[[#This Row],[Isobutyrate '[%']]],V$6,V$2,FALSE)</f>
        <v>32.212909636571673</v>
      </c>
      <c r="AZ283">
        <f>_xlfn.NORM.DIST(Table2912[[#This Row],[Isovalerate '[%']]],W$6,W$2,FALSE)</f>
        <v>15.3899957872234</v>
      </c>
      <c r="BA283">
        <f>_xlfn.NORM.DIST(Table2912[[#This Row],[CH4 '[g/mmol SCFA']]],X$6,X$2,FALSE)</f>
        <v>0.26976431593612449</v>
      </c>
      <c r="BB283">
        <f>_xlfn.NORM.DIST(Table2912[[#This Row],[DMD '[mg/g']]],Y$6,Y$2,FALSE)</f>
        <v>2.8430623292822524E-3</v>
      </c>
      <c r="BC283">
        <f>_xlfn.NORM.DIST(Table2912[[#This Row],[CH4 '[ml/g']]],Z$6,Z$2,FALSE)</f>
        <v>3.3471041673270897E-2</v>
      </c>
      <c r="BD283">
        <f>_xlfn.NORM.DIST(Table2912[[#This Row],[CH4 '[% GP']]],AA$6,AA$2,FALSE)</f>
        <v>0.11273900586289984</v>
      </c>
      <c r="BE283">
        <f>_xlfn.NORM.DIST(Table2912[[#This Row],[CH4 '[g/g DDM']]],AB$6,AB$2,FALSE)</f>
        <v>3.2039834359402879E-2</v>
      </c>
      <c r="BG283">
        <f>IF(Table2912[[#This Row],[GP '[ml/g']]]&lt;O$10,_xlfn.NORM.DIST(Table2912[[#This Row],[GP '[ml/g']]],O$6,O$2,FALSE),-100)</f>
        <v>-100</v>
      </c>
      <c r="BH283">
        <f>IF(Table2912[[#This Row],[SCFA '[mmol/g']]]&lt;P$10,_xlfn.NORM.DIST(Table2912[[#This Row],[SCFA '[mmol/g']]],P$6,P$2,FALSE),-100)</f>
        <v>-100</v>
      </c>
      <c r="BI283">
        <f>IF(Table2912[[#This Row],[Acetate '[%']]]&lt;Q$10,_xlfn.NORM.DIST(Table2912[[#This Row],[Acetate '[%']]],Q$6,Q$2,FALSE),-100)</f>
        <v>-100</v>
      </c>
      <c r="BJ283">
        <f>IF(Table2912[[#This Row],[Propionate '[%']]]&lt;R$10,_xlfn.NORM.DIST(Table2912[[#This Row],[Propionate '[%']]],R$6,R$2,FALSE),-100)</f>
        <v>-100</v>
      </c>
      <c r="BK283">
        <f>IF(Table2912[[#This Row],[Butyrate '[%']]]&lt;S$10,_xlfn.NORM.DIST(Table2912[[#This Row],[Butyrate '[%']]],S$6,S$2,FALSE),-100)</f>
        <v>11.263441026931963</v>
      </c>
      <c r="BL283">
        <f>IF(Table2912[[#This Row],[Valerate '[%']]]&lt;T$10,_xlfn.NORM.DIST(Table2912[[#This Row],[Valerate '[%']]],T$6,T$2,FALSE),-100)</f>
        <v>42.554391754792064</v>
      </c>
      <c r="BM283">
        <f>IF(Table2912[[#This Row],[Caproate '[%']]]&lt;U$10,_xlfn.NORM.DIST(Table2912[[#This Row],[Caproate '[%']]],U$6,U$2,FALSE),-100)</f>
        <v>-100</v>
      </c>
      <c r="BN283">
        <f>IF(Table2912[[#This Row],[Isobutyrate '[%']]]&lt;V$10,_xlfn.NORM.DIST(Table2912[[#This Row],[Isobutyrate '[%']]],V$6,V$2,FALSE),-100)</f>
        <v>32.212909636571673</v>
      </c>
      <c r="BO283">
        <f>IF(Table2912[[#This Row],[Isovalerate '[%']]]&lt;W$10,_xlfn.NORM.DIST(Table2912[[#This Row],[Isovalerate '[%']]],W$6,W$2,FALSE),-100)</f>
        <v>15.3899957872234</v>
      </c>
      <c r="BP283">
        <f>IF(Table2912[[#This Row],[CH4 '[g/mmol SCFA']]]&lt;X$10,_xlfn.NORM.DIST(Table2912[[#This Row],[CH4 '[g/mmol SCFA']]],X$6,X$2,FALSE),-100)</f>
        <v>-100</v>
      </c>
      <c r="BQ283">
        <f>IF(Table2912[[#This Row],[DMD '[mg/g']]]&gt;Y$10,_xlfn.NORM.DIST(Table2912[[#This Row],[DMD '[mg/g']]],Y$6,Y$2,FALSE),-100)</f>
        <v>-100</v>
      </c>
      <c r="BR283">
        <f>IF(Table2912[[#This Row],[CH4 '[ml/g']]]&lt;Z$10,_xlfn.NORM.DIST(Table2912[[#This Row],[CH4 '[ml/g']]],Z$6,Z$2,FALSE),-100)</f>
        <v>-100</v>
      </c>
      <c r="BS283">
        <f>IF(Table2912[[#This Row],[CH4 '[% GP']]]&lt;AA$10,_xlfn.NORM.DIST(Table2912[[#This Row],[CH4 '[% GP']]],AA$6,AA$2,FALSE),-100)</f>
        <v>-100</v>
      </c>
      <c r="BT283">
        <f>IF(Table2912[[#This Row],[CH4 '[g/g DDM']]]&lt;AB$10,_xlfn.NORM.DIST(Table2912[[#This Row],[CH4 '[g/g DDM']]],AB$6,AB$2,FALSE),-100)</f>
        <v>-100</v>
      </c>
    </row>
    <row r="284" spans="1:72" x14ac:dyDescent="0.25">
      <c r="A284" s="12" t="s">
        <v>70</v>
      </c>
      <c r="B284" s="13">
        <v>1042</v>
      </c>
      <c r="C284" s="96" t="s">
        <v>336</v>
      </c>
      <c r="D284" s="96"/>
      <c r="E284" s="96"/>
      <c r="F284" s="96" t="s">
        <v>337</v>
      </c>
      <c r="G284" t="s">
        <v>143</v>
      </c>
      <c r="H284" t="s">
        <v>144</v>
      </c>
      <c r="I284" t="s">
        <v>52</v>
      </c>
      <c r="J284" s="100">
        <v>3</v>
      </c>
      <c r="K284" s="100"/>
      <c r="L284" s="100"/>
      <c r="M284" t="s">
        <v>337</v>
      </c>
      <c r="N284" t="s">
        <v>84</v>
      </c>
      <c r="O284" s="18">
        <v>283.82497249724935</v>
      </c>
      <c r="P284" s="18">
        <v>7.9017601760176017</v>
      </c>
      <c r="Q284" s="97">
        <v>0.66832806604758654</v>
      </c>
      <c r="R284" s="97">
        <v>0.17161058526938697</v>
      </c>
      <c r="S284" s="97">
        <v>9.6976284286641595E-2</v>
      </c>
      <c r="T284" s="97">
        <v>1.6303609437978352E-2</v>
      </c>
      <c r="U284" s="97">
        <v>1.2831544465075554E-3</v>
      </c>
      <c r="V284" s="97">
        <v>1.8205697205742496E-2</v>
      </c>
      <c r="W284" s="97">
        <v>3.1565599384085867E-2</v>
      </c>
      <c r="X284" s="51">
        <f t="shared" si="20"/>
        <v>6.0068872528077151</v>
      </c>
      <c r="Y284" s="18">
        <v>807.04705928760211</v>
      </c>
      <c r="Z284" s="18">
        <v>47.464982476063781</v>
      </c>
      <c r="AA284" s="18">
        <f t="shared" si="21"/>
        <v>16.723328486017479</v>
      </c>
      <c r="AB284" s="18">
        <f t="shared" si="22"/>
        <v>58.813153371703187</v>
      </c>
      <c r="AC284" s="18">
        <f>$CP$15*Table2912[[#This Row],[DMD '[mg/g']]]+$CS$15*Table2912[[#This Row],[CH4 '[ml/g']]]+$CR$15*Table2912[[#This Row],[CH4 '[% GP']]]+$CQ$15*Table2912[[#This Row],[CH4 '[g/g DDM']]]</f>
        <v>14.272491197468085</v>
      </c>
      <c r="AD284" s="18">
        <f>_xlfn.RANK.AVG(Table2912[[#This Row],[Index]],Table2912[Index])</f>
        <v>285</v>
      </c>
      <c r="AE28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7.4032771264687423</v>
      </c>
      <c r="AF284" s="18">
        <f>Table2912[[#This Row],[CH4 '[ml/g']]]/Table2912[[#This Row],[APB]]</f>
        <v>6.4113475242421325</v>
      </c>
      <c r="AG284" s="18">
        <f>Table2912[[#This Row],[Propionate '[%']]]/Table2912[[#This Row],[Acetate '[%']]]</f>
        <v>0.25677596675577574</v>
      </c>
      <c r="AH284" s="51"/>
      <c r="AI284" s="18"/>
      <c r="AJ284" s="18"/>
      <c r="AK284" s="18">
        <f>(Table2912[[#This Row],[DMD '[mg/g']]]-$AK$15)/$AK$15*100</f>
        <v>64.606356933605895</v>
      </c>
      <c r="AL284" s="18">
        <f>(Table2912[[#This Row],[CH4 '[ml/g']]]-AL$15)/AL$15*100</f>
        <v>20.677137091032289</v>
      </c>
      <c r="AM284" s="18">
        <f>(Table2912[[#This Row],[CH4 '[% GP']]]-AM$15)/AM$15*100</f>
        <v>7.737065627790467</v>
      </c>
      <c r="AN284" s="18">
        <f>(Table2912[[#This Row],[CH4 '[g/g DDM']]]-AN$15)/AN$15*100</f>
        <v>14.834619353294002</v>
      </c>
      <c r="AO284" s="18"/>
      <c r="AP284" s="18"/>
      <c r="AR284">
        <f>_xlfn.NORM.DIST(Table2912[[#This Row],[GP '[ml/g']]],O$6,O$2,FALSE)</f>
        <v>6.4953991055365654E-3</v>
      </c>
      <c r="AS284">
        <f>_xlfn.NORM.DIST(Table2912[[#This Row],[SCFA '[mmol/g']]],P$6,P$2,FALSE)</f>
        <v>0.17415767928767401</v>
      </c>
      <c r="AT284">
        <f>_xlfn.NORM.DIST(Table2912[[#This Row],[Acetate '[%']]],Q$6,Q$2,FALSE)</f>
        <v>13.828806733164653</v>
      </c>
      <c r="AU284">
        <f>_xlfn.NORM.DIST(Table2912[[#This Row],[Propionate '[%']]],R$6,R$2,FALSE)</f>
        <v>16.790099993656824</v>
      </c>
      <c r="AV284">
        <f>_xlfn.NORM.DIST(Table2912[[#This Row],[Butyrate '[%']]],S$6,S$2,FALSE)</f>
        <v>22.407797757575825</v>
      </c>
      <c r="AW284">
        <f>_xlfn.NORM.DIST(Table2912[[#This Row],[Valerate '[%']]],T$6,T$2,FALSE)</f>
        <v>74.765190830960734</v>
      </c>
      <c r="AX284">
        <f>_xlfn.NORM.DIST(Table2912[[#This Row],[Caproate '[%']]],U$6,U$2,FALSE)</f>
        <v>406.38739394939864</v>
      </c>
      <c r="AY284">
        <f>_xlfn.NORM.DIST(Table2912[[#This Row],[Isobutyrate '[%']]],V$6,V$2,FALSE)</f>
        <v>72.862314387869489</v>
      </c>
      <c r="AZ284">
        <f>_xlfn.NORM.DIST(Table2912[[#This Row],[Isovalerate '[%']]],W$6,W$2,FALSE)</f>
        <v>41.629797780672703</v>
      </c>
      <c r="BA284">
        <f>_xlfn.NORM.DIST(Table2912[[#This Row],[CH4 '[g/mmol SCFA']]],X$6,X$2,FALSE)</f>
        <v>0.29118457694512206</v>
      </c>
      <c r="BB284">
        <f>_xlfn.NORM.DIST(Table2912[[#This Row],[DMD '[mg/g']]],Y$6,Y$2,FALSE)</f>
        <v>2.8419095414338688E-3</v>
      </c>
      <c r="BC284">
        <f>_xlfn.NORM.DIST(Table2912[[#This Row],[CH4 '[ml/g']]],Z$6,Z$2,FALSE)</f>
        <v>2.9426901606662888E-2</v>
      </c>
      <c r="BD284">
        <f>_xlfn.NORM.DIST(Table2912[[#This Row],[CH4 '[% GP']]],AA$6,AA$2,FALSE)</f>
        <v>0.13146094808751788</v>
      </c>
      <c r="BE284">
        <f>_xlfn.NORM.DIST(Table2912[[#This Row],[CH4 '[g/g DDM']]],AB$6,AB$2,FALSE)</f>
        <v>2.9694897838969159E-2</v>
      </c>
      <c r="BG284">
        <f>IF(Table2912[[#This Row],[GP '[ml/g']]]&lt;O$10,_xlfn.NORM.DIST(Table2912[[#This Row],[GP '[ml/g']]],O$6,O$2,FALSE),-100)</f>
        <v>-100</v>
      </c>
      <c r="BH284">
        <f>IF(Table2912[[#This Row],[SCFA '[mmol/g']]]&lt;P$10,_xlfn.NORM.DIST(Table2912[[#This Row],[SCFA '[mmol/g']]],P$6,P$2,FALSE),-100)</f>
        <v>-100</v>
      </c>
      <c r="BI284">
        <f>IF(Table2912[[#This Row],[Acetate '[%']]]&lt;Q$10,_xlfn.NORM.DIST(Table2912[[#This Row],[Acetate '[%']]],Q$6,Q$2,FALSE),-100)</f>
        <v>-100</v>
      </c>
      <c r="BJ284">
        <f>IF(Table2912[[#This Row],[Propionate '[%']]]&lt;R$10,_xlfn.NORM.DIST(Table2912[[#This Row],[Propionate '[%']]],R$6,R$2,FALSE),-100)</f>
        <v>-100</v>
      </c>
      <c r="BK284">
        <f>IF(Table2912[[#This Row],[Butyrate '[%']]]&lt;S$10,_xlfn.NORM.DIST(Table2912[[#This Row],[Butyrate '[%']]],S$6,S$2,FALSE),-100)</f>
        <v>-100</v>
      </c>
      <c r="BL284">
        <f>IF(Table2912[[#This Row],[Valerate '[%']]]&lt;T$10,_xlfn.NORM.DIST(Table2912[[#This Row],[Valerate '[%']]],T$6,T$2,FALSE),-100)</f>
        <v>-100</v>
      </c>
      <c r="BM284">
        <f>IF(Table2912[[#This Row],[Caproate '[%']]]&lt;U$10,_xlfn.NORM.DIST(Table2912[[#This Row],[Caproate '[%']]],U$6,U$2,FALSE),-100)</f>
        <v>-100</v>
      </c>
      <c r="BN284">
        <f>IF(Table2912[[#This Row],[Isobutyrate '[%']]]&lt;V$10,_xlfn.NORM.DIST(Table2912[[#This Row],[Isobutyrate '[%']]],V$6,V$2,FALSE),-100)</f>
        <v>-100</v>
      </c>
      <c r="BO284">
        <f>IF(Table2912[[#This Row],[Isovalerate '[%']]]&lt;W$10,_xlfn.NORM.DIST(Table2912[[#This Row],[Isovalerate '[%']]],W$6,W$2,FALSE),-100)</f>
        <v>-100</v>
      </c>
      <c r="BP284">
        <f>IF(Table2912[[#This Row],[CH4 '[g/mmol SCFA']]]&lt;X$10,_xlfn.NORM.DIST(Table2912[[#This Row],[CH4 '[g/mmol SCFA']]],X$6,X$2,FALSE),-100)</f>
        <v>-100</v>
      </c>
      <c r="BQ284">
        <f>IF(Table2912[[#This Row],[DMD '[mg/g']]]&gt;Y$10,_xlfn.NORM.DIST(Table2912[[#This Row],[DMD '[mg/g']]],Y$6,Y$2,FALSE),-100)</f>
        <v>-100</v>
      </c>
      <c r="BR284">
        <f>IF(Table2912[[#This Row],[CH4 '[ml/g']]]&lt;Z$10,_xlfn.NORM.DIST(Table2912[[#This Row],[CH4 '[ml/g']]],Z$6,Z$2,FALSE),-100)</f>
        <v>-100</v>
      </c>
      <c r="BS284">
        <f>IF(Table2912[[#This Row],[CH4 '[% GP']]]&lt;AA$10,_xlfn.NORM.DIST(Table2912[[#This Row],[CH4 '[% GP']]],AA$6,AA$2,FALSE),-100)</f>
        <v>-100</v>
      </c>
      <c r="BT284">
        <f>IF(Table2912[[#This Row],[CH4 '[g/g DDM']]]&lt;AB$10,_xlfn.NORM.DIST(Table2912[[#This Row],[CH4 '[g/g DDM']]],AB$6,AB$2,FALSE),-100)</f>
        <v>-100</v>
      </c>
    </row>
    <row r="285" spans="1:72" x14ac:dyDescent="0.25">
      <c r="A285" s="12" t="s">
        <v>86</v>
      </c>
      <c r="B285" s="13">
        <v>1077</v>
      </c>
      <c r="C285" s="104" t="s">
        <v>376</v>
      </c>
      <c r="D285" s="104" t="s">
        <v>377</v>
      </c>
      <c r="E285" s="104" t="s">
        <v>378</v>
      </c>
      <c r="F285" s="104" t="s">
        <v>379</v>
      </c>
      <c r="G285" s="23" t="s">
        <v>73</v>
      </c>
      <c r="H285" s="23" t="s">
        <v>74</v>
      </c>
      <c r="I285" s="105" t="s">
        <v>44</v>
      </c>
      <c r="J285" s="107">
        <v>3</v>
      </c>
      <c r="K285" s="107"/>
      <c r="L285" s="107"/>
      <c r="M285" t="s">
        <v>379</v>
      </c>
      <c r="N285" t="s">
        <v>99</v>
      </c>
      <c r="O285" s="18">
        <v>225.27954495250768</v>
      </c>
      <c r="P285" s="18">
        <v>5.4953576738951435</v>
      </c>
      <c r="Q285" s="97">
        <v>0.68814799094205337</v>
      </c>
      <c r="R285" s="97">
        <v>0.17644774895323778</v>
      </c>
      <c r="S285" s="97">
        <v>6.7233606424135839E-2</v>
      </c>
      <c r="T285" s="97">
        <v>1.523003737053806E-2</v>
      </c>
      <c r="U285" s="97">
        <v>9.7133868092964403E-4</v>
      </c>
      <c r="V285" s="97">
        <v>1.8709185494820819E-2</v>
      </c>
      <c r="W285" s="97">
        <v>3.3260092134284561E-2</v>
      </c>
      <c r="X285" s="51">
        <f t="shared" si="20"/>
        <v>7.0807600268836133</v>
      </c>
      <c r="Y285" s="18">
        <v>807.23716550062818</v>
      </c>
      <c r="Z285" s="18">
        <v>38.911308950744846</v>
      </c>
      <c r="AA285" s="18">
        <f t="shared" si="21"/>
        <v>17.272455410431487</v>
      </c>
      <c r="AB285" s="18">
        <f t="shared" si="22"/>
        <v>48.203069201618128</v>
      </c>
      <c r="AC285" s="18">
        <f>$CP$15*Table2912[[#This Row],[DMD '[mg/g']]]+$CS$15*Table2912[[#This Row],[CH4 '[ml/g']]]+$CR$15*Table2912[[#This Row],[CH4 '[% GP']]]+$CQ$15*Table2912[[#This Row],[CH4 '[g/g DDM']]]</f>
        <v>18.437715253261302</v>
      </c>
      <c r="AD285" s="18">
        <f>_xlfn.RANK.AVG(Table2912[[#This Row],[Index]],Table2912[Index])</f>
        <v>193</v>
      </c>
      <c r="AE28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5.1207355490571587</v>
      </c>
      <c r="AF285" s="18">
        <f>Table2912[[#This Row],[CH4 '[ml/g']]]/Table2912[[#This Row],[APB]]</f>
        <v>7.5987733750299373</v>
      </c>
      <c r="AG285" s="18">
        <f>Table2912[[#This Row],[Propionate '[%']]]/Table2912[[#This Row],[Acetate '[%']]]</f>
        <v>0.25640959688291215</v>
      </c>
      <c r="AH285" s="51"/>
      <c r="AI285" s="18"/>
      <c r="AJ285" s="18"/>
      <c r="AK285" s="18">
        <f>(Table2912[[#This Row],[DMD '[mg/g']]]-$AK$15)/$AK$15*100</f>
        <v>64.645131241493587</v>
      </c>
      <c r="AL285" s="18">
        <f>(Table2912[[#This Row],[CH4 '[ml/g']]]-AL$15)/AL$15*100</f>
        <v>-1.0701127508357344</v>
      </c>
      <c r="AM285" s="18">
        <f>(Table2912[[#This Row],[CH4 '[% GP']]]-AM$15)/AM$15*100</f>
        <v>11.274718048063379</v>
      </c>
      <c r="AN285" s="18">
        <f>(Table2912[[#This Row],[CH4 '[g/g DDM']]]-AN$15)/AN$15*100</f>
        <v>-5.8819195011647043</v>
      </c>
      <c r="AO285" s="18"/>
      <c r="AP285" s="18"/>
      <c r="AR285">
        <f>_xlfn.NORM.DIST(Table2912[[#This Row],[GP '[ml/g']]],O$6,O$2,FALSE)</f>
        <v>6.3712759958428379E-3</v>
      </c>
      <c r="AS285">
        <f>_xlfn.NORM.DIST(Table2912[[#This Row],[SCFA '[mmol/g']]],P$6,P$2,FALSE)</f>
        <v>0.22806360082109367</v>
      </c>
      <c r="AT285">
        <f>_xlfn.NORM.DIST(Table2912[[#This Row],[Acetate '[%']]],Q$6,Q$2,FALSE)</f>
        <v>12.200441961164126</v>
      </c>
      <c r="AU285">
        <f>_xlfn.NORM.DIST(Table2912[[#This Row],[Propionate '[%']]],R$6,R$2,FALSE)</f>
        <v>16.481953704141404</v>
      </c>
      <c r="AV285">
        <f>_xlfn.NORM.DIST(Table2912[[#This Row],[Butyrate '[%']]],S$6,S$2,FALSE)</f>
        <v>7.6696347737190287</v>
      </c>
      <c r="AW285">
        <f>_xlfn.NORM.DIST(Table2912[[#This Row],[Valerate '[%']]],T$6,T$2,FALSE)</f>
        <v>69.26199417124954</v>
      </c>
      <c r="AX285">
        <f>_xlfn.NORM.DIST(Table2912[[#This Row],[Caproate '[%']]],U$6,U$2,FALSE)</f>
        <v>380.14012285246167</v>
      </c>
      <c r="AY285">
        <f>_xlfn.NORM.DIST(Table2912[[#This Row],[Isobutyrate '[%']]],V$6,V$2,FALSE)</f>
        <v>67.210712387544874</v>
      </c>
      <c r="AZ285">
        <f>_xlfn.NORM.DIST(Table2912[[#This Row],[Isovalerate '[%']]],W$6,W$2,FALSE)</f>
        <v>37.695647571484642</v>
      </c>
      <c r="BA285">
        <f>_xlfn.NORM.DIST(Table2912[[#This Row],[CH4 '[g/mmol SCFA']]],X$6,X$2,FALSE)</f>
        <v>0.24917092181072145</v>
      </c>
      <c r="BB285">
        <f>_xlfn.NORM.DIST(Table2912[[#This Row],[DMD '[mg/g']]],Y$6,Y$2,FALSE)</f>
        <v>2.8410106605985621E-3</v>
      </c>
      <c r="BC285">
        <f>_xlfn.NORM.DIST(Table2912[[#This Row],[CH4 '[ml/g']]],Z$6,Z$2,FALSE)</f>
        <v>3.2783145624128721E-2</v>
      </c>
      <c r="BD285">
        <f>_xlfn.NORM.DIST(Table2912[[#This Row],[CH4 '[% GP']]],AA$6,AA$2,FALSE)</f>
        <v>0.12402699713352404</v>
      </c>
      <c r="BE285">
        <f>_xlfn.NORM.DIST(Table2912[[#This Row],[CH4 '[g/g DDM']]],AB$6,AB$2,FALSE)</f>
        <v>3.0025609519976848E-2</v>
      </c>
      <c r="BG285">
        <f>IF(Table2912[[#This Row],[GP '[ml/g']]]&lt;O$10,_xlfn.NORM.DIST(Table2912[[#This Row],[GP '[ml/g']]],O$6,O$2,FALSE),-100)</f>
        <v>-100</v>
      </c>
      <c r="BH285">
        <f>IF(Table2912[[#This Row],[SCFA '[mmol/g']]]&lt;P$10,_xlfn.NORM.DIST(Table2912[[#This Row],[SCFA '[mmol/g']]],P$6,P$2,FALSE),-100)</f>
        <v>-100</v>
      </c>
      <c r="BI285">
        <f>IF(Table2912[[#This Row],[Acetate '[%']]]&lt;Q$10,_xlfn.NORM.DIST(Table2912[[#This Row],[Acetate '[%']]],Q$6,Q$2,FALSE),-100)</f>
        <v>-100</v>
      </c>
      <c r="BJ285">
        <f>IF(Table2912[[#This Row],[Propionate '[%']]]&lt;R$10,_xlfn.NORM.DIST(Table2912[[#This Row],[Propionate '[%']]],R$6,R$2,FALSE),-100)</f>
        <v>-100</v>
      </c>
      <c r="BK285">
        <f>IF(Table2912[[#This Row],[Butyrate '[%']]]&lt;S$10,_xlfn.NORM.DIST(Table2912[[#This Row],[Butyrate '[%']]],S$6,S$2,FALSE),-100)</f>
        <v>7.6696347737190287</v>
      </c>
      <c r="BL285">
        <f>IF(Table2912[[#This Row],[Valerate '[%']]]&lt;T$10,_xlfn.NORM.DIST(Table2912[[#This Row],[Valerate '[%']]],T$6,T$2,FALSE),-100)</f>
        <v>-100</v>
      </c>
      <c r="BM285">
        <f>IF(Table2912[[#This Row],[Caproate '[%']]]&lt;U$10,_xlfn.NORM.DIST(Table2912[[#This Row],[Caproate '[%']]],U$6,U$2,FALSE),-100)</f>
        <v>-100</v>
      </c>
      <c r="BN285">
        <f>IF(Table2912[[#This Row],[Isobutyrate '[%']]]&lt;V$10,_xlfn.NORM.DIST(Table2912[[#This Row],[Isobutyrate '[%']]],V$6,V$2,FALSE),-100)</f>
        <v>-100</v>
      </c>
      <c r="BO285">
        <f>IF(Table2912[[#This Row],[Isovalerate '[%']]]&lt;W$10,_xlfn.NORM.DIST(Table2912[[#This Row],[Isovalerate '[%']]],W$6,W$2,FALSE),-100)</f>
        <v>-100</v>
      </c>
      <c r="BP285">
        <f>IF(Table2912[[#This Row],[CH4 '[g/mmol SCFA']]]&lt;X$10,_xlfn.NORM.DIST(Table2912[[#This Row],[CH4 '[g/mmol SCFA']]],X$6,X$2,FALSE),-100)</f>
        <v>-100</v>
      </c>
      <c r="BQ285">
        <f>IF(Table2912[[#This Row],[DMD '[mg/g']]]&gt;Y$10,_xlfn.NORM.DIST(Table2912[[#This Row],[DMD '[mg/g']]],Y$6,Y$2,FALSE),-100)</f>
        <v>-100</v>
      </c>
      <c r="BR285">
        <f>IF(Table2912[[#This Row],[CH4 '[ml/g']]]&lt;Z$10,_xlfn.NORM.DIST(Table2912[[#This Row],[CH4 '[ml/g']]],Z$6,Z$2,FALSE),-100)</f>
        <v>-100</v>
      </c>
      <c r="BS285">
        <f>IF(Table2912[[#This Row],[CH4 '[% GP']]]&lt;AA$10,_xlfn.NORM.DIST(Table2912[[#This Row],[CH4 '[% GP']]],AA$6,AA$2,FALSE),-100)</f>
        <v>-100</v>
      </c>
      <c r="BT285">
        <f>IF(Table2912[[#This Row],[CH4 '[g/g DDM']]]&lt;AB$10,_xlfn.NORM.DIST(Table2912[[#This Row],[CH4 '[g/g DDM']]],AB$6,AB$2,FALSE),-100)</f>
        <v>-100</v>
      </c>
    </row>
    <row r="286" spans="1:72" x14ac:dyDescent="0.25">
      <c r="A286" s="12" t="s">
        <v>200</v>
      </c>
      <c r="B286" s="13">
        <v>1145</v>
      </c>
      <c r="C286" s="117" t="s">
        <v>380</v>
      </c>
      <c r="D286" s="117" t="s">
        <v>212</v>
      </c>
      <c r="E286" s="117" t="s">
        <v>213</v>
      </c>
      <c r="F286" s="117" t="s">
        <v>214</v>
      </c>
      <c r="G286" s="32" t="s">
        <v>73</v>
      </c>
      <c r="H286" s="32" t="s">
        <v>74</v>
      </c>
      <c r="I286" s="104" t="s">
        <v>106</v>
      </c>
      <c r="J286" s="70">
        <v>3</v>
      </c>
      <c r="K286" s="70"/>
      <c r="L286" s="70"/>
      <c r="M286" t="s">
        <v>381</v>
      </c>
      <c r="N286" t="s">
        <v>245</v>
      </c>
      <c r="O286" s="18">
        <v>280.54543063773843</v>
      </c>
      <c r="P286" s="18">
        <v>7.0536805222677117</v>
      </c>
      <c r="Q286" s="97">
        <v>0.6978703109261124</v>
      </c>
      <c r="R286" s="97">
        <v>0.16202062166347378</v>
      </c>
      <c r="S286" s="97">
        <v>8.4650105919946733E-2</v>
      </c>
      <c r="T286" s="97">
        <v>1.4734235030818939E-2</v>
      </c>
      <c r="U286" s="97">
        <v>1.7149771624357288E-3</v>
      </c>
      <c r="V286" s="97">
        <v>1.3449477998182028E-2</v>
      </c>
      <c r="W286" s="97">
        <v>2.5560271299030306E-2</v>
      </c>
      <c r="X286" s="51">
        <f t="shared" si="20"/>
        <v>7.7684580771273426</v>
      </c>
      <c r="Y286" s="18">
        <v>807.98436759209039</v>
      </c>
      <c r="Z286" s="18">
        <v>54.796221426686415</v>
      </c>
      <c r="AA286" s="18">
        <f t="shared" si="21"/>
        <v>19.532031337000621</v>
      </c>
      <c r="AB286" s="18">
        <f t="shared" si="22"/>
        <v>67.818417811704734</v>
      </c>
      <c r="AC286" s="18">
        <f>$CP$15*Table2912[[#This Row],[DMD '[mg/g']]]+$CS$15*Table2912[[#This Row],[CH4 '[ml/g']]]+$CR$15*Table2912[[#This Row],[CH4 '[% GP']]]+$CQ$15*Table2912[[#This Row],[CH4 '[g/g DDM']]]</f>
        <v>9.8539779801420337</v>
      </c>
      <c r="AD286" s="18">
        <f>_xlfn.RANK.AVG(Table2912[[#This Row],[Index]],Table2912[Index])</f>
        <v>361</v>
      </c>
      <c r="AE28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6.662490725817209</v>
      </c>
      <c r="AF286" s="18">
        <f>Table2912[[#This Row],[CH4 '[ml/g']]]/Table2912[[#This Row],[APB]]</f>
        <v>8.2245850210868721</v>
      </c>
      <c r="AG286" s="18">
        <f>Table2912[[#This Row],[Propionate '[%']]]/Table2912[[#This Row],[Acetate '[%']]]</f>
        <v>0.23216437083913696</v>
      </c>
      <c r="AH286" s="51"/>
      <c r="AI286" s="18"/>
      <c r="AJ286" s="18"/>
      <c r="AK286" s="18">
        <f>(Table2912[[#This Row],[DMD '[mg/g']]]-$AK$15)/$AK$15*100</f>
        <v>64.79753154176521</v>
      </c>
      <c r="AL286" s="18">
        <f>(Table2912[[#This Row],[CH4 '[ml/g']]]-AL$15)/AL$15*100</f>
        <v>39.316413495222626</v>
      </c>
      <c r="AM286" s="18">
        <f>(Table2912[[#This Row],[CH4 '[% GP']]]-AM$15)/AM$15*100</f>
        <v>25.831633562537466</v>
      </c>
      <c r="AN286" s="18">
        <f>(Table2912[[#This Row],[CH4 '[g/g DDM']]]-AN$15)/AN$15*100</f>
        <v>32.417694819553169</v>
      </c>
      <c r="AO286" s="18"/>
      <c r="AP286" s="18"/>
      <c r="AR286">
        <f>_xlfn.NORM.DIST(Table2912[[#This Row],[GP '[ml/g']]],O$6,O$2,FALSE)</f>
        <v>6.6984120485652585E-3</v>
      </c>
      <c r="AS286">
        <f>_xlfn.NORM.DIST(Table2912[[#This Row],[SCFA '[mmol/g']]],P$6,P$2,FALSE)</f>
        <v>0.30328893294671844</v>
      </c>
      <c r="AT286">
        <f>_xlfn.NORM.DIST(Table2912[[#This Row],[Acetate '[%']]],Q$6,Q$2,FALSE)</f>
        <v>9.6068975205845391</v>
      </c>
      <c r="AU286">
        <f>_xlfn.NORM.DIST(Table2912[[#This Row],[Propionate '[%']]],R$6,R$2,FALSE)</f>
        <v>15.409214926393306</v>
      </c>
      <c r="AV286">
        <f>_xlfn.NORM.DIST(Table2912[[#This Row],[Butyrate '[%']]],S$6,S$2,FALSE)</f>
        <v>20.54860775760989</v>
      </c>
      <c r="AW286">
        <f>_xlfn.NORM.DIST(Table2912[[#This Row],[Valerate '[%']]],T$6,T$2,FALSE)</f>
        <v>65.887224467090903</v>
      </c>
      <c r="AX286">
        <f>_xlfn.NORM.DIST(Table2912[[#This Row],[Caproate '[%']]],U$6,U$2,FALSE)</f>
        <v>377.18247616078799</v>
      </c>
      <c r="AY286">
        <f>_xlfn.NORM.DIST(Table2912[[#This Row],[Isobutyrate '[%']]],V$6,V$2,FALSE)</f>
        <v>82.470785711836356</v>
      </c>
      <c r="AZ286">
        <f>_xlfn.NORM.DIST(Table2912[[#This Row],[Isovalerate '[%']]],W$6,W$2,FALSE)</f>
        <v>43.852167037731277</v>
      </c>
      <c r="BA286">
        <f>_xlfn.NORM.DIST(Table2912[[#This Row],[CH4 '[g/mmol SCFA']]],X$6,X$2,FALSE)</f>
        <v>0.16105184004184525</v>
      </c>
      <c r="BB286">
        <f>_xlfn.NORM.DIST(Table2912[[#This Row],[DMD '[mg/g']]],Y$6,Y$2,FALSE)</f>
        <v>2.8374273251928735E-3</v>
      </c>
      <c r="BC286">
        <f>_xlfn.NORM.DIST(Table2912[[#This Row],[CH4 '[ml/g']]],Z$6,Z$2,FALSE)</f>
        <v>1.778949329796058E-2</v>
      </c>
      <c r="BD286">
        <f>_xlfn.NORM.DIST(Table2912[[#This Row],[CH4 '[% GP']]],AA$6,AA$2,FALSE)</f>
        <v>6.7973855042245138E-2</v>
      </c>
      <c r="BE286">
        <f>_xlfn.NORM.DIST(Table2912[[#This Row],[CH4 '[g/g DDM']]],AB$6,AB$2,FALSE)</f>
        <v>1.6161858961670581E-2</v>
      </c>
      <c r="BG286">
        <f>IF(Table2912[[#This Row],[GP '[ml/g']]]&lt;O$10,_xlfn.NORM.DIST(Table2912[[#This Row],[GP '[ml/g']]],O$6,O$2,FALSE),-100)</f>
        <v>-100</v>
      </c>
      <c r="BH286">
        <f>IF(Table2912[[#This Row],[SCFA '[mmol/g']]]&lt;P$10,_xlfn.NORM.DIST(Table2912[[#This Row],[SCFA '[mmol/g']]],P$6,P$2,FALSE),-100)</f>
        <v>-100</v>
      </c>
      <c r="BI286">
        <f>IF(Table2912[[#This Row],[Acetate '[%']]]&lt;Q$10,_xlfn.NORM.DIST(Table2912[[#This Row],[Acetate '[%']]],Q$6,Q$2,FALSE),-100)</f>
        <v>-100</v>
      </c>
      <c r="BJ286">
        <f>IF(Table2912[[#This Row],[Propionate '[%']]]&lt;R$10,_xlfn.NORM.DIST(Table2912[[#This Row],[Propionate '[%']]],R$6,R$2,FALSE),-100)</f>
        <v>-100</v>
      </c>
      <c r="BK286">
        <f>IF(Table2912[[#This Row],[Butyrate '[%']]]&lt;S$10,_xlfn.NORM.DIST(Table2912[[#This Row],[Butyrate '[%']]],S$6,S$2,FALSE),-100)</f>
        <v>-100</v>
      </c>
      <c r="BL286">
        <f>IF(Table2912[[#This Row],[Valerate '[%']]]&lt;T$10,_xlfn.NORM.DIST(Table2912[[#This Row],[Valerate '[%']]],T$6,T$2,FALSE),-100)</f>
        <v>-100</v>
      </c>
      <c r="BM286">
        <f>IF(Table2912[[#This Row],[Caproate '[%']]]&lt;U$10,_xlfn.NORM.DIST(Table2912[[#This Row],[Caproate '[%']]],U$6,U$2,FALSE),-100)</f>
        <v>-100</v>
      </c>
      <c r="BN286">
        <f>IF(Table2912[[#This Row],[Isobutyrate '[%']]]&lt;V$10,_xlfn.NORM.DIST(Table2912[[#This Row],[Isobutyrate '[%']]],V$6,V$2,FALSE),-100)</f>
        <v>-100</v>
      </c>
      <c r="BO286">
        <f>IF(Table2912[[#This Row],[Isovalerate '[%']]]&lt;W$10,_xlfn.NORM.DIST(Table2912[[#This Row],[Isovalerate '[%']]],W$6,W$2,FALSE),-100)</f>
        <v>-100</v>
      </c>
      <c r="BP286">
        <f>IF(Table2912[[#This Row],[CH4 '[g/mmol SCFA']]]&lt;X$10,_xlfn.NORM.DIST(Table2912[[#This Row],[CH4 '[g/mmol SCFA']]],X$6,X$2,FALSE),-100)</f>
        <v>-100</v>
      </c>
      <c r="BQ286">
        <f>IF(Table2912[[#This Row],[DMD '[mg/g']]]&gt;Y$10,_xlfn.NORM.DIST(Table2912[[#This Row],[DMD '[mg/g']]],Y$6,Y$2,FALSE),-100)</f>
        <v>-100</v>
      </c>
      <c r="BR286">
        <f>IF(Table2912[[#This Row],[CH4 '[ml/g']]]&lt;Z$10,_xlfn.NORM.DIST(Table2912[[#This Row],[CH4 '[ml/g']]],Z$6,Z$2,FALSE),-100)</f>
        <v>-100</v>
      </c>
      <c r="BS286">
        <f>IF(Table2912[[#This Row],[CH4 '[% GP']]]&lt;AA$10,_xlfn.NORM.DIST(Table2912[[#This Row],[CH4 '[% GP']]],AA$6,AA$2,FALSE),-100)</f>
        <v>-100</v>
      </c>
      <c r="BT286">
        <f>IF(Table2912[[#This Row],[CH4 '[g/g DDM']]]&lt;AB$10,_xlfn.NORM.DIST(Table2912[[#This Row],[CH4 '[g/g DDM']]],AB$6,AB$2,FALSE),-100)</f>
        <v>-100</v>
      </c>
    </row>
    <row r="287" spans="1:72" x14ac:dyDescent="0.25">
      <c r="A287" s="12" t="s">
        <v>70</v>
      </c>
      <c r="B287" s="13">
        <v>1001</v>
      </c>
      <c r="C287" s="96" t="s">
        <v>279</v>
      </c>
      <c r="D287" s="96"/>
      <c r="E287" s="96"/>
      <c r="F287" s="96" t="s">
        <v>280</v>
      </c>
      <c r="G287" t="s">
        <v>73</v>
      </c>
      <c r="H287" t="s">
        <v>74</v>
      </c>
      <c r="I287" t="s">
        <v>75</v>
      </c>
      <c r="J287" s="107">
        <v>3</v>
      </c>
      <c r="K287" s="107"/>
      <c r="L287" s="107"/>
      <c r="M287" t="s">
        <v>280</v>
      </c>
      <c r="N287" t="s">
        <v>85</v>
      </c>
      <c r="O287" s="18">
        <v>263.14051383399215</v>
      </c>
      <c r="P287" s="18">
        <v>6.1913808143053259</v>
      </c>
      <c r="Q287" s="97">
        <v>0.67083527567302403</v>
      </c>
      <c r="R287" s="97">
        <v>0.17299609552278575</v>
      </c>
      <c r="S287" s="97">
        <v>8.5910410335036463E-2</v>
      </c>
      <c r="T287" s="97">
        <v>1.6980035230538204E-2</v>
      </c>
      <c r="U287" s="97">
        <v>1.0085101257874579E-3</v>
      </c>
      <c r="V287" s="97">
        <v>1.7599925341585124E-2</v>
      </c>
      <c r="W287" s="97">
        <v>3.4669747771242883E-2</v>
      </c>
      <c r="X287" s="51">
        <f t="shared" si="20"/>
        <v>7.1233841861301244</v>
      </c>
      <c r="Y287" s="18">
        <v>809.44122968818624</v>
      </c>
      <c r="Z287" s="18">
        <v>44.103584182932011</v>
      </c>
      <c r="AA287" s="18">
        <f t="shared" si="21"/>
        <v>16.760468975429493</v>
      </c>
      <c r="AB287" s="18">
        <f t="shared" si="22"/>
        <v>54.486456292721385</v>
      </c>
      <c r="AC287" s="18">
        <f>$CP$15*Table2912[[#This Row],[DMD '[mg/g']]]+$CS$15*Table2912[[#This Row],[CH4 '[ml/g']]]+$CR$15*Table2912[[#This Row],[CH4 '[% GP']]]+$CQ$15*Table2912[[#This Row],[CH4 '[g/g DDM']]]</f>
        <v>16.225944936825968</v>
      </c>
      <c r="AD287" s="18">
        <f>_xlfn.RANK.AVG(Table2912[[#This Row],[Index]],Table2912[Index])</f>
        <v>250</v>
      </c>
      <c r="AE28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5.7563854284281355</v>
      </c>
      <c r="AF287" s="18">
        <f>Table2912[[#This Row],[CH4 '[ml/g']]]/Table2912[[#This Row],[APB]]</f>
        <v>7.6616801865150874</v>
      </c>
      <c r="AG287" s="18">
        <f>Table2912[[#This Row],[Propionate '[%']]]/Table2912[[#This Row],[Acetate '[%']]]</f>
        <v>0.25788163174517797</v>
      </c>
      <c r="AH287" s="51"/>
      <c r="AI287" s="18"/>
      <c r="AJ287" s="18"/>
      <c r="AK287" s="18">
        <f>(Table2912[[#This Row],[DMD '[mg/g']]]-$AK$15)/$AK$15*100</f>
        <v>65.094675009959829</v>
      </c>
      <c r="AL287" s="18">
        <f>(Table2912[[#This Row],[CH4 '[ml/g']]]-AL$15)/AL$15*100</f>
        <v>12.130964702948344</v>
      </c>
      <c r="AM287" s="18">
        <f>(Table2912[[#This Row],[CH4 '[% GP']]]-AM$15)/AM$15*100</f>
        <v>7.9763366167312153</v>
      </c>
      <c r="AN287" s="18">
        <f>(Table2912[[#This Row],[CH4 '[g/g DDM']]]-AN$15)/AN$15*100</f>
        <v>6.3866007785760504</v>
      </c>
      <c r="AO287" s="18"/>
      <c r="AP287" s="18"/>
      <c r="AR287">
        <f>_xlfn.NORM.DIST(Table2912[[#This Row],[GP '[ml/g']]],O$6,O$2,FALSE)</f>
        <v>7.40330372921192E-3</v>
      </c>
      <c r="AS287">
        <f>_xlfn.NORM.DIST(Table2912[[#This Row],[SCFA '[mmol/g']]],P$6,P$2,FALSE)</f>
        <v>0.31916519469489174</v>
      </c>
      <c r="AT287">
        <f>_xlfn.NORM.DIST(Table2912[[#This Row],[Acetate '[%']]],Q$6,Q$2,FALSE)</f>
        <v>13.981518022022451</v>
      </c>
      <c r="AU287">
        <f>_xlfn.NORM.DIST(Table2912[[#This Row],[Propionate '[%']]],R$6,R$2,FALSE)</f>
        <v>16.772148110099195</v>
      </c>
      <c r="AV287">
        <f>_xlfn.NORM.DIST(Table2912[[#This Row],[Butyrate '[%']]],S$6,S$2,FALSE)</f>
        <v>21.218796970512379</v>
      </c>
      <c r="AW287">
        <f>_xlfn.NORM.DIST(Table2912[[#This Row],[Valerate '[%']]],T$6,T$2,FALSE)</f>
        <v>76.72665472312373</v>
      </c>
      <c r="AX287">
        <f>_xlfn.NORM.DIST(Table2912[[#This Row],[Caproate '[%']]],U$6,U$2,FALSE)</f>
        <v>385.2181115246604</v>
      </c>
      <c r="AY287">
        <f>_xlfn.NORM.DIST(Table2912[[#This Row],[Isobutyrate '[%']]],V$6,V$2,FALSE)</f>
        <v>78.929343610235065</v>
      </c>
      <c r="AZ287">
        <f>_xlfn.NORM.DIST(Table2912[[#This Row],[Isovalerate '[%']]],W$6,W$2,FALSE)</f>
        <v>33.736767898413056</v>
      </c>
      <c r="BA287">
        <f>_xlfn.NORM.DIST(Table2912[[#This Row],[CH4 '[g/mmol SCFA']]],X$6,X$2,FALSE)</f>
        <v>0.24438143406924043</v>
      </c>
      <c r="BB287">
        <f>_xlfn.NORM.DIST(Table2912[[#This Row],[DMD '[mg/g']]],Y$6,Y$2,FALSE)</f>
        <v>2.8302109007291342E-3</v>
      </c>
      <c r="BC287">
        <f>_xlfn.NORM.DIST(Table2912[[#This Row],[CH4 '[ml/g']]],Z$6,Z$2,FALSE)</f>
        <v>3.2652104132020639E-2</v>
      </c>
      <c r="BD287">
        <f>_xlfn.NORM.DIST(Table2912[[#This Row],[CH4 '[% GP']]],AA$6,AA$2,FALSE)</f>
        <v>0.13108643409706733</v>
      </c>
      <c r="BE287">
        <f>_xlfn.NORM.DIST(Table2912[[#This Row],[CH4 '[g/g DDM']]],AB$6,AB$2,FALSE)</f>
        <v>3.2709635724152558E-2</v>
      </c>
      <c r="BG287">
        <f>IF(Table2912[[#This Row],[GP '[ml/g']]]&lt;O$10,_xlfn.NORM.DIST(Table2912[[#This Row],[GP '[ml/g']]],O$6,O$2,FALSE),-100)</f>
        <v>-100</v>
      </c>
      <c r="BH287">
        <f>IF(Table2912[[#This Row],[SCFA '[mmol/g']]]&lt;P$10,_xlfn.NORM.DIST(Table2912[[#This Row],[SCFA '[mmol/g']]],P$6,P$2,FALSE),-100)</f>
        <v>-100</v>
      </c>
      <c r="BI287">
        <f>IF(Table2912[[#This Row],[Acetate '[%']]]&lt;Q$10,_xlfn.NORM.DIST(Table2912[[#This Row],[Acetate '[%']]],Q$6,Q$2,FALSE),-100)</f>
        <v>-100</v>
      </c>
      <c r="BJ287">
        <f>IF(Table2912[[#This Row],[Propionate '[%']]]&lt;R$10,_xlfn.NORM.DIST(Table2912[[#This Row],[Propionate '[%']]],R$6,R$2,FALSE),-100)</f>
        <v>-100</v>
      </c>
      <c r="BK287">
        <f>IF(Table2912[[#This Row],[Butyrate '[%']]]&lt;S$10,_xlfn.NORM.DIST(Table2912[[#This Row],[Butyrate '[%']]],S$6,S$2,FALSE),-100)</f>
        <v>-100</v>
      </c>
      <c r="BL287">
        <f>IF(Table2912[[#This Row],[Valerate '[%']]]&lt;T$10,_xlfn.NORM.DIST(Table2912[[#This Row],[Valerate '[%']]],T$6,T$2,FALSE),-100)</f>
        <v>-100</v>
      </c>
      <c r="BM287">
        <f>IF(Table2912[[#This Row],[Caproate '[%']]]&lt;U$10,_xlfn.NORM.DIST(Table2912[[#This Row],[Caproate '[%']]],U$6,U$2,FALSE),-100)</f>
        <v>-100</v>
      </c>
      <c r="BN287">
        <f>IF(Table2912[[#This Row],[Isobutyrate '[%']]]&lt;V$10,_xlfn.NORM.DIST(Table2912[[#This Row],[Isobutyrate '[%']]],V$6,V$2,FALSE),-100)</f>
        <v>-100</v>
      </c>
      <c r="BO287">
        <f>IF(Table2912[[#This Row],[Isovalerate '[%']]]&lt;W$10,_xlfn.NORM.DIST(Table2912[[#This Row],[Isovalerate '[%']]],W$6,W$2,FALSE),-100)</f>
        <v>-100</v>
      </c>
      <c r="BP287">
        <f>IF(Table2912[[#This Row],[CH4 '[g/mmol SCFA']]]&lt;X$10,_xlfn.NORM.DIST(Table2912[[#This Row],[CH4 '[g/mmol SCFA']]],X$6,X$2,FALSE),-100)</f>
        <v>-100</v>
      </c>
      <c r="BQ287">
        <f>IF(Table2912[[#This Row],[DMD '[mg/g']]]&gt;Y$10,_xlfn.NORM.DIST(Table2912[[#This Row],[DMD '[mg/g']]],Y$6,Y$2,FALSE),-100)</f>
        <v>-100</v>
      </c>
      <c r="BR287">
        <f>IF(Table2912[[#This Row],[CH4 '[ml/g']]]&lt;Z$10,_xlfn.NORM.DIST(Table2912[[#This Row],[CH4 '[ml/g']]],Z$6,Z$2,FALSE),-100)</f>
        <v>-100</v>
      </c>
      <c r="BS287">
        <f>IF(Table2912[[#This Row],[CH4 '[% GP']]]&lt;AA$10,_xlfn.NORM.DIST(Table2912[[#This Row],[CH4 '[% GP']]],AA$6,AA$2,FALSE),-100)</f>
        <v>-100</v>
      </c>
      <c r="BT287">
        <f>IF(Table2912[[#This Row],[CH4 '[g/g DDM']]]&lt;AB$10,_xlfn.NORM.DIST(Table2912[[#This Row],[CH4 '[g/g DDM']]],AB$6,AB$2,FALSE),-100)</f>
        <v>-100</v>
      </c>
    </row>
    <row r="288" spans="1:72" x14ac:dyDescent="0.25">
      <c r="A288" s="12" t="s">
        <v>70</v>
      </c>
      <c r="B288" s="13">
        <v>1002</v>
      </c>
      <c r="C288" s="96" t="s">
        <v>382</v>
      </c>
      <c r="D288" s="96"/>
      <c r="E288" s="96"/>
      <c r="F288" s="96" t="s">
        <v>383</v>
      </c>
      <c r="G288" s="15" t="s">
        <v>73</v>
      </c>
      <c r="H288" s="15" t="s">
        <v>74</v>
      </c>
      <c r="I288" t="s">
        <v>75</v>
      </c>
      <c r="J288" s="100">
        <v>2</v>
      </c>
      <c r="K288" s="100"/>
      <c r="L288" s="100"/>
      <c r="M288" t="s">
        <v>383</v>
      </c>
      <c r="N288" t="s">
        <v>180</v>
      </c>
      <c r="O288" s="18">
        <v>323.83481334216953</v>
      </c>
      <c r="P288" s="18">
        <v>7.2519051252467461</v>
      </c>
      <c r="Q288" s="97">
        <v>0.6704368351865494</v>
      </c>
      <c r="R288" s="97">
        <v>0.17023430902839068</v>
      </c>
      <c r="S288" s="97">
        <v>0.10158888271658523</v>
      </c>
      <c r="T288" s="97">
        <v>1.6810502788991197E-2</v>
      </c>
      <c r="U288" s="97">
        <v>1.2312262918269651E-3</v>
      </c>
      <c r="V288" s="97">
        <v>1.3492211145298657E-2</v>
      </c>
      <c r="W288" s="97">
        <v>2.6206032842358125E-2</v>
      </c>
      <c r="X288" s="51">
        <f t="shared" si="20"/>
        <v>6.0129967889510549</v>
      </c>
      <c r="Y288" s="18">
        <v>809.56250104507944</v>
      </c>
      <c r="Z288" s="18">
        <v>43.605682231886384</v>
      </c>
      <c r="AA288" s="18">
        <f t="shared" si="21"/>
        <v>13.465409040445525</v>
      </c>
      <c r="AB288" s="18">
        <f t="shared" si="22"/>
        <v>53.863268340115788</v>
      </c>
      <c r="AC288" s="18">
        <f>$CP$15*Table2912[[#This Row],[DMD '[mg/g']]]+$CS$15*Table2912[[#This Row],[CH4 '[ml/g']]]+$CR$15*Table2912[[#This Row],[CH4 '[% GP']]]+$CQ$15*Table2912[[#This Row],[CH4 '[g/g DDM']]]</f>
        <v>17.479132794965864</v>
      </c>
      <c r="AD288" s="18">
        <f>_xlfn.RANK.AVG(Table2912[[#This Row],[Index]],Table2912[Index])</f>
        <v>215</v>
      </c>
      <c r="AE28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6.8331803186198652</v>
      </c>
      <c r="AF288" s="18">
        <f>Table2912[[#This Row],[CH4 '[ml/g']]]/Table2912[[#This Row],[APB]]</f>
        <v>6.3814622472444373</v>
      </c>
      <c r="AG288" s="18">
        <f>Table2912[[#This Row],[Propionate '[%']]]/Table2912[[#This Row],[Acetate '[%']]]</f>
        <v>0.25391550716485156</v>
      </c>
      <c r="AH288" s="51"/>
      <c r="AI288" s="18"/>
      <c r="AJ288" s="18"/>
      <c r="AK288" s="18">
        <f>(Table2912[[#This Row],[DMD '[mg/g']]]-$AK$15)/$AK$15*100</f>
        <v>65.119409671995783</v>
      </c>
      <c r="AL288" s="18">
        <f>(Table2912[[#This Row],[CH4 '[ml/g']]]-AL$15)/AL$15*100</f>
        <v>10.865076065266319</v>
      </c>
      <c r="AM288" s="18">
        <f>(Table2912[[#This Row],[CH4 '[% GP']]]-AM$15)/AM$15*100</f>
        <v>-13.251500219679036</v>
      </c>
      <c r="AN288" s="18">
        <f>(Table2912[[#This Row],[CH4 '[g/g DDM']]]-AN$15)/AN$15*100</f>
        <v>5.1698057723512374</v>
      </c>
      <c r="AO288" s="18"/>
      <c r="AP288" s="18"/>
      <c r="AR288">
        <f>_xlfn.NORM.DIST(Table2912[[#This Row],[GP '[ml/g']]],O$6,O$2,FALSE)</f>
        <v>3.2910239233902316E-3</v>
      </c>
      <c r="AS288">
        <f>_xlfn.NORM.DIST(Table2912[[#This Row],[SCFA '[mmol/g']]],P$6,P$2,FALSE)</f>
        <v>0.27861611815774512</v>
      </c>
      <c r="AT288">
        <f>_xlfn.NORM.DIST(Table2912[[#This Row],[Acetate '[%']]],Q$6,Q$2,FALSE)</f>
        <v>13.964387854454399</v>
      </c>
      <c r="AU288">
        <f>_xlfn.NORM.DIST(Table2912[[#This Row],[Propionate '[%']]],R$6,R$2,FALSE)</f>
        <v>16.751459269884052</v>
      </c>
      <c r="AV288">
        <f>_xlfn.NORM.DIST(Table2912[[#This Row],[Butyrate '[%']]],S$6,S$2,FALSE)</f>
        <v>20.320591379337074</v>
      </c>
      <c r="AW288">
        <f>_xlfn.NORM.DIST(Table2912[[#This Row],[Valerate '[%']]],T$6,T$2,FALSE)</f>
        <v>76.353648026635213</v>
      </c>
      <c r="AX288">
        <f>_xlfn.NORM.DIST(Table2912[[#This Row],[Caproate '[%']]],U$6,U$2,FALSE)</f>
        <v>404.72506125761964</v>
      </c>
      <c r="AY288">
        <f>_xlfn.NORM.DIST(Table2912[[#This Row],[Isobutyrate '[%']]],V$6,V$2,FALSE)</f>
        <v>82.803868802950873</v>
      </c>
      <c r="AZ288">
        <f>_xlfn.NORM.DIST(Table2912[[#This Row],[Isovalerate '[%']]],W$6,W$2,FALSE)</f>
        <v>44.597253983353674</v>
      </c>
      <c r="BA288">
        <f>_xlfn.NORM.DIST(Table2912[[#This Row],[CH4 '[g/mmol SCFA']]],X$6,X$2,FALSE)</f>
        <v>0.29145441206732692</v>
      </c>
      <c r="BB288">
        <f>_xlfn.NORM.DIST(Table2912[[#This Row],[DMD '[mg/g']]],Y$6,Y$2,FALSE)</f>
        <v>2.8295965563104666E-3</v>
      </c>
      <c r="BC288">
        <f>_xlfn.NORM.DIST(Table2912[[#This Row],[CH4 '[ml/g']]],Z$6,Z$2,FALSE)</f>
        <v>3.2935034722213145E-2</v>
      </c>
      <c r="BD288">
        <f>_xlfn.NORM.DIST(Table2912[[#This Row],[CH4 '[% GP']]],AA$6,AA$2,FALSE)</f>
        <v>9.1551386941462851E-2</v>
      </c>
      <c r="BE288">
        <f>_xlfn.NORM.DIST(Table2912[[#This Row],[CH4 '[g/g DDM']]],AB$6,AB$2,FALSE)</f>
        <v>3.2823275823117407E-2</v>
      </c>
      <c r="BG288">
        <f>IF(Table2912[[#This Row],[GP '[ml/g']]]&lt;O$10,_xlfn.NORM.DIST(Table2912[[#This Row],[GP '[ml/g']]],O$6,O$2,FALSE),-100)</f>
        <v>-100</v>
      </c>
      <c r="BH288">
        <f>IF(Table2912[[#This Row],[SCFA '[mmol/g']]]&lt;P$10,_xlfn.NORM.DIST(Table2912[[#This Row],[SCFA '[mmol/g']]],P$6,P$2,FALSE),-100)</f>
        <v>-100</v>
      </c>
      <c r="BI288">
        <f>IF(Table2912[[#This Row],[Acetate '[%']]]&lt;Q$10,_xlfn.NORM.DIST(Table2912[[#This Row],[Acetate '[%']]],Q$6,Q$2,FALSE),-100)</f>
        <v>-100</v>
      </c>
      <c r="BJ288">
        <f>IF(Table2912[[#This Row],[Propionate '[%']]]&lt;R$10,_xlfn.NORM.DIST(Table2912[[#This Row],[Propionate '[%']]],R$6,R$2,FALSE),-100)</f>
        <v>-100</v>
      </c>
      <c r="BK288">
        <f>IF(Table2912[[#This Row],[Butyrate '[%']]]&lt;S$10,_xlfn.NORM.DIST(Table2912[[#This Row],[Butyrate '[%']]],S$6,S$2,FALSE),-100)</f>
        <v>-100</v>
      </c>
      <c r="BL288">
        <f>IF(Table2912[[#This Row],[Valerate '[%']]]&lt;T$10,_xlfn.NORM.DIST(Table2912[[#This Row],[Valerate '[%']]],T$6,T$2,FALSE),-100)</f>
        <v>-100</v>
      </c>
      <c r="BM288">
        <f>IF(Table2912[[#This Row],[Caproate '[%']]]&lt;U$10,_xlfn.NORM.DIST(Table2912[[#This Row],[Caproate '[%']]],U$6,U$2,FALSE),-100)</f>
        <v>-100</v>
      </c>
      <c r="BN288">
        <f>IF(Table2912[[#This Row],[Isobutyrate '[%']]]&lt;V$10,_xlfn.NORM.DIST(Table2912[[#This Row],[Isobutyrate '[%']]],V$6,V$2,FALSE),-100)</f>
        <v>-100</v>
      </c>
      <c r="BO288">
        <f>IF(Table2912[[#This Row],[Isovalerate '[%']]]&lt;W$10,_xlfn.NORM.DIST(Table2912[[#This Row],[Isovalerate '[%']]],W$6,W$2,FALSE),-100)</f>
        <v>-100</v>
      </c>
      <c r="BP288">
        <f>IF(Table2912[[#This Row],[CH4 '[g/mmol SCFA']]]&lt;X$10,_xlfn.NORM.DIST(Table2912[[#This Row],[CH4 '[g/mmol SCFA']]],X$6,X$2,FALSE),-100)</f>
        <v>-100</v>
      </c>
      <c r="BQ288">
        <f>IF(Table2912[[#This Row],[DMD '[mg/g']]]&gt;Y$10,_xlfn.NORM.DIST(Table2912[[#This Row],[DMD '[mg/g']]],Y$6,Y$2,FALSE),-100)</f>
        <v>-100</v>
      </c>
      <c r="BR288">
        <f>IF(Table2912[[#This Row],[CH4 '[ml/g']]]&lt;Z$10,_xlfn.NORM.DIST(Table2912[[#This Row],[CH4 '[ml/g']]],Z$6,Z$2,FALSE),-100)</f>
        <v>-100</v>
      </c>
      <c r="BS288">
        <f>IF(Table2912[[#This Row],[CH4 '[% GP']]]&lt;AA$10,_xlfn.NORM.DIST(Table2912[[#This Row],[CH4 '[% GP']]],AA$6,AA$2,FALSE),-100)</f>
        <v>-100</v>
      </c>
      <c r="BT288">
        <f>IF(Table2912[[#This Row],[CH4 '[g/g DDM']]]&lt;AB$10,_xlfn.NORM.DIST(Table2912[[#This Row],[CH4 '[g/g DDM']]],AB$6,AB$2,FALSE),-100)</f>
        <v>-100</v>
      </c>
    </row>
    <row r="289" spans="1:72" x14ac:dyDescent="0.25">
      <c r="A289" s="12" t="s">
        <v>86</v>
      </c>
      <c r="B289" s="13">
        <v>1077</v>
      </c>
      <c r="C289" s="104" t="s">
        <v>376</v>
      </c>
      <c r="D289" s="104" t="s">
        <v>377</v>
      </c>
      <c r="E289" s="104" t="s">
        <v>378</v>
      </c>
      <c r="F289" s="104" t="s">
        <v>379</v>
      </c>
      <c r="G289" s="32" t="s">
        <v>73</v>
      </c>
      <c r="H289" s="32" t="s">
        <v>74</v>
      </c>
      <c r="I289" s="105" t="s">
        <v>44</v>
      </c>
      <c r="J289" s="107">
        <v>2</v>
      </c>
      <c r="K289" s="107"/>
      <c r="L289" s="107"/>
      <c r="M289" t="s">
        <v>379</v>
      </c>
      <c r="N289" t="s">
        <v>124</v>
      </c>
      <c r="O289" s="18">
        <v>233.6529746281708</v>
      </c>
      <c r="P289" s="18">
        <v>5.9039230339263149</v>
      </c>
      <c r="Q289" s="97">
        <v>0.69457856756841374</v>
      </c>
      <c r="R289" s="97">
        <v>0.16190826111471124</v>
      </c>
      <c r="S289" s="97">
        <v>6.8482899349391807E-2</v>
      </c>
      <c r="T289" s="97">
        <v>1.6021175147919363E-2</v>
      </c>
      <c r="U289" s="97">
        <v>8.5609401756628865E-4</v>
      </c>
      <c r="V289" s="97">
        <v>1.9692361637332269E-2</v>
      </c>
      <c r="W289" s="97">
        <v>3.8460641164665257E-2</v>
      </c>
      <c r="X289" s="51">
        <f t="shared" si="20"/>
        <v>6.399394771744241</v>
      </c>
      <c r="Y289" s="18">
        <v>809.79981668958044</v>
      </c>
      <c r="Z289" s="18">
        <v>37.781534196088458</v>
      </c>
      <c r="AA289" s="18">
        <f t="shared" si="21"/>
        <v>16.16993503130572</v>
      </c>
      <c r="AB289" s="18">
        <f t="shared" si="22"/>
        <v>46.655399788230881</v>
      </c>
      <c r="AC289" s="18">
        <f>$CP$15*Table2912[[#This Row],[DMD '[mg/g']]]+$CS$15*Table2912[[#This Row],[CH4 '[ml/g']]]+$CR$15*Table2912[[#This Row],[CH4 '[% GP']]]+$CQ$15*Table2912[[#This Row],[CH4 '[g/g DDM']]]</f>
        <v>19.605996265829376</v>
      </c>
      <c r="AD289" s="18">
        <f>_xlfn.RANK.AVG(Table2912[[#This Row],[Index]],Table2912[Index])</f>
        <v>169</v>
      </c>
      <c r="AE28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5.4609500830157351</v>
      </c>
      <c r="AF289" s="18">
        <f>Table2912[[#This Row],[CH4 '[ml/g']]]/Table2912[[#This Row],[APB]]</f>
        <v>6.918491035762063</v>
      </c>
      <c r="AG289" s="18">
        <f>Table2912[[#This Row],[Propionate '[%']]]/Table2912[[#This Row],[Acetate '[%']]]</f>
        <v>0.2331028751456023</v>
      </c>
      <c r="AH289" s="51"/>
      <c r="AI289" s="18"/>
      <c r="AJ289" s="18"/>
      <c r="AK289" s="18">
        <f>(Table2912[[#This Row],[DMD '[mg/g']]]-$AK$15)/$AK$15*100</f>
        <v>65.167812876288664</v>
      </c>
      <c r="AL289" s="18">
        <f>(Table2912[[#This Row],[CH4 '[ml/g']]]-AL$15)/AL$15*100</f>
        <v>-3.942503634334122</v>
      </c>
      <c r="AM289" s="18">
        <f>(Table2912[[#This Row],[CH4 '[% GP']]]-AM$15)/AM$15*100</f>
        <v>4.1719268458715346</v>
      </c>
      <c r="AN289" s="18">
        <f>(Table2912[[#This Row],[CH4 '[g/g DDM']]]-AN$15)/AN$15*100</f>
        <v>-8.9037950133961186</v>
      </c>
      <c r="AO289" s="18"/>
      <c r="AP289" s="18"/>
      <c r="AR289">
        <f>_xlfn.NORM.DIST(Table2912[[#This Row],[GP '[ml/g']]],O$6,O$2,FALSE)</f>
        <v>6.8785034207941272E-3</v>
      </c>
      <c r="AS289">
        <f>_xlfn.NORM.DIST(Table2912[[#This Row],[SCFA '[mmol/g']]],P$6,P$2,FALSE)</f>
        <v>0.28938475147490916</v>
      </c>
      <c r="AT289">
        <f>_xlfn.NORM.DIST(Table2912[[#This Row],[Acetate '[%']]],Q$6,Q$2,FALSE)</f>
        <v>10.553759368517545</v>
      </c>
      <c r="AU289">
        <f>_xlfn.NORM.DIST(Table2912[[#This Row],[Propionate '[%']]],R$6,R$2,FALSE)</f>
        <v>15.378870961942514</v>
      </c>
      <c r="AV289">
        <f>_xlfn.NORM.DIST(Table2912[[#This Row],[Butyrate '[%']]],S$6,S$2,FALSE)</f>
        <v>8.5131773752932389</v>
      </c>
      <c r="AW289">
        <f>_xlfn.NORM.DIST(Table2912[[#This Row],[Valerate '[%']]],T$6,T$2,FALSE)</f>
        <v>73.585150672798747</v>
      </c>
      <c r="AX289">
        <f>_xlfn.NORM.DIST(Table2912[[#This Row],[Caproate '[%']]],U$6,U$2,FALSE)</f>
        <v>361.4999348838378</v>
      </c>
      <c r="AY289">
        <f>_xlfn.NORM.DIST(Table2912[[#This Row],[Isobutyrate '[%']]],V$6,V$2,FALSE)</f>
        <v>55.304035458865663</v>
      </c>
      <c r="AZ289">
        <f>_xlfn.NORM.DIST(Table2912[[#This Row],[Isovalerate '[%']]],W$6,W$2,FALSE)</f>
        <v>22.029297001402519</v>
      </c>
      <c r="BA289">
        <f>_xlfn.NORM.DIST(Table2912[[#This Row],[CH4 '[g/mmol SCFA']]],X$6,X$2,FALSE)</f>
        <v>0.29628459628714077</v>
      </c>
      <c r="BB289">
        <f>_xlfn.NORM.DIST(Table2912[[#This Row],[DMD '[mg/g']]],Y$6,Y$2,FALSE)</f>
        <v>2.8283883030280734E-3</v>
      </c>
      <c r="BC289">
        <f>_xlfn.NORM.DIST(Table2912[[#This Row],[CH4 '[ml/g']]],Z$6,Z$2,FALSE)</f>
        <v>3.1995491874780568E-2</v>
      </c>
      <c r="BD289">
        <f>_xlfn.NORM.DIST(Table2912[[#This Row],[CH4 '[% GP']]],AA$6,AA$2,FALSE)</f>
        <v>0.13463748833370875</v>
      </c>
      <c r="BE289">
        <f>_xlfn.NORM.DIST(Table2912[[#This Row],[CH4 '[g/g DDM']]],AB$6,AB$2,FALSE)</f>
        <v>2.8215402045528099E-2</v>
      </c>
      <c r="BG289">
        <f>IF(Table2912[[#This Row],[GP '[ml/g']]]&lt;O$10,_xlfn.NORM.DIST(Table2912[[#This Row],[GP '[ml/g']]],O$6,O$2,FALSE),-100)</f>
        <v>-100</v>
      </c>
      <c r="BH289">
        <f>IF(Table2912[[#This Row],[SCFA '[mmol/g']]]&lt;P$10,_xlfn.NORM.DIST(Table2912[[#This Row],[SCFA '[mmol/g']]],P$6,P$2,FALSE),-100)</f>
        <v>-100</v>
      </c>
      <c r="BI289">
        <f>IF(Table2912[[#This Row],[Acetate '[%']]]&lt;Q$10,_xlfn.NORM.DIST(Table2912[[#This Row],[Acetate '[%']]],Q$6,Q$2,FALSE),-100)</f>
        <v>-100</v>
      </c>
      <c r="BJ289">
        <f>IF(Table2912[[#This Row],[Propionate '[%']]]&lt;R$10,_xlfn.NORM.DIST(Table2912[[#This Row],[Propionate '[%']]],R$6,R$2,FALSE),-100)</f>
        <v>-100</v>
      </c>
      <c r="BK289">
        <f>IF(Table2912[[#This Row],[Butyrate '[%']]]&lt;S$10,_xlfn.NORM.DIST(Table2912[[#This Row],[Butyrate '[%']]],S$6,S$2,FALSE),-100)</f>
        <v>8.5131773752932389</v>
      </c>
      <c r="BL289">
        <f>IF(Table2912[[#This Row],[Valerate '[%']]]&lt;T$10,_xlfn.NORM.DIST(Table2912[[#This Row],[Valerate '[%']]],T$6,T$2,FALSE),-100)</f>
        <v>-100</v>
      </c>
      <c r="BM289">
        <f>IF(Table2912[[#This Row],[Caproate '[%']]]&lt;U$10,_xlfn.NORM.DIST(Table2912[[#This Row],[Caproate '[%']]],U$6,U$2,FALSE),-100)</f>
        <v>-100</v>
      </c>
      <c r="BN289">
        <f>IF(Table2912[[#This Row],[Isobutyrate '[%']]]&lt;V$10,_xlfn.NORM.DIST(Table2912[[#This Row],[Isobutyrate '[%']]],V$6,V$2,FALSE),-100)</f>
        <v>-100</v>
      </c>
      <c r="BO289">
        <f>IF(Table2912[[#This Row],[Isovalerate '[%']]]&lt;W$10,_xlfn.NORM.DIST(Table2912[[#This Row],[Isovalerate '[%']]],W$6,W$2,FALSE),-100)</f>
        <v>-100</v>
      </c>
      <c r="BP289">
        <f>IF(Table2912[[#This Row],[CH4 '[g/mmol SCFA']]]&lt;X$10,_xlfn.NORM.DIST(Table2912[[#This Row],[CH4 '[g/mmol SCFA']]],X$6,X$2,FALSE),-100)</f>
        <v>-100</v>
      </c>
      <c r="BQ289">
        <f>IF(Table2912[[#This Row],[DMD '[mg/g']]]&gt;Y$10,_xlfn.NORM.DIST(Table2912[[#This Row],[DMD '[mg/g']]],Y$6,Y$2,FALSE),-100)</f>
        <v>-100</v>
      </c>
      <c r="BR289">
        <f>IF(Table2912[[#This Row],[CH4 '[ml/g']]]&lt;Z$10,_xlfn.NORM.DIST(Table2912[[#This Row],[CH4 '[ml/g']]],Z$6,Z$2,FALSE),-100)</f>
        <v>-100</v>
      </c>
      <c r="BS289">
        <f>IF(Table2912[[#This Row],[CH4 '[% GP']]]&lt;AA$10,_xlfn.NORM.DIST(Table2912[[#This Row],[CH4 '[% GP']]],AA$6,AA$2,FALSE),-100)</f>
        <v>-100</v>
      </c>
      <c r="BT289">
        <f>IF(Table2912[[#This Row],[CH4 '[g/g DDM']]]&lt;AB$10,_xlfn.NORM.DIST(Table2912[[#This Row],[CH4 '[g/g DDM']]],AB$6,AB$2,FALSE),-100)</f>
        <v>-100</v>
      </c>
    </row>
    <row r="290" spans="1:72" x14ac:dyDescent="0.25">
      <c r="A290" s="12" t="s">
        <v>70</v>
      </c>
      <c r="B290" s="13">
        <v>1009</v>
      </c>
      <c r="C290" s="96" t="s">
        <v>384</v>
      </c>
      <c r="D290" s="96"/>
      <c r="E290" s="96"/>
      <c r="F290" s="96" t="s">
        <v>385</v>
      </c>
      <c r="G290" t="s">
        <v>73</v>
      </c>
      <c r="H290" t="s">
        <v>74</v>
      </c>
      <c r="I290" t="s">
        <v>75</v>
      </c>
      <c r="J290" s="100">
        <v>2</v>
      </c>
      <c r="K290" s="100"/>
      <c r="L290" s="100"/>
      <c r="M290" t="s">
        <v>385</v>
      </c>
      <c r="N290" t="s">
        <v>85</v>
      </c>
      <c r="O290" s="18">
        <v>307.2543940390097</v>
      </c>
      <c r="P290" s="18">
        <v>6.7242643592197782</v>
      </c>
      <c r="Q290" s="97">
        <v>0.68737980865056958</v>
      </c>
      <c r="R290" s="97">
        <v>0.16679855200566904</v>
      </c>
      <c r="S290" s="97">
        <v>9.7179592771734005E-2</v>
      </c>
      <c r="T290" s="97">
        <v>1.5715475276692849E-2</v>
      </c>
      <c r="U290" s="97">
        <v>9.1281166919273467E-4</v>
      </c>
      <c r="V290" s="97">
        <v>1.0904945482336427E-2</v>
      </c>
      <c r="W290" s="97">
        <v>2.1108814143805464E-2</v>
      </c>
      <c r="X290" s="51">
        <f t="shared" si="20"/>
        <v>6.8352794470549485</v>
      </c>
      <c r="Y290" s="18">
        <v>809.90279290113062</v>
      </c>
      <c r="Z290" s="18">
        <v>45.962225971139063</v>
      </c>
      <c r="AA290" s="18">
        <f t="shared" si="21"/>
        <v>14.95901339829288</v>
      </c>
      <c r="AB290" s="18">
        <f t="shared" si="22"/>
        <v>56.750299386546168</v>
      </c>
      <c r="AC290" s="18">
        <f>$CP$15*Table2912[[#This Row],[DMD '[mg/g']]]+$CS$15*Table2912[[#This Row],[CH4 '[ml/g']]]+$CR$15*Table2912[[#This Row],[CH4 '[% GP']]]+$CQ$15*Table2912[[#This Row],[CH4 '[g/g DDM']]]</f>
        <v>15.890103512842565</v>
      </c>
      <c r="AD290" s="18">
        <f>_xlfn.RANK.AVG(Table2912[[#This Row],[Index]],Table2912[Index])</f>
        <v>255</v>
      </c>
      <c r="AE29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6.3971823790959856</v>
      </c>
      <c r="AF290" s="18">
        <f>Table2912[[#This Row],[CH4 '[ml/g']]]/Table2912[[#This Row],[APB]]</f>
        <v>7.1847609224538305</v>
      </c>
      <c r="AG290" s="18">
        <f>Table2912[[#This Row],[Propionate '[%']]]/Table2912[[#This Row],[Acetate '[%']]]</f>
        <v>0.24265849812074025</v>
      </c>
      <c r="AH290" s="51"/>
      <c r="AI290" s="18"/>
      <c r="AJ290" s="18"/>
      <c r="AK290" s="18">
        <f>(Table2912[[#This Row],[DMD '[mg/g']]]-$AK$15)/$AK$15*100</f>
        <v>65.188816036933432</v>
      </c>
      <c r="AL290" s="18">
        <f>(Table2912[[#This Row],[CH4 '[ml/g']]]-AL$15)/AL$15*100</f>
        <v>16.856460387934519</v>
      </c>
      <c r="AM290" s="18">
        <f>(Table2912[[#This Row],[CH4 '[% GP']]]-AM$15)/AM$15*100</f>
        <v>-3.6292201300486706</v>
      </c>
      <c r="AN290" s="18">
        <f>(Table2912[[#This Row],[CH4 '[g/g DDM']]]-AN$15)/AN$15*100</f>
        <v>10.806828993715941</v>
      </c>
      <c r="AO290" s="18"/>
      <c r="AP290" s="18"/>
      <c r="AR290">
        <f>_xlfn.NORM.DIST(Table2912[[#This Row],[GP '[ml/g']]],O$6,O$2,FALSE)</f>
        <v>4.6703467561182588E-3</v>
      </c>
      <c r="AS290">
        <f>_xlfn.NORM.DIST(Table2912[[#This Row],[SCFA '[mmol/g']]],P$6,P$2,FALSE)</f>
        <v>0.32872984844669423</v>
      </c>
      <c r="AT290">
        <f>_xlfn.NORM.DIST(Table2912[[#This Row],[Acetate '[%']]],Q$6,Q$2,FALSE)</f>
        <v>12.371237001325987</v>
      </c>
      <c r="AU290">
        <f>_xlfn.NORM.DIST(Table2912[[#This Row],[Propionate '[%']]],R$6,R$2,FALSE)</f>
        <v>16.413260156574321</v>
      </c>
      <c r="AV290">
        <f>_xlfn.NORM.DIST(Table2912[[#This Row],[Butyrate '[%']]],S$6,S$2,FALSE)</f>
        <v>22.34478897459184</v>
      </c>
      <c r="AW290">
        <f>_xlfn.NORM.DIST(Table2912[[#This Row],[Valerate '[%']]],T$6,T$2,FALSE)</f>
        <v>72.084582545671665</v>
      </c>
      <c r="AX290">
        <f>_xlfn.NORM.DIST(Table2912[[#This Row],[Caproate '[%']]],U$6,U$2,FALSE)</f>
        <v>371.19701584531765</v>
      </c>
      <c r="AY290">
        <f>_xlfn.NORM.DIST(Table2912[[#This Row],[Isobutyrate '[%']]],V$6,V$2,FALSE)</f>
        <v>54.834659703678369</v>
      </c>
      <c r="AZ290">
        <f>_xlfn.NORM.DIST(Table2912[[#This Row],[Isovalerate '[%']]],W$6,W$2,FALSE)</f>
        <v>33.702263595398357</v>
      </c>
      <c r="BA290">
        <f>_xlfn.NORM.DIST(Table2912[[#This Row],[CH4 '[g/mmol SCFA']]],X$6,X$2,FALSE)</f>
        <v>0.27321680299076556</v>
      </c>
      <c r="BB290">
        <f>_xlfn.NORM.DIST(Table2912[[#This Row],[DMD '[mg/g']]],Y$6,Y$2,FALSE)</f>
        <v>2.8278615300214999E-3</v>
      </c>
      <c r="BC290">
        <f>_xlfn.NORM.DIST(Table2912[[#This Row],[CH4 '[ml/g']]],Z$6,Z$2,FALSE)</f>
        <v>3.1132578853081443E-2</v>
      </c>
      <c r="BD290">
        <f>_xlfn.NORM.DIST(Table2912[[#This Row],[CH4 '[% GP']]],AA$6,AA$2,FALSE)</f>
        <v>0.12558967680843036</v>
      </c>
      <c r="BE290">
        <f>_xlfn.NORM.DIST(Table2912[[#This Row],[CH4 '[g/g DDM']]],AB$6,AB$2,FALSE)</f>
        <v>3.1592211851635826E-2</v>
      </c>
      <c r="BG290">
        <f>IF(Table2912[[#This Row],[GP '[ml/g']]]&lt;O$10,_xlfn.NORM.DIST(Table2912[[#This Row],[GP '[ml/g']]],O$6,O$2,FALSE),-100)</f>
        <v>-100</v>
      </c>
      <c r="BH290">
        <f>IF(Table2912[[#This Row],[SCFA '[mmol/g']]]&lt;P$10,_xlfn.NORM.DIST(Table2912[[#This Row],[SCFA '[mmol/g']]],P$6,P$2,FALSE),-100)</f>
        <v>-100</v>
      </c>
      <c r="BI290">
        <f>IF(Table2912[[#This Row],[Acetate '[%']]]&lt;Q$10,_xlfn.NORM.DIST(Table2912[[#This Row],[Acetate '[%']]],Q$6,Q$2,FALSE),-100)</f>
        <v>-100</v>
      </c>
      <c r="BJ290">
        <f>IF(Table2912[[#This Row],[Propionate '[%']]]&lt;R$10,_xlfn.NORM.DIST(Table2912[[#This Row],[Propionate '[%']]],R$6,R$2,FALSE),-100)</f>
        <v>-100</v>
      </c>
      <c r="BK290">
        <f>IF(Table2912[[#This Row],[Butyrate '[%']]]&lt;S$10,_xlfn.NORM.DIST(Table2912[[#This Row],[Butyrate '[%']]],S$6,S$2,FALSE),-100)</f>
        <v>-100</v>
      </c>
      <c r="BL290">
        <f>IF(Table2912[[#This Row],[Valerate '[%']]]&lt;T$10,_xlfn.NORM.DIST(Table2912[[#This Row],[Valerate '[%']]],T$6,T$2,FALSE),-100)</f>
        <v>-100</v>
      </c>
      <c r="BM290">
        <f>IF(Table2912[[#This Row],[Caproate '[%']]]&lt;U$10,_xlfn.NORM.DIST(Table2912[[#This Row],[Caproate '[%']]],U$6,U$2,FALSE),-100)</f>
        <v>-100</v>
      </c>
      <c r="BN290">
        <f>IF(Table2912[[#This Row],[Isobutyrate '[%']]]&lt;V$10,_xlfn.NORM.DIST(Table2912[[#This Row],[Isobutyrate '[%']]],V$6,V$2,FALSE),-100)</f>
        <v>-100</v>
      </c>
      <c r="BO290">
        <f>IF(Table2912[[#This Row],[Isovalerate '[%']]]&lt;W$10,_xlfn.NORM.DIST(Table2912[[#This Row],[Isovalerate '[%']]],W$6,W$2,FALSE),-100)</f>
        <v>-100</v>
      </c>
      <c r="BP290">
        <f>IF(Table2912[[#This Row],[CH4 '[g/mmol SCFA']]]&lt;X$10,_xlfn.NORM.DIST(Table2912[[#This Row],[CH4 '[g/mmol SCFA']]],X$6,X$2,FALSE),-100)</f>
        <v>-100</v>
      </c>
      <c r="BQ290">
        <f>IF(Table2912[[#This Row],[DMD '[mg/g']]]&gt;Y$10,_xlfn.NORM.DIST(Table2912[[#This Row],[DMD '[mg/g']]],Y$6,Y$2,FALSE),-100)</f>
        <v>-100</v>
      </c>
      <c r="BR290">
        <f>IF(Table2912[[#This Row],[CH4 '[ml/g']]]&lt;Z$10,_xlfn.NORM.DIST(Table2912[[#This Row],[CH4 '[ml/g']]],Z$6,Z$2,FALSE),-100)</f>
        <v>-100</v>
      </c>
      <c r="BS290">
        <f>IF(Table2912[[#This Row],[CH4 '[% GP']]]&lt;AA$10,_xlfn.NORM.DIST(Table2912[[#This Row],[CH4 '[% GP']]],AA$6,AA$2,FALSE),-100)</f>
        <v>-100</v>
      </c>
      <c r="BT290">
        <f>IF(Table2912[[#This Row],[CH4 '[g/g DDM']]]&lt;AB$10,_xlfn.NORM.DIST(Table2912[[#This Row],[CH4 '[g/g DDM']]],AB$6,AB$2,FALSE),-100)</f>
        <v>-100</v>
      </c>
    </row>
    <row r="291" spans="1:72" x14ac:dyDescent="0.25">
      <c r="A291" s="12" t="s">
        <v>86</v>
      </c>
      <c r="B291" s="13">
        <v>1050</v>
      </c>
      <c r="C291" s="104" t="s">
        <v>218</v>
      </c>
      <c r="D291" s="104" t="s">
        <v>219</v>
      </c>
      <c r="E291" s="104" t="s">
        <v>220</v>
      </c>
      <c r="F291" s="104" t="s">
        <v>221</v>
      </c>
      <c r="G291" s="32" t="s">
        <v>73</v>
      </c>
      <c r="H291" s="32" t="s">
        <v>74</v>
      </c>
      <c r="I291" s="104" t="s">
        <v>106</v>
      </c>
      <c r="J291" s="100">
        <v>2</v>
      </c>
      <c r="K291" s="100"/>
      <c r="L291" s="100"/>
      <c r="M291" t="s">
        <v>221</v>
      </c>
      <c r="N291" t="s">
        <v>99</v>
      </c>
      <c r="O291" s="18">
        <v>229.31252204585454</v>
      </c>
      <c r="P291" s="18">
        <v>7.0478246549229588</v>
      </c>
      <c r="Q291" s="97">
        <v>0.7053832142563119</v>
      </c>
      <c r="R291" s="97">
        <v>0.15248474710150395</v>
      </c>
      <c r="S291" s="97">
        <v>6.8129665997161054E-2</v>
      </c>
      <c r="T291" s="97">
        <v>2.8543542593167836E-2</v>
      </c>
      <c r="U291" s="97">
        <v>8.8202137010043975E-4</v>
      </c>
      <c r="V291" s="97">
        <v>1.6835884808877939E-2</v>
      </c>
      <c r="W291" s="97">
        <v>2.7740923872876824E-2</v>
      </c>
      <c r="X291" s="51">
        <f t="shared" si="20"/>
        <v>5.7230811740059426</v>
      </c>
      <c r="Y291" s="18">
        <v>810.28551362882672</v>
      </c>
      <c r="Z291" s="18">
        <v>40.335272600284512</v>
      </c>
      <c r="AA291" s="18">
        <f t="shared" si="21"/>
        <v>17.589651119104111</v>
      </c>
      <c r="AB291" s="18">
        <f t="shared" si="22"/>
        <v>49.779086410720623</v>
      </c>
      <c r="AC291" s="18">
        <f>$CP$15*Table2912[[#This Row],[DMD '[mg/g']]]+$CS$15*Table2912[[#This Row],[CH4 '[ml/g']]]+$CR$15*Table2912[[#This Row],[CH4 '[% GP']]]+$CQ$15*Table2912[[#This Row],[CH4 '[g/g DDM']]]</f>
        <v>17.954379279393834</v>
      </c>
      <c r="AD291" s="18">
        <f>_xlfn.RANK.AVG(Table2912[[#This Row],[Index]],Table2912[Index])</f>
        <v>205</v>
      </c>
      <c r="AE29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6.5262689084725691</v>
      </c>
      <c r="AF291" s="18">
        <f>Table2912[[#This Row],[CH4 '[ml/g']]]/Table2912[[#This Row],[APB]]</f>
        <v>6.180449069133549</v>
      </c>
      <c r="AG291" s="18">
        <f>Table2912[[#This Row],[Propionate '[%']]]/Table2912[[#This Row],[Acetate '[%']]]</f>
        <v>0.21617291710332118</v>
      </c>
      <c r="AH291" s="51"/>
      <c r="AI291" s="18"/>
      <c r="AJ291" s="18"/>
      <c r="AK291" s="18">
        <f>(Table2912[[#This Row],[DMD '[mg/g']]]-$AK$15)/$AK$15*100</f>
        <v>65.266876249140438</v>
      </c>
      <c r="AL291" s="18">
        <f>(Table2912[[#This Row],[CH4 '[ml/g']]]-AL$15)/AL$15*100</f>
        <v>2.5502374017173048</v>
      </c>
      <c r="AM291" s="18">
        <f>(Table2912[[#This Row],[CH4 '[% GP']]]-AM$15)/AM$15*100</f>
        <v>13.318194913968934</v>
      </c>
      <c r="AN291" s="18">
        <f>(Table2912[[#This Row],[CH4 '[g/g DDM']]]-AN$15)/AN$15*100</f>
        <v>-2.8046939839796061</v>
      </c>
      <c r="AO291" s="18"/>
      <c r="AP291" s="18"/>
      <c r="AR291">
        <f>_xlfn.NORM.DIST(Table2912[[#This Row],[GP '[ml/g']]],O$6,O$2,FALSE)</f>
        <v>6.6311007068448526E-3</v>
      </c>
      <c r="AS291">
        <f>_xlfn.NORM.DIST(Table2912[[#This Row],[SCFA '[mmol/g']]],P$6,P$2,FALSE)</f>
        <v>0.30392375836169694</v>
      </c>
      <c r="AT291">
        <f>_xlfn.NORM.DIST(Table2912[[#This Row],[Acetate '[%']]],Q$6,Q$2,FALSE)</f>
        <v>7.3725475724925076</v>
      </c>
      <c r="AU291">
        <f>_xlfn.NORM.DIST(Table2912[[#This Row],[Propionate '[%']]],R$6,R$2,FALSE)</f>
        <v>12.038176928917764</v>
      </c>
      <c r="AV291">
        <f>_xlfn.NORM.DIST(Table2912[[#This Row],[Butyrate '[%']]],S$6,S$2,FALSE)</f>
        <v>8.2700379006874289</v>
      </c>
      <c r="AW291">
        <f>_xlfn.NORM.DIST(Table2912[[#This Row],[Valerate '[%']]],T$6,T$2,FALSE)</f>
        <v>8.3268786098478671</v>
      </c>
      <c r="AX291">
        <f>_xlfn.NORM.DIST(Table2912[[#This Row],[Caproate '[%']]],U$6,U$2,FALSE)</f>
        <v>366.0529037315452</v>
      </c>
      <c r="AY291">
        <f>_xlfn.NORM.DIST(Table2912[[#This Row],[Isobutyrate '[%']]],V$6,V$2,FALSE)</f>
        <v>85.004553689349777</v>
      </c>
      <c r="AZ291">
        <f>_xlfn.NORM.DIST(Table2912[[#This Row],[Isovalerate '[%']]],W$6,W$2,FALSE)</f>
        <v>45.422894573273652</v>
      </c>
      <c r="BA291">
        <f>_xlfn.NORM.DIST(Table2912[[#This Row],[CH4 '[g/mmol SCFA']]],X$6,X$2,FALSE)</f>
        <v>0.27261663671144298</v>
      </c>
      <c r="BB291">
        <f>_xlfn.NORM.DIST(Table2912[[#This Row],[DMD '[mg/g']]],Y$6,Y$2,FALSE)</f>
        <v>2.8258905557765638E-3</v>
      </c>
      <c r="BC291">
        <f>_xlfn.NORM.DIST(Table2912[[#This Row],[CH4 '[ml/g']]],Z$6,Z$2,FALSE)</f>
        <v>3.3372805114476975E-2</v>
      </c>
      <c r="BD291">
        <f>_xlfn.NORM.DIST(Table2912[[#This Row],[CH4 '[% GP']]],AA$6,AA$2,FALSE)</f>
        <v>0.1180616774472473</v>
      </c>
      <c r="BE291">
        <f>_xlfn.NORM.DIST(Table2912[[#This Row],[CH4 '[g/g DDM']]],AB$6,AB$2,FALSE)</f>
        <v>3.1458852275526777E-2</v>
      </c>
      <c r="BG291">
        <f>IF(Table2912[[#This Row],[GP '[ml/g']]]&lt;O$10,_xlfn.NORM.DIST(Table2912[[#This Row],[GP '[ml/g']]],O$6,O$2,FALSE),-100)</f>
        <v>-100</v>
      </c>
      <c r="BH291">
        <f>IF(Table2912[[#This Row],[SCFA '[mmol/g']]]&lt;P$10,_xlfn.NORM.DIST(Table2912[[#This Row],[SCFA '[mmol/g']]],P$6,P$2,FALSE),-100)</f>
        <v>-100</v>
      </c>
      <c r="BI291">
        <f>IF(Table2912[[#This Row],[Acetate '[%']]]&lt;Q$10,_xlfn.NORM.DIST(Table2912[[#This Row],[Acetate '[%']]],Q$6,Q$2,FALSE),-100)</f>
        <v>-100</v>
      </c>
      <c r="BJ291">
        <f>IF(Table2912[[#This Row],[Propionate '[%']]]&lt;R$10,_xlfn.NORM.DIST(Table2912[[#This Row],[Propionate '[%']]],R$6,R$2,FALSE),-100)</f>
        <v>-100</v>
      </c>
      <c r="BK291">
        <f>IF(Table2912[[#This Row],[Butyrate '[%']]]&lt;S$10,_xlfn.NORM.DIST(Table2912[[#This Row],[Butyrate '[%']]],S$6,S$2,FALSE),-100)</f>
        <v>8.2700379006874289</v>
      </c>
      <c r="BL291">
        <f>IF(Table2912[[#This Row],[Valerate '[%']]]&lt;T$10,_xlfn.NORM.DIST(Table2912[[#This Row],[Valerate '[%']]],T$6,T$2,FALSE),-100)</f>
        <v>-100</v>
      </c>
      <c r="BM291">
        <f>IF(Table2912[[#This Row],[Caproate '[%']]]&lt;U$10,_xlfn.NORM.DIST(Table2912[[#This Row],[Caproate '[%']]],U$6,U$2,FALSE),-100)</f>
        <v>-100</v>
      </c>
      <c r="BN291">
        <f>IF(Table2912[[#This Row],[Isobutyrate '[%']]]&lt;V$10,_xlfn.NORM.DIST(Table2912[[#This Row],[Isobutyrate '[%']]],V$6,V$2,FALSE),-100)</f>
        <v>-100</v>
      </c>
      <c r="BO291">
        <f>IF(Table2912[[#This Row],[Isovalerate '[%']]]&lt;W$10,_xlfn.NORM.DIST(Table2912[[#This Row],[Isovalerate '[%']]],W$6,W$2,FALSE),-100)</f>
        <v>-100</v>
      </c>
      <c r="BP291">
        <f>IF(Table2912[[#This Row],[CH4 '[g/mmol SCFA']]]&lt;X$10,_xlfn.NORM.DIST(Table2912[[#This Row],[CH4 '[g/mmol SCFA']]],X$6,X$2,FALSE),-100)</f>
        <v>-100</v>
      </c>
      <c r="BQ291">
        <f>IF(Table2912[[#This Row],[DMD '[mg/g']]]&gt;Y$10,_xlfn.NORM.DIST(Table2912[[#This Row],[DMD '[mg/g']]],Y$6,Y$2,FALSE),-100)</f>
        <v>-100</v>
      </c>
      <c r="BR291">
        <f>IF(Table2912[[#This Row],[CH4 '[ml/g']]]&lt;Z$10,_xlfn.NORM.DIST(Table2912[[#This Row],[CH4 '[ml/g']]],Z$6,Z$2,FALSE),-100)</f>
        <v>-100</v>
      </c>
      <c r="BS291">
        <f>IF(Table2912[[#This Row],[CH4 '[% GP']]]&lt;AA$10,_xlfn.NORM.DIST(Table2912[[#This Row],[CH4 '[% GP']]],AA$6,AA$2,FALSE),-100)</f>
        <v>-100</v>
      </c>
      <c r="BT291">
        <f>IF(Table2912[[#This Row],[CH4 '[g/g DDM']]]&lt;AB$10,_xlfn.NORM.DIST(Table2912[[#This Row],[CH4 '[g/g DDM']]],AB$6,AB$2,FALSE),-100)</f>
        <v>-100</v>
      </c>
    </row>
    <row r="292" spans="1:72" x14ac:dyDescent="0.25">
      <c r="A292" s="12" t="s">
        <v>86</v>
      </c>
      <c r="B292" s="13">
        <v>1080</v>
      </c>
      <c r="C292" s="104" t="s">
        <v>386</v>
      </c>
      <c r="D292" s="104" t="s">
        <v>387</v>
      </c>
      <c r="E292" s="104" t="s">
        <v>388</v>
      </c>
      <c r="F292" s="104" t="s">
        <v>389</v>
      </c>
      <c r="G292" s="32" t="s">
        <v>143</v>
      </c>
      <c r="H292" s="32" t="s">
        <v>144</v>
      </c>
      <c r="I292" s="32" t="s">
        <v>52</v>
      </c>
      <c r="J292" s="100">
        <v>2</v>
      </c>
      <c r="K292" s="100"/>
      <c r="L292" s="100"/>
      <c r="M292" t="s">
        <v>389</v>
      </c>
      <c r="N292" t="s">
        <v>99</v>
      </c>
      <c r="O292" s="18">
        <v>269.03133509002987</v>
      </c>
      <c r="P292" s="18">
        <v>6.5268419233227668</v>
      </c>
      <c r="Q292" s="97">
        <v>0.67724231284834135</v>
      </c>
      <c r="R292" s="97">
        <v>0.17662640111770816</v>
      </c>
      <c r="S292" s="97">
        <v>8.8148826633251826E-2</v>
      </c>
      <c r="T292" s="97">
        <v>1.364314853250915E-2</v>
      </c>
      <c r="U292" s="97">
        <v>9.3553410038159758E-4</v>
      </c>
      <c r="V292" s="97">
        <v>1.6542625234037701E-2</v>
      </c>
      <c r="W292" s="97">
        <v>2.6861151533770101E-2</v>
      </c>
      <c r="X292" s="51">
        <f t="shared" si="20"/>
        <v>8.1312613168309085</v>
      </c>
      <c r="Y292" s="18">
        <v>810.62019245402803</v>
      </c>
      <c r="Z292" s="18">
        <v>53.071457252184665</v>
      </c>
      <c r="AA292" s="18">
        <f t="shared" si="21"/>
        <v>19.726868334658711</v>
      </c>
      <c r="AB292" s="18">
        <f t="shared" si="22"/>
        <v>65.47018905551684</v>
      </c>
      <c r="AC292" s="18">
        <f>$CP$15*Table2912[[#This Row],[DMD '[mg/g']]]+$CS$15*Table2912[[#This Row],[CH4 '[ml/g']]]+$CR$15*Table2912[[#This Row],[CH4 '[% GP']]]+$CQ$15*Table2912[[#This Row],[CH4 '[g/g DDM']]]</f>
        <v>10.991957468718368</v>
      </c>
      <c r="AD292" s="18">
        <f>_xlfn.RANK.AVG(Table2912[[#This Row],[Index]],Table2912[Index])</f>
        <v>347</v>
      </c>
      <c r="AE29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6.1483995764889263</v>
      </c>
      <c r="AF292" s="18">
        <f>Table2912[[#This Row],[CH4 '[ml/g']]]/Table2912[[#This Row],[APB]]</f>
        <v>8.6317514975972625</v>
      </c>
      <c r="AG292" s="18">
        <f>Table2912[[#This Row],[Propionate '[%']]]/Table2912[[#This Row],[Acetate '[%']]]</f>
        <v>0.26080237127366418</v>
      </c>
      <c r="AH292" s="51"/>
      <c r="AI292" s="18"/>
      <c r="AJ292" s="18"/>
      <c r="AK292" s="18">
        <f>(Table2912[[#This Row],[DMD '[mg/g']]]-$AK$15)/$AK$15*100</f>
        <v>65.335137773081598</v>
      </c>
      <c r="AL292" s="18">
        <f>(Table2912[[#This Row],[CH4 '[ml/g']]]-AL$15)/AL$15*100</f>
        <v>34.931294363639417</v>
      </c>
      <c r="AM292" s="18">
        <f>(Table2912[[#This Row],[CH4 '[% GP']]]-AM$15)/AM$15*100</f>
        <v>27.086836222759214</v>
      </c>
      <c r="AN292" s="18">
        <f>(Table2912[[#This Row],[CH4 '[g/g DDM']]]-AN$15)/AN$15*100</f>
        <v>27.832700818856775</v>
      </c>
      <c r="AO292" s="18"/>
      <c r="AP292" s="18"/>
      <c r="AR292">
        <f>_xlfn.NORM.DIST(Table2912[[#This Row],[GP '[ml/g']]],O$6,O$2,FALSE)</f>
        <v>7.2426238207497027E-3</v>
      </c>
      <c r="AS292">
        <f>_xlfn.NORM.DIST(Table2912[[#This Row],[SCFA '[mmol/g']]],P$6,P$2,FALSE)</f>
        <v>0.33273055466009571</v>
      </c>
      <c r="AT292">
        <f>_xlfn.NORM.DIST(Table2912[[#This Row],[Acetate '[%']]],Q$6,Q$2,FALSE)</f>
        <v>13.88068205324995</v>
      </c>
      <c r="AU292">
        <f>_xlfn.NORM.DIST(Table2912[[#This Row],[Propionate '[%']]],R$6,R$2,FALSE)</f>
        <v>16.457614182788312</v>
      </c>
      <c r="AV292">
        <f>_xlfn.NORM.DIST(Table2912[[#This Row],[Butyrate '[%']]],S$6,S$2,FALSE)</f>
        <v>22.1722252568055</v>
      </c>
      <c r="AW292">
        <f>_xlfn.NORM.DIST(Table2912[[#This Row],[Valerate '[%']]],T$6,T$2,FALSE)</f>
        <v>57.136080787385758</v>
      </c>
      <c r="AX292">
        <f>_xlfn.NORM.DIST(Table2912[[#This Row],[Caproate '[%']]],U$6,U$2,FALSE)</f>
        <v>374.8023959937388</v>
      </c>
      <c r="AY292">
        <f>_xlfn.NORM.DIST(Table2912[[#This Row],[Isobutyrate '[%']]],V$6,V$2,FALSE)</f>
        <v>86.768907425535019</v>
      </c>
      <c r="AZ292">
        <f>_xlfn.NORM.DIST(Table2912[[#This Row],[Isovalerate '[%']]],W$6,W$2,FALSE)</f>
        <v>45.116084611746807</v>
      </c>
      <c r="BA292">
        <f>_xlfn.NORM.DIST(Table2912[[#This Row],[CH4 '[g/mmol SCFA']]],X$6,X$2,FALSE)</f>
        <v>0.11507517520835904</v>
      </c>
      <c r="BB292">
        <f>_xlfn.NORM.DIST(Table2912[[#This Row],[DMD '[mg/g']]],Y$6,Y$2,FALSE)</f>
        <v>2.8241500043212041E-3</v>
      </c>
      <c r="BC292">
        <f>_xlfn.NORM.DIST(Table2912[[#This Row],[CH4 '[ml/g']]],Z$6,Z$2,FALSE)</f>
        <v>2.0720439256193379E-2</v>
      </c>
      <c r="BD292">
        <f>_xlfn.NORM.DIST(Table2912[[#This Row],[CH4 '[% GP']]],AA$6,AA$2,FALSE)</f>
        <v>6.2802990204197093E-2</v>
      </c>
      <c r="BE292">
        <f>_xlfn.NORM.DIST(Table2912[[#This Row],[CH4 '[g/g DDM']]],AB$6,AB$2,FALSE)</f>
        <v>1.9971049959993624E-2</v>
      </c>
      <c r="BG292">
        <f>IF(Table2912[[#This Row],[GP '[ml/g']]]&lt;O$10,_xlfn.NORM.DIST(Table2912[[#This Row],[GP '[ml/g']]],O$6,O$2,FALSE),-100)</f>
        <v>-100</v>
      </c>
      <c r="BH292">
        <f>IF(Table2912[[#This Row],[SCFA '[mmol/g']]]&lt;P$10,_xlfn.NORM.DIST(Table2912[[#This Row],[SCFA '[mmol/g']]],P$6,P$2,FALSE),-100)</f>
        <v>-100</v>
      </c>
      <c r="BI292">
        <f>IF(Table2912[[#This Row],[Acetate '[%']]]&lt;Q$10,_xlfn.NORM.DIST(Table2912[[#This Row],[Acetate '[%']]],Q$6,Q$2,FALSE),-100)</f>
        <v>-100</v>
      </c>
      <c r="BJ292">
        <f>IF(Table2912[[#This Row],[Propionate '[%']]]&lt;R$10,_xlfn.NORM.DIST(Table2912[[#This Row],[Propionate '[%']]],R$6,R$2,FALSE),-100)</f>
        <v>-100</v>
      </c>
      <c r="BK292">
        <f>IF(Table2912[[#This Row],[Butyrate '[%']]]&lt;S$10,_xlfn.NORM.DIST(Table2912[[#This Row],[Butyrate '[%']]],S$6,S$2,FALSE),-100)</f>
        <v>-100</v>
      </c>
      <c r="BL292">
        <f>IF(Table2912[[#This Row],[Valerate '[%']]]&lt;T$10,_xlfn.NORM.DIST(Table2912[[#This Row],[Valerate '[%']]],T$6,T$2,FALSE),-100)</f>
        <v>-100</v>
      </c>
      <c r="BM292">
        <f>IF(Table2912[[#This Row],[Caproate '[%']]]&lt;U$10,_xlfn.NORM.DIST(Table2912[[#This Row],[Caproate '[%']]],U$6,U$2,FALSE),-100)</f>
        <v>-100</v>
      </c>
      <c r="BN292">
        <f>IF(Table2912[[#This Row],[Isobutyrate '[%']]]&lt;V$10,_xlfn.NORM.DIST(Table2912[[#This Row],[Isobutyrate '[%']]],V$6,V$2,FALSE),-100)</f>
        <v>-100</v>
      </c>
      <c r="BO292">
        <f>IF(Table2912[[#This Row],[Isovalerate '[%']]]&lt;W$10,_xlfn.NORM.DIST(Table2912[[#This Row],[Isovalerate '[%']]],W$6,W$2,FALSE),-100)</f>
        <v>-100</v>
      </c>
      <c r="BP292">
        <f>IF(Table2912[[#This Row],[CH4 '[g/mmol SCFA']]]&lt;X$10,_xlfn.NORM.DIST(Table2912[[#This Row],[CH4 '[g/mmol SCFA']]],X$6,X$2,FALSE),-100)</f>
        <v>-100</v>
      </c>
      <c r="BQ292">
        <f>IF(Table2912[[#This Row],[DMD '[mg/g']]]&gt;Y$10,_xlfn.NORM.DIST(Table2912[[#This Row],[DMD '[mg/g']]],Y$6,Y$2,FALSE),-100)</f>
        <v>-100</v>
      </c>
      <c r="BR292">
        <f>IF(Table2912[[#This Row],[CH4 '[ml/g']]]&lt;Z$10,_xlfn.NORM.DIST(Table2912[[#This Row],[CH4 '[ml/g']]],Z$6,Z$2,FALSE),-100)</f>
        <v>-100</v>
      </c>
      <c r="BS292">
        <f>IF(Table2912[[#This Row],[CH4 '[% GP']]]&lt;AA$10,_xlfn.NORM.DIST(Table2912[[#This Row],[CH4 '[% GP']]],AA$6,AA$2,FALSE),-100)</f>
        <v>-100</v>
      </c>
      <c r="BT292">
        <f>IF(Table2912[[#This Row],[CH4 '[g/g DDM']]]&lt;AB$10,_xlfn.NORM.DIST(Table2912[[#This Row],[CH4 '[g/g DDM']]],AB$6,AB$2,FALSE),-100)</f>
        <v>-100</v>
      </c>
    </row>
    <row r="293" spans="1:72" x14ac:dyDescent="0.25">
      <c r="A293" s="12" t="s">
        <v>70</v>
      </c>
      <c r="B293" s="13">
        <v>1023</v>
      </c>
      <c r="C293" s="96" t="s">
        <v>181</v>
      </c>
      <c r="D293" s="96"/>
      <c r="E293" s="96"/>
      <c r="F293" s="96" t="s">
        <v>182</v>
      </c>
      <c r="G293" t="s">
        <v>73</v>
      </c>
      <c r="H293" t="s">
        <v>74</v>
      </c>
      <c r="I293" t="s">
        <v>75</v>
      </c>
      <c r="J293" s="100">
        <v>2</v>
      </c>
      <c r="K293" s="100"/>
      <c r="L293" s="100"/>
      <c r="M293" t="s">
        <v>182</v>
      </c>
      <c r="N293" t="s">
        <v>76</v>
      </c>
      <c r="O293" s="18">
        <v>247.96253333333297</v>
      </c>
      <c r="P293" s="18">
        <v>6.7221666666666673</v>
      </c>
      <c r="Q293" s="97">
        <v>0.66888516200636139</v>
      </c>
      <c r="R293" s="97">
        <v>0.16250655252142582</v>
      </c>
      <c r="S293" s="97">
        <v>9.9731193655948652E-2</v>
      </c>
      <c r="T293" s="97">
        <v>2.3520629691868647E-2</v>
      </c>
      <c r="U293" s="97">
        <v>1.4209554837872002E-3</v>
      </c>
      <c r="V293" s="97">
        <v>1.5000496579795897E-2</v>
      </c>
      <c r="W293" s="97">
        <v>2.8935010060812401E-2</v>
      </c>
      <c r="X293" s="51">
        <f t="shared" si="20"/>
        <v>5.93295727018796</v>
      </c>
      <c r="Y293" s="18">
        <v>810.66666666666652</v>
      </c>
      <c r="Z293" s="18">
        <v>39.882327596415166</v>
      </c>
      <c r="AA293" s="18">
        <f t="shared" si="21"/>
        <v>16.084013604910965</v>
      </c>
      <c r="AB293" s="18">
        <f t="shared" si="22"/>
        <v>49.196950160051614</v>
      </c>
      <c r="AC293" s="18">
        <f>$CP$15*Table2912[[#This Row],[DMD '[mg/g']]]+$CS$15*Table2912[[#This Row],[CH4 '[ml/g']]]+$CR$15*Table2912[[#This Row],[CH4 '[% GP']]]+$CQ$15*Table2912[[#This Row],[CH4 '[g/g DDM']]]</f>
        <v>18.67397016251077</v>
      </c>
      <c r="AD293" s="18">
        <f>_xlfn.RANK.AVG(Table2912[[#This Row],[Index]],Table2912[Index])</f>
        <v>186</v>
      </c>
      <c r="AE29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6.2591633759624363</v>
      </c>
      <c r="AF293" s="18">
        <f>Table2912[[#This Row],[CH4 '[ml/g']]]/Table2912[[#This Row],[APB]]</f>
        <v>6.3718304189947244</v>
      </c>
      <c r="AG293" s="18">
        <f>Table2912[[#This Row],[Propionate '[%']]]/Table2912[[#This Row],[Acetate '[%']]]</f>
        <v>0.24295134912841782</v>
      </c>
      <c r="AH293" s="51"/>
      <c r="AI293" s="18"/>
      <c r="AJ293" s="18"/>
      <c r="AK293" s="18">
        <f>(Table2912[[#This Row],[DMD '[mg/g']]]-$AK$15)/$AK$15*100</f>
        <v>65.344616713306635</v>
      </c>
      <c r="AL293" s="18">
        <f>(Table2912[[#This Row],[CH4 '[ml/g']]]-AL$15)/AL$15*100</f>
        <v>1.3986493577481784</v>
      </c>
      <c r="AM293" s="18">
        <f>(Table2912[[#This Row],[CH4 '[% GP']]]-AM$15)/AM$15*100</f>
        <v>3.6183933574834493</v>
      </c>
      <c r="AN293" s="18">
        <f>(Table2912[[#This Row],[CH4 '[g/g DDM']]]-AN$15)/AN$15*100</f>
        <v>-3.9413341898675078</v>
      </c>
      <c r="AO293" s="18"/>
      <c r="AP293" s="18"/>
      <c r="AR293">
        <f>_xlfn.NORM.DIST(Table2912[[#This Row],[GP '[ml/g']]],O$6,O$2,FALSE)</f>
        <v>7.4057440554529614E-3</v>
      </c>
      <c r="AS293">
        <f>_xlfn.NORM.DIST(Table2912[[#This Row],[SCFA '[mmol/g']]],P$6,P$2,FALSE)</f>
        <v>0.3288189628272456</v>
      </c>
      <c r="AT293">
        <f>_xlfn.NORM.DIST(Table2912[[#This Row],[Acetate '[%']]],Q$6,Q$2,FALSE)</f>
        <v>13.871906261727784</v>
      </c>
      <c r="AU293">
        <f>_xlfn.NORM.DIST(Table2912[[#This Row],[Propionate '[%']]],R$6,R$2,FALSE)</f>
        <v>15.537134260813978</v>
      </c>
      <c r="AV293">
        <f>_xlfn.NORM.DIST(Table2912[[#This Row],[Butyrate '[%']]],S$6,S$2,FALSE)</f>
        <v>21.317749707549851</v>
      </c>
      <c r="AW293">
        <f>_xlfn.NORM.DIST(Table2912[[#This Row],[Valerate '[%']]],T$6,T$2,FALSE)</f>
        <v>40.543120798568026</v>
      </c>
      <c r="AX293">
        <f>_xlfn.NORM.DIST(Table2912[[#This Row],[Caproate '[%']]],U$6,U$2,FALSE)</f>
        <v>405.28234324488716</v>
      </c>
      <c r="AY293">
        <f>_xlfn.NORM.DIST(Table2912[[#This Row],[Isobutyrate '[%']]],V$6,V$2,FALSE)</f>
        <v>89.927098817407099</v>
      </c>
      <c r="AZ293">
        <f>_xlfn.NORM.DIST(Table2912[[#This Row],[Isovalerate '[%']]],W$6,W$2,FALSE)</f>
        <v>45.112467904848238</v>
      </c>
      <c r="BA293">
        <f>_xlfn.NORM.DIST(Table2912[[#This Row],[CH4 '[g/mmol SCFA']]],X$6,X$2,FALSE)</f>
        <v>0.28746603754684497</v>
      </c>
      <c r="BB293">
        <f>_xlfn.NORM.DIST(Table2912[[#This Row],[DMD '[mg/g']]],Y$6,Y$2,FALSE)</f>
        <v>2.8239070561356977E-3</v>
      </c>
      <c r="BC293">
        <f>_xlfn.NORM.DIST(Table2912[[#This Row],[CH4 '[ml/g']]],Z$6,Z$2,FALSE)</f>
        <v>3.3235615783337856E-2</v>
      </c>
      <c r="BD293">
        <f>_xlfn.NORM.DIST(Table2912[[#This Row],[CH4 '[% GP']]],AA$6,AA$2,FALSE)</f>
        <v>0.13471494723296545</v>
      </c>
      <c r="BE293">
        <f>_xlfn.NORM.DIST(Table2912[[#This Row],[CH4 '[g/g DDM']]],AB$6,AB$2,FALSE)</f>
        <v>3.0982372655262377E-2</v>
      </c>
      <c r="BG293">
        <f>IF(Table2912[[#This Row],[GP '[ml/g']]]&lt;O$10,_xlfn.NORM.DIST(Table2912[[#This Row],[GP '[ml/g']]],O$6,O$2,FALSE),-100)</f>
        <v>-100</v>
      </c>
      <c r="BH293">
        <f>IF(Table2912[[#This Row],[SCFA '[mmol/g']]]&lt;P$10,_xlfn.NORM.DIST(Table2912[[#This Row],[SCFA '[mmol/g']]],P$6,P$2,FALSE),-100)</f>
        <v>-100</v>
      </c>
      <c r="BI293">
        <f>IF(Table2912[[#This Row],[Acetate '[%']]]&lt;Q$10,_xlfn.NORM.DIST(Table2912[[#This Row],[Acetate '[%']]],Q$6,Q$2,FALSE),-100)</f>
        <v>-100</v>
      </c>
      <c r="BJ293">
        <f>IF(Table2912[[#This Row],[Propionate '[%']]]&lt;R$10,_xlfn.NORM.DIST(Table2912[[#This Row],[Propionate '[%']]],R$6,R$2,FALSE),-100)</f>
        <v>-100</v>
      </c>
      <c r="BK293">
        <f>IF(Table2912[[#This Row],[Butyrate '[%']]]&lt;S$10,_xlfn.NORM.DIST(Table2912[[#This Row],[Butyrate '[%']]],S$6,S$2,FALSE),-100)</f>
        <v>-100</v>
      </c>
      <c r="BL293">
        <f>IF(Table2912[[#This Row],[Valerate '[%']]]&lt;T$10,_xlfn.NORM.DIST(Table2912[[#This Row],[Valerate '[%']]],T$6,T$2,FALSE),-100)</f>
        <v>-100</v>
      </c>
      <c r="BM293">
        <f>IF(Table2912[[#This Row],[Caproate '[%']]]&lt;U$10,_xlfn.NORM.DIST(Table2912[[#This Row],[Caproate '[%']]],U$6,U$2,FALSE),-100)</f>
        <v>-100</v>
      </c>
      <c r="BN293">
        <f>IF(Table2912[[#This Row],[Isobutyrate '[%']]]&lt;V$10,_xlfn.NORM.DIST(Table2912[[#This Row],[Isobutyrate '[%']]],V$6,V$2,FALSE),-100)</f>
        <v>-100</v>
      </c>
      <c r="BO293">
        <f>IF(Table2912[[#This Row],[Isovalerate '[%']]]&lt;W$10,_xlfn.NORM.DIST(Table2912[[#This Row],[Isovalerate '[%']]],W$6,W$2,FALSE),-100)</f>
        <v>-100</v>
      </c>
      <c r="BP293">
        <f>IF(Table2912[[#This Row],[CH4 '[g/mmol SCFA']]]&lt;X$10,_xlfn.NORM.DIST(Table2912[[#This Row],[CH4 '[g/mmol SCFA']]],X$6,X$2,FALSE),-100)</f>
        <v>-100</v>
      </c>
      <c r="BQ293">
        <f>IF(Table2912[[#This Row],[DMD '[mg/g']]]&gt;Y$10,_xlfn.NORM.DIST(Table2912[[#This Row],[DMD '[mg/g']]],Y$6,Y$2,FALSE),-100)</f>
        <v>-100</v>
      </c>
      <c r="BR293">
        <f>IF(Table2912[[#This Row],[CH4 '[ml/g']]]&lt;Z$10,_xlfn.NORM.DIST(Table2912[[#This Row],[CH4 '[ml/g']]],Z$6,Z$2,FALSE),-100)</f>
        <v>-100</v>
      </c>
      <c r="BS293">
        <f>IF(Table2912[[#This Row],[CH4 '[% GP']]]&lt;AA$10,_xlfn.NORM.DIST(Table2912[[#This Row],[CH4 '[% GP']]],AA$6,AA$2,FALSE),-100)</f>
        <v>-100</v>
      </c>
      <c r="BT293">
        <f>IF(Table2912[[#This Row],[CH4 '[g/g DDM']]]&lt;AB$10,_xlfn.NORM.DIST(Table2912[[#This Row],[CH4 '[g/g DDM']]],AB$6,AB$2,FALSE),-100)</f>
        <v>-100</v>
      </c>
    </row>
    <row r="294" spans="1:72" x14ac:dyDescent="0.25">
      <c r="A294" s="12" t="s">
        <v>86</v>
      </c>
      <c r="B294" s="13">
        <v>1084</v>
      </c>
      <c r="C294" s="32">
        <v>6294</v>
      </c>
      <c r="D294" s="104" t="s">
        <v>164</v>
      </c>
      <c r="E294" t="s">
        <v>165</v>
      </c>
      <c r="F294" t="s">
        <v>166</v>
      </c>
      <c r="G294" s="23" t="s">
        <v>143</v>
      </c>
      <c r="H294" s="23" t="s">
        <v>144</v>
      </c>
      <c r="I294" s="32" t="s">
        <v>52</v>
      </c>
      <c r="J294" s="100">
        <v>3</v>
      </c>
      <c r="K294" s="70"/>
      <c r="L294" s="70"/>
      <c r="M294" t="s">
        <v>166</v>
      </c>
      <c r="N294" t="s">
        <v>124</v>
      </c>
      <c r="O294" s="18">
        <v>276.80533596837824</v>
      </c>
      <c r="P294" s="18">
        <v>6.189433369234095</v>
      </c>
      <c r="Q294" s="97">
        <v>0.67714836437517012</v>
      </c>
      <c r="R294" s="97">
        <v>0.19367595474308358</v>
      </c>
      <c r="S294" s="97">
        <v>8.2626221261649507E-2</v>
      </c>
      <c r="T294" s="97">
        <v>1.3554239383723361E-2</v>
      </c>
      <c r="U294" s="97">
        <v>7.285157717887051E-4</v>
      </c>
      <c r="V294" s="97">
        <v>1.1857557292340318E-2</v>
      </c>
      <c r="W294" s="97">
        <v>2.0409147172244409E-2</v>
      </c>
      <c r="X294" s="51">
        <f t="shared" si="20"/>
        <v>7.386556945986996</v>
      </c>
      <c r="Y294" s="18">
        <v>811.3188475507319</v>
      </c>
      <c r="Z294" s="18">
        <v>45.718602045239798</v>
      </c>
      <c r="AA294" s="18">
        <f t="shared" si="21"/>
        <v>16.516517604437585</v>
      </c>
      <c r="AB294" s="18">
        <f t="shared" si="22"/>
        <v>56.35096754285744</v>
      </c>
      <c r="AC294" s="18">
        <f>$CP$15*Table2912[[#This Row],[DMD '[mg/g']]]+$CS$15*Table2912[[#This Row],[CH4 '[ml/g']]]+$CR$15*Table2912[[#This Row],[CH4 '[% GP']]]+$CQ$15*Table2912[[#This Row],[CH4 '[g/g DDM']]]</f>
        <v>15.706613243243019</v>
      </c>
      <c r="AD294" s="18">
        <f>_xlfn.RANK.AVG(Table2912[[#This Row],[Index]],Table2912[Index])</f>
        <v>258</v>
      </c>
      <c r="AE29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5.9013185905416528</v>
      </c>
      <c r="AF294" s="18">
        <f>Table2912[[#This Row],[CH4 '[ml/g']]]/Table2912[[#This Row],[APB]]</f>
        <v>7.7471841832968238</v>
      </c>
      <c r="AG294" s="18">
        <f>Table2912[[#This Row],[Propionate '[%']]]/Table2912[[#This Row],[Acetate '[%']]]</f>
        <v>0.28601701625875675</v>
      </c>
      <c r="AH294" s="51"/>
      <c r="AI294" s="18"/>
      <c r="AJ294" s="18"/>
      <c r="AK294" s="18">
        <f>(Table2912[[#This Row],[DMD '[mg/g']]]-$AK$15)/$AK$15*100</f>
        <v>65.477636365819222</v>
      </c>
      <c r="AL294" s="18">
        <f>(Table2912[[#This Row],[CH4 '[ml/g']]]-AL$15)/AL$15*100</f>
        <v>16.237059803109126</v>
      </c>
      <c r="AM294" s="18">
        <f>(Table2912[[#This Row],[CH4 '[% GP']]]-AM$15)/AM$15*100</f>
        <v>6.404723352749718</v>
      </c>
      <c r="AN294" s="18">
        <f>(Table2912[[#This Row],[CH4 '[g/g DDM']]]-AN$15)/AN$15*100</f>
        <v>10.027120414313236</v>
      </c>
      <c r="AO294" s="18"/>
      <c r="AP294" s="18"/>
      <c r="AR294">
        <f>_xlfn.NORM.DIST(Table2912[[#This Row],[GP '[ml/g']]],O$6,O$2,FALSE)</f>
        <v>6.9057491281760168E-3</v>
      </c>
      <c r="AS294">
        <f>_xlfn.NORM.DIST(Table2912[[#This Row],[SCFA '[mmol/g']]],P$6,P$2,FALSE)</f>
        <v>0.31901516008233222</v>
      </c>
      <c r="AT294">
        <f>_xlfn.NORM.DIST(Table2912[[#This Row],[Acetate '[%']]],Q$6,Q$2,FALSE)</f>
        <v>13.887245653920568</v>
      </c>
      <c r="AU294">
        <f>_xlfn.NORM.DIST(Table2912[[#This Row],[Propionate '[%']]],R$6,R$2,FALSE)</f>
        <v>11.01855580883106</v>
      </c>
      <c r="AV294">
        <f>_xlfn.NORM.DIST(Table2912[[#This Row],[Butyrate '[%']]],S$6,S$2,FALSE)</f>
        <v>19.301421707126455</v>
      </c>
      <c r="AW294">
        <f>_xlfn.NORM.DIST(Table2912[[#This Row],[Valerate '[%']]],T$6,T$2,FALSE)</f>
        <v>56.365031510501424</v>
      </c>
      <c r="AX294">
        <f>_xlfn.NORM.DIST(Table2912[[#This Row],[Caproate '[%']]],U$6,U$2,FALSE)</f>
        <v>336.46303798614679</v>
      </c>
      <c r="AY294">
        <f>_xlfn.NORM.DIST(Table2912[[#This Row],[Isobutyrate '[%']]],V$6,V$2,FALSE)</f>
        <v>66.409433675385486</v>
      </c>
      <c r="AZ294">
        <f>_xlfn.NORM.DIST(Table2912[[#This Row],[Isovalerate '[%']]],W$6,W$2,FALSE)</f>
        <v>31.589299078666564</v>
      </c>
      <c r="BA294">
        <f>_xlfn.NORM.DIST(Table2912[[#This Row],[CH4 '[g/mmol SCFA']]],X$6,X$2,FALSE)</f>
        <v>0.21198853352349903</v>
      </c>
      <c r="BB294">
        <f>_xlfn.NORM.DIST(Table2912[[#This Row],[DMD '[mg/g']]],Y$6,Y$2,FALSE)</f>
        <v>2.8204655930498513E-3</v>
      </c>
      <c r="BC294">
        <f>_xlfn.NORM.DIST(Table2912[[#This Row],[CH4 '[ml/g']]],Z$6,Z$2,FALSE)</f>
        <v>3.1371156484627884E-2</v>
      </c>
      <c r="BD294">
        <f>_xlfn.NORM.DIST(Table2912[[#This Row],[CH4 '[% GP']]],AA$6,AA$2,FALSE)</f>
        <v>0.13318236611133227</v>
      </c>
      <c r="BE294">
        <f>_xlfn.NORM.DIST(Table2912[[#This Row],[CH4 '[g/g DDM']]],AB$6,AB$2,FALSE)</f>
        <v>3.1866856205997066E-2</v>
      </c>
      <c r="BG294">
        <f>IF(Table2912[[#This Row],[GP '[ml/g']]]&lt;O$10,_xlfn.NORM.DIST(Table2912[[#This Row],[GP '[ml/g']]],O$6,O$2,FALSE),-100)</f>
        <v>-100</v>
      </c>
      <c r="BH294">
        <f>IF(Table2912[[#This Row],[SCFA '[mmol/g']]]&lt;P$10,_xlfn.NORM.DIST(Table2912[[#This Row],[SCFA '[mmol/g']]],P$6,P$2,FALSE),-100)</f>
        <v>-100</v>
      </c>
      <c r="BI294">
        <f>IF(Table2912[[#This Row],[Acetate '[%']]]&lt;Q$10,_xlfn.NORM.DIST(Table2912[[#This Row],[Acetate '[%']]],Q$6,Q$2,FALSE),-100)</f>
        <v>-100</v>
      </c>
      <c r="BJ294">
        <f>IF(Table2912[[#This Row],[Propionate '[%']]]&lt;R$10,_xlfn.NORM.DIST(Table2912[[#This Row],[Propionate '[%']]],R$6,R$2,FALSE),-100)</f>
        <v>-100</v>
      </c>
      <c r="BK294">
        <f>IF(Table2912[[#This Row],[Butyrate '[%']]]&lt;S$10,_xlfn.NORM.DIST(Table2912[[#This Row],[Butyrate '[%']]],S$6,S$2,FALSE),-100)</f>
        <v>-100</v>
      </c>
      <c r="BL294">
        <f>IF(Table2912[[#This Row],[Valerate '[%']]]&lt;T$10,_xlfn.NORM.DIST(Table2912[[#This Row],[Valerate '[%']]],T$6,T$2,FALSE),-100)</f>
        <v>-100</v>
      </c>
      <c r="BM294">
        <f>IF(Table2912[[#This Row],[Caproate '[%']]]&lt;U$10,_xlfn.NORM.DIST(Table2912[[#This Row],[Caproate '[%']]],U$6,U$2,FALSE),-100)</f>
        <v>-100</v>
      </c>
      <c r="BN294">
        <f>IF(Table2912[[#This Row],[Isobutyrate '[%']]]&lt;V$10,_xlfn.NORM.DIST(Table2912[[#This Row],[Isobutyrate '[%']]],V$6,V$2,FALSE),-100)</f>
        <v>-100</v>
      </c>
      <c r="BO294">
        <f>IF(Table2912[[#This Row],[Isovalerate '[%']]]&lt;W$10,_xlfn.NORM.DIST(Table2912[[#This Row],[Isovalerate '[%']]],W$6,W$2,FALSE),-100)</f>
        <v>-100</v>
      </c>
      <c r="BP294">
        <f>IF(Table2912[[#This Row],[CH4 '[g/mmol SCFA']]]&lt;X$10,_xlfn.NORM.DIST(Table2912[[#This Row],[CH4 '[g/mmol SCFA']]],X$6,X$2,FALSE),-100)</f>
        <v>-100</v>
      </c>
      <c r="BQ294">
        <f>IF(Table2912[[#This Row],[DMD '[mg/g']]]&gt;Y$10,_xlfn.NORM.DIST(Table2912[[#This Row],[DMD '[mg/g']]],Y$6,Y$2,FALSE),-100)</f>
        <v>-100</v>
      </c>
      <c r="BR294">
        <f>IF(Table2912[[#This Row],[CH4 '[ml/g']]]&lt;Z$10,_xlfn.NORM.DIST(Table2912[[#This Row],[CH4 '[ml/g']]],Z$6,Z$2,FALSE),-100)</f>
        <v>-100</v>
      </c>
      <c r="BS294">
        <f>IF(Table2912[[#This Row],[CH4 '[% GP']]]&lt;AA$10,_xlfn.NORM.DIST(Table2912[[#This Row],[CH4 '[% GP']]],AA$6,AA$2,FALSE),-100)</f>
        <v>-100</v>
      </c>
      <c r="BT294">
        <f>IF(Table2912[[#This Row],[CH4 '[g/g DDM']]]&lt;AB$10,_xlfn.NORM.DIST(Table2912[[#This Row],[CH4 '[g/g DDM']]],AB$6,AB$2,FALSE),-100)</f>
        <v>-100</v>
      </c>
    </row>
    <row r="295" spans="1:72" x14ac:dyDescent="0.25">
      <c r="A295" s="12" t="s">
        <v>70</v>
      </c>
      <c r="B295" s="13">
        <v>1035</v>
      </c>
      <c r="C295" s="96" t="s">
        <v>296</v>
      </c>
      <c r="D295" s="96"/>
      <c r="E295" s="96"/>
      <c r="F295" s="96" t="s">
        <v>297</v>
      </c>
      <c r="G295" t="s">
        <v>73</v>
      </c>
      <c r="H295" t="s">
        <v>74</v>
      </c>
      <c r="I295" s="99" t="s">
        <v>79</v>
      </c>
      <c r="J295" s="70">
        <v>2</v>
      </c>
      <c r="K295" s="70"/>
      <c r="L295" s="70"/>
      <c r="M295" t="s">
        <v>297</v>
      </c>
      <c r="N295" t="s">
        <v>80</v>
      </c>
      <c r="O295" s="18">
        <v>276.27952982923057</v>
      </c>
      <c r="P295" s="18">
        <v>6.6297738078074016</v>
      </c>
      <c r="Q295" s="97">
        <v>0.65602026807844571</v>
      </c>
      <c r="R295" s="97">
        <v>0.17578272511962234</v>
      </c>
      <c r="S295" s="97">
        <v>0.1030228894043991</v>
      </c>
      <c r="T295" s="97">
        <v>1.763881223948573E-2</v>
      </c>
      <c r="U295" s="97">
        <v>1.3612277935264501E-3</v>
      </c>
      <c r="V295" s="97">
        <v>1.5767391583856503E-2</v>
      </c>
      <c r="W295" s="97">
        <v>3.0406685780664369E-2</v>
      </c>
      <c r="X295" s="51">
        <f t="shared" si="20"/>
        <v>6.3137748040605652</v>
      </c>
      <c r="Y295" s="18">
        <v>814.28439784887928</v>
      </c>
      <c r="Z295" s="18">
        <v>41.858898824355045</v>
      </c>
      <c r="AA295" s="18">
        <f t="shared" si="21"/>
        <v>15.150922998250426</v>
      </c>
      <c r="AB295" s="18">
        <f t="shared" si="22"/>
        <v>51.405748329373644</v>
      </c>
      <c r="AC295" s="18">
        <f>$CP$15*Table2912[[#This Row],[DMD '[mg/g']]]+$CS$15*Table2912[[#This Row],[CH4 '[ml/g']]]+$CR$15*Table2912[[#This Row],[CH4 '[% GP']]]+$CQ$15*Table2912[[#This Row],[CH4 '[g/g DDM']]]</f>
        <v>18.364281958557626</v>
      </c>
      <c r="AD295" s="18">
        <f>_xlfn.RANK.AVG(Table2912[[#This Row],[Index]],Table2912[Index])</f>
        <v>195</v>
      </c>
      <c r="AE29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6.1976841513382732</v>
      </c>
      <c r="AF295" s="18">
        <f>Table2912[[#This Row],[CH4 '[ml/g']]]/Table2912[[#This Row],[APB]]</f>
        <v>6.7539580595304143</v>
      </c>
      <c r="AG295" s="18">
        <f>Table2912[[#This Row],[Propionate '[%']]]/Table2912[[#This Row],[Acetate '[%']]]</f>
        <v>0.26795319241356513</v>
      </c>
      <c r="AH295" s="51"/>
      <c r="AI295" s="18"/>
      <c r="AJ295" s="18"/>
      <c r="AK295" s="18">
        <f>(Table2912[[#This Row],[DMD '[mg/g']]]-$AK$15)/$AK$15*100</f>
        <v>66.082493821482728</v>
      </c>
      <c r="AL295" s="18">
        <f>(Table2912[[#This Row],[CH4 '[ml/g']]]-AL$15)/AL$15*100</f>
        <v>6.4239742309760999</v>
      </c>
      <c r="AM295" s="18">
        <f>(Table2912[[#This Row],[CH4 '[% GP']]]-AM$15)/AM$15*100</f>
        <v>-2.3928767081924107</v>
      </c>
      <c r="AN295" s="18">
        <f>(Table2912[[#This Row],[CH4 '[g/g DDM']]]-AN$15)/AN$15*100</f>
        <v>0.37141699691692798</v>
      </c>
      <c r="AO295" s="18"/>
      <c r="AP295" s="18"/>
      <c r="AR295">
        <f>_xlfn.NORM.DIST(Table2912[[#This Row],[GP '[ml/g']]],O$6,O$2,FALSE)</f>
        <v>6.9326741730090721E-3</v>
      </c>
      <c r="AS295">
        <f>_xlfn.NORM.DIST(Table2912[[#This Row],[SCFA '[mmol/g']]],P$6,P$2,FALSE)</f>
        <v>0.33175909258066072</v>
      </c>
      <c r="AT295">
        <f>_xlfn.NORM.DIST(Table2912[[#This Row],[Acetate '[%']]],Q$6,Q$2,FALSE)</f>
        <v>11.706370811462143</v>
      </c>
      <c r="AU295">
        <f>_xlfn.NORM.DIST(Table2912[[#This Row],[Propionate '[%']]],R$6,R$2,FALSE)</f>
        <v>16.564639198377215</v>
      </c>
      <c r="AV295">
        <f>_xlfn.NORM.DIST(Table2912[[#This Row],[Butyrate '[%']]],S$6,S$2,FALSE)</f>
        <v>19.429449647308658</v>
      </c>
      <c r="AW295">
        <f>_xlfn.NORM.DIST(Table2912[[#This Row],[Valerate '[%']]],T$6,T$2,FALSE)</f>
        <v>77.394654958858382</v>
      </c>
      <c r="AX295">
        <f>_xlfn.NORM.DIST(Table2912[[#This Row],[Caproate '[%']]],U$6,U$2,FALSE)</f>
        <v>406.74638318781751</v>
      </c>
      <c r="AY295">
        <f>_xlfn.NORM.DIST(Table2912[[#This Row],[Isobutyrate '[%']]],V$6,V$2,FALSE)</f>
        <v>89.69388103850963</v>
      </c>
      <c r="AZ295">
        <f>_xlfn.NORM.DIST(Table2912[[#This Row],[Isovalerate '[%']]],W$6,W$2,FALSE)</f>
        <v>43.609272885196461</v>
      </c>
      <c r="BA295">
        <f>_xlfn.NORM.DIST(Table2912[[#This Row],[CH4 '[g/mmol SCFA']]],X$6,X$2,FALSE)</f>
        <v>0.29732754084532831</v>
      </c>
      <c r="BB295">
        <f>_xlfn.NORM.DIST(Table2912[[#This Row],[DMD '[mg/g']]],Y$6,Y$2,FALSE)</f>
        <v>2.8040658634452139E-3</v>
      </c>
      <c r="BC295">
        <f>_xlfn.NORM.DIST(Table2912[[#This Row],[CH4 '[ml/g']]],Z$6,Z$2,FALSE)</f>
        <v>3.3480941644862185E-2</v>
      </c>
      <c r="BD295">
        <f>_xlfn.NORM.DIST(Table2912[[#This Row],[CH4 '[% GP']]],AA$6,AA$2,FALSE)</f>
        <v>0.12840571230986869</v>
      </c>
      <c r="BE295">
        <f>_xlfn.NORM.DIST(Table2912[[#This Row],[CH4 '[g/g DDM']]],AB$6,AB$2,FALSE)</f>
        <v>3.2431969359931617E-2</v>
      </c>
      <c r="BG295">
        <f>IF(Table2912[[#This Row],[GP '[ml/g']]]&lt;O$10,_xlfn.NORM.DIST(Table2912[[#This Row],[GP '[ml/g']]],O$6,O$2,FALSE),-100)</f>
        <v>-100</v>
      </c>
      <c r="BH295">
        <f>IF(Table2912[[#This Row],[SCFA '[mmol/g']]]&lt;P$10,_xlfn.NORM.DIST(Table2912[[#This Row],[SCFA '[mmol/g']]],P$6,P$2,FALSE),-100)</f>
        <v>-100</v>
      </c>
      <c r="BI295">
        <f>IF(Table2912[[#This Row],[Acetate '[%']]]&lt;Q$10,_xlfn.NORM.DIST(Table2912[[#This Row],[Acetate '[%']]],Q$6,Q$2,FALSE),-100)</f>
        <v>-100</v>
      </c>
      <c r="BJ295">
        <f>IF(Table2912[[#This Row],[Propionate '[%']]]&lt;R$10,_xlfn.NORM.DIST(Table2912[[#This Row],[Propionate '[%']]],R$6,R$2,FALSE),-100)</f>
        <v>-100</v>
      </c>
      <c r="BK295">
        <f>IF(Table2912[[#This Row],[Butyrate '[%']]]&lt;S$10,_xlfn.NORM.DIST(Table2912[[#This Row],[Butyrate '[%']]],S$6,S$2,FALSE),-100)</f>
        <v>-100</v>
      </c>
      <c r="BL295">
        <f>IF(Table2912[[#This Row],[Valerate '[%']]]&lt;T$10,_xlfn.NORM.DIST(Table2912[[#This Row],[Valerate '[%']]],T$6,T$2,FALSE),-100)</f>
        <v>-100</v>
      </c>
      <c r="BM295">
        <f>IF(Table2912[[#This Row],[Caproate '[%']]]&lt;U$10,_xlfn.NORM.DIST(Table2912[[#This Row],[Caproate '[%']]],U$6,U$2,FALSE),-100)</f>
        <v>-100</v>
      </c>
      <c r="BN295">
        <f>IF(Table2912[[#This Row],[Isobutyrate '[%']]]&lt;V$10,_xlfn.NORM.DIST(Table2912[[#This Row],[Isobutyrate '[%']]],V$6,V$2,FALSE),-100)</f>
        <v>-100</v>
      </c>
      <c r="BO295">
        <f>IF(Table2912[[#This Row],[Isovalerate '[%']]]&lt;W$10,_xlfn.NORM.DIST(Table2912[[#This Row],[Isovalerate '[%']]],W$6,W$2,FALSE),-100)</f>
        <v>-100</v>
      </c>
      <c r="BP295">
        <f>IF(Table2912[[#This Row],[CH4 '[g/mmol SCFA']]]&lt;X$10,_xlfn.NORM.DIST(Table2912[[#This Row],[CH4 '[g/mmol SCFA']]],X$6,X$2,FALSE),-100)</f>
        <v>-100</v>
      </c>
      <c r="BQ295">
        <f>IF(Table2912[[#This Row],[DMD '[mg/g']]]&gt;Y$10,_xlfn.NORM.DIST(Table2912[[#This Row],[DMD '[mg/g']]],Y$6,Y$2,FALSE),-100)</f>
        <v>-100</v>
      </c>
      <c r="BR295">
        <f>IF(Table2912[[#This Row],[CH4 '[ml/g']]]&lt;Z$10,_xlfn.NORM.DIST(Table2912[[#This Row],[CH4 '[ml/g']]],Z$6,Z$2,FALSE),-100)</f>
        <v>-100</v>
      </c>
      <c r="BS295">
        <f>IF(Table2912[[#This Row],[CH4 '[% GP']]]&lt;AA$10,_xlfn.NORM.DIST(Table2912[[#This Row],[CH4 '[% GP']]],AA$6,AA$2,FALSE),-100)</f>
        <v>-100</v>
      </c>
      <c r="BT295">
        <f>IF(Table2912[[#This Row],[CH4 '[g/g DDM']]]&lt;AB$10,_xlfn.NORM.DIST(Table2912[[#This Row],[CH4 '[g/g DDM']]],AB$6,AB$2,FALSE),-100)</f>
        <v>-100</v>
      </c>
    </row>
    <row r="296" spans="1:72" x14ac:dyDescent="0.25">
      <c r="A296" s="12" t="s">
        <v>200</v>
      </c>
      <c r="B296" s="13">
        <v>1154</v>
      </c>
      <c r="C296" s="117" t="s">
        <v>360</v>
      </c>
      <c r="D296" s="117" t="s">
        <v>262</v>
      </c>
      <c r="E296" s="117" t="s">
        <v>361</v>
      </c>
      <c r="F296" s="117" t="s">
        <v>362</v>
      </c>
      <c r="G296" t="s">
        <v>73</v>
      </c>
      <c r="H296" t="s">
        <v>74</v>
      </c>
      <c r="I296" t="s">
        <v>75</v>
      </c>
      <c r="J296" s="100">
        <v>2</v>
      </c>
      <c r="K296" s="100"/>
      <c r="L296" s="100"/>
      <c r="M296" t="s">
        <v>362</v>
      </c>
      <c r="N296" t="s">
        <v>171</v>
      </c>
      <c r="O296" s="18">
        <v>259.90859788359734</v>
      </c>
      <c r="P296" s="18">
        <v>6.3632516712606542</v>
      </c>
      <c r="Q296" s="97">
        <v>0.62970169227770045</v>
      </c>
      <c r="R296" s="97">
        <v>0.20210178940652246</v>
      </c>
      <c r="S296" s="97">
        <v>8.935154546669527E-2</v>
      </c>
      <c r="T296" s="97">
        <v>2.1881190877531702E-2</v>
      </c>
      <c r="U296" s="97">
        <v>1.7176804918595588E-3</v>
      </c>
      <c r="V296" s="97">
        <v>1.9321922769824952E-2</v>
      </c>
      <c r="W296" s="97">
        <v>3.5924178709865653E-2</v>
      </c>
      <c r="X296" s="51">
        <f t="shared" si="20"/>
        <v>7.9353386882933838</v>
      </c>
      <c r="Y296" s="18">
        <v>815.11448003463943</v>
      </c>
      <c r="Z296" s="18">
        <v>50.494557170302201</v>
      </c>
      <c r="AA296" s="18">
        <f t="shared" si="21"/>
        <v>19.427813308783534</v>
      </c>
      <c r="AB296" s="18">
        <f t="shared" si="22"/>
        <v>61.947810285686948</v>
      </c>
      <c r="AC296" s="18">
        <f>$CP$15*Table2912[[#This Row],[DMD '[mg/g']]]+$CS$15*Table2912[[#This Row],[CH4 '[ml/g']]]+$CR$15*Table2912[[#This Row],[CH4 '[% GP']]]+$CQ$15*Table2912[[#This Row],[CH4 '[g/g DDM']]]</f>
        <v>12.911658114718051</v>
      </c>
      <c r="AD296" s="18">
        <f>_xlfn.RANK.AVG(Table2912[[#This Row],[Index]],Table2912[Index])</f>
        <v>305</v>
      </c>
      <c r="AE29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5.861541266008234</v>
      </c>
      <c r="AF296" s="18">
        <f>Table2912[[#This Row],[CH4 '[ml/g']]]/Table2912[[#This Row],[APB]]</f>
        <v>8.6145528759007579</v>
      </c>
      <c r="AG296" s="18">
        <f>Table2912[[#This Row],[Propionate '[%']]]/Table2912[[#This Row],[Acetate '[%']]]</f>
        <v>0.32094846160488788</v>
      </c>
      <c r="AH296" s="51"/>
      <c r="AI296" s="18"/>
      <c r="AJ296" s="18"/>
      <c r="AK296" s="18">
        <f>(Table2912[[#This Row],[DMD '[mg/g']]]-$AK$15)/$AK$15*100</f>
        <v>66.251798452459354</v>
      </c>
      <c r="AL296" s="18">
        <f>(Table2912[[#This Row],[CH4 '[ml/g']]]-AL$15)/AL$15*100</f>
        <v>28.379666021460139</v>
      </c>
      <c r="AM296" s="18">
        <f>(Table2912[[#This Row],[CH4 '[% GP']]]-AM$15)/AM$15*100</f>
        <v>25.160227475225888</v>
      </c>
      <c r="AN296" s="18">
        <f>(Table2912[[#This Row],[CH4 '[g/g DDM']]]-AN$15)/AN$15*100</f>
        <v>20.955140238230733</v>
      </c>
      <c r="AO296" s="18"/>
      <c r="AP296" s="18"/>
      <c r="AR296">
        <f>_xlfn.NORM.DIST(Table2912[[#This Row],[GP '[ml/g']]],O$6,O$2,FALSE)</f>
        <v>7.4542374766018611E-3</v>
      </c>
      <c r="AS296">
        <f>_xlfn.NORM.DIST(Table2912[[#This Row],[SCFA '[mmol/g']]],P$6,P$2,FALSE)</f>
        <v>0.32924904142618111</v>
      </c>
      <c r="AT296">
        <f>_xlfn.NORM.DIST(Table2912[[#This Row],[Acetate '[%']]],Q$6,Q$2,FALSE)</f>
        <v>4.3730526195342225</v>
      </c>
      <c r="AU296">
        <f>_xlfn.NORM.DIST(Table2912[[#This Row],[Propionate '[%']]],R$6,R$2,FALSE)</f>
        <v>7.4721257449153731</v>
      </c>
      <c r="AV296">
        <f>_xlfn.NORM.DIST(Table2912[[#This Row],[Butyrate '[%']]],S$6,S$2,FALSE)</f>
        <v>22.546064551261832</v>
      </c>
      <c r="AW296">
        <f>_xlfn.NORM.DIST(Table2912[[#This Row],[Valerate '[%']]],T$6,T$2,FALSE)</f>
        <v>55.338141966427976</v>
      </c>
      <c r="AX296">
        <f>_xlfn.NORM.DIST(Table2912[[#This Row],[Caproate '[%']]],U$6,U$2,FALSE)</f>
        <v>376.77612315269153</v>
      </c>
      <c r="AY296">
        <f>_xlfn.NORM.DIST(Table2912[[#This Row],[Isobutyrate '[%']]],V$6,V$2,FALSE)</f>
        <v>59.86600869071632</v>
      </c>
      <c r="AZ296">
        <f>_xlfn.NORM.DIST(Table2912[[#This Row],[Isovalerate '[%']]],W$6,W$2,FALSE)</f>
        <v>29.909657877545627</v>
      </c>
      <c r="BA296">
        <f>_xlfn.NORM.DIST(Table2912[[#This Row],[CH4 '[g/mmol SCFA']]],X$6,X$2,FALSE)</f>
        <v>0.13923946092974596</v>
      </c>
      <c r="BB296">
        <f>_xlfn.NORM.DIST(Table2912[[#This Row],[DMD '[mg/g']]],Y$6,Y$2,FALSE)</f>
        <v>2.7992569302330299E-3</v>
      </c>
      <c r="BC296">
        <f>_xlfn.NORM.DIST(Table2912[[#This Row],[CH4 '[ml/g']]],Z$6,Z$2,FALSE)</f>
        <v>2.5025310206387305E-2</v>
      </c>
      <c r="BD296">
        <f>_xlfn.NORM.DIST(Table2912[[#This Row],[CH4 '[% GP']]],AA$6,AA$2,FALSE)</f>
        <v>7.0786447643630832E-2</v>
      </c>
      <c r="BE296">
        <f>_xlfn.NORM.DIST(Table2912[[#This Row],[CH4 '[g/g DDM']]],AB$6,AB$2,FALSE)</f>
        <v>2.5575089034964974E-2</v>
      </c>
      <c r="BG296">
        <f>IF(Table2912[[#This Row],[GP '[ml/g']]]&lt;O$10,_xlfn.NORM.DIST(Table2912[[#This Row],[GP '[ml/g']]],O$6,O$2,FALSE),-100)</f>
        <v>-100</v>
      </c>
      <c r="BH296">
        <f>IF(Table2912[[#This Row],[SCFA '[mmol/g']]]&lt;P$10,_xlfn.NORM.DIST(Table2912[[#This Row],[SCFA '[mmol/g']]],P$6,P$2,FALSE),-100)</f>
        <v>-100</v>
      </c>
      <c r="BI296">
        <f>IF(Table2912[[#This Row],[Acetate '[%']]]&lt;Q$10,_xlfn.NORM.DIST(Table2912[[#This Row],[Acetate '[%']]],Q$6,Q$2,FALSE),-100)</f>
        <v>4.3730526195342225</v>
      </c>
      <c r="BJ296">
        <f>IF(Table2912[[#This Row],[Propionate '[%']]]&lt;R$10,_xlfn.NORM.DIST(Table2912[[#This Row],[Propionate '[%']]],R$6,R$2,FALSE),-100)</f>
        <v>-100</v>
      </c>
      <c r="BK296">
        <f>IF(Table2912[[#This Row],[Butyrate '[%']]]&lt;S$10,_xlfn.NORM.DIST(Table2912[[#This Row],[Butyrate '[%']]],S$6,S$2,FALSE),-100)</f>
        <v>-100</v>
      </c>
      <c r="BL296">
        <f>IF(Table2912[[#This Row],[Valerate '[%']]]&lt;T$10,_xlfn.NORM.DIST(Table2912[[#This Row],[Valerate '[%']]],T$6,T$2,FALSE),-100)</f>
        <v>-100</v>
      </c>
      <c r="BM296">
        <f>IF(Table2912[[#This Row],[Caproate '[%']]]&lt;U$10,_xlfn.NORM.DIST(Table2912[[#This Row],[Caproate '[%']]],U$6,U$2,FALSE),-100)</f>
        <v>-100</v>
      </c>
      <c r="BN296">
        <f>IF(Table2912[[#This Row],[Isobutyrate '[%']]]&lt;V$10,_xlfn.NORM.DIST(Table2912[[#This Row],[Isobutyrate '[%']]],V$6,V$2,FALSE),-100)</f>
        <v>-100</v>
      </c>
      <c r="BO296">
        <f>IF(Table2912[[#This Row],[Isovalerate '[%']]]&lt;W$10,_xlfn.NORM.DIST(Table2912[[#This Row],[Isovalerate '[%']]],W$6,W$2,FALSE),-100)</f>
        <v>-100</v>
      </c>
      <c r="BP296">
        <f>IF(Table2912[[#This Row],[CH4 '[g/mmol SCFA']]]&lt;X$10,_xlfn.NORM.DIST(Table2912[[#This Row],[CH4 '[g/mmol SCFA']]],X$6,X$2,FALSE),-100)</f>
        <v>-100</v>
      </c>
      <c r="BQ296">
        <f>IF(Table2912[[#This Row],[DMD '[mg/g']]]&gt;Y$10,_xlfn.NORM.DIST(Table2912[[#This Row],[DMD '[mg/g']]],Y$6,Y$2,FALSE),-100)</f>
        <v>-100</v>
      </c>
      <c r="BR296">
        <f>IF(Table2912[[#This Row],[CH4 '[ml/g']]]&lt;Z$10,_xlfn.NORM.DIST(Table2912[[#This Row],[CH4 '[ml/g']]],Z$6,Z$2,FALSE),-100)</f>
        <v>-100</v>
      </c>
      <c r="BS296">
        <f>IF(Table2912[[#This Row],[CH4 '[% GP']]]&lt;AA$10,_xlfn.NORM.DIST(Table2912[[#This Row],[CH4 '[% GP']]],AA$6,AA$2,FALSE),-100)</f>
        <v>-100</v>
      </c>
      <c r="BT296">
        <f>IF(Table2912[[#This Row],[CH4 '[g/g DDM']]]&lt;AB$10,_xlfn.NORM.DIST(Table2912[[#This Row],[CH4 '[g/g DDM']]],AB$6,AB$2,FALSE),-100)</f>
        <v>-100</v>
      </c>
    </row>
    <row r="297" spans="1:72" x14ac:dyDescent="0.25">
      <c r="A297" s="12" t="s">
        <v>200</v>
      </c>
      <c r="B297" s="13">
        <v>1208</v>
      </c>
      <c r="C297" s="113" t="s">
        <v>390</v>
      </c>
      <c r="D297" s="113" t="s">
        <v>391</v>
      </c>
      <c r="E297" s="113" t="s">
        <v>392</v>
      </c>
      <c r="F297" s="113" t="s">
        <v>393</v>
      </c>
      <c r="G297" s="32" t="s">
        <v>73</v>
      </c>
      <c r="H297" s="32" t="s">
        <v>74</v>
      </c>
      <c r="I297" s="105" t="s">
        <v>75</v>
      </c>
      <c r="J297" s="70">
        <v>1</v>
      </c>
      <c r="K297" s="70"/>
      <c r="L297" s="70"/>
      <c r="M297" t="s">
        <v>394</v>
      </c>
      <c r="N297" t="s">
        <v>352</v>
      </c>
      <c r="O297" s="18">
        <v>317.61884057970838</v>
      </c>
      <c r="P297" s="18">
        <v>7.7635991377630171</v>
      </c>
      <c r="Q297" s="97">
        <v>0.64779321018692748</v>
      </c>
      <c r="R297" s="97">
        <v>0.18871594494103916</v>
      </c>
      <c r="S297" s="97">
        <v>0.11237724033964011</v>
      </c>
      <c r="T297" s="97">
        <v>1.4299158532517489E-2</v>
      </c>
      <c r="U297" s="97">
        <v>2.1555415209318454E-3</v>
      </c>
      <c r="V297" s="97">
        <v>1.2872129393104805E-2</v>
      </c>
      <c r="W297" s="97">
        <v>2.1786775085839108E-2</v>
      </c>
      <c r="X297" s="51">
        <f t="shared" si="20"/>
        <v>6.9254233331551447</v>
      </c>
      <c r="Y297" s="18">
        <v>815.95151411204915</v>
      </c>
      <c r="Z297" s="18">
        <v>53.766210617927165</v>
      </c>
      <c r="AA297" s="18">
        <f t="shared" si="21"/>
        <v>16.927903432867737</v>
      </c>
      <c r="AB297" s="18">
        <f t="shared" si="22"/>
        <v>65.893879339678278</v>
      </c>
      <c r="AC297" s="18">
        <f>$CP$15*Table2912[[#This Row],[DMD '[mg/g']]]+$CS$15*Table2912[[#This Row],[CH4 '[ml/g']]]+$CR$15*Table2912[[#This Row],[CH4 '[% GP']]]+$CQ$15*Table2912[[#This Row],[CH4 '[g/g DDM']]]</f>
        <v>12.154401367521459</v>
      </c>
      <c r="AD297" s="18">
        <f>_xlfn.RANK.AVG(Table2912[[#This Row],[Index]],Table2912[Index])</f>
        <v>320</v>
      </c>
      <c r="AE29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7.3667736016873695</v>
      </c>
      <c r="AF297" s="18">
        <f>Table2912[[#This Row],[CH4 '[ml/g']]]/Table2912[[#This Row],[APB]]</f>
        <v>7.2984746817266029</v>
      </c>
      <c r="AG297" s="18">
        <f>Table2912[[#This Row],[Propionate '[%']]]/Table2912[[#This Row],[Acetate '[%']]]</f>
        <v>0.29132127656383311</v>
      </c>
      <c r="AH297" s="51"/>
      <c r="AI297" s="18"/>
      <c r="AJ297" s="18"/>
      <c r="AK297" s="18">
        <f>(Table2912[[#This Row],[DMD '[mg/g']]]-$AK$15)/$AK$15*100</f>
        <v>66.422521000204355</v>
      </c>
      <c r="AL297" s="18">
        <f>(Table2912[[#This Row],[CH4 '[ml/g']]]-AL$15)/AL$15*100</f>
        <v>36.69766701961678</v>
      </c>
      <c r="AM297" s="18">
        <f>(Table2912[[#This Row],[CH4 '[% GP']]]-AM$15)/AM$15*100</f>
        <v>9.0550032915178793</v>
      </c>
      <c r="AN297" s="18">
        <f>(Table2912[[#This Row],[CH4 '[g/g DDM']]]-AN$15)/AN$15*100</f>
        <v>28.659970055686664</v>
      </c>
      <c r="AO297" s="18"/>
      <c r="AP297" s="18"/>
      <c r="AR297">
        <f>_xlfn.NORM.DIST(Table2912[[#This Row],[GP '[ml/g']]],O$6,O$2,FALSE)</f>
        <v>3.7952487526161848E-3</v>
      </c>
      <c r="AS297">
        <f>_xlfn.NORM.DIST(Table2912[[#This Row],[SCFA '[mmol/g']]],P$6,P$2,FALSE)</f>
        <v>0.19724527232218245</v>
      </c>
      <c r="AT297">
        <f>_xlfn.NORM.DIST(Table2912[[#This Row],[Acetate '[%']]],Q$6,Q$2,FALSE)</f>
        <v>9.4340987165023797</v>
      </c>
      <c r="AU297">
        <f>_xlfn.NORM.DIST(Table2912[[#This Row],[Propionate '[%']]],R$6,R$2,FALSE)</f>
        <v>13.05814130611925</v>
      </c>
      <c r="AV297">
        <f>_xlfn.NORM.DIST(Table2912[[#This Row],[Butyrate '[%']]],S$6,S$2,FALSE)</f>
        <v>12.257066680937053</v>
      </c>
      <c r="AW297">
        <f>_xlfn.NORM.DIST(Table2912[[#This Row],[Valerate '[%']]],T$6,T$2,FALSE)</f>
        <v>62.582734608869814</v>
      </c>
      <c r="AX297">
        <f>_xlfn.NORM.DIST(Table2912[[#This Row],[Caproate '[%']]],U$6,U$2,FALSE)</f>
        <v>286.20641314174776</v>
      </c>
      <c r="AY297">
        <f>_xlfn.NORM.DIST(Table2912[[#This Row],[Isobutyrate '[%']]],V$6,V$2,FALSE)</f>
        <v>77.389057742802862</v>
      </c>
      <c r="AZ297">
        <f>_xlfn.NORM.DIST(Table2912[[#This Row],[Isovalerate '[%']]],W$6,W$2,FALSE)</f>
        <v>35.667758099585207</v>
      </c>
      <c r="BA297">
        <f>_xlfn.NORM.DIST(Table2912[[#This Row],[CH4 '[g/mmol SCFA']]],X$6,X$2,FALSE)</f>
        <v>0.26515816561505662</v>
      </c>
      <c r="BB297">
        <f>_xlfn.NORM.DIST(Table2912[[#This Row],[DMD '[mg/g']]],Y$6,Y$2,FALSE)</f>
        <v>2.7943119057968814E-3</v>
      </c>
      <c r="BC297">
        <f>_xlfn.NORM.DIST(Table2912[[#This Row],[CH4 '[ml/g']]],Z$6,Z$2,FALSE)</f>
        <v>1.9535059922983829E-2</v>
      </c>
      <c r="BD297">
        <f>_xlfn.NORM.DIST(Table2912[[#This Row],[CH4 '[% GP']]],AA$6,AA$2,FALSE)</f>
        <v>0.12915878899499994</v>
      </c>
      <c r="BE297">
        <f>_xlfn.NORM.DIST(Table2912[[#This Row],[CH4 '[g/g DDM']]],AB$6,AB$2,FALSE)</f>
        <v>1.927606497354659E-2</v>
      </c>
      <c r="BG297">
        <f>IF(Table2912[[#This Row],[GP '[ml/g']]]&lt;O$10,_xlfn.NORM.DIST(Table2912[[#This Row],[GP '[ml/g']]],O$6,O$2,FALSE),-100)</f>
        <v>-100</v>
      </c>
      <c r="BH297">
        <f>IF(Table2912[[#This Row],[SCFA '[mmol/g']]]&lt;P$10,_xlfn.NORM.DIST(Table2912[[#This Row],[SCFA '[mmol/g']]],P$6,P$2,FALSE),-100)</f>
        <v>-100</v>
      </c>
      <c r="BI297">
        <f>IF(Table2912[[#This Row],[Acetate '[%']]]&lt;Q$10,_xlfn.NORM.DIST(Table2912[[#This Row],[Acetate '[%']]],Q$6,Q$2,FALSE),-100)</f>
        <v>-100</v>
      </c>
      <c r="BJ297">
        <f>IF(Table2912[[#This Row],[Propionate '[%']]]&lt;R$10,_xlfn.NORM.DIST(Table2912[[#This Row],[Propionate '[%']]],R$6,R$2,FALSE),-100)</f>
        <v>-100</v>
      </c>
      <c r="BK297">
        <f>IF(Table2912[[#This Row],[Butyrate '[%']]]&lt;S$10,_xlfn.NORM.DIST(Table2912[[#This Row],[Butyrate '[%']]],S$6,S$2,FALSE),-100)</f>
        <v>-100</v>
      </c>
      <c r="BL297">
        <f>IF(Table2912[[#This Row],[Valerate '[%']]]&lt;T$10,_xlfn.NORM.DIST(Table2912[[#This Row],[Valerate '[%']]],T$6,T$2,FALSE),-100)</f>
        <v>-100</v>
      </c>
      <c r="BM297">
        <f>IF(Table2912[[#This Row],[Caproate '[%']]]&lt;U$10,_xlfn.NORM.DIST(Table2912[[#This Row],[Caproate '[%']]],U$6,U$2,FALSE),-100)</f>
        <v>-100</v>
      </c>
      <c r="BN297">
        <f>IF(Table2912[[#This Row],[Isobutyrate '[%']]]&lt;V$10,_xlfn.NORM.DIST(Table2912[[#This Row],[Isobutyrate '[%']]],V$6,V$2,FALSE),-100)</f>
        <v>-100</v>
      </c>
      <c r="BO297">
        <f>IF(Table2912[[#This Row],[Isovalerate '[%']]]&lt;W$10,_xlfn.NORM.DIST(Table2912[[#This Row],[Isovalerate '[%']]],W$6,W$2,FALSE),-100)</f>
        <v>-100</v>
      </c>
      <c r="BP297">
        <f>IF(Table2912[[#This Row],[CH4 '[g/mmol SCFA']]]&lt;X$10,_xlfn.NORM.DIST(Table2912[[#This Row],[CH4 '[g/mmol SCFA']]],X$6,X$2,FALSE),-100)</f>
        <v>-100</v>
      </c>
      <c r="BQ297">
        <f>IF(Table2912[[#This Row],[DMD '[mg/g']]]&gt;Y$10,_xlfn.NORM.DIST(Table2912[[#This Row],[DMD '[mg/g']]],Y$6,Y$2,FALSE),-100)</f>
        <v>-100</v>
      </c>
      <c r="BR297">
        <f>IF(Table2912[[#This Row],[CH4 '[ml/g']]]&lt;Z$10,_xlfn.NORM.DIST(Table2912[[#This Row],[CH4 '[ml/g']]],Z$6,Z$2,FALSE),-100)</f>
        <v>-100</v>
      </c>
      <c r="BS297">
        <f>IF(Table2912[[#This Row],[CH4 '[% GP']]]&lt;AA$10,_xlfn.NORM.DIST(Table2912[[#This Row],[CH4 '[% GP']]],AA$6,AA$2,FALSE),-100)</f>
        <v>-100</v>
      </c>
      <c r="BT297">
        <f>IF(Table2912[[#This Row],[CH4 '[g/g DDM']]]&lt;AB$10,_xlfn.NORM.DIST(Table2912[[#This Row],[CH4 '[g/g DDM']]],AB$6,AB$2,FALSE),-100)</f>
        <v>-100</v>
      </c>
    </row>
    <row r="298" spans="1:72" x14ac:dyDescent="0.25">
      <c r="A298" s="12" t="s">
        <v>200</v>
      </c>
      <c r="B298" s="13">
        <v>1137</v>
      </c>
      <c r="C298" s="117" t="s">
        <v>395</v>
      </c>
      <c r="D298" s="117" t="s">
        <v>233</v>
      </c>
      <c r="E298" s="117" t="s">
        <v>396</v>
      </c>
      <c r="F298" s="117" t="s">
        <v>397</v>
      </c>
      <c r="G298" t="s">
        <v>73</v>
      </c>
      <c r="H298" t="s">
        <v>74</v>
      </c>
      <c r="I298" t="s">
        <v>75</v>
      </c>
      <c r="J298" s="100">
        <v>1</v>
      </c>
      <c r="K298" s="100"/>
      <c r="L298" s="100"/>
      <c r="M298" t="s">
        <v>398</v>
      </c>
      <c r="N298" t="s">
        <v>237</v>
      </c>
      <c r="O298" s="18">
        <v>308.40343234323245</v>
      </c>
      <c r="P298" s="18">
        <v>6.9300169780757592</v>
      </c>
      <c r="Q298" s="97">
        <v>0.66841676172906461</v>
      </c>
      <c r="R298" s="97">
        <v>0.17636626763556912</v>
      </c>
      <c r="S298" s="97">
        <v>8.7397568869672315E-2</v>
      </c>
      <c r="T298" s="97">
        <v>1.8676337163215394E-2</v>
      </c>
      <c r="U298" s="97">
        <v>9.9704540245456642E-4</v>
      </c>
      <c r="V298" s="97">
        <v>1.6768775260727297E-2</v>
      </c>
      <c r="W298" s="97">
        <v>3.1377243939296792E-2</v>
      </c>
      <c r="X298" s="51">
        <f t="shared" si="20"/>
        <v>6.3204266546333994</v>
      </c>
      <c r="Y298" s="18">
        <v>816.47458052891898</v>
      </c>
      <c r="Z298" s="18">
        <v>43.800664025292029</v>
      </c>
      <c r="AA298" s="18">
        <f t="shared" si="21"/>
        <v>14.202391877579629</v>
      </c>
      <c r="AB298" s="18">
        <f t="shared" si="22"/>
        <v>53.646084115585815</v>
      </c>
      <c r="AC298" s="18">
        <f>$CP$15*Table2912[[#This Row],[DMD '[mg/g']]]+$CS$15*Table2912[[#This Row],[CH4 '[ml/g']]]+$CR$15*Table2912[[#This Row],[CH4 '[% GP']]]+$CQ$15*Table2912[[#This Row],[CH4 '[g/g DDM']]]</f>
        <v>17.934432246242238</v>
      </c>
      <c r="AD298" s="18">
        <f>_xlfn.RANK.AVG(Table2912[[#This Row],[Index]],Table2912[Index])</f>
        <v>207</v>
      </c>
      <c r="AE29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6.4600273723965591</v>
      </c>
      <c r="AF298" s="18">
        <f>Table2912[[#This Row],[CH4 '[ml/g']]]/Table2912[[#This Row],[APB]]</f>
        <v>6.7802598194011576</v>
      </c>
      <c r="AG298" s="18">
        <f>Table2912[[#This Row],[Propionate '[%']]]/Table2912[[#This Row],[Acetate '[%']]]</f>
        <v>0.26385673988686903</v>
      </c>
      <c r="AH298" s="51"/>
      <c r="AI298" s="18"/>
      <c r="AJ298" s="18"/>
      <c r="AK298" s="18">
        <f>(Table2912[[#This Row],[DMD '[mg/g']]]-$AK$15)/$AK$15*100</f>
        <v>66.529206299809147</v>
      </c>
      <c r="AL298" s="18">
        <f>(Table2912[[#This Row],[CH4 '[ml/g']]]-AL$15)/AL$15*100</f>
        <v>11.360806673087238</v>
      </c>
      <c r="AM298" s="18">
        <f>(Table2912[[#This Row],[CH4 '[% GP']]]-AM$15)/AM$15*100</f>
        <v>-8.5036195356836526</v>
      </c>
      <c r="AN298" s="18">
        <f>(Table2912[[#This Row],[CH4 '[g/g DDM']]]-AN$15)/AN$15*100</f>
        <v>4.7457464195766024</v>
      </c>
      <c r="AO298" s="18"/>
      <c r="AP298" s="18"/>
      <c r="AR298">
        <f>_xlfn.NORM.DIST(Table2912[[#This Row],[GP '[ml/g']]],O$6,O$2,FALSE)</f>
        <v>4.5726466404147122E-3</v>
      </c>
      <c r="AS298">
        <f>_xlfn.NORM.DIST(Table2912[[#This Row],[SCFA '[mmol/g']]],P$6,P$2,FALSE)</f>
        <v>0.31537896330663218</v>
      </c>
      <c r="AT298">
        <f>_xlfn.NORM.DIST(Table2912[[#This Row],[Acetate '[%']]],Q$6,Q$2,FALSE)</f>
        <v>13.836014971745039</v>
      </c>
      <c r="AU298">
        <f>_xlfn.NORM.DIST(Table2912[[#This Row],[Propionate '[%']]],R$6,R$2,FALSE)</f>
        <v>16.492757004459701</v>
      </c>
      <c r="AV298">
        <f>_xlfn.NORM.DIST(Table2912[[#This Row],[Butyrate '[%']]],S$6,S$2,FALSE)</f>
        <v>21.888261523830554</v>
      </c>
      <c r="AW298">
        <f>_xlfn.NORM.DIST(Table2912[[#This Row],[Valerate '[%']]],T$6,T$2,FALSE)</f>
        <v>75.902591118967507</v>
      </c>
      <c r="AX298">
        <f>_xlfn.NORM.DIST(Table2912[[#This Row],[Caproate '[%']]],U$6,U$2,FALSE)</f>
        <v>383.70354433445675</v>
      </c>
      <c r="AY298">
        <f>_xlfn.NORM.DIST(Table2912[[#This Row],[Isobutyrate '[%']]],V$6,V$2,FALSE)</f>
        <v>85.438222639941401</v>
      </c>
      <c r="AZ298">
        <f>_xlfn.NORM.DIST(Table2912[[#This Row],[Isovalerate '[%']]],W$6,W$2,FALSE)</f>
        <v>41.995039730094142</v>
      </c>
      <c r="BA298">
        <f>_xlfn.NORM.DIST(Table2912[[#This Row],[CH4 '[g/mmol SCFA']]],X$6,X$2,FALSE)</f>
        <v>0.29728977324153028</v>
      </c>
      <c r="BB298">
        <f>_xlfn.NORM.DIST(Table2912[[#This Row],[DMD '[mg/g']]],Y$6,Y$2,FALSE)</f>
        <v>2.7911731266319663E-3</v>
      </c>
      <c r="BC298">
        <f>_xlfn.NORM.DIST(Table2912[[#This Row],[CH4 '[ml/g']]],Z$6,Z$2,FALSE)</f>
        <v>3.2830784689246627E-2</v>
      </c>
      <c r="BD298">
        <f>_xlfn.NORM.DIST(Table2912[[#This Row],[CH4 '[% GP']]],AA$6,AA$2,FALSE)</f>
        <v>0.11046236348785458</v>
      </c>
      <c r="BE298">
        <f>_xlfn.NORM.DIST(Table2912[[#This Row],[CH4 '[g/g DDM']]],AB$6,AB$2,FALSE)</f>
        <v>3.2842642124737281E-2</v>
      </c>
      <c r="BG298">
        <f>IF(Table2912[[#This Row],[GP '[ml/g']]]&lt;O$10,_xlfn.NORM.DIST(Table2912[[#This Row],[GP '[ml/g']]],O$6,O$2,FALSE),-100)</f>
        <v>-100</v>
      </c>
      <c r="BH298">
        <f>IF(Table2912[[#This Row],[SCFA '[mmol/g']]]&lt;P$10,_xlfn.NORM.DIST(Table2912[[#This Row],[SCFA '[mmol/g']]],P$6,P$2,FALSE),-100)</f>
        <v>-100</v>
      </c>
      <c r="BI298">
        <f>IF(Table2912[[#This Row],[Acetate '[%']]]&lt;Q$10,_xlfn.NORM.DIST(Table2912[[#This Row],[Acetate '[%']]],Q$6,Q$2,FALSE),-100)</f>
        <v>-100</v>
      </c>
      <c r="BJ298">
        <f>IF(Table2912[[#This Row],[Propionate '[%']]]&lt;R$10,_xlfn.NORM.DIST(Table2912[[#This Row],[Propionate '[%']]],R$6,R$2,FALSE),-100)</f>
        <v>-100</v>
      </c>
      <c r="BK298">
        <f>IF(Table2912[[#This Row],[Butyrate '[%']]]&lt;S$10,_xlfn.NORM.DIST(Table2912[[#This Row],[Butyrate '[%']]],S$6,S$2,FALSE),-100)</f>
        <v>-100</v>
      </c>
      <c r="BL298">
        <f>IF(Table2912[[#This Row],[Valerate '[%']]]&lt;T$10,_xlfn.NORM.DIST(Table2912[[#This Row],[Valerate '[%']]],T$6,T$2,FALSE),-100)</f>
        <v>-100</v>
      </c>
      <c r="BM298">
        <f>IF(Table2912[[#This Row],[Caproate '[%']]]&lt;U$10,_xlfn.NORM.DIST(Table2912[[#This Row],[Caproate '[%']]],U$6,U$2,FALSE),-100)</f>
        <v>-100</v>
      </c>
      <c r="BN298">
        <f>IF(Table2912[[#This Row],[Isobutyrate '[%']]]&lt;V$10,_xlfn.NORM.DIST(Table2912[[#This Row],[Isobutyrate '[%']]],V$6,V$2,FALSE),-100)</f>
        <v>-100</v>
      </c>
      <c r="BO298">
        <f>IF(Table2912[[#This Row],[Isovalerate '[%']]]&lt;W$10,_xlfn.NORM.DIST(Table2912[[#This Row],[Isovalerate '[%']]],W$6,W$2,FALSE),-100)</f>
        <v>-100</v>
      </c>
      <c r="BP298">
        <f>IF(Table2912[[#This Row],[CH4 '[g/mmol SCFA']]]&lt;X$10,_xlfn.NORM.DIST(Table2912[[#This Row],[CH4 '[g/mmol SCFA']]],X$6,X$2,FALSE),-100)</f>
        <v>-100</v>
      </c>
      <c r="BQ298">
        <f>IF(Table2912[[#This Row],[DMD '[mg/g']]]&gt;Y$10,_xlfn.NORM.DIST(Table2912[[#This Row],[DMD '[mg/g']]],Y$6,Y$2,FALSE),-100)</f>
        <v>-100</v>
      </c>
      <c r="BR298">
        <f>IF(Table2912[[#This Row],[CH4 '[ml/g']]]&lt;Z$10,_xlfn.NORM.DIST(Table2912[[#This Row],[CH4 '[ml/g']]],Z$6,Z$2,FALSE),-100)</f>
        <v>-100</v>
      </c>
      <c r="BS298">
        <f>IF(Table2912[[#This Row],[CH4 '[% GP']]]&lt;AA$10,_xlfn.NORM.DIST(Table2912[[#This Row],[CH4 '[% GP']]],AA$6,AA$2,FALSE),-100)</f>
        <v>-100</v>
      </c>
      <c r="BT298">
        <f>IF(Table2912[[#This Row],[CH4 '[g/g DDM']]]&lt;AB$10,_xlfn.NORM.DIST(Table2912[[#This Row],[CH4 '[g/g DDM']]],AB$6,AB$2,FALSE),-100)</f>
        <v>-100</v>
      </c>
    </row>
    <row r="299" spans="1:72" x14ac:dyDescent="0.25">
      <c r="A299" s="12" t="s">
        <v>70</v>
      </c>
      <c r="B299" s="13">
        <v>1042</v>
      </c>
      <c r="C299" s="96" t="s">
        <v>336</v>
      </c>
      <c r="D299" s="96"/>
      <c r="E299" s="96"/>
      <c r="F299" s="96" t="s">
        <v>337</v>
      </c>
      <c r="G299" t="s">
        <v>143</v>
      </c>
      <c r="H299" t="s">
        <v>144</v>
      </c>
      <c r="I299" t="s">
        <v>52</v>
      </c>
      <c r="J299" s="100">
        <v>1</v>
      </c>
      <c r="K299" s="100"/>
      <c r="L299" s="100"/>
      <c r="M299" t="s">
        <v>337</v>
      </c>
      <c r="N299" t="s">
        <v>85</v>
      </c>
      <c r="O299" s="18">
        <v>272.57575357535757</v>
      </c>
      <c r="P299" s="18">
        <v>7.0891294838145207</v>
      </c>
      <c r="Q299" s="97">
        <v>0.67275665911359728</v>
      </c>
      <c r="R299" s="97">
        <v>0.18272835259090145</v>
      </c>
      <c r="S299" s="97">
        <v>9.2775712324329337E-2</v>
      </c>
      <c r="T299" s="97">
        <v>1.5164370670903848E-2</v>
      </c>
      <c r="U299" s="97">
        <v>1.0616552314249954E-3</v>
      </c>
      <c r="V299" s="97">
        <v>1.4686145349644422E-2</v>
      </c>
      <c r="W299" s="97">
        <v>2.6595498511330865E-2</v>
      </c>
      <c r="X299" s="51">
        <f t="shared" si="20"/>
        <v>5.9590382342521062</v>
      </c>
      <c r="Y299" s="18">
        <v>816.72968477950167</v>
      </c>
      <c r="Z299" s="18">
        <v>42.244393641614629</v>
      </c>
      <c r="AA299" s="18">
        <f t="shared" si="21"/>
        <v>15.498221352228803</v>
      </c>
      <c r="AB299" s="18">
        <f t="shared" si="22"/>
        <v>51.723837677113018</v>
      </c>
      <c r="AC299" s="18">
        <f>$CP$15*Table2912[[#This Row],[DMD '[mg/g']]]+$CS$15*Table2912[[#This Row],[CH4 '[ml/g']]]+$CR$15*Table2912[[#This Row],[CH4 '[% GP']]]+$CQ$15*Table2912[[#This Row],[CH4 '[g/g DDM']]]</f>
        <v>18.337434984074804</v>
      </c>
      <c r="AD299" s="18">
        <f>_xlfn.RANK.AVG(Table2912[[#This Row],[Index]],Table2912[Index])</f>
        <v>196</v>
      </c>
      <c r="AE29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6.7223430570560696</v>
      </c>
      <c r="AF299" s="18">
        <f>Table2912[[#This Row],[CH4 '[ml/g']]]/Table2912[[#This Row],[APB]]</f>
        <v>6.2841770024326618</v>
      </c>
      <c r="AG299" s="18">
        <f>Table2912[[#This Row],[Propionate '[%']]]/Table2912[[#This Row],[Acetate '[%']]]</f>
        <v>0.27161136217017678</v>
      </c>
      <c r="AH299" s="51"/>
      <c r="AI299" s="18"/>
      <c r="AJ299" s="18"/>
      <c r="AK299" s="18">
        <f>(Table2912[[#This Row],[DMD '[mg/g']]]-$AK$15)/$AK$15*100</f>
        <v>66.581237691093506</v>
      </c>
      <c r="AL299" s="18">
        <f>(Table2912[[#This Row],[CH4 '[ml/g']]]-AL$15)/AL$15*100</f>
        <v>7.4040738430169801</v>
      </c>
      <c r="AM299" s="18">
        <f>(Table2912[[#This Row],[CH4 '[% GP']]]-AM$15)/AM$15*100</f>
        <v>-0.15546891067909419</v>
      </c>
      <c r="AN299" s="18">
        <f>(Table2912[[#This Row],[CH4 '[g/g DDM']]]-AN$15)/AN$15*100</f>
        <v>0.99249692672669643</v>
      </c>
      <c r="AO299" s="18"/>
      <c r="AP299" s="18"/>
      <c r="AR299">
        <f>_xlfn.NORM.DIST(Table2912[[#This Row],[GP '[ml/g']]],O$6,O$2,FALSE)</f>
        <v>7.1057393374287037E-3</v>
      </c>
      <c r="AS299">
        <f>_xlfn.NORM.DIST(Table2912[[#This Row],[SCFA '[mmol/g']]],P$6,P$2,FALSE)</f>
        <v>0.29932169345093435</v>
      </c>
      <c r="AT299">
        <f>_xlfn.NORM.DIST(Table2912[[#This Row],[Acetate '[%']]],Q$6,Q$2,FALSE)</f>
        <v>14.02572359858183</v>
      </c>
      <c r="AU299">
        <f>_xlfn.NORM.DIST(Table2912[[#This Row],[Propionate '[%']]],R$6,R$2,FALSE)</f>
        <v>15.125274429562182</v>
      </c>
      <c r="AV299">
        <f>_xlfn.NORM.DIST(Table2912[[#This Row],[Butyrate '[%']]],S$6,S$2,FALSE)</f>
        <v>23.029232327536654</v>
      </c>
      <c r="AW299">
        <f>_xlfn.NORM.DIST(Table2912[[#This Row],[Valerate '[%']]],T$6,T$2,FALSE)</f>
        <v>68.84185960805668</v>
      </c>
      <c r="AX299">
        <f>_xlfn.NORM.DIST(Table2912[[#This Row],[Caproate '[%']]],U$6,U$2,FALSE)</f>
        <v>391.61728910096735</v>
      </c>
      <c r="AY299">
        <f>_xlfn.NORM.DIST(Table2912[[#This Row],[Isobutyrate '[%']]],V$6,V$2,FALSE)</f>
        <v>89.244885115494938</v>
      </c>
      <c r="AZ299">
        <f>_xlfn.NORM.DIST(Table2912[[#This Row],[Isovalerate '[%']]],W$6,W$2,FALSE)</f>
        <v>44.9351073382458</v>
      </c>
      <c r="BA299">
        <f>_xlfn.NORM.DIST(Table2912[[#This Row],[CH4 '[g/mmol SCFA']]],X$6,X$2,FALSE)</f>
        <v>0.28887256513627635</v>
      </c>
      <c r="BB299">
        <f>_xlfn.NORM.DIST(Table2912[[#This Row],[DMD '[mg/g']]],Y$6,Y$2,FALSE)</f>
        <v>2.789628800932805E-3</v>
      </c>
      <c r="BC299">
        <f>_xlfn.NORM.DIST(Table2912[[#This Row],[CH4 '[ml/g']]],Z$6,Z$2,FALSE)</f>
        <v>3.3421493416599786E-2</v>
      </c>
      <c r="BD299">
        <f>_xlfn.NORM.DIST(Table2912[[#This Row],[CH4 '[% GP']]],AA$6,AA$2,FALSE)</f>
        <v>0.13224384262054117</v>
      </c>
      <c r="BE299">
        <f>_xlfn.NORM.DIST(Table2912[[#This Row],[CH4 '[g/g DDM']]],AB$6,AB$2,FALSE)</f>
        <v>3.2557390704052828E-2</v>
      </c>
      <c r="BG299">
        <f>IF(Table2912[[#This Row],[GP '[ml/g']]]&lt;O$10,_xlfn.NORM.DIST(Table2912[[#This Row],[GP '[ml/g']]],O$6,O$2,FALSE),-100)</f>
        <v>-100</v>
      </c>
      <c r="BH299">
        <f>IF(Table2912[[#This Row],[SCFA '[mmol/g']]]&lt;P$10,_xlfn.NORM.DIST(Table2912[[#This Row],[SCFA '[mmol/g']]],P$6,P$2,FALSE),-100)</f>
        <v>-100</v>
      </c>
      <c r="BI299">
        <f>IF(Table2912[[#This Row],[Acetate '[%']]]&lt;Q$10,_xlfn.NORM.DIST(Table2912[[#This Row],[Acetate '[%']]],Q$6,Q$2,FALSE),-100)</f>
        <v>-100</v>
      </c>
      <c r="BJ299">
        <f>IF(Table2912[[#This Row],[Propionate '[%']]]&lt;R$10,_xlfn.NORM.DIST(Table2912[[#This Row],[Propionate '[%']]],R$6,R$2,FALSE),-100)</f>
        <v>-100</v>
      </c>
      <c r="BK299">
        <f>IF(Table2912[[#This Row],[Butyrate '[%']]]&lt;S$10,_xlfn.NORM.DIST(Table2912[[#This Row],[Butyrate '[%']]],S$6,S$2,FALSE),-100)</f>
        <v>-100</v>
      </c>
      <c r="BL299">
        <f>IF(Table2912[[#This Row],[Valerate '[%']]]&lt;T$10,_xlfn.NORM.DIST(Table2912[[#This Row],[Valerate '[%']]],T$6,T$2,FALSE),-100)</f>
        <v>-100</v>
      </c>
      <c r="BM299">
        <f>IF(Table2912[[#This Row],[Caproate '[%']]]&lt;U$10,_xlfn.NORM.DIST(Table2912[[#This Row],[Caproate '[%']]],U$6,U$2,FALSE),-100)</f>
        <v>-100</v>
      </c>
      <c r="BN299">
        <f>IF(Table2912[[#This Row],[Isobutyrate '[%']]]&lt;V$10,_xlfn.NORM.DIST(Table2912[[#This Row],[Isobutyrate '[%']]],V$6,V$2,FALSE),-100)</f>
        <v>-100</v>
      </c>
      <c r="BO299">
        <f>IF(Table2912[[#This Row],[Isovalerate '[%']]]&lt;W$10,_xlfn.NORM.DIST(Table2912[[#This Row],[Isovalerate '[%']]],W$6,W$2,FALSE),-100)</f>
        <v>-100</v>
      </c>
      <c r="BP299">
        <f>IF(Table2912[[#This Row],[CH4 '[g/mmol SCFA']]]&lt;X$10,_xlfn.NORM.DIST(Table2912[[#This Row],[CH4 '[g/mmol SCFA']]],X$6,X$2,FALSE),-100)</f>
        <v>-100</v>
      </c>
      <c r="BQ299">
        <f>IF(Table2912[[#This Row],[DMD '[mg/g']]]&gt;Y$10,_xlfn.NORM.DIST(Table2912[[#This Row],[DMD '[mg/g']]],Y$6,Y$2,FALSE),-100)</f>
        <v>-100</v>
      </c>
      <c r="BR299">
        <f>IF(Table2912[[#This Row],[CH4 '[ml/g']]]&lt;Z$10,_xlfn.NORM.DIST(Table2912[[#This Row],[CH4 '[ml/g']]],Z$6,Z$2,FALSE),-100)</f>
        <v>-100</v>
      </c>
      <c r="BS299">
        <f>IF(Table2912[[#This Row],[CH4 '[% GP']]]&lt;AA$10,_xlfn.NORM.DIST(Table2912[[#This Row],[CH4 '[% GP']]],AA$6,AA$2,FALSE),-100)</f>
        <v>-100</v>
      </c>
      <c r="BT299">
        <f>IF(Table2912[[#This Row],[CH4 '[g/g DDM']]]&lt;AB$10,_xlfn.NORM.DIST(Table2912[[#This Row],[CH4 '[g/g DDM']]],AB$6,AB$2,FALSE),-100)</f>
        <v>-100</v>
      </c>
    </row>
    <row r="300" spans="1:72" x14ac:dyDescent="0.25">
      <c r="A300" s="12" t="s">
        <v>86</v>
      </c>
      <c r="B300" s="13">
        <v>1089</v>
      </c>
      <c r="C300" s="104" t="s">
        <v>298</v>
      </c>
      <c r="D300" s="104" t="s">
        <v>299</v>
      </c>
      <c r="E300" s="104" t="s">
        <v>300</v>
      </c>
      <c r="F300" s="104" t="s">
        <v>301</v>
      </c>
      <c r="G300" s="23" t="s">
        <v>143</v>
      </c>
      <c r="H300" s="23" t="s">
        <v>144</v>
      </c>
      <c r="I300" s="32" t="s">
        <v>52</v>
      </c>
      <c r="J300" s="70">
        <v>1</v>
      </c>
      <c r="K300" s="70"/>
      <c r="L300" s="70"/>
      <c r="M300" t="s">
        <v>301</v>
      </c>
      <c r="N300" t="s">
        <v>145</v>
      </c>
      <c r="O300" s="18">
        <v>311.9636624696268</v>
      </c>
      <c r="P300" s="18">
        <v>6.9549359421206187</v>
      </c>
      <c r="Q300" s="97">
        <v>0.63944733441469115</v>
      </c>
      <c r="R300" s="97">
        <v>0.1783665025711077</v>
      </c>
      <c r="S300" s="97">
        <v>0.10052648795712892</v>
      </c>
      <c r="T300" s="97">
        <v>2.4746033757286942E-2</v>
      </c>
      <c r="U300" s="97">
        <v>6.4466087119068125E-4</v>
      </c>
      <c r="V300" s="97">
        <v>1.9361627335979424E-2</v>
      </c>
      <c r="W300" s="97">
        <v>3.6907353092615225E-2</v>
      </c>
      <c r="X300" s="51">
        <f t="shared" si="20"/>
        <v>7.4496589363768919</v>
      </c>
      <c r="Y300" s="18">
        <v>817.30089632971749</v>
      </c>
      <c r="Z300" s="18">
        <v>51.811900693147706</v>
      </c>
      <c r="AA300" s="18">
        <f t="shared" si="21"/>
        <v>16.608312738408173</v>
      </c>
      <c r="AB300" s="18">
        <f t="shared" si="22"/>
        <v>63.393911502876449</v>
      </c>
      <c r="AC300" s="18">
        <f>$CP$15*Table2912[[#This Row],[DMD '[mg/g']]]+$CS$15*Table2912[[#This Row],[CH4 '[ml/g']]]+$CR$15*Table2912[[#This Row],[CH4 '[% GP']]]+$CQ$15*Table2912[[#This Row],[CH4 '[g/g DDM']]]</f>
        <v>13.376657271862818</v>
      </c>
      <c r="AD300" s="18">
        <f>_xlfn.RANK.AVG(Table2912[[#This Row],[Index]],Table2912[Index])</f>
        <v>295</v>
      </c>
      <c r="AE30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6.3869981330442966</v>
      </c>
      <c r="AF300" s="18">
        <f>Table2912[[#This Row],[CH4 '[ml/g']]]/Table2912[[#This Row],[APB]]</f>
        <v>8.1120895315577766</v>
      </c>
      <c r="AG300" s="18">
        <f>Table2912[[#This Row],[Propionate '[%']]]/Table2912[[#This Row],[Acetate '[%']]]</f>
        <v>0.27893853484333136</v>
      </c>
      <c r="AH300" s="51"/>
      <c r="AI300" s="18"/>
      <c r="AJ300" s="18"/>
      <c r="AK300" s="18">
        <f>(Table2912[[#This Row],[DMD '[mg/g']]]-$AK$15)/$AK$15*100</f>
        <v>66.697742734061421</v>
      </c>
      <c r="AL300" s="18">
        <f>(Table2912[[#This Row],[CH4 '[ml/g']]]-AL$15)/AL$15*100</f>
        <v>31.72894029924122</v>
      </c>
      <c r="AM300" s="18">
        <f>(Table2912[[#This Row],[CH4 '[% GP']]]-AM$15)/AM$15*100</f>
        <v>6.9960971561866367</v>
      </c>
      <c r="AN300" s="18">
        <f>(Table2912[[#This Row],[CH4 '[g/g DDM']]]-AN$15)/AN$15*100</f>
        <v>23.778700501574633</v>
      </c>
      <c r="AO300" s="18"/>
      <c r="AP300" s="18"/>
      <c r="AR300">
        <f>_xlfn.NORM.DIST(Table2912[[#This Row],[GP '[ml/g']]],O$6,O$2,FALSE)</f>
        <v>4.2701142834646296E-3</v>
      </c>
      <c r="AS300">
        <f>_xlfn.NORM.DIST(Table2912[[#This Row],[SCFA '[mmol/g']]],P$6,P$2,FALSE)</f>
        <v>0.31317250405724456</v>
      </c>
      <c r="AT300">
        <f>_xlfn.NORM.DIST(Table2912[[#This Row],[Acetate '[%']]],Q$6,Q$2,FALSE)</f>
        <v>6.9581639719697268</v>
      </c>
      <c r="AU300">
        <f>_xlfn.NORM.DIST(Table2912[[#This Row],[Propionate '[%']]],R$6,R$2,FALSE)</f>
        <v>16.17451089966357</v>
      </c>
      <c r="AV300">
        <f>_xlfn.NORM.DIST(Table2912[[#This Row],[Butyrate '[%']]],S$6,S$2,FALSE)</f>
        <v>20.914426087644333</v>
      </c>
      <c r="AW300">
        <f>_xlfn.NORM.DIST(Table2912[[#This Row],[Valerate '[%']]],T$6,T$2,FALSE)</f>
        <v>30.077371302259113</v>
      </c>
      <c r="AX300">
        <f>_xlfn.NORM.DIST(Table2912[[#This Row],[Caproate '[%']]],U$6,U$2,FALSE)</f>
        <v>318.01232497036722</v>
      </c>
      <c r="AY300">
        <f>_xlfn.NORM.DIST(Table2912[[#This Row],[Isobutyrate '[%']]],V$6,V$2,FALSE)</f>
        <v>59.379473759250125</v>
      </c>
      <c r="AZ300">
        <f>_xlfn.NORM.DIST(Table2912[[#This Row],[Isovalerate '[%']]],W$6,W$2,FALSE)</f>
        <v>26.830706976131079</v>
      </c>
      <c r="BA300">
        <f>_xlfn.NORM.DIST(Table2912[[#This Row],[CH4 '[g/mmol SCFA']]],X$6,X$2,FALSE)</f>
        <v>0.20371372254075765</v>
      </c>
      <c r="BB300">
        <f>_xlfn.NORM.DIST(Table2912[[#This Row],[DMD '[mg/g']]],Y$6,Y$2,FALSE)</f>
        <v>2.7861388220734259E-3</v>
      </c>
      <c r="BC300">
        <f>_xlfn.NORM.DIST(Table2912[[#This Row],[CH4 '[ml/g']]],Z$6,Z$2,FALSE)</f>
        <v>2.2856595697876653E-2</v>
      </c>
      <c r="BD300">
        <f>_xlfn.NORM.DIST(Table2912[[#This Row],[CH4 '[% GP']]],AA$6,AA$2,FALSE)</f>
        <v>0.13249526572255726</v>
      </c>
      <c r="BE300">
        <f>_xlfn.NORM.DIST(Table2912[[#This Row],[CH4 '[g/g DDM']]],AB$6,AB$2,FALSE)</f>
        <v>2.3342050857395318E-2</v>
      </c>
      <c r="BG300">
        <f>IF(Table2912[[#This Row],[GP '[ml/g']]]&lt;O$10,_xlfn.NORM.DIST(Table2912[[#This Row],[GP '[ml/g']]],O$6,O$2,FALSE),-100)</f>
        <v>-100</v>
      </c>
      <c r="BH300">
        <f>IF(Table2912[[#This Row],[SCFA '[mmol/g']]]&lt;P$10,_xlfn.NORM.DIST(Table2912[[#This Row],[SCFA '[mmol/g']]],P$6,P$2,FALSE),-100)</f>
        <v>-100</v>
      </c>
      <c r="BI300">
        <f>IF(Table2912[[#This Row],[Acetate '[%']]]&lt;Q$10,_xlfn.NORM.DIST(Table2912[[#This Row],[Acetate '[%']]],Q$6,Q$2,FALSE),-100)</f>
        <v>6.9581639719697268</v>
      </c>
      <c r="BJ300">
        <f>IF(Table2912[[#This Row],[Propionate '[%']]]&lt;R$10,_xlfn.NORM.DIST(Table2912[[#This Row],[Propionate '[%']]],R$6,R$2,FALSE),-100)</f>
        <v>-100</v>
      </c>
      <c r="BK300">
        <f>IF(Table2912[[#This Row],[Butyrate '[%']]]&lt;S$10,_xlfn.NORM.DIST(Table2912[[#This Row],[Butyrate '[%']]],S$6,S$2,FALSE),-100)</f>
        <v>-100</v>
      </c>
      <c r="BL300">
        <f>IF(Table2912[[#This Row],[Valerate '[%']]]&lt;T$10,_xlfn.NORM.DIST(Table2912[[#This Row],[Valerate '[%']]],T$6,T$2,FALSE),-100)</f>
        <v>-100</v>
      </c>
      <c r="BM300">
        <f>IF(Table2912[[#This Row],[Caproate '[%']]]&lt;U$10,_xlfn.NORM.DIST(Table2912[[#This Row],[Caproate '[%']]],U$6,U$2,FALSE),-100)</f>
        <v>-100</v>
      </c>
      <c r="BN300">
        <f>IF(Table2912[[#This Row],[Isobutyrate '[%']]]&lt;V$10,_xlfn.NORM.DIST(Table2912[[#This Row],[Isobutyrate '[%']]],V$6,V$2,FALSE),-100)</f>
        <v>-100</v>
      </c>
      <c r="BO300">
        <f>IF(Table2912[[#This Row],[Isovalerate '[%']]]&lt;W$10,_xlfn.NORM.DIST(Table2912[[#This Row],[Isovalerate '[%']]],W$6,W$2,FALSE),-100)</f>
        <v>-100</v>
      </c>
      <c r="BP300">
        <f>IF(Table2912[[#This Row],[CH4 '[g/mmol SCFA']]]&lt;X$10,_xlfn.NORM.DIST(Table2912[[#This Row],[CH4 '[g/mmol SCFA']]],X$6,X$2,FALSE),-100)</f>
        <v>-100</v>
      </c>
      <c r="BQ300">
        <f>IF(Table2912[[#This Row],[DMD '[mg/g']]]&gt;Y$10,_xlfn.NORM.DIST(Table2912[[#This Row],[DMD '[mg/g']]],Y$6,Y$2,FALSE),-100)</f>
        <v>-100</v>
      </c>
      <c r="BR300">
        <f>IF(Table2912[[#This Row],[CH4 '[ml/g']]]&lt;Z$10,_xlfn.NORM.DIST(Table2912[[#This Row],[CH4 '[ml/g']]],Z$6,Z$2,FALSE),-100)</f>
        <v>-100</v>
      </c>
      <c r="BS300">
        <f>IF(Table2912[[#This Row],[CH4 '[% GP']]]&lt;AA$10,_xlfn.NORM.DIST(Table2912[[#This Row],[CH4 '[% GP']]],AA$6,AA$2,FALSE),-100)</f>
        <v>-100</v>
      </c>
      <c r="BT300">
        <f>IF(Table2912[[#This Row],[CH4 '[g/g DDM']]]&lt;AB$10,_xlfn.NORM.DIST(Table2912[[#This Row],[CH4 '[g/g DDM']]],AB$6,AB$2,FALSE),-100)</f>
        <v>-100</v>
      </c>
    </row>
    <row r="301" spans="1:72" x14ac:dyDescent="0.25">
      <c r="A301" s="12" t="s">
        <v>70</v>
      </c>
      <c r="B301" s="13">
        <v>1036</v>
      </c>
      <c r="C301" s="96" t="s">
        <v>253</v>
      </c>
      <c r="D301" s="96"/>
      <c r="E301" s="96"/>
      <c r="F301" s="96" t="s">
        <v>254</v>
      </c>
      <c r="G301" t="s">
        <v>73</v>
      </c>
      <c r="H301" t="s">
        <v>74</v>
      </c>
      <c r="I301" s="99" t="s">
        <v>79</v>
      </c>
      <c r="J301" s="107">
        <v>1</v>
      </c>
      <c r="K301" s="107"/>
      <c r="L301" s="107"/>
      <c r="M301" t="s">
        <v>254</v>
      </c>
      <c r="N301" t="s">
        <v>84</v>
      </c>
      <c r="O301" s="18">
        <v>269.00002217786619</v>
      </c>
      <c r="P301" s="18">
        <v>7.8470730496678591</v>
      </c>
      <c r="Q301" s="97">
        <v>0.6383030744797461</v>
      </c>
      <c r="R301" s="97">
        <v>0.1942124785760197</v>
      </c>
      <c r="S301" s="97">
        <v>9.9591694070864822E-2</v>
      </c>
      <c r="T301" s="97">
        <v>1.8782233726141691E-2</v>
      </c>
      <c r="U301" s="97">
        <v>1.6736790974354299E-3</v>
      </c>
      <c r="V301" s="97">
        <v>1.717778890514169E-2</v>
      </c>
      <c r="W301" s="97">
        <v>3.0259051144650679E-2</v>
      </c>
      <c r="X301" s="51">
        <f t="shared" si="20"/>
        <v>5.2140122186691897</v>
      </c>
      <c r="Y301" s="18">
        <v>818.46822228558744</v>
      </c>
      <c r="Z301" s="18">
        <v>40.91473476175792</v>
      </c>
      <c r="AA301" s="18">
        <f t="shared" si="21"/>
        <v>15.209937319151813</v>
      </c>
      <c r="AB301" s="18">
        <f t="shared" si="22"/>
        <v>49.989399279916789</v>
      </c>
      <c r="AC301" s="18">
        <f>$CP$15*Table2912[[#This Row],[DMD '[mg/g']]]+$CS$15*Table2912[[#This Row],[CH4 '[ml/g']]]+$CR$15*Table2912[[#This Row],[CH4 '[% GP']]]+$CQ$15*Table2912[[#This Row],[CH4 '[g/g DDM']]]</f>
        <v>19.263841038251186</v>
      </c>
      <c r="AD301" s="18">
        <f>_xlfn.RANK.AVG(Table2912[[#This Row],[Index]],Table2912[Index])</f>
        <v>175</v>
      </c>
      <c r="AE30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7.3143136583274817</v>
      </c>
      <c r="AF301" s="18">
        <f>Table2912[[#This Row],[CH4 '[ml/g']]]/Table2912[[#This Row],[APB]]</f>
        <v>5.5937900222771741</v>
      </c>
      <c r="AG301" s="18">
        <f>Table2912[[#This Row],[Propionate '[%']]]/Table2912[[#This Row],[Acetate '[%']]]</f>
        <v>0.30426373668075168</v>
      </c>
      <c r="AH301" s="51"/>
      <c r="AI301" s="18"/>
      <c r="AJ301" s="18"/>
      <c r="AK301" s="18">
        <f>(Table2912[[#This Row],[DMD '[mg/g']]]-$AK$15)/$AK$15*100</f>
        <v>66.935832038444005</v>
      </c>
      <c r="AL301" s="18">
        <f>(Table2912[[#This Row],[CH4 '[ml/g']]]-AL$15)/AL$15*100</f>
        <v>4.0234884396684185</v>
      </c>
      <c r="AM301" s="18">
        <f>(Table2912[[#This Row],[CH4 '[% GP']]]-AM$15)/AM$15*100</f>
        <v>-2.012687455242665</v>
      </c>
      <c r="AN301" s="18">
        <f>(Table2912[[#This Row],[CH4 '[g/g DDM']]]-AN$15)/AN$15*100</f>
        <v>-2.394051178847163</v>
      </c>
      <c r="AO301" s="18"/>
      <c r="AP301" s="18"/>
      <c r="AR301">
        <f>_xlfn.NORM.DIST(Table2912[[#This Row],[GP '[ml/g']]],O$6,O$2,FALSE)</f>
        <v>7.2437022360047698E-3</v>
      </c>
      <c r="AS301">
        <f>_xlfn.NORM.DIST(Table2912[[#This Row],[SCFA '[mmol/g']]],P$6,P$2,FALSE)</f>
        <v>0.1832449042905365</v>
      </c>
      <c r="AT301">
        <f>_xlfn.NORM.DIST(Table2912[[#This Row],[Acetate '[%']]],Q$6,Q$2,FALSE)</f>
        <v>6.6290836903841477</v>
      </c>
      <c r="AU301">
        <f>_xlfn.NORM.DIST(Table2912[[#This Row],[Propionate '[%']]],R$6,R$2,FALSE)</f>
        <v>10.789765665723138</v>
      </c>
      <c r="AV301">
        <f>_xlfn.NORM.DIST(Table2912[[#This Row],[Butyrate '[%']]],S$6,S$2,FALSE)</f>
        <v>21.38464571823468</v>
      </c>
      <c r="AW301">
        <f>_xlfn.NORM.DIST(Table2912[[#This Row],[Valerate '[%']]],T$6,T$2,FALSE)</f>
        <v>75.579517276152089</v>
      </c>
      <c r="AX301">
        <f>_xlfn.NORM.DIST(Table2912[[#This Row],[Caproate '[%']]],U$6,U$2,FALSE)</f>
        <v>383.08270913058573</v>
      </c>
      <c r="AY301">
        <f>_xlfn.NORM.DIST(Table2912[[#This Row],[Isobutyrate '[%']]],V$6,V$2,FALSE)</f>
        <v>82.533807785311538</v>
      </c>
      <c r="AZ301">
        <f>_xlfn.NORM.DIST(Table2912[[#This Row],[Isovalerate '[%']]],W$6,W$2,FALSE)</f>
        <v>43.81327598773845</v>
      </c>
      <c r="BA301">
        <f>_xlfn.NORM.DIST(Table2912[[#This Row],[CH4 '[g/mmol SCFA']]],X$6,X$2,FALSE)</f>
        <v>0.21652756339955048</v>
      </c>
      <c r="BB301">
        <f>_xlfn.NORM.DIST(Table2912[[#This Row],[DMD '[mg/g']]],Y$6,Y$2,FALSE)</f>
        <v>2.7788696260135958E-3</v>
      </c>
      <c r="BC301">
        <f>_xlfn.NORM.DIST(Table2912[[#This Row],[CH4 '[ml/g']]],Z$6,Z$2,FALSE)</f>
        <v>3.3478427975476746E-2</v>
      </c>
      <c r="BD301">
        <f>_xlfn.NORM.DIST(Table2912[[#This Row],[CH4 '[% GP']]],AA$6,AA$2,FALSE)</f>
        <v>0.12917519546292267</v>
      </c>
      <c r="BE301">
        <f>_xlfn.NORM.DIST(Table2912[[#This Row],[CH4 '[g/g DDM']]],AB$6,AB$2,FALSE)</f>
        <v>3.1614919614093087E-2</v>
      </c>
      <c r="BG301">
        <f>IF(Table2912[[#This Row],[GP '[ml/g']]]&lt;O$10,_xlfn.NORM.DIST(Table2912[[#This Row],[GP '[ml/g']]],O$6,O$2,FALSE),-100)</f>
        <v>-100</v>
      </c>
      <c r="BH301">
        <f>IF(Table2912[[#This Row],[SCFA '[mmol/g']]]&lt;P$10,_xlfn.NORM.DIST(Table2912[[#This Row],[SCFA '[mmol/g']]],P$6,P$2,FALSE),-100)</f>
        <v>-100</v>
      </c>
      <c r="BI301">
        <f>IF(Table2912[[#This Row],[Acetate '[%']]]&lt;Q$10,_xlfn.NORM.DIST(Table2912[[#This Row],[Acetate '[%']]],Q$6,Q$2,FALSE),-100)</f>
        <v>6.6290836903841477</v>
      </c>
      <c r="BJ301">
        <f>IF(Table2912[[#This Row],[Propionate '[%']]]&lt;R$10,_xlfn.NORM.DIST(Table2912[[#This Row],[Propionate '[%']]],R$6,R$2,FALSE),-100)</f>
        <v>-100</v>
      </c>
      <c r="BK301">
        <f>IF(Table2912[[#This Row],[Butyrate '[%']]]&lt;S$10,_xlfn.NORM.DIST(Table2912[[#This Row],[Butyrate '[%']]],S$6,S$2,FALSE),-100)</f>
        <v>-100</v>
      </c>
      <c r="BL301">
        <f>IF(Table2912[[#This Row],[Valerate '[%']]]&lt;T$10,_xlfn.NORM.DIST(Table2912[[#This Row],[Valerate '[%']]],T$6,T$2,FALSE),-100)</f>
        <v>-100</v>
      </c>
      <c r="BM301">
        <f>IF(Table2912[[#This Row],[Caproate '[%']]]&lt;U$10,_xlfn.NORM.DIST(Table2912[[#This Row],[Caproate '[%']]],U$6,U$2,FALSE),-100)</f>
        <v>-100</v>
      </c>
      <c r="BN301">
        <f>IF(Table2912[[#This Row],[Isobutyrate '[%']]]&lt;V$10,_xlfn.NORM.DIST(Table2912[[#This Row],[Isobutyrate '[%']]],V$6,V$2,FALSE),-100)</f>
        <v>-100</v>
      </c>
      <c r="BO301">
        <f>IF(Table2912[[#This Row],[Isovalerate '[%']]]&lt;W$10,_xlfn.NORM.DIST(Table2912[[#This Row],[Isovalerate '[%']]],W$6,W$2,FALSE),-100)</f>
        <v>-100</v>
      </c>
      <c r="BP301">
        <f>IF(Table2912[[#This Row],[CH4 '[g/mmol SCFA']]]&lt;X$10,_xlfn.NORM.DIST(Table2912[[#This Row],[CH4 '[g/mmol SCFA']]],X$6,X$2,FALSE),-100)</f>
        <v>-100</v>
      </c>
      <c r="BQ301">
        <f>IF(Table2912[[#This Row],[DMD '[mg/g']]]&gt;Y$10,_xlfn.NORM.DIST(Table2912[[#This Row],[DMD '[mg/g']]],Y$6,Y$2,FALSE),-100)</f>
        <v>-100</v>
      </c>
      <c r="BR301">
        <f>IF(Table2912[[#This Row],[CH4 '[ml/g']]]&lt;Z$10,_xlfn.NORM.DIST(Table2912[[#This Row],[CH4 '[ml/g']]],Z$6,Z$2,FALSE),-100)</f>
        <v>-100</v>
      </c>
      <c r="BS301">
        <f>IF(Table2912[[#This Row],[CH4 '[% GP']]]&lt;AA$10,_xlfn.NORM.DIST(Table2912[[#This Row],[CH4 '[% GP']]],AA$6,AA$2,FALSE),-100)</f>
        <v>-100</v>
      </c>
      <c r="BT301">
        <f>IF(Table2912[[#This Row],[CH4 '[g/g DDM']]]&lt;AB$10,_xlfn.NORM.DIST(Table2912[[#This Row],[CH4 '[g/g DDM']]],AB$6,AB$2,FALSE),-100)</f>
        <v>-100</v>
      </c>
    </row>
    <row r="302" spans="1:72" x14ac:dyDescent="0.25">
      <c r="A302" s="12" t="s">
        <v>70</v>
      </c>
      <c r="B302" s="13">
        <v>995</v>
      </c>
      <c r="C302" s="96" t="s">
        <v>226</v>
      </c>
      <c r="D302" s="96"/>
      <c r="E302" s="96"/>
      <c r="F302" s="96" t="s">
        <v>227</v>
      </c>
      <c r="G302" s="15" t="s">
        <v>73</v>
      </c>
      <c r="H302" s="15" t="s">
        <v>74</v>
      </c>
      <c r="I302" t="s">
        <v>75</v>
      </c>
      <c r="J302" s="100">
        <v>3</v>
      </c>
      <c r="K302" s="100"/>
      <c r="L302" s="100"/>
      <c r="M302" t="s">
        <v>227</v>
      </c>
      <c r="N302" t="s">
        <v>76</v>
      </c>
      <c r="O302" s="18">
        <v>256.74453280318028</v>
      </c>
      <c r="P302" s="18">
        <v>7.5437090329311252</v>
      </c>
      <c r="Q302" s="97">
        <v>0.68292245465271662</v>
      </c>
      <c r="R302" s="97">
        <v>0.15976446177248077</v>
      </c>
      <c r="S302" s="97">
        <v>9.2044952384346138E-2</v>
      </c>
      <c r="T302" s="97">
        <v>1.5515601646768892E-2</v>
      </c>
      <c r="U302" s="97">
        <v>1.3654285196904432E-3</v>
      </c>
      <c r="V302" s="97">
        <v>1.6386960686920526E-2</v>
      </c>
      <c r="W302" s="97">
        <v>3.2000140337076627E-2</v>
      </c>
      <c r="X302" s="51">
        <f t="shared" si="20"/>
        <v>5.836844952314344</v>
      </c>
      <c r="Y302" s="18">
        <v>819.56555496503938</v>
      </c>
      <c r="Z302" s="18">
        <v>44.031459990592161</v>
      </c>
      <c r="AA302" s="18">
        <f t="shared" si="21"/>
        <v>17.149911435250139</v>
      </c>
      <c r="AB302" s="18">
        <f t="shared" si="22"/>
        <v>53.72536671879827</v>
      </c>
      <c r="AC302" s="18">
        <f>$CP$15*Table2912[[#This Row],[DMD '[mg/g']]]+$CS$15*Table2912[[#This Row],[CH4 '[ml/g']]]+$CR$15*Table2912[[#This Row],[CH4 '[% GP']]]+$CQ$15*Table2912[[#This Row],[CH4 '[g/g DDM']]]</f>
        <v>17.280228778677468</v>
      </c>
      <c r="AD302" s="18">
        <f>_xlfn.RANK.AVG(Table2912[[#This Row],[Index]],Table2912[Index])</f>
        <v>221</v>
      </c>
      <c r="AE30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7.0513452421071445</v>
      </c>
      <c r="AF302" s="18">
        <f>Table2912[[#This Row],[CH4 '[ml/g']]]/Table2912[[#This Row],[APB]]</f>
        <v>6.2444056387507549</v>
      </c>
      <c r="AG302" s="18">
        <f>Table2912[[#This Row],[Propionate '[%']]]/Table2912[[#This Row],[Acetate '[%']]]</f>
        <v>0.23394231758527409</v>
      </c>
      <c r="AH302" s="51"/>
      <c r="AI302" s="18"/>
      <c r="AJ302" s="18"/>
      <c r="AK302" s="18">
        <f>(Table2912[[#This Row],[DMD '[mg/g']]]-$AK$15)/$AK$15*100</f>
        <v>67.159645424082527</v>
      </c>
      <c r="AL302" s="18">
        <f>(Table2912[[#This Row],[CH4 '[ml/g']]]-AL$15)/AL$15*100</f>
        <v>11.947592865595086</v>
      </c>
      <c r="AM302" s="18">
        <f>(Table2912[[#This Row],[CH4 '[% GP']]]-AM$15)/AM$15*100</f>
        <v>10.485250310977314</v>
      </c>
      <c r="AN302" s="18">
        <f>(Table2912[[#This Row],[CH4 '[g/g DDM']]]-AN$15)/AN$15*100</f>
        <v>4.900548314038887</v>
      </c>
      <c r="AO302" s="18"/>
      <c r="AP302" s="18"/>
      <c r="AR302">
        <f>_xlfn.NORM.DIST(Table2912[[#This Row],[GP '[ml/g']]],O$6,O$2,FALSE)</f>
        <v>7.4777951114122897E-3</v>
      </c>
      <c r="AS302">
        <f>_xlfn.NORM.DIST(Table2912[[#This Row],[SCFA '[mmol/g']]],P$6,P$2,FALSE)</f>
        <v>0.23396921904635848</v>
      </c>
      <c r="AT302">
        <f>_xlfn.NORM.DIST(Table2912[[#This Row],[Acetate '[%']]],Q$6,Q$2,FALSE)</f>
        <v>13.218836556994638</v>
      </c>
      <c r="AU302">
        <f>_xlfn.NORM.DIST(Table2912[[#This Row],[Propionate '[%']]],R$6,R$2,FALSE)</f>
        <v>14.747913074060907</v>
      </c>
      <c r="AV302">
        <f>_xlfn.NORM.DIST(Table2912[[#This Row],[Butyrate '[%']]],S$6,S$2,FALSE)</f>
        <v>23.000564971863987</v>
      </c>
      <c r="AW302">
        <f>_xlfn.NORM.DIST(Table2912[[#This Row],[Valerate '[%']]],T$6,T$2,FALSE)</f>
        <v>70.984946548370615</v>
      </c>
      <c r="AX302">
        <f>_xlfn.NORM.DIST(Table2912[[#This Row],[Caproate '[%']]],U$6,U$2,FALSE)</f>
        <v>406.69258549116984</v>
      </c>
      <c r="AY302">
        <f>_xlfn.NORM.DIST(Table2912[[#This Row],[Isobutyrate '[%']]],V$6,V$2,FALSE)</f>
        <v>87.563870952525079</v>
      </c>
      <c r="AZ302">
        <f>_xlfn.NORM.DIST(Table2912[[#This Row],[Isovalerate '[%']]],W$6,W$2,FALSE)</f>
        <v>40.72770658760205</v>
      </c>
      <c r="BA302">
        <f>_xlfn.NORM.DIST(Table2912[[#This Row],[CH4 '[g/mmol SCFA']]],X$6,X$2,FALSE)</f>
        <v>0.28142172275820315</v>
      </c>
      <c r="BB302">
        <f>_xlfn.NORM.DIST(Table2912[[#This Row],[DMD '[mg/g']]],Y$6,Y$2,FALSE)</f>
        <v>2.7718695664933567E-3</v>
      </c>
      <c r="BC302">
        <f>_xlfn.NORM.DIST(Table2912[[#This Row],[CH4 '[ml/g']]],Z$6,Z$2,FALSE)</f>
        <v>3.2696478443263732E-2</v>
      </c>
      <c r="BD302">
        <f>_xlfn.NORM.DIST(Table2912[[#This Row],[CH4 '[% GP']]],AA$6,AA$2,FALSE)</f>
        <v>0.12602371691092817</v>
      </c>
      <c r="BE302">
        <f>_xlfn.NORM.DIST(Table2912[[#This Row],[CH4 '[g/g DDM']]],AB$6,AB$2,FALSE)</f>
        <v>3.2836788418731916E-2</v>
      </c>
      <c r="BG302">
        <f>IF(Table2912[[#This Row],[GP '[ml/g']]]&lt;O$10,_xlfn.NORM.DIST(Table2912[[#This Row],[GP '[ml/g']]],O$6,O$2,FALSE),-100)</f>
        <v>-100</v>
      </c>
      <c r="BH302">
        <f>IF(Table2912[[#This Row],[SCFA '[mmol/g']]]&lt;P$10,_xlfn.NORM.DIST(Table2912[[#This Row],[SCFA '[mmol/g']]],P$6,P$2,FALSE),-100)</f>
        <v>-100</v>
      </c>
      <c r="BI302">
        <f>IF(Table2912[[#This Row],[Acetate '[%']]]&lt;Q$10,_xlfn.NORM.DIST(Table2912[[#This Row],[Acetate '[%']]],Q$6,Q$2,FALSE),-100)</f>
        <v>-100</v>
      </c>
      <c r="BJ302">
        <f>IF(Table2912[[#This Row],[Propionate '[%']]]&lt;R$10,_xlfn.NORM.DIST(Table2912[[#This Row],[Propionate '[%']]],R$6,R$2,FALSE),-100)</f>
        <v>-100</v>
      </c>
      <c r="BK302">
        <f>IF(Table2912[[#This Row],[Butyrate '[%']]]&lt;S$10,_xlfn.NORM.DIST(Table2912[[#This Row],[Butyrate '[%']]],S$6,S$2,FALSE),-100)</f>
        <v>-100</v>
      </c>
      <c r="BL302">
        <f>IF(Table2912[[#This Row],[Valerate '[%']]]&lt;T$10,_xlfn.NORM.DIST(Table2912[[#This Row],[Valerate '[%']]],T$6,T$2,FALSE),-100)</f>
        <v>-100</v>
      </c>
      <c r="BM302">
        <f>IF(Table2912[[#This Row],[Caproate '[%']]]&lt;U$10,_xlfn.NORM.DIST(Table2912[[#This Row],[Caproate '[%']]],U$6,U$2,FALSE),-100)</f>
        <v>-100</v>
      </c>
      <c r="BN302">
        <f>IF(Table2912[[#This Row],[Isobutyrate '[%']]]&lt;V$10,_xlfn.NORM.DIST(Table2912[[#This Row],[Isobutyrate '[%']]],V$6,V$2,FALSE),-100)</f>
        <v>-100</v>
      </c>
      <c r="BO302">
        <f>IF(Table2912[[#This Row],[Isovalerate '[%']]]&lt;W$10,_xlfn.NORM.DIST(Table2912[[#This Row],[Isovalerate '[%']]],W$6,W$2,FALSE),-100)</f>
        <v>-100</v>
      </c>
      <c r="BP302">
        <f>IF(Table2912[[#This Row],[CH4 '[g/mmol SCFA']]]&lt;X$10,_xlfn.NORM.DIST(Table2912[[#This Row],[CH4 '[g/mmol SCFA']]],X$6,X$2,FALSE),-100)</f>
        <v>-100</v>
      </c>
      <c r="BQ302">
        <f>IF(Table2912[[#This Row],[DMD '[mg/g']]]&gt;Y$10,_xlfn.NORM.DIST(Table2912[[#This Row],[DMD '[mg/g']]],Y$6,Y$2,FALSE),-100)</f>
        <v>-100</v>
      </c>
      <c r="BR302">
        <f>IF(Table2912[[#This Row],[CH4 '[ml/g']]]&lt;Z$10,_xlfn.NORM.DIST(Table2912[[#This Row],[CH4 '[ml/g']]],Z$6,Z$2,FALSE),-100)</f>
        <v>-100</v>
      </c>
      <c r="BS302">
        <f>IF(Table2912[[#This Row],[CH4 '[% GP']]]&lt;AA$10,_xlfn.NORM.DIST(Table2912[[#This Row],[CH4 '[% GP']]],AA$6,AA$2,FALSE),-100)</f>
        <v>-100</v>
      </c>
      <c r="BT302">
        <f>IF(Table2912[[#This Row],[CH4 '[g/g DDM']]]&lt;AB$10,_xlfn.NORM.DIST(Table2912[[#This Row],[CH4 '[g/g DDM']]],AB$6,AB$2,FALSE),-100)</f>
        <v>-100</v>
      </c>
    </row>
    <row r="303" spans="1:72" x14ac:dyDescent="0.25">
      <c r="A303" s="12" t="s">
        <v>70</v>
      </c>
      <c r="B303" s="13">
        <v>993</v>
      </c>
      <c r="C303" s="96" t="s">
        <v>228</v>
      </c>
      <c r="D303" s="96"/>
      <c r="E303" s="96"/>
      <c r="F303" s="96" t="s">
        <v>229</v>
      </c>
      <c r="G303" s="15" t="s">
        <v>73</v>
      </c>
      <c r="H303" s="15" t="s">
        <v>74</v>
      </c>
      <c r="I303" t="s">
        <v>75</v>
      </c>
      <c r="J303" s="70">
        <v>2</v>
      </c>
      <c r="K303" s="70"/>
      <c r="L303" s="70"/>
      <c r="M303" t="s">
        <v>229</v>
      </c>
      <c r="N303" t="s">
        <v>85</v>
      </c>
      <c r="O303" s="18">
        <v>239.62872200263382</v>
      </c>
      <c r="P303" s="18">
        <v>6.1092955957086392</v>
      </c>
      <c r="Q303" s="97">
        <v>0.71400944441487935</v>
      </c>
      <c r="R303" s="97">
        <v>0.14155700733462057</v>
      </c>
      <c r="S303" s="97">
        <v>8.967894933956265E-2</v>
      </c>
      <c r="T303" s="97">
        <v>1.4306686013058355E-2</v>
      </c>
      <c r="U303" s="97">
        <v>9.9940197891155991E-4</v>
      </c>
      <c r="V303" s="97">
        <v>1.3378720443606959E-2</v>
      </c>
      <c r="W303" s="97">
        <v>2.6069790475360604E-2</v>
      </c>
      <c r="X303" s="51">
        <f t="shared" si="20"/>
        <v>5.4843652742092663</v>
      </c>
      <c r="Y303" s="18">
        <v>819.90104635032151</v>
      </c>
      <c r="Z303" s="18">
        <v>33.505608614984077</v>
      </c>
      <c r="AA303" s="18">
        <f t="shared" si="21"/>
        <v>13.98230075884468</v>
      </c>
      <c r="AB303" s="18">
        <f t="shared" si="22"/>
        <v>40.86542975415113</v>
      </c>
      <c r="AC303" s="18">
        <f>$CP$15*Table2912[[#This Row],[DMD '[mg/g']]]+$CS$15*Table2912[[#This Row],[CH4 '[ml/g']]]+$CR$15*Table2912[[#This Row],[CH4 '[% GP']]]+$CQ$15*Table2912[[#This Row],[CH4 '[g/g DDM']]]</f>
        <v>23.392931336583608</v>
      </c>
      <c r="AD303" s="18">
        <f>_xlfn.RANK.AVG(Table2912[[#This Row],[Index]],Table2912[Index])</f>
        <v>108</v>
      </c>
      <c r="AE30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5.7747835657372555</v>
      </c>
      <c r="AF303" s="18">
        <f>Table2912[[#This Row],[CH4 '[ml/g']]]/Table2912[[#This Row],[APB]]</f>
        <v>5.8020544378110355</v>
      </c>
      <c r="AG303" s="18">
        <f>Table2912[[#This Row],[Propionate '[%']]]/Table2912[[#This Row],[Acetate '[%']]]</f>
        <v>0.19825649148188024</v>
      </c>
      <c r="AH303" s="51"/>
      <c r="AI303" s="18"/>
      <c r="AJ303" s="18"/>
      <c r="AK303" s="18">
        <f>(Table2912[[#This Row],[DMD '[mg/g']]]-$AK$15)/$AK$15*100</f>
        <v>67.228072678823594</v>
      </c>
      <c r="AL303" s="18">
        <f>(Table2912[[#This Row],[CH4 '[ml/g']]]-AL$15)/AL$15*100</f>
        <v>-14.813811925708787</v>
      </c>
      <c r="AM303" s="18">
        <f>(Table2912[[#This Row],[CH4 '[% GP']]]-AM$15)/AM$15*100</f>
        <v>-9.9215173736090883</v>
      </c>
      <c r="AN303" s="18">
        <f>(Table2912[[#This Row],[CH4 '[g/g DDM']]]-AN$15)/AN$15*100</f>
        <v>-20.208902235387473</v>
      </c>
      <c r="AO303" s="18"/>
      <c r="AP303" s="18"/>
      <c r="AR303">
        <f>_xlfn.NORM.DIST(Table2912[[#This Row],[GP '[ml/g']]],O$6,O$2,FALSE)</f>
        <v>7.1563250998865407E-3</v>
      </c>
      <c r="AS303">
        <f>_xlfn.NORM.DIST(Table2912[[#This Row],[SCFA '[mmol/g']]],P$6,P$2,FALSE)</f>
        <v>0.31218686007774354</v>
      </c>
      <c r="AT303">
        <f>_xlfn.NORM.DIST(Table2912[[#This Row],[Acetate '[%']]],Q$6,Q$2,FALSE)</f>
        <v>4.9916295272567996</v>
      </c>
      <c r="AU303">
        <f>_xlfn.NORM.DIST(Table2912[[#This Row],[Propionate '[%']]],R$6,R$2,FALSE)</f>
        <v>7.4416644710840227</v>
      </c>
      <c r="AV303">
        <f>_xlfn.NORM.DIST(Table2912[[#This Row],[Butyrate '[%']]],S$6,S$2,FALSE)</f>
        <v>22.630020040710786</v>
      </c>
      <c r="AW303">
        <f>_xlfn.NORM.DIST(Table2912[[#This Row],[Valerate '[%']]],T$6,T$2,FALSE)</f>
        <v>62.642267529166432</v>
      </c>
      <c r="AX303">
        <f>_xlfn.NORM.DIST(Table2912[[#This Row],[Caproate '[%']]],U$6,U$2,FALSE)</f>
        <v>384.01866460863437</v>
      </c>
      <c r="AY303">
        <f>_xlfn.NORM.DIST(Table2912[[#This Row],[Isobutyrate '[%']]],V$6,V$2,FALSE)</f>
        <v>81.905412235626343</v>
      </c>
      <c r="AZ303">
        <f>_xlfn.NORM.DIST(Table2912[[#This Row],[Isovalerate '[%']]],W$6,W$2,FALSE)</f>
        <v>44.459015819136489</v>
      </c>
      <c r="BA303">
        <f>_xlfn.NORM.DIST(Table2912[[#This Row],[CH4 '[g/mmol SCFA']]],X$6,X$2,FALSE)</f>
        <v>0.24913214537499639</v>
      </c>
      <c r="BB303">
        <f>_xlfn.NORM.DIST(Table2912[[#This Row],[DMD '[mg/g']]],Y$6,Y$2,FALSE)</f>
        <v>2.7696973680814804E-3</v>
      </c>
      <c r="BC303">
        <f>_xlfn.NORM.DIST(Table2912[[#This Row],[CH4 '[ml/g']]],Z$6,Z$2,FALSE)</f>
        <v>2.6897381394606124E-2</v>
      </c>
      <c r="BD303">
        <f>_xlfn.NORM.DIST(Table2912[[#This Row],[CH4 '[% GP']]],AA$6,AA$2,FALSE)</f>
        <v>0.10511810732173092</v>
      </c>
      <c r="BE303">
        <f>_xlfn.NORM.DIST(Table2912[[#This Row],[CH4 '[g/g DDM']]],AB$6,AB$2,FALSE)</f>
        <v>1.935959680278319E-2</v>
      </c>
      <c r="BG303">
        <f>IF(Table2912[[#This Row],[GP '[ml/g']]]&lt;O$10,_xlfn.NORM.DIST(Table2912[[#This Row],[GP '[ml/g']]],O$6,O$2,FALSE),-100)</f>
        <v>-100</v>
      </c>
      <c r="BH303">
        <f>IF(Table2912[[#This Row],[SCFA '[mmol/g']]]&lt;P$10,_xlfn.NORM.DIST(Table2912[[#This Row],[SCFA '[mmol/g']]],P$6,P$2,FALSE),-100)</f>
        <v>-100</v>
      </c>
      <c r="BI303">
        <f>IF(Table2912[[#This Row],[Acetate '[%']]]&lt;Q$10,_xlfn.NORM.DIST(Table2912[[#This Row],[Acetate '[%']]],Q$6,Q$2,FALSE),-100)</f>
        <v>-100</v>
      </c>
      <c r="BJ303">
        <f>IF(Table2912[[#This Row],[Propionate '[%']]]&lt;R$10,_xlfn.NORM.DIST(Table2912[[#This Row],[Propionate '[%']]],R$6,R$2,FALSE),-100)</f>
        <v>7.4416644710840227</v>
      </c>
      <c r="BK303">
        <f>IF(Table2912[[#This Row],[Butyrate '[%']]]&lt;S$10,_xlfn.NORM.DIST(Table2912[[#This Row],[Butyrate '[%']]],S$6,S$2,FALSE),-100)</f>
        <v>-100</v>
      </c>
      <c r="BL303">
        <f>IF(Table2912[[#This Row],[Valerate '[%']]]&lt;T$10,_xlfn.NORM.DIST(Table2912[[#This Row],[Valerate '[%']]],T$6,T$2,FALSE),-100)</f>
        <v>-100</v>
      </c>
      <c r="BM303">
        <f>IF(Table2912[[#This Row],[Caproate '[%']]]&lt;U$10,_xlfn.NORM.DIST(Table2912[[#This Row],[Caproate '[%']]],U$6,U$2,FALSE),-100)</f>
        <v>-100</v>
      </c>
      <c r="BN303">
        <f>IF(Table2912[[#This Row],[Isobutyrate '[%']]]&lt;V$10,_xlfn.NORM.DIST(Table2912[[#This Row],[Isobutyrate '[%']]],V$6,V$2,FALSE),-100)</f>
        <v>-100</v>
      </c>
      <c r="BO303">
        <f>IF(Table2912[[#This Row],[Isovalerate '[%']]]&lt;W$10,_xlfn.NORM.DIST(Table2912[[#This Row],[Isovalerate '[%']]],W$6,W$2,FALSE),-100)</f>
        <v>-100</v>
      </c>
      <c r="BP303">
        <f>IF(Table2912[[#This Row],[CH4 '[g/mmol SCFA']]]&lt;X$10,_xlfn.NORM.DIST(Table2912[[#This Row],[CH4 '[g/mmol SCFA']]],X$6,X$2,FALSE),-100)</f>
        <v>-100</v>
      </c>
      <c r="BQ303">
        <f>IF(Table2912[[#This Row],[DMD '[mg/g']]]&gt;Y$10,_xlfn.NORM.DIST(Table2912[[#This Row],[DMD '[mg/g']]],Y$6,Y$2,FALSE),-100)</f>
        <v>-100</v>
      </c>
      <c r="BR303">
        <f>IF(Table2912[[#This Row],[CH4 '[ml/g']]]&lt;Z$10,_xlfn.NORM.DIST(Table2912[[#This Row],[CH4 '[ml/g']]],Z$6,Z$2,FALSE),-100)</f>
        <v>-100</v>
      </c>
      <c r="BS303">
        <f>IF(Table2912[[#This Row],[CH4 '[% GP']]]&lt;AA$10,_xlfn.NORM.DIST(Table2912[[#This Row],[CH4 '[% GP']]],AA$6,AA$2,FALSE),-100)</f>
        <v>-100</v>
      </c>
      <c r="BT303">
        <f>IF(Table2912[[#This Row],[CH4 '[g/g DDM']]]&lt;AB$10,_xlfn.NORM.DIST(Table2912[[#This Row],[CH4 '[g/g DDM']]],AB$6,AB$2,FALSE),-100)</f>
        <v>-100</v>
      </c>
    </row>
    <row r="304" spans="1:72" x14ac:dyDescent="0.25">
      <c r="A304" s="12" t="s">
        <v>70</v>
      </c>
      <c r="B304" s="13">
        <v>991</v>
      </c>
      <c r="C304" s="96" t="s">
        <v>399</v>
      </c>
      <c r="D304" s="96"/>
      <c r="E304" s="96"/>
      <c r="F304" s="96" t="s">
        <v>400</v>
      </c>
      <c r="G304" t="s">
        <v>73</v>
      </c>
      <c r="H304" t="s">
        <v>74</v>
      </c>
      <c r="I304" t="s">
        <v>75</v>
      </c>
      <c r="J304" s="70">
        <v>3</v>
      </c>
      <c r="K304" s="70"/>
      <c r="L304" s="70"/>
      <c r="M304" t="s">
        <v>400</v>
      </c>
      <c r="N304" t="s">
        <v>76</v>
      </c>
      <c r="O304" s="18">
        <v>278.6202444444441</v>
      </c>
      <c r="P304" s="18">
        <v>7.6810918635170591</v>
      </c>
      <c r="Q304" s="97">
        <v>0.67204261367299623</v>
      </c>
      <c r="R304" s="97">
        <v>0.13830440595519999</v>
      </c>
      <c r="S304" s="97">
        <v>0.12615993920566362</v>
      </c>
      <c r="T304" s="97">
        <v>1.787051519625512E-2</v>
      </c>
      <c r="U304" s="97">
        <v>1.5731320901703799E-3</v>
      </c>
      <c r="V304" s="97">
        <v>1.4733347195742593E-2</v>
      </c>
      <c r="W304" s="97">
        <v>2.9316046683971961E-2</v>
      </c>
      <c r="X304" s="51">
        <f t="shared" si="20"/>
        <v>6.0750795639838486</v>
      </c>
      <c r="Y304" s="18">
        <v>821.00349956255491</v>
      </c>
      <c r="Z304" s="18">
        <v>46.663244209135101</v>
      </c>
      <c r="AA304" s="18">
        <f t="shared" si="21"/>
        <v>16.747973321959954</v>
      </c>
      <c r="AB304" s="18">
        <f t="shared" si="22"/>
        <v>56.836839592033527</v>
      </c>
      <c r="AC304" s="18">
        <f>$CP$15*Table2912[[#This Row],[DMD '[mg/g']]]+$CS$15*Table2912[[#This Row],[CH4 '[ml/g']]]+$CR$15*Table2912[[#This Row],[CH4 '[% GP']]]+$CQ$15*Table2912[[#This Row],[CH4 '[g/g DDM']]]</f>
        <v>16.283886909194983</v>
      </c>
      <c r="AD304" s="18">
        <f>_xlfn.RANK.AVG(Table2912[[#This Row],[Index]],Table2912[Index])</f>
        <v>248</v>
      </c>
      <c r="AE30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7.1933959816258666</v>
      </c>
      <c r="AF304" s="18">
        <f>Table2912[[#This Row],[CH4 '[ml/g']]]/Table2912[[#This Row],[APB]]</f>
        <v>6.4869561370355946</v>
      </c>
      <c r="AG304" s="18">
        <f>Table2912[[#This Row],[Propionate '[%']]]/Table2912[[#This Row],[Acetate '[%']]]</f>
        <v>0.20579707765748381</v>
      </c>
      <c r="AH304" s="51"/>
      <c r="AI304" s="18"/>
      <c r="AJ304" s="18"/>
      <c r="AK304" s="18">
        <f>(Table2912[[#This Row],[DMD '[mg/g']]]-$AK$15)/$AK$15*100</f>
        <v>67.452930454918686</v>
      </c>
      <c r="AL304" s="18">
        <f>(Table2912[[#This Row],[CH4 '[ml/g']]]-AL$15)/AL$15*100</f>
        <v>18.638761140971209</v>
      </c>
      <c r="AM304" s="18">
        <f>(Table2912[[#This Row],[CH4 '[% GP']]]-AM$15)/AM$15*100</f>
        <v>7.8958355945193111</v>
      </c>
      <c r="AN304" s="18">
        <f>(Table2912[[#This Row],[CH4 '[g/g DDM']]]-AN$15)/AN$15*100</f>
        <v>10.975801595696474</v>
      </c>
      <c r="AO304" s="18"/>
      <c r="AP304" s="18"/>
      <c r="AR304">
        <f>_xlfn.NORM.DIST(Table2912[[#This Row],[GP '[ml/g']]],O$6,O$2,FALSE)</f>
        <v>6.8085278963958672E-3</v>
      </c>
      <c r="AS304">
        <f>_xlfn.NORM.DIST(Table2912[[#This Row],[SCFA '[mmol/g']]],P$6,P$2,FALSE)</f>
        <v>0.21112627884383289</v>
      </c>
      <c r="AT304">
        <f>_xlfn.NORM.DIST(Table2912[[#This Row],[Acetate '[%']]],Q$6,Q$2,FALSE)</f>
        <v>14.016746374304033</v>
      </c>
      <c r="AU304">
        <f>_xlfn.NORM.DIST(Table2912[[#This Row],[Propionate '[%']]],R$6,R$2,FALSE)</f>
        <v>6.1908786846429349</v>
      </c>
      <c r="AV304">
        <f>_xlfn.NORM.DIST(Table2912[[#This Row],[Butyrate '[%']]],S$6,S$2,FALSE)</f>
        <v>3.6545557336619257</v>
      </c>
      <c r="AW304">
        <f>_xlfn.NORM.DIST(Table2912[[#This Row],[Valerate '[%']]],T$6,T$2,FALSE)</f>
        <v>77.330148073391015</v>
      </c>
      <c r="AX304">
        <f>_xlfn.NORM.DIST(Table2912[[#This Row],[Caproate '[%']]],U$6,U$2,FALSE)</f>
        <v>394.89601884758775</v>
      </c>
      <c r="AY304">
        <f>_xlfn.NORM.DIST(Table2912[[#This Row],[Isobutyrate '[%']]],V$6,V$2,FALSE)</f>
        <v>89.375768324022104</v>
      </c>
      <c r="AZ304">
        <f>_xlfn.NORM.DIST(Table2912[[#This Row],[Isovalerate '[%']]],W$6,W$2,FALSE)</f>
        <v>44.839026977951619</v>
      </c>
      <c r="BA304">
        <f>_xlfn.NORM.DIST(Table2912[[#This Row],[CH4 '[g/mmol SCFA']]],X$6,X$2,FALSE)</f>
        <v>0.29386468507227498</v>
      </c>
      <c r="BB304">
        <f>_xlfn.NORM.DIST(Table2912[[#This Row],[DMD '[mg/g']]],Y$6,Y$2,FALSE)</f>
        <v>2.7624543301671819E-3</v>
      </c>
      <c r="BC304">
        <f>_xlfn.NORM.DIST(Table2912[[#This Row],[CH4 '[ml/g']]],Z$6,Z$2,FALSE)</f>
        <v>3.0385105396643505E-2</v>
      </c>
      <c r="BD304">
        <f>_xlfn.NORM.DIST(Table2912[[#This Row],[CH4 '[% GP']]],AA$6,AA$2,FALSE)</f>
        <v>0.1312146212822666</v>
      </c>
      <c r="BE304">
        <f>_xlfn.NORM.DIST(Table2912[[#This Row],[CH4 '[g/g DDM']]],AB$6,AB$2,FALSE)</f>
        <v>3.1528510530906578E-2</v>
      </c>
      <c r="BG304">
        <f>IF(Table2912[[#This Row],[GP '[ml/g']]]&lt;O$10,_xlfn.NORM.DIST(Table2912[[#This Row],[GP '[ml/g']]],O$6,O$2,FALSE),-100)</f>
        <v>-100</v>
      </c>
      <c r="BH304">
        <f>IF(Table2912[[#This Row],[SCFA '[mmol/g']]]&lt;P$10,_xlfn.NORM.DIST(Table2912[[#This Row],[SCFA '[mmol/g']]],P$6,P$2,FALSE),-100)</f>
        <v>-100</v>
      </c>
      <c r="BI304">
        <f>IF(Table2912[[#This Row],[Acetate '[%']]]&lt;Q$10,_xlfn.NORM.DIST(Table2912[[#This Row],[Acetate '[%']]],Q$6,Q$2,FALSE),-100)</f>
        <v>-100</v>
      </c>
      <c r="BJ304">
        <f>IF(Table2912[[#This Row],[Propionate '[%']]]&lt;R$10,_xlfn.NORM.DIST(Table2912[[#This Row],[Propionate '[%']]],R$6,R$2,FALSE),-100)</f>
        <v>6.1908786846429349</v>
      </c>
      <c r="BK304">
        <f>IF(Table2912[[#This Row],[Butyrate '[%']]]&lt;S$10,_xlfn.NORM.DIST(Table2912[[#This Row],[Butyrate '[%']]],S$6,S$2,FALSE),-100)</f>
        <v>-100</v>
      </c>
      <c r="BL304">
        <f>IF(Table2912[[#This Row],[Valerate '[%']]]&lt;T$10,_xlfn.NORM.DIST(Table2912[[#This Row],[Valerate '[%']]],T$6,T$2,FALSE),-100)</f>
        <v>-100</v>
      </c>
      <c r="BM304">
        <f>IF(Table2912[[#This Row],[Caproate '[%']]]&lt;U$10,_xlfn.NORM.DIST(Table2912[[#This Row],[Caproate '[%']]],U$6,U$2,FALSE),-100)</f>
        <v>-100</v>
      </c>
      <c r="BN304">
        <f>IF(Table2912[[#This Row],[Isobutyrate '[%']]]&lt;V$10,_xlfn.NORM.DIST(Table2912[[#This Row],[Isobutyrate '[%']]],V$6,V$2,FALSE),-100)</f>
        <v>-100</v>
      </c>
      <c r="BO304">
        <f>IF(Table2912[[#This Row],[Isovalerate '[%']]]&lt;W$10,_xlfn.NORM.DIST(Table2912[[#This Row],[Isovalerate '[%']]],W$6,W$2,FALSE),-100)</f>
        <v>-100</v>
      </c>
      <c r="BP304">
        <f>IF(Table2912[[#This Row],[CH4 '[g/mmol SCFA']]]&lt;X$10,_xlfn.NORM.DIST(Table2912[[#This Row],[CH4 '[g/mmol SCFA']]],X$6,X$2,FALSE),-100)</f>
        <v>-100</v>
      </c>
      <c r="BQ304">
        <f>IF(Table2912[[#This Row],[DMD '[mg/g']]]&gt;Y$10,_xlfn.NORM.DIST(Table2912[[#This Row],[DMD '[mg/g']]],Y$6,Y$2,FALSE),-100)</f>
        <v>-100</v>
      </c>
      <c r="BR304">
        <f>IF(Table2912[[#This Row],[CH4 '[ml/g']]]&lt;Z$10,_xlfn.NORM.DIST(Table2912[[#This Row],[CH4 '[ml/g']]],Z$6,Z$2,FALSE),-100)</f>
        <v>-100</v>
      </c>
      <c r="BS304">
        <f>IF(Table2912[[#This Row],[CH4 '[% GP']]]&lt;AA$10,_xlfn.NORM.DIST(Table2912[[#This Row],[CH4 '[% GP']]],AA$6,AA$2,FALSE),-100)</f>
        <v>-100</v>
      </c>
      <c r="BT304">
        <f>IF(Table2912[[#This Row],[CH4 '[g/g DDM']]]&lt;AB$10,_xlfn.NORM.DIST(Table2912[[#This Row],[CH4 '[g/g DDM']]],AB$6,AB$2,FALSE),-100)</f>
        <v>-100</v>
      </c>
    </row>
    <row r="305" spans="1:72" x14ac:dyDescent="0.25">
      <c r="A305" s="12" t="s">
        <v>70</v>
      </c>
      <c r="B305" s="13">
        <v>1038</v>
      </c>
      <c r="C305" s="102" t="s">
        <v>372</v>
      </c>
      <c r="D305" t="s">
        <v>373</v>
      </c>
      <c r="E305" t="s">
        <v>374</v>
      </c>
      <c r="F305" t="s">
        <v>375</v>
      </c>
      <c r="G305" s="15" t="s">
        <v>143</v>
      </c>
      <c r="H305" s="15" t="s">
        <v>144</v>
      </c>
      <c r="I305" t="s">
        <v>52</v>
      </c>
      <c r="J305" s="70">
        <v>3</v>
      </c>
      <c r="K305" s="70"/>
      <c r="L305" s="70"/>
      <c r="M305" t="s">
        <v>375</v>
      </c>
      <c r="N305" t="s">
        <v>84</v>
      </c>
      <c r="O305" s="18">
        <v>285.80487483530987</v>
      </c>
      <c r="P305" s="18">
        <v>7.1208757300518641</v>
      </c>
      <c r="Q305" s="97">
        <v>0.66256674688140427</v>
      </c>
      <c r="R305" s="97">
        <v>0.16987624382435063</v>
      </c>
      <c r="S305" s="97">
        <v>9.2469832241971112E-2</v>
      </c>
      <c r="T305" s="97">
        <v>1.8951036494093215E-2</v>
      </c>
      <c r="U305" s="97">
        <v>9.9143461283327894E-4</v>
      </c>
      <c r="V305" s="97">
        <v>2.0003472858799394E-2</v>
      </c>
      <c r="W305" s="97">
        <v>3.514123308654802E-2</v>
      </c>
      <c r="X305" s="51">
        <f t="shared" si="20"/>
        <v>6.5533899225756613</v>
      </c>
      <c r="Y305" s="18">
        <v>821.08714202760507</v>
      </c>
      <c r="Z305" s="18">
        <v>46.665875249235491</v>
      </c>
      <c r="AA305" s="18">
        <f t="shared" si="21"/>
        <v>16.327879388385483</v>
      </c>
      <c r="AB305" s="18">
        <f t="shared" si="22"/>
        <v>56.834254076854826</v>
      </c>
      <c r="AC305" s="18">
        <f>$CP$15*Table2912[[#This Row],[DMD '[mg/g']]]+$CS$15*Table2912[[#This Row],[CH4 '[ml/g']]]+$CR$15*Table2912[[#This Row],[CH4 '[% GP']]]+$CQ$15*Table2912[[#This Row],[CH4 '[g/g DDM']]]</f>
        <v>16.41845432219246</v>
      </c>
      <c r="AD305" s="18">
        <f>_xlfn.RANK.AVG(Table2912[[#This Row],[Index]],Table2912[Index])</f>
        <v>244</v>
      </c>
      <c r="AE30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6.5861892733422192</v>
      </c>
      <c r="AF305" s="18">
        <f>Table2912[[#This Row],[CH4 '[ml/g']]]/Table2912[[#This Row],[APB]]</f>
        <v>7.0854136303244264</v>
      </c>
      <c r="AG305" s="18">
        <f>Table2912[[#This Row],[Propionate '[%']]]/Table2912[[#This Row],[Acetate '[%']]]</f>
        <v>0.25639114040046673</v>
      </c>
      <c r="AH305" s="51"/>
      <c r="AI305" s="18"/>
      <c r="AJ305" s="18"/>
      <c r="AK305" s="18">
        <f>(Table2912[[#This Row],[DMD '[mg/g']]]-$AK$15)/$AK$15*100</f>
        <v>67.469990279743527</v>
      </c>
      <c r="AL305" s="18">
        <f>(Table2912[[#This Row],[CH4 '[ml/g']]]-AL$15)/AL$15*100</f>
        <v>18.645450417366639</v>
      </c>
      <c r="AM305" s="18">
        <f>(Table2912[[#This Row],[CH4 '[% GP']]]-AM$15)/AM$15*100</f>
        <v>5.1894552391258602</v>
      </c>
      <c r="AN305" s="18">
        <f>(Table2912[[#This Row],[CH4 '[g/g DDM']]]-AN$15)/AN$15*100</f>
        <v>10.970753292139243</v>
      </c>
      <c r="AO305" s="18"/>
      <c r="AP305" s="18"/>
      <c r="AR305">
        <f>_xlfn.NORM.DIST(Table2912[[#This Row],[GP '[ml/g']]],O$6,O$2,FALSE)</f>
        <v>6.3641691531856554E-3</v>
      </c>
      <c r="AS305">
        <f>_xlfn.NORM.DIST(Table2912[[#This Row],[SCFA '[mmol/g']]],P$6,P$2,FALSE)</f>
        <v>0.2955934971551753</v>
      </c>
      <c r="AT305">
        <f>_xlfn.NORM.DIST(Table2912[[#This Row],[Acetate '[%']]],Q$6,Q$2,FALSE)</f>
        <v>13.092917862050493</v>
      </c>
      <c r="AU305">
        <f>_xlfn.NORM.DIST(Table2912[[#This Row],[Propionate '[%']]],R$6,R$2,FALSE)</f>
        <v>16.732214591582224</v>
      </c>
      <c r="AV305">
        <f>_xlfn.NORM.DIST(Table2912[[#This Row],[Butyrate '[%']]],S$6,S$2,FALSE)</f>
        <v>23.022213363222683</v>
      </c>
      <c r="AW305">
        <f>_xlfn.NORM.DIST(Table2912[[#This Row],[Valerate '[%']]],T$6,T$2,FALSE)</f>
        <v>75.001891854323773</v>
      </c>
      <c r="AX305">
        <f>_xlfn.NORM.DIST(Table2912[[#This Row],[Caproate '[%']]],U$6,U$2,FALSE)</f>
        <v>382.94540754146254</v>
      </c>
      <c r="AY305">
        <f>_xlfn.NORM.DIST(Table2912[[#This Row],[Isobutyrate '[%']]],V$6,V$2,FALSE)</f>
        <v>51.462970858163366</v>
      </c>
      <c r="AZ305">
        <f>_xlfn.NORM.DIST(Table2912[[#This Row],[Isovalerate '[%']]],W$6,W$2,FALSE)</f>
        <v>32.321290101664488</v>
      </c>
      <c r="BA305">
        <f>_xlfn.NORM.DIST(Table2912[[#This Row],[CH4 '[g/mmol SCFA']]],X$6,X$2,FALSE)</f>
        <v>0.29141456319100362</v>
      </c>
      <c r="BB305">
        <f>_xlfn.NORM.DIST(Table2912[[#This Row],[DMD '[mg/g']]],Y$6,Y$2,FALSE)</f>
        <v>2.761898259137867E-3</v>
      </c>
      <c r="BC305">
        <f>_xlfn.NORM.DIST(Table2912[[#This Row],[CH4 '[ml/g']]],Z$6,Z$2,FALSE)</f>
        <v>3.0382135698742856E-2</v>
      </c>
      <c r="BD305">
        <f>_xlfn.NORM.DIST(Table2912[[#This Row],[CH4 '[% GP']]],AA$6,AA$2,FALSE)</f>
        <v>0.13420017777362928</v>
      </c>
      <c r="BE305">
        <f>_xlfn.NORM.DIST(Table2912[[#This Row],[CH4 '[g/g DDM']]],AB$6,AB$2,FALSE)</f>
        <v>3.1530435044227145E-2</v>
      </c>
      <c r="BG305">
        <f>IF(Table2912[[#This Row],[GP '[ml/g']]]&lt;O$10,_xlfn.NORM.DIST(Table2912[[#This Row],[GP '[ml/g']]],O$6,O$2,FALSE),-100)</f>
        <v>-100</v>
      </c>
      <c r="BH305">
        <f>IF(Table2912[[#This Row],[SCFA '[mmol/g']]]&lt;P$10,_xlfn.NORM.DIST(Table2912[[#This Row],[SCFA '[mmol/g']]],P$6,P$2,FALSE),-100)</f>
        <v>-100</v>
      </c>
      <c r="BI305">
        <f>IF(Table2912[[#This Row],[Acetate '[%']]]&lt;Q$10,_xlfn.NORM.DIST(Table2912[[#This Row],[Acetate '[%']]],Q$6,Q$2,FALSE),-100)</f>
        <v>-100</v>
      </c>
      <c r="BJ305">
        <f>IF(Table2912[[#This Row],[Propionate '[%']]]&lt;R$10,_xlfn.NORM.DIST(Table2912[[#This Row],[Propionate '[%']]],R$6,R$2,FALSE),-100)</f>
        <v>-100</v>
      </c>
      <c r="BK305">
        <f>IF(Table2912[[#This Row],[Butyrate '[%']]]&lt;S$10,_xlfn.NORM.DIST(Table2912[[#This Row],[Butyrate '[%']]],S$6,S$2,FALSE),-100)</f>
        <v>-100</v>
      </c>
      <c r="BL305">
        <f>IF(Table2912[[#This Row],[Valerate '[%']]]&lt;T$10,_xlfn.NORM.DIST(Table2912[[#This Row],[Valerate '[%']]],T$6,T$2,FALSE),-100)</f>
        <v>-100</v>
      </c>
      <c r="BM305">
        <f>IF(Table2912[[#This Row],[Caproate '[%']]]&lt;U$10,_xlfn.NORM.DIST(Table2912[[#This Row],[Caproate '[%']]],U$6,U$2,FALSE),-100)</f>
        <v>-100</v>
      </c>
      <c r="BN305">
        <f>IF(Table2912[[#This Row],[Isobutyrate '[%']]]&lt;V$10,_xlfn.NORM.DIST(Table2912[[#This Row],[Isobutyrate '[%']]],V$6,V$2,FALSE),-100)</f>
        <v>-100</v>
      </c>
      <c r="BO305">
        <f>IF(Table2912[[#This Row],[Isovalerate '[%']]]&lt;W$10,_xlfn.NORM.DIST(Table2912[[#This Row],[Isovalerate '[%']]],W$6,W$2,FALSE),-100)</f>
        <v>-100</v>
      </c>
      <c r="BP305">
        <f>IF(Table2912[[#This Row],[CH4 '[g/mmol SCFA']]]&lt;X$10,_xlfn.NORM.DIST(Table2912[[#This Row],[CH4 '[g/mmol SCFA']]],X$6,X$2,FALSE),-100)</f>
        <v>-100</v>
      </c>
      <c r="BQ305">
        <f>IF(Table2912[[#This Row],[DMD '[mg/g']]]&gt;Y$10,_xlfn.NORM.DIST(Table2912[[#This Row],[DMD '[mg/g']]],Y$6,Y$2,FALSE),-100)</f>
        <v>-100</v>
      </c>
      <c r="BR305">
        <f>IF(Table2912[[#This Row],[CH4 '[ml/g']]]&lt;Z$10,_xlfn.NORM.DIST(Table2912[[#This Row],[CH4 '[ml/g']]],Z$6,Z$2,FALSE),-100)</f>
        <v>-100</v>
      </c>
      <c r="BS305">
        <f>IF(Table2912[[#This Row],[CH4 '[% GP']]]&lt;AA$10,_xlfn.NORM.DIST(Table2912[[#This Row],[CH4 '[% GP']]],AA$6,AA$2,FALSE),-100)</f>
        <v>-100</v>
      </c>
      <c r="BT305">
        <f>IF(Table2912[[#This Row],[CH4 '[g/g DDM']]]&lt;AB$10,_xlfn.NORM.DIST(Table2912[[#This Row],[CH4 '[g/g DDM']]],AB$6,AB$2,FALSE),-100)</f>
        <v>-100</v>
      </c>
    </row>
    <row r="306" spans="1:72" x14ac:dyDescent="0.25">
      <c r="A306" s="12" t="s">
        <v>200</v>
      </c>
      <c r="B306" s="13">
        <v>1191</v>
      </c>
      <c r="C306" s="113" t="s">
        <v>401</v>
      </c>
      <c r="D306" s="113" t="s">
        <v>402</v>
      </c>
      <c r="E306" s="113" t="s">
        <v>403</v>
      </c>
      <c r="F306" s="113" t="s">
        <v>404</v>
      </c>
      <c r="G306" s="121" t="s">
        <v>405</v>
      </c>
      <c r="H306" s="121" t="s">
        <v>405</v>
      </c>
      <c r="I306" s="53" t="s">
        <v>48</v>
      </c>
      <c r="J306" s="100">
        <v>3</v>
      </c>
      <c r="K306" s="100"/>
      <c r="L306" s="100"/>
      <c r="M306" t="s">
        <v>406</v>
      </c>
      <c r="N306" t="s">
        <v>352</v>
      </c>
      <c r="O306" s="18">
        <v>275.85654761904692</v>
      </c>
      <c r="P306" s="18">
        <v>6.6500220458553798</v>
      </c>
      <c r="Q306" s="97">
        <v>0.6886240448208989</v>
      </c>
      <c r="R306" s="97">
        <v>0.15836496543950668</v>
      </c>
      <c r="S306" s="97">
        <v>9.8758474365562177E-2</v>
      </c>
      <c r="T306" s="97">
        <v>1.2846226524557013E-2</v>
      </c>
      <c r="U306" s="97">
        <v>7.790614795537802E-4</v>
      </c>
      <c r="V306" s="97">
        <v>1.4785592335361104E-2</v>
      </c>
      <c r="W306" s="97">
        <v>2.5841635034560495E-2</v>
      </c>
      <c r="X306" s="51">
        <f t="shared" si="20"/>
        <v>6.7985165364954634</v>
      </c>
      <c r="Y306" s="18">
        <v>821.44643467107244</v>
      </c>
      <c r="Z306" s="18">
        <v>45.210284846807191</v>
      </c>
      <c r="AA306" s="18">
        <f t="shared" si="21"/>
        <v>16.389056281978053</v>
      </c>
      <c r="AB306" s="18">
        <f t="shared" si="22"/>
        <v>55.037410765451206</v>
      </c>
      <c r="AC306" s="18">
        <f>$CP$15*Table2912[[#This Row],[DMD '[mg/g']]]+$CS$15*Table2912[[#This Row],[CH4 '[ml/g']]]+$CR$15*Table2912[[#This Row],[CH4 '[% GP']]]+$CQ$15*Table2912[[#This Row],[CH4 '[g/g DDM']]]</f>
        <v>17.146792151764465</v>
      </c>
      <c r="AD306" s="18">
        <f>_xlfn.RANK.AVG(Table2912[[#This Row],[Index]],Table2912[Index])</f>
        <v>228</v>
      </c>
      <c r="AE30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6.2892416225749574</v>
      </c>
      <c r="AF306" s="18">
        <f>Table2912[[#This Row],[CH4 '[ml/g']]]/Table2912[[#This Row],[APB]]</f>
        <v>7.1885113595456174</v>
      </c>
      <c r="AG306" s="18">
        <f>Table2912[[#This Row],[Propionate '[%']]]/Table2912[[#This Row],[Acetate '[%']]]</f>
        <v>0.22997304063161939</v>
      </c>
      <c r="AH306" s="51"/>
      <c r="AI306" s="18"/>
      <c r="AJ306" s="18"/>
      <c r="AK306" s="18">
        <f>(Table2912[[#This Row],[DMD '[mg/g']]]-$AK$15)/$AK$15*100</f>
        <v>67.54327206973781</v>
      </c>
      <c r="AL306" s="18">
        <f>(Table2912[[#This Row],[CH4 '[ml/g']]]-AL$15)/AL$15*100</f>
        <v>14.944690965262916</v>
      </c>
      <c r="AM306" s="18">
        <f>(Table2912[[#This Row],[CH4 '[% GP']]]-AM$15)/AM$15*100</f>
        <v>5.583576481520752</v>
      </c>
      <c r="AN306" s="18">
        <f>(Table2912[[#This Row],[CH4 '[g/g DDM']]]-AN$15)/AN$15*100</f>
        <v>7.4623575358623242</v>
      </c>
      <c r="AO306" s="18"/>
      <c r="AP306" s="18"/>
      <c r="AR306">
        <f>_xlfn.NORM.DIST(Table2912[[#This Row],[GP '[ml/g']]],O$6,O$2,FALSE)</f>
        <v>6.9539195292119471E-3</v>
      </c>
      <c r="AS306">
        <f>_xlfn.NORM.DIST(Table2912[[#This Row],[SCFA '[mmol/g']]],P$6,P$2,FALSE)</f>
        <v>0.33128079642489222</v>
      </c>
      <c r="AT306">
        <f>_xlfn.NORM.DIST(Table2912[[#This Row],[Acetate '[%']]],Q$6,Q$2,FALSE)</f>
        <v>12.091355470781567</v>
      </c>
      <c r="AU306">
        <f>_xlfn.NORM.DIST(Table2912[[#This Row],[Propionate '[%']]],R$6,R$2,FALSE)</f>
        <v>14.287158742624607</v>
      </c>
      <c r="AV306">
        <f>_xlfn.NORM.DIST(Table2912[[#This Row],[Butyrate '[%']]],S$6,S$2,FALSE)</f>
        <v>21.759199352664151</v>
      </c>
      <c r="AW306">
        <f>_xlfn.NORM.DIST(Table2912[[#This Row],[Valerate '[%']]],T$6,T$2,FALSE)</f>
        <v>50.050604893261841</v>
      </c>
      <c r="AX306">
        <f>_xlfn.NORM.DIST(Table2912[[#This Row],[Caproate '[%']]],U$6,U$2,FALSE)</f>
        <v>346.86996010045118</v>
      </c>
      <c r="AY306">
        <f>_xlfn.NORM.DIST(Table2912[[#This Row],[Isobutyrate '[%']]],V$6,V$2,FALSE)</f>
        <v>89.508982923394584</v>
      </c>
      <c r="AZ306">
        <f>_xlfn.NORM.DIST(Table2912[[#This Row],[Isovalerate '[%']]],W$6,W$2,FALSE)</f>
        <v>44.204641577289458</v>
      </c>
      <c r="BA306">
        <f>_xlfn.NORM.DIST(Table2912[[#This Row],[CH4 '[g/mmol SCFA']]],X$6,X$2,FALSE)</f>
        <v>0.2762148830489678</v>
      </c>
      <c r="BB306">
        <f>_xlfn.NORM.DIST(Table2912[[#This Row],[DMD '[mg/g']]],Y$6,Y$2,FALSE)</f>
        <v>2.7594991543898029E-3</v>
      </c>
      <c r="BC306">
        <f>_xlfn.NORM.DIST(Table2912[[#This Row],[CH4 '[ml/g']]],Z$6,Z$2,FALSE)</f>
        <v>3.1831907239466675E-2</v>
      </c>
      <c r="BD306">
        <f>_xlfn.NORM.DIST(Table2912[[#This Row],[CH4 '[% GP']]],AA$6,AA$2,FALSE)</f>
        <v>0.13392877400774619</v>
      </c>
      <c r="BE306">
        <f>_xlfn.NORM.DIST(Table2912[[#This Row],[CH4 '[g/g DDM']]],AB$6,AB$2,FALSE)</f>
        <v>3.2538048762577793E-2</v>
      </c>
      <c r="BG306">
        <f>IF(Table2912[[#This Row],[GP '[ml/g']]]&lt;O$10,_xlfn.NORM.DIST(Table2912[[#This Row],[GP '[ml/g']]],O$6,O$2,FALSE),-100)</f>
        <v>-100</v>
      </c>
      <c r="BH306">
        <f>IF(Table2912[[#This Row],[SCFA '[mmol/g']]]&lt;P$10,_xlfn.NORM.DIST(Table2912[[#This Row],[SCFA '[mmol/g']]],P$6,P$2,FALSE),-100)</f>
        <v>-100</v>
      </c>
      <c r="BI306">
        <f>IF(Table2912[[#This Row],[Acetate '[%']]]&lt;Q$10,_xlfn.NORM.DIST(Table2912[[#This Row],[Acetate '[%']]],Q$6,Q$2,FALSE),-100)</f>
        <v>-100</v>
      </c>
      <c r="BJ306">
        <f>IF(Table2912[[#This Row],[Propionate '[%']]]&lt;R$10,_xlfn.NORM.DIST(Table2912[[#This Row],[Propionate '[%']]],R$6,R$2,FALSE),-100)</f>
        <v>-100</v>
      </c>
      <c r="BK306">
        <f>IF(Table2912[[#This Row],[Butyrate '[%']]]&lt;S$10,_xlfn.NORM.DIST(Table2912[[#This Row],[Butyrate '[%']]],S$6,S$2,FALSE),-100)</f>
        <v>-100</v>
      </c>
      <c r="BL306">
        <f>IF(Table2912[[#This Row],[Valerate '[%']]]&lt;T$10,_xlfn.NORM.DIST(Table2912[[#This Row],[Valerate '[%']]],T$6,T$2,FALSE),-100)</f>
        <v>-100</v>
      </c>
      <c r="BM306">
        <f>IF(Table2912[[#This Row],[Caproate '[%']]]&lt;U$10,_xlfn.NORM.DIST(Table2912[[#This Row],[Caproate '[%']]],U$6,U$2,FALSE),-100)</f>
        <v>-100</v>
      </c>
      <c r="BN306">
        <f>IF(Table2912[[#This Row],[Isobutyrate '[%']]]&lt;V$10,_xlfn.NORM.DIST(Table2912[[#This Row],[Isobutyrate '[%']]],V$6,V$2,FALSE),-100)</f>
        <v>-100</v>
      </c>
      <c r="BO306">
        <f>IF(Table2912[[#This Row],[Isovalerate '[%']]]&lt;W$10,_xlfn.NORM.DIST(Table2912[[#This Row],[Isovalerate '[%']]],W$6,W$2,FALSE),-100)</f>
        <v>-100</v>
      </c>
      <c r="BP306">
        <f>IF(Table2912[[#This Row],[CH4 '[g/mmol SCFA']]]&lt;X$10,_xlfn.NORM.DIST(Table2912[[#This Row],[CH4 '[g/mmol SCFA']]],X$6,X$2,FALSE),-100)</f>
        <v>-100</v>
      </c>
      <c r="BQ306">
        <f>IF(Table2912[[#This Row],[DMD '[mg/g']]]&gt;Y$10,_xlfn.NORM.DIST(Table2912[[#This Row],[DMD '[mg/g']]],Y$6,Y$2,FALSE),-100)</f>
        <v>-100</v>
      </c>
      <c r="BR306">
        <f>IF(Table2912[[#This Row],[CH4 '[ml/g']]]&lt;Z$10,_xlfn.NORM.DIST(Table2912[[#This Row],[CH4 '[ml/g']]],Z$6,Z$2,FALSE),-100)</f>
        <v>-100</v>
      </c>
      <c r="BS306">
        <f>IF(Table2912[[#This Row],[CH4 '[% GP']]]&lt;AA$10,_xlfn.NORM.DIST(Table2912[[#This Row],[CH4 '[% GP']]],AA$6,AA$2,FALSE),-100)</f>
        <v>-100</v>
      </c>
      <c r="BT306">
        <f>IF(Table2912[[#This Row],[CH4 '[g/g DDM']]]&lt;AB$10,_xlfn.NORM.DIST(Table2912[[#This Row],[CH4 '[g/g DDM']]],AB$6,AB$2,FALSE),-100)</f>
        <v>-100</v>
      </c>
    </row>
    <row r="307" spans="1:72" x14ac:dyDescent="0.25">
      <c r="A307" s="12" t="s">
        <v>200</v>
      </c>
      <c r="B307" s="13">
        <v>1137</v>
      </c>
      <c r="C307" s="117" t="s">
        <v>395</v>
      </c>
      <c r="D307" s="117" t="s">
        <v>233</v>
      </c>
      <c r="E307" s="117" t="s">
        <v>396</v>
      </c>
      <c r="F307" s="117" t="s">
        <v>397</v>
      </c>
      <c r="G307" t="s">
        <v>73</v>
      </c>
      <c r="H307" t="s">
        <v>74</v>
      </c>
      <c r="I307" t="s">
        <v>75</v>
      </c>
      <c r="J307" s="100">
        <v>3</v>
      </c>
      <c r="K307" s="100"/>
      <c r="L307" s="100"/>
      <c r="M307" t="s">
        <v>398</v>
      </c>
      <c r="N307" t="s">
        <v>245</v>
      </c>
      <c r="O307" s="18">
        <v>284.62248624862451</v>
      </c>
      <c r="P307" s="18">
        <v>7.3699829625109619</v>
      </c>
      <c r="Q307" s="97">
        <v>0.65672236350973789</v>
      </c>
      <c r="R307" s="97">
        <v>0.17388498640845912</v>
      </c>
      <c r="S307" s="97">
        <v>9.3711969411755414E-2</v>
      </c>
      <c r="T307" s="97">
        <v>2.0796583546572031E-2</v>
      </c>
      <c r="U307" s="97">
        <v>1.353469380668599E-3</v>
      </c>
      <c r="V307" s="97">
        <v>1.8479664590385518E-2</v>
      </c>
      <c r="W307" s="97">
        <v>3.5050963152421427E-2</v>
      </c>
      <c r="X307" s="51">
        <f t="shared" si="20"/>
        <v>7.1195877187298136</v>
      </c>
      <c r="Y307" s="18">
        <v>821.66101301979086</v>
      </c>
      <c r="Z307" s="18">
        <v>52.471240187141014</v>
      </c>
      <c r="AA307" s="18">
        <f t="shared" si="21"/>
        <v>18.435381153021808</v>
      </c>
      <c r="AB307" s="18">
        <f t="shared" si="22"/>
        <v>63.859960927557331</v>
      </c>
      <c r="AC307" s="18">
        <f>$CP$15*Table2912[[#This Row],[DMD '[mg/g']]]+$CS$15*Table2912[[#This Row],[CH4 '[ml/g']]]+$CR$15*Table2912[[#This Row],[CH4 '[% GP']]]+$CQ$15*Table2912[[#This Row],[CH4 '[g/g DDM']]]</f>
        <v>13.038517457920904</v>
      </c>
      <c r="AD307" s="18">
        <f>_xlfn.RANK.AVG(Table2912[[#This Row],[Index]],Table2912[Index])</f>
        <v>300</v>
      </c>
      <c r="AE30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6.8122176353814794</v>
      </c>
      <c r="AF307" s="18">
        <f>Table2912[[#This Row],[CH4 '[ml/g']]]/Table2912[[#This Row],[APB]]</f>
        <v>7.7025196486111183</v>
      </c>
      <c r="AG307" s="18">
        <f>Table2912[[#This Row],[Propionate '[%']]]/Table2912[[#This Row],[Acetate '[%']]]</f>
        <v>0.26477701395634101</v>
      </c>
      <c r="AH307" s="51"/>
      <c r="AI307" s="18"/>
      <c r="AJ307" s="18"/>
      <c r="AK307" s="18">
        <f>(Table2912[[#This Row],[DMD '[mg/g']]]-$AK$15)/$AK$15*100</f>
        <v>67.587037745918494</v>
      </c>
      <c r="AL307" s="18">
        <f>(Table2912[[#This Row],[CH4 '[ml/g']]]-AL$15)/AL$15*100</f>
        <v>33.405275111885203</v>
      </c>
      <c r="AM307" s="18">
        <f>(Table2912[[#This Row],[CH4 '[% GP']]]-AM$15)/AM$15*100</f>
        <v>18.766660047196904</v>
      </c>
      <c r="AN307" s="18">
        <f>(Table2912[[#This Row],[CH4 '[g/g DDM']]]-AN$15)/AN$15*100</f>
        <v>24.688677355643474</v>
      </c>
      <c r="AO307" s="18"/>
      <c r="AP307" s="18"/>
      <c r="AR307">
        <f>_xlfn.NORM.DIST(Table2912[[#This Row],[GP '[ml/g']]],O$6,O$2,FALSE)</f>
        <v>6.4432845547065095E-3</v>
      </c>
      <c r="AS307">
        <f>_xlfn.NORM.DIST(Table2912[[#This Row],[SCFA '[mmol/g']]],P$6,P$2,FALSE)</f>
        <v>0.26146493563342948</v>
      </c>
      <c r="AT307">
        <f>_xlfn.NORM.DIST(Table2912[[#This Row],[Acetate '[%']]],Q$6,Q$2,FALSE)</f>
        <v>11.877842412789358</v>
      </c>
      <c r="AU307">
        <f>_xlfn.NORM.DIST(Table2912[[#This Row],[Propionate '[%']]],R$6,R$2,FALSE)</f>
        <v>16.730654553993208</v>
      </c>
      <c r="AV307">
        <f>_xlfn.NORM.DIST(Table2912[[#This Row],[Butyrate '[%']]],S$6,S$2,FALSE)</f>
        <v>23.006105736477426</v>
      </c>
      <c r="AW307">
        <f>_xlfn.NORM.DIST(Table2912[[#This Row],[Valerate '[%']]],T$6,T$2,FALSE)</f>
        <v>64.307500622548815</v>
      </c>
      <c r="AX307">
        <f>_xlfn.NORM.DIST(Table2912[[#This Row],[Caproate '[%']]],U$6,U$2,FALSE)</f>
        <v>406.82612627292747</v>
      </c>
      <c r="AY307">
        <f>_xlfn.NORM.DIST(Table2912[[#This Row],[Isobutyrate '[%']]],V$6,V$2,FALSE)</f>
        <v>69.842602319973039</v>
      </c>
      <c r="AZ307">
        <f>_xlfn.NORM.DIST(Table2912[[#This Row],[Isovalerate '[%']]],W$6,W$2,FALSE)</f>
        <v>32.594892303320279</v>
      </c>
      <c r="BA307">
        <f>_xlfn.NORM.DIST(Table2912[[#This Row],[CH4 '[g/mmol SCFA']]],X$6,X$2,FALSE)</f>
        <v>0.24481429291880638</v>
      </c>
      <c r="BB307">
        <f>_xlfn.NORM.DIST(Table2912[[#This Row],[DMD '[mg/g']]],Y$6,Y$2,FALSE)</f>
        <v>2.7580582715670638E-3</v>
      </c>
      <c r="BC307">
        <f>_xlfn.NORM.DIST(Table2912[[#This Row],[CH4 '[ml/g']]],Z$6,Z$2,FALSE)</f>
        <v>2.1742592599662835E-2</v>
      </c>
      <c r="BD307">
        <f>_xlfn.NORM.DIST(Table2912[[#This Row],[CH4 '[% GP']]],AA$6,AA$2,FALSE)</f>
        <v>9.7876357499135674E-2</v>
      </c>
      <c r="BE307">
        <f>_xlfn.NORM.DIST(Table2912[[#This Row],[CH4 '[g/g DDM']]],AB$6,AB$2,FALSE)</f>
        <v>2.2596402113813373E-2</v>
      </c>
      <c r="BG307">
        <f>IF(Table2912[[#This Row],[GP '[ml/g']]]&lt;O$10,_xlfn.NORM.DIST(Table2912[[#This Row],[GP '[ml/g']]],O$6,O$2,FALSE),-100)</f>
        <v>-100</v>
      </c>
      <c r="BH307">
        <f>IF(Table2912[[#This Row],[SCFA '[mmol/g']]]&lt;P$10,_xlfn.NORM.DIST(Table2912[[#This Row],[SCFA '[mmol/g']]],P$6,P$2,FALSE),-100)</f>
        <v>-100</v>
      </c>
      <c r="BI307">
        <f>IF(Table2912[[#This Row],[Acetate '[%']]]&lt;Q$10,_xlfn.NORM.DIST(Table2912[[#This Row],[Acetate '[%']]],Q$6,Q$2,FALSE),-100)</f>
        <v>-100</v>
      </c>
      <c r="BJ307">
        <f>IF(Table2912[[#This Row],[Propionate '[%']]]&lt;R$10,_xlfn.NORM.DIST(Table2912[[#This Row],[Propionate '[%']]],R$6,R$2,FALSE),-100)</f>
        <v>-100</v>
      </c>
      <c r="BK307">
        <f>IF(Table2912[[#This Row],[Butyrate '[%']]]&lt;S$10,_xlfn.NORM.DIST(Table2912[[#This Row],[Butyrate '[%']]],S$6,S$2,FALSE),-100)</f>
        <v>-100</v>
      </c>
      <c r="BL307">
        <f>IF(Table2912[[#This Row],[Valerate '[%']]]&lt;T$10,_xlfn.NORM.DIST(Table2912[[#This Row],[Valerate '[%']]],T$6,T$2,FALSE),-100)</f>
        <v>-100</v>
      </c>
      <c r="BM307">
        <f>IF(Table2912[[#This Row],[Caproate '[%']]]&lt;U$10,_xlfn.NORM.DIST(Table2912[[#This Row],[Caproate '[%']]],U$6,U$2,FALSE),-100)</f>
        <v>-100</v>
      </c>
      <c r="BN307">
        <f>IF(Table2912[[#This Row],[Isobutyrate '[%']]]&lt;V$10,_xlfn.NORM.DIST(Table2912[[#This Row],[Isobutyrate '[%']]],V$6,V$2,FALSE),-100)</f>
        <v>-100</v>
      </c>
      <c r="BO307">
        <f>IF(Table2912[[#This Row],[Isovalerate '[%']]]&lt;W$10,_xlfn.NORM.DIST(Table2912[[#This Row],[Isovalerate '[%']]],W$6,W$2,FALSE),-100)</f>
        <v>-100</v>
      </c>
      <c r="BP307">
        <f>IF(Table2912[[#This Row],[CH4 '[g/mmol SCFA']]]&lt;X$10,_xlfn.NORM.DIST(Table2912[[#This Row],[CH4 '[g/mmol SCFA']]],X$6,X$2,FALSE),-100)</f>
        <v>-100</v>
      </c>
      <c r="BQ307">
        <f>IF(Table2912[[#This Row],[DMD '[mg/g']]]&gt;Y$10,_xlfn.NORM.DIST(Table2912[[#This Row],[DMD '[mg/g']]],Y$6,Y$2,FALSE),-100)</f>
        <v>-100</v>
      </c>
      <c r="BR307">
        <f>IF(Table2912[[#This Row],[CH4 '[ml/g']]]&lt;Z$10,_xlfn.NORM.DIST(Table2912[[#This Row],[CH4 '[ml/g']]],Z$6,Z$2,FALSE),-100)</f>
        <v>-100</v>
      </c>
      <c r="BS307">
        <f>IF(Table2912[[#This Row],[CH4 '[% GP']]]&lt;AA$10,_xlfn.NORM.DIST(Table2912[[#This Row],[CH4 '[% GP']]],AA$6,AA$2,FALSE),-100)</f>
        <v>-100</v>
      </c>
      <c r="BT307">
        <f>IF(Table2912[[#This Row],[CH4 '[g/g DDM']]]&lt;AB$10,_xlfn.NORM.DIST(Table2912[[#This Row],[CH4 '[g/g DDM']]],AB$6,AB$2,FALSE),-100)</f>
        <v>-100</v>
      </c>
    </row>
    <row r="308" spans="1:72" x14ac:dyDescent="0.25">
      <c r="A308" s="12" t="s">
        <v>86</v>
      </c>
      <c r="B308" s="13">
        <v>1087</v>
      </c>
      <c r="C308" s="104" t="s">
        <v>338</v>
      </c>
      <c r="D308" s="104" t="s">
        <v>164</v>
      </c>
      <c r="E308" s="104" t="s">
        <v>339</v>
      </c>
      <c r="F308" s="104" t="s">
        <v>340</v>
      </c>
      <c r="G308" s="32" t="s">
        <v>143</v>
      </c>
      <c r="H308" s="32" t="s">
        <v>144</v>
      </c>
      <c r="I308" s="32" t="s">
        <v>52</v>
      </c>
      <c r="J308" s="100">
        <v>2</v>
      </c>
      <c r="K308" s="100"/>
      <c r="L308" s="100"/>
      <c r="M308" t="s">
        <v>341</v>
      </c>
      <c r="N308" t="s">
        <v>124</v>
      </c>
      <c r="O308" s="18">
        <v>262.97793088363898</v>
      </c>
      <c r="P308" s="18">
        <v>5.854813089576675</v>
      </c>
      <c r="Q308" s="97">
        <v>0.65725241629718412</v>
      </c>
      <c r="R308" s="97">
        <v>0.21883876376839698</v>
      </c>
      <c r="S308" s="97">
        <v>7.9210251856479619E-2</v>
      </c>
      <c r="T308" s="97">
        <v>1.5502373959884422E-2</v>
      </c>
      <c r="U308" s="97">
        <v>2.6224118309280771E-4</v>
      </c>
      <c r="V308" s="97">
        <v>1.0687628821654235E-2</v>
      </c>
      <c r="W308" s="97">
        <v>1.8246324113307771E-2</v>
      </c>
      <c r="X308" s="51">
        <f t="shared" si="20"/>
        <v>7.4173215962227399</v>
      </c>
      <c r="Y308" s="18">
        <v>821.92683835312641</v>
      </c>
      <c r="Z308" s="18">
        <v>43.427031571164655</v>
      </c>
      <c r="AA308" s="18">
        <f t="shared" si="21"/>
        <v>16.513565007240096</v>
      </c>
      <c r="AB308" s="18">
        <f t="shared" si="22"/>
        <v>52.835641257533673</v>
      </c>
      <c r="AC308" s="18">
        <f>$CP$15*Table2912[[#This Row],[DMD '[mg/g']]]+$CS$15*Table2912[[#This Row],[CH4 '[ml/g']]]+$CR$15*Table2912[[#This Row],[CH4 '[% GP']]]+$CQ$15*Table2912[[#This Row],[CH4 '[g/g DDM']]]</f>
        <v>18.02673578069367</v>
      </c>
      <c r="AD308" s="18">
        <f>_xlfn.RANK.AVG(Table2912[[#This Row],[Index]],Table2912[Index])</f>
        <v>202</v>
      </c>
      <c r="AE30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5.5931113281086215</v>
      </c>
      <c r="AF308" s="18">
        <f>Table2912[[#This Row],[CH4 '[ml/g']]]/Table2912[[#This Row],[APB]]</f>
        <v>7.7643781830192946</v>
      </c>
      <c r="AG308" s="18">
        <f>Table2912[[#This Row],[Propionate '[%']]]/Table2912[[#This Row],[Acetate '[%']]]</f>
        <v>0.33295999884075977</v>
      </c>
      <c r="AH308" s="51"/>
      <c r="AI308" s="18"/>
      <c r="AJ308" s="18"/>
      <c r="AK308" s="18">
        <f>(Table2912[[#This Row],[DMD '[mg/g']]]-$AK$15)/$AK$15*100</f>
        <v>67.64125582303987</v>
      </c>
      <c r="AL308" s="18">
        <f>(Table2912[[#This Row],[CH4 '[ml/g']]]-AL$15)/AL$15*100</f>
        <v>10.410866474307518</v>
      </c>
      <c r="AM308" s="18">
        <f>(Table2912[[#This Row],[CH4 '[% GP']]]-AM$15)/AM$15*100</f>
        <v>6.3857017711127728</v>
      </c>
      <c r="AN308" s="18">
        <f>(Table2912[[#This Row],[CH4 '[g/g DDM']]]-AN$15)/AN$15*100</f>
        <v>3.1633300420050046</v>
      </c>
      <c r="AO308" s="18"/>
      <c r="AP308" s="18"/>
      <c r="AR308">
        <f>_xlfn.NORM.DIST(Table2912[[#This Row],[GP '[ml/g']]],O$6,O$2,FALSE)</f>
        <v>7.40650724753602E-3</v>
      </c>
      <c r="AS308">
        <f>_xlfn.NORM.DIST(Table2912[[#This Row],[SCFA '[mmol/g']]],P$6,P$2,FALSE)</f>
        <v>0.28295095514713553</v>
      </c>
      <c r="AT308">
        <f>_xlfn.NORM.DIST(Table2912[[#This Row],[Acetate '[%']]],Q$6,Q$2,FALSE)</f>
        <v>12.004111223083468</v>
      </c>
      <c r="AU308">
        <f>_xlfn.NORM.DIST(Table2912[[#This Row],[Propionate '[%']]],R$6,R$2,FALSE)</f>
        <v>2.3788913097151196</v>
      </c>
      <c r="AV308">
        <f>_xlfn.NORM.DIST(Table2912[[#This Row],[Butyrate '[%']]],S$6,S$2,FALSE)</f>
        <v>16.836236676087772</v>
      </c>
      <c r="AW308">
        <f>_xlfn.NORM.DIST(Table2912[[#This Row],[Valerate '[%']]],T$6,T$2,FALSE)</f>
        <v>70.909005503471661</v>
      </c>
      <c r="AX308">
        <f>_xlfn.NORM.DIST(Table2912[[#This Row],[Caproate '[%']]],U$6,U$2,FALSE)</f>
        <v>224.10879865824938</v>
      </c>
      <c r="AY308">
        <f>_xlfn.NORM.DIST(Table2912[[#This Row],[Isobutyrate '[%']]],V$6,V$2,FALSE)</f>
        <v>52.150813366340579</v>
      </c>
      <c r="AZ308">
        <f>_xlfn.NORM.DIST(Table2912[[#This Row],[Isovalerate '[%']]],W$6,W$2,FALSE)</f>
        <v>24.841874326737372</v>
      </c>
      <c r="BA308">
        <f>_xlfn.NORM.DIST(Table2912[[#This Row],[CH4 '[g/mmol SCFA']]],X$6,X$2,FALSE)</f>
        <v>0.20797056490909738</v>
      </c>
      <c r="BB308">
        <f>_xlfn.NORM.DIST(Table2912[[#This Row],[DMD '[mg/g']]],Y$6,Y$2,FALSE)</f>
        <v>2.7562649081343338E-3</v>
      </c>
      <c r="BC308">
        <f>_xlfn.NORM.DIST(Table2912[[#This Row],[CH4 '[ml/g']]],Z$6,Z$2,FALSE)</f>
        <v>3.3023068407014328E-2</v>
      </c>
      <c r="BD308">
        <f>_xlfn.NORM.DIST(Table2912[[#This Row],[CH4 '[% GP']]],AA$6,AA$2,FALSE)</f>
        <v>0.13320240117054286</v>
      </c>
      <c r="BE308">
        <f>_xlfn.NORM.DIST(Table2912[[#This Row],[CH4 '[g/g DDM']]],AB$6,AB$2,FALSE)</f>
        <v>3.282219567164564E-2</v>
      </c>
      <c r="BG308">
        <f>IF(Table2912[[#This Row],[GP '[ml/g']]]&lt;O$10,_xlfn.NORM.DIST(Table2912[[#This Row],[GP '[ml/g']]],O$6,O$2,FALSE),-100)</f>
        <v>-100</v>
      </c>
      <c r="BH308">
        <f>IF(Table2912[[#This Row],[SCFA '[mmol/g']]]&lt;P$10,_xlfn.NORM.DIST(Table2912[[#This Row],[SCFA '[mmol/g']]],P$6,P$2,FALSE),-100)</f>
        <v>-100</v>
      </c>
      <c r="BI308">
        <f>IF(Table2912[[#This Row],[Acetate '[%']]]&lt;Q$10,_xlfn.NORM.DIST(Table2912[[#This Row],[Acetate '[%']]],Q$6,Q$2,FALSE),-100)</f>
        <v>-100</v>
      </c>
      <c r="BJ308">
        <f>IF(Table2912[[#This Row],[Propionate '[%']]]&lt;R$10,_xlfn.NORM.DIST(Table2912[[#This Row],[Propionate '[%']]],R$6,R$2,FALSE),-100)</f>
        <v>-100</v>
      </c>
      <c r="BK308">
        <f>IF(Table2912[[#This Row],[Butyrate '[%']]]&lt;S$10,_xlfn.NORM.DIST(Table2912[[#This Row],[Butyrate '[%']]],S$6,S$2,FALSE),-100)</f>
        <v>-100</v>
      </c>
      <c r="BL308">
        <f>IF(Table2912[[#This Row],[Valerate '[%']]]&lt;T$10,_xlfn.NORM.DIST(Table2912[[#This Row],[Valerate '[%']]],T$6,T$2,FALSE),-100)</f>
        <v>-100</v>
      </c>
      <c r="BM308">
        <f>IF(Table2912[[#This Row],[Caproate '[%']]]&lt;U$10,_xlfn.NORM.DIST(Table2912[[#This Row],[Caproate '[%']]],U$6,U$2,FALSE),-100)</f>
        <v>224.10879865824938</v>
      </c>
      <c r="BN308">
        <f>IF(Table2912[[#This Row],[Isobutyrate '[%']]]&lt;V$10,_xlfn.NORM.DIST(Table2912[[#This Row],[Isobutyrate '[%']]],V$6,V$2,FALSE),-100)</f>
        <v>52.150813366340579</v>
      </c>
      <c r="BO308">
        <f>IF(Table2912[[#This Row],[Isovalerate '[%']]]&lt;W$10,_xlfn.NORM.DIST(Table2912[[#This Row],[Isovalerate '[%']]],W$6,W$2,FALSE),-100)</f>
        <v>24.841874326737372</v>
      </c>
      <c r="BP308">
        <f>IF(Table2912[[#This Row],[CH4 '[g/mmol SCFA']]]&lt;X$10,_xlfn.NORM.DIST(Table2912[[#This Row],[CH4 '[g/mmol SCFA']]],X$6,X$2,FALSE),-100)</f>
        <v>-100</v>
      </c>
      <c r="BQ308">
        <f>IF(Table2912[[#This Row],[DMD '[mg/g']]]&gt;Y$10,_xlfn.NORM.DIST(Table2912[[#This Row],[DMD '[mg/g']]],Y$6,Y$2,FALSE),-100)</f>
        <v>-100</v>
      </c>
      <c r="BR308">
        <f>IF(Table2912[[#This Row],[CH4 '[ml/g']]]&lt;Z$10,_xlfn.NORM.DIST(Table2912[[#This Row],[CH4 '[ml/g']]],Z$6,Z$2,FALSE),-100)</f>
        <v>-100</v>
      </c>
      <c r="BS308">
        <f>IF(Table2912[[#This Row],[CH4 '[% GP']]]&lt;AA$10,_xlfn.NORM.DIST(Table2912[[#This Row],[CH4 '[% GP']]],AA$6,AA$2,FALSE),-100)</f>
        <v>-100</v>
      </c>
      <c r="BT308">
        <f>IF(Table2912[[#This Row],[CH4 '[g/g DDM']]]&lt;AB$10,_xlfn.NORM.DIST(Table2912[[#This Row],[CH4 '[g/g DDM']]],AB$6,AB$2,FALSE),-100)</f>
        <v>-100</v>
      </c>
    </row>
    <row r="309" spans="1:72" x14ac:dyDescent="0.25">
      <c r="A309" s="12" t="s">
        <v>70</v>
      </c>
      <c r="B309" s="13">
        <v>1029</v>
      </c>
      <c r="C309" s="96" t="s">
        <v>368</v>
      </c>
      <c r="D309" s="96"/>
      <c r="E309" s="96"/>
      <c r="F309" s="96" t="s">
        <v>369</v>
      </c>
      <c r="G309" t="s">
        <v>73</v>
      </c>
      <c r="H309" t="s">
        <v>74</v>
      </c>
      <c r="I309" t="s">
        <v>75</v>
      </c>
      <c r="J309" s="70">
        <v>2</v>
      </c>
      <c r="K309" s="70"/>
      <c r="L309" s="70"/>
      <c r="M309" t="s">
        <v>369</v>
      </c>
      <c r="N309" t="s">
        <v>80</v>
      </c>
      <c r="O309" s="18">
        <v>238.33675213675215</v>
      </c>
      <c r="P309" s="18">
        <v>6.3036737598809189</v>
      </c>
      <c r="Q309" s="97">
        <v>0.65175797512556843</v>
      </c>
      <c r="R309" s="97">
        <v>0.17302578050869813</v>
      </c>
      <c r="S309" s="97">
        <v>9.0910955467959742E-2</v>
      </c>
      <c r="T309" s="97">
        <v>2.2390859477210784E-2</v>
      </c>
      <c r="U309" s="97">
        <v>2.8042334622879151E-3</v>
      </c>
      <c r="V309" s="97">
        <v>2.0327925508741088E-2</v>
      </c>
      <c r="W309" s="97">
        <v>3.8782270449534022E-2</v>
      </c>
      <c r="X309" s="51">
        <f t="shared" si="20"/>
        <v>5.1853809801203239</v>
      </c>
      <c r="Y309" s="18">
        <v>823.77930100702395</v>
      </c>
      <c r="Z309" s="18">
        <v>32.686950019370087</v>
      </c>
      <c r="AA309" s="18">
        <f t="shared" si="21"/>
        <v>13.714607472965422</v>
      </c>
      <c r="AB309" s="18">
        <f t="shared" si="22"/>
        <v>39.679256300094117</v>
      </c>
      <c r="AC309" s="18">
        <f>$CP$15*Table2912[[#This Row],[DMD '[mg/g']]]+$CS$15*Table2912[[#This Row],[CH4 '[ml/g']]]+$CR$15*Table2912[[#This Row],[CH4 '[% GP']]]+$CQ$15*Table2912[[#This Row],[CH4 '[g/g DDM']]]</f>
        <v>24.245179358402893</v>
      </c>
      <c r="AD309" s="18">
        <f>_xlfn.RANK.AVG(Table2912[[#This Row],[Index]],Table2912[Index])</f>
        <v>99</v>
      </c>
      <c r="AE30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5.7722407224368428</v>
      </c>
      <c r="AF309" s="18">
        <f>Table2912[[#This Row],[CH4 '[ml/g']]]/Table2912[[#This Row],[APB]]</f>
        <v>5.662783586331579</v>
      </c>
      <c r="AG309" s="18">
        <f>Table2912[[#This Row],[Propionate '[%']]]/Table2912[[#This Row],[Acetate '[%']]]</f>
        <v>0.26547550948703436</v>
      </c>
      <c r="AH309" s="51"/>
      <c r="AI309" s="18"/>
      <c r="AJ309" s="18"/>
      <c r="AK309" s="18">
        <f>(Table2912[[#This Row],[DMD '[mg/g']]]-$AK$15)/$AK$15*100</f>
        <v>68.019086490166998</v>
      </c>
      <c r="AL309" s="18">
        <f>(Table2912[[#This Row],[CH4 '[ml/g']]]-AL$15)/AL$15*100</f>
        <v>-16.895206891428664</v>
      </c>
      <c r="AM309" s="18">
        <f>(Table2912[[#This Row],[CH4 '[% GP']]]-AM$15)/AM$15*100</f>
        <v>-11.646083696216829</v>
      </c>
      <c r="AN309" s="18">
        <f>(Table2912[[#This Row],[CH4 '[g/g DDM']]]-AN$15)/AN$15*100</f>
        <v>-22.524944978797922</v>
      </c>
      <c r="AO309" s="18"/>
      <c r="AP309" s="18"/>
      <c r="AR309">
        <f>_xlfn.NORM.DIST(Table2912[[#This Row],[GP '[ml/g']]],O$6,O$2,FALSE)</f>
        <v>7.1028746349170203E-3</v>
      </c>
      <c r="AS309">
        <f>_xlfn.NORM.DIST(Table2912[[#This Row],[SCFA '[mmol/g']]],P$6,P$2,FALSE)</f>
        <v>0.32647681337985096</v>
      </c>
      <c r="AT309">
        <f>_xlfn.NORM.DIST(Table2912[[#This Row],[Acetate '[%']]],Q$6,Q$2,FALSE)</f>
        <v>10.577989066404689</v>
      </c>
      <c r="AU309">
        <f>_xlfn.NORM.DIST(Table2912[[#This Row],[Propionate '[%']]],R$6,R$2,FALSE)</f>
        <v>16.771139628744439</v>
      </c>
      <c r="AV309">
        <f>_xlfn.NORM.DIST(Table2912[[#This Row],[Butyrate '[%']]],S$6,S$2,FALSE)</f>
        <v>22.875405900210385</v>
      </c>
      <c r="AW309">
        <f>_xlfn.NORM.DIST(Table2912[[#This Row],[Valerate '[%']]],T$6,T$2,FALSE)</f>
        <v>50.784160355171416</v>
      </c>
      <c r="AX309">
        <f>_xlfn.NORM.DIST(Table2912[[#This Row],[Caproate '[%']]],U$6,U$2,FALSE)</f>
        <v>131.99285680081323</v>
      </c>
      <c r="AY309">
        <f>_xlfn.NORM.DIST(Table2912[[#This Row],[Isobutyrate '[%']]],V$6,V$2,FALSE)</f>
        <v>47.490344724301259</v>
      </c>
      <c r="AZ309">
        <f>_xlfn.NORM.DIST(Table2912[[#This Row],[Isovalerate '[%']]],W$6,W$2,FALSE)</f>
        <v>21.065482661132126</v>
      </c>
      <c r="BA309">
        <f>_xlfn.NORM.DIST(Table2912[[#This Row],[CH4 '[g/mmol SCFA']]],X$6,X$2,FALSE)</f>
        <v>0.21282805284391312</v>
      </c>
      <c r="BB309">
        <f>_xlfn.NORM.DIST(Table2912[[#This Row],[DMD '[mg/g']]],Y$6,Y$2,FALSE)</f>
        <v>2.7435121829696152E-3</v>
      </c>
      <c r="BC309">
        <f>_xlfn.NORM.DIST(Table2912[[#This Row],[CH4 '[ml/g']]],Z$6,Z$2,FALSE)</f>
        <v>2.5638331814514172E-2</v>
      </c>
      <c r="BD309">
        <f>_xlfn.NORM.DIST(Table2912[[#This Row],[CH4 '[% GP']]],AA$6,AA$2,FALSE)</f>
        <v>9.8231186647335308E-2</v>
      </c>
      <c r="BE309">
        <f>_xlfn.NORM.DIST(Table2912[[#This Row],[CH4 '[g/g DDM']]],AB$6,AB$2,FALSE)</f>
        <v>1.7425977780239681E-2</v>
      </c>
      <c r="BG309">
        <f>IF(Table2912[[#This Row],[GP '[ml/g']]]&lt;O$10,_xlfn.NORM.DIST(Table2912[[#This Row],[GP '[ml/g']]],O$6,O$2,FALSE),-100)</f>
        <v>-100</v>
      </c>
      <c r="BH309">
        <f>IF(Table2912[[#This Row],[SCFA '[mmol/g']]]&lt;P$10,_xlfn.NORM.DIST(Table2912[[#This Row],[SCFA '[mmol/g']]],P$6,P$2,FALSE),-100)</f>
        <v>-100</v>
      </c>
      <c r="BI309">
        <f>IF(Table2912[[#This Row],[Acetate '[%']]]&lt;Q$10,_xlfn.NORM.DIST(Table2912[[#This Row],[Acetate '[%']]],Q$6,Q$2,FALSE),-100)</f>
        <v>-100</v>
      </c>
      <c r="BJ309">
        <f>IF(Table2912[[#This Row],[Propionate '[%']]]&lt;R$10,_xlfn.NORM.DIST(Table2912[[#This Row],[Propionate '[%']]],R$6,R$2,FALSE),-100)</f>
        <v>-100</v>
      </c>
      <c r="BK309">
        <f>IF(Table2912[[#This Row],[Butyrate '[%']]]&lt;S$10,_xlfn.NORM.DIST(Table2912[[#This Row],[Butyrate '[%']]],S$6,S$2,FALSE),-100)</f>
        <v>-100</v>
      </c>
      <c r="BL309">
        <f>IF(Table2912[[#This Row],[Valerate '[%']]]&lt;T$10,_xlfn.NORM.DIST(Table2912[[#This Row],[Valerate '[%']]],T$6,T$2,FALSE),-100)</f>
        <v>-100</v>
      </c>
      <c r="BM309">
        <f>IF(Table2912[[#This Row],[Caproate '[%']]]&lt;U$10,_xlfn.NORM.DIST(Table2912[[#This Row],[Caproate '[%']]],U$6,U$2,FALSE),-100)</f>
        <v>-100</v>
      </c>
      <c r="BN309">
        <f>IF(Table2912[[#This Row],[Isobutyrate '[%']]]&lt;V$10,_xlfn.NORM.DIST(Table2912[[#This Row],[Isobutyrate '[%']]],V$6,V$2,FALSE),-100)</f>
        <v>-100</v>
      </c>
      <c r="BO309">
        <f>IF(Table2912[[#This Row],[Isovalerate '[%']]]&lt;W$10,_xlfn.NORM.DIST(Table2912[[#This Row],[Isovalerate '[%']]],W$6,W$2,FALSE),-100)</f>
        <v>-100</v>
      </c>
      <c r="BP309">
        <f>IF(Table2912[[#This Row],[CH4 '[g/mmol SCFA']]]&lt;X$10,_xlfn.NORM.DIST(Table2912[[#This Row],[CH4 '[g/mmol SCFA']]],X$6,X$2,FALSE),-100)</f>
        <v>-100</v>
      </c>
      <c r="BQ309">
        <f>IF(Table2912[[#This Row],[DMD '[mg/g']]]&gt;Y$10,_xlfn.NORM.DIST(Table2912[[#This Row],[DMD '[mg/g']]],Y$6,Y$2,FALSE),-100)</f>
        <v>-100</v>
      </c>
      <c r="BR309">
        <f>IF(Table2912[[#This Row],[CH4 '[ml/g']]]&lt;Z$10,_xlfn.NORM.DIST(Table2912[[#This Row],[CH4 '[ml/g']]],Z$6,Z$2,FALSE),-100)</f>
        <v>-100</v>
      </c>
      <c r="BS309">
        <f>IF(Table2912[[#This Row],[CH4 '[% GP']]]&lt;AA$10,_xlfn.NORM.DIST(Table2912[[#This Row],[CH4 '[% GP']]],AA$6,AA$2,FALSE),-100)</f>
        <v>-100</v>
      </c>
      <c r="BT309">
        <f>IF(Table2912[[#This Row],[CH4 '[g/g DDM']]]&lt;AB$10,_xlfn.NORM.DIST(Table2912[[#This Row],[CH4 '[g/g DDM']]],AB$6,AB$2,FALSE),-100)</f>
        <v>-100</v>
      </c>
    </row>
    <row r="310" spans="1:72" x14ac:dyDescent="0.25">
      <c r="A310" s="12" t="s">
        <v>70</v>
      </c>
      <c r="B310" s="13">
        <v>1037</v>
      </c>
      <c r="C310" s="96" t="s">
        <v>272</v>
      </c>
      <c r="D310" s="96"/>
      <c r="E310" s="96"/>
      <c r="F310" s="96" t="s">
        <v>273</v>
      </c>
      <c r="G310" t="s">
        <v>73</v>
      </c>
      <c r="H310" t="s">
        <v>74</v>
      </c>
      <c r="I310" s="99" t="s">
        <v>274</v>
      </c>
      <c r="J310" s="107">
        <v>3</v>
      </c>
      <c r="K310" s="107"/>
      <c r="L310" s="107"/>
      <c r="M310" t="s">
        <v>273</v>
      </c>
      <c r="N310" t="s">
        <v>84</v>
      </c>
      <c r="O310" s="18">
        <v>248.18227461252968</v>
      </c>
      <c r="P310" s="18">
        <v>7.4183046262855203</v>
      </c>
      <c r="Q310" s="97">
        <v>0.64543048674083858</v>
      </c>
      <c r="R310" s="97">
        <v>0.18778507148404364</v>
      </c>
      <c r="S310" s="97">
        <v>9.9666589145877019E-2</v>
      </c>
      <c r="T310" s="97">
        <v>1.7760980004938323E-2</v>
      </c>
      <c r="U310" s="97">
        <v>1.772803990058918E-3</v>
      </c>
      <c r="V310" s="97">
        <v>1.7075846063588217E-2</v>
      </c>
      <c r="W310" s="97">
        <v>3.0508222570655386E-2</v>
      </c>
      <c r="X310" s="51">
        <f t="shared" si="20"/>
        <v>5.5482913600003716</v>
      </c>
      <c r="Y310" s="18">
        <v>824.41055457301945</v>
      </c>
      <c r="Z310" s="18">
        <v>41.158915463870741</v>
      </c>
      <c r="AA310" s="18">
        <f t="shared" si="21"/>
        <v>16.584147892160868</v>
      </c>
      <c r="AB310" s="18">
        <f t="shared" si="22"/>
        <v>49.92526507037244</v>
      </c>
      <c r="AC310" s="18">
        <f>$CP$15*Table2912[[#This Row],[DMD '[mg/g']]]+$CS$15*Table2912[[#This Row],[CH4 '[ml/g']]]+$CR$15*Table2912[[#This Row],[CH4 '[% GP']]]+$CQ$15*Table2912[[#This Row],[CH4 '[g/g DDM']]]</f>
        <v>19.369633990287404</v>
      </c>
      <c r="AD310" s="18">
        <f>_xlfn.RANK.AVG(Table2912[[#This Row],[Index]],Table2912[Index])</f>
        <v>174</v>
      </c>
      <c r="AE31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6.9204039496196739</v>
      </c>
      <c r="AF310" s="18">
        <f>Table2912[[#This Row],[CH4 '[ml/g']]]/Table2912[[#This Row],[APB]]</f>
        <v>5.9474729746278356</v>
      </c>
      <c r="AG310" s="18">
        <f>Table2912[[#This Row],[Propionate '[%']]]/Table2912[[#This Row],[Acetate '[%']]]</f>
        <v>0.29094546251182196</v>
      </c>
      <c r="AH310" s="51"/>
      <c r="AI310" s="18"/>
      <c r="AJ310" s="18"/>
      <c r="AK310" s="18">
        <f>(Table2912[[#This Row],[DMD '[mg/g']]]-$AK$15)/$AK$15*100</f>
        <v>68.14783777995126</v>
      </c>
      <c r="AL310" s="18">
        <f>(Table2912[[#This Row],[CH4 '[ml/g']]]-AL$15)/AL$15*100</f>
        <v>4.6443045977427095</v>
      </c>
      <c r="AM310" s="18">
        <f>(Table2912[[#This Row],[CH4 '[% GP']]]-AM$15)/AM$15*100</f>
        <v>6.8404194375908318</v>
      </c>
      <c r="AN310" s="18">
        <f>(Table2912[[#This Row],[CH4 '[g/g DDM']]]-AN$15)/AN$15*100</f>
        <v>-2.5192753356612605</v>
      </c>
      <c r="AO310" s="18"/>
      <c r="AP310" s="18"/>
      <c r="AR310">
        <f>_xlfn.NORM.DIST(Table2912[[#This Row],[GP '[ml/g']]],O$6,O$2,FALSE)</f>
        <v>7.4099885008680295E-3</v>
      </c>
      <c r="AS310">
        <f>_xlfn.NORM.DIST(Table2912[[#This Row],[SCFA '[mmol/g']]],P$6,P$2,FALSE)</f>
        <v>0.25404278438585709</v>
      </c>
      <c r="AT310">
        <f>_xlfn.NORM.DIST(Table2912[[#This Row],[Acetate '[%']]],Q$6,Q$2,FALSE)</f>
        <v>8.7310760812811292</v>
      </c>
      <c r="AU310">
        <f>_xlfn.NORM.DIST(Table2912[[#This Row],[Propionate '[%']]],R$6,R$2,FALSE)</f>
        <v>13.415729296824802</v>
      </c>
      <c r="AV310">
        <f>_xlfn.NORM.DIST(Table2912[[#This Row],[Butyrate '[%']]],S$6,S$2,FALSE)</f>
        <v>21.348876393575168</v>
      </c>
      <c r="AW310">
        <f>_xlfn.NORM.DIST(Table2912[[#This Row],[Valerate '[%']]],T$6,T$2,FALSE)</f>
        <v>77.380119682008399</v>
      </c>
      <c r="AX310">
        <f>_xlfn.NORM.DIST(Table2912[[#This Row],[Caproate '[%']]],U$6,U$2,FALSE)</f>
        <v>367.9743470677559</v>
      </c>
      <c r="AY310">
        <f>_xlfn.NORM.DIST(Table2912[[#This Row],[Isobutyrate '[%']]],V$6,V$2,FALSE)</f>
        <v>83.314909589191771</v>
      </c>
      <c r="AZ310">
        <f>_xlfn.NORM.DIST(Table2912[[#This Row],[Isovalerate '[%']]],W$6,W$2,FALSE)</f>
        <v>43.46238959380733</v>
      </c>
      <c r="BA310">
        <f>_xlfn.NORM.DIST(Table2912[[#This Row],[CH4 '[g/mmol SCFA']]],X$6,X$2,FALSE)</f>
        <v>0.25600880505035351</v>
      </c>
      <c r="BB310">
        <f>_xlfn.NORM.DIST(Table2912[[#This Row],[DMD '[mg/g']]],Y$6,Y$2,FALSE)</f>
        <v>2.7390652742598173E-3</v>
      </c>
      <c r="BC310">
        <f>_xlfn.NORM.DIST(Table2912[[#This Row],[CH4 '[ml/g']]],Z$6,Z$2,FALSE)</f>
        <v>3.3499266317800494E-2</v>
      </c>
      <c r="BD310">
        <f>_xlfn.NORM.DIST(Table2912[[#This Row],[CH4 '[% GP']]],AA$6,AA$2,FALSE)</f>
        <v>0.13268816192902544</v>
      </c>
      <c r="BE310">
        <f>_xlfn.NORM.DIST(Table2912[[#This Row],[CH4 '[g/g DDM']]],AB$6,AB$2,FALSE)</f>
        <v>3.1568248969080247E-2</v>
      </c>
      <c r="BG310">
        <f>IF(Table2912[[#This Row],[GP '[ml/g']]]&lt;O$10,_xlfn.NORM.DIST(Table2912[[#This Row],[GP '[ml/g']]],O$6,O$2,FALSE),-100)</f>
        <v>-100</v>
      </c>
      <c r="BH310">
        <f>IF(Table2912[[#This Row],[SCFA '[mmol/g']]]&lt;P$10,_xlfn.NORM.DIST(Table2912[[#This Row],[SCFA '[mmol/g']]],P$6,P$2,FALSE),-100)</f>
        <v>-100</v>
      </c>
      <c r="BI310">
        <f>IF(Table2912[[#This Row],[Acetate '[%']]]&lt;Q$10,_xlfn.NORM.DIST(Table2912[[#This Row],[Acetate '[%']]],Q$6,Q$2,FALSE),-100)</f>
        <v>-100</v>
      </c>
      <c r="BJ310">
        <f>IF(Table2912[[#This Row],[Propionate '[%']]]&lt;R$10,_xlfn.NORM.DIST(Table2912[[#This Row],[Propionate '[%']]],R$6,R$2,FALSE),-100)</f>
        <v>-100</v>
      </c>
      <c r="BK310">
        <f>IF(Table2912[[#This Row],[Butyrate '[%']]]&lt;S$10,_xlfn.NORM.DIST(Table2912[[#This Row],[Butyrate '[%']]],S$6,S$2,FALSE),-100)</f>
        <v>-100</v>
      </c>
      <c r="BL310">
        <f>IF(Table2912[[#This Row],[Valerate '[%']]]&lt;T$10,_xlfn.NORM.DIST(Table2912[[#This Row],[Valerate '[%']]],T$6,T$2,FALSE),-100)</f>
        <v>-100</v>
      </c>
      <c r="BM310">
        <f>IF(Table2912[[#This Row],[Caproate '[%']]]&lt;U$10,_xlfn.NORM.DIST(Table2912[[#This Row],[Caproate '[%']]],U$6,U$2,FALSE),-100)</f>
        <v>-100</v>
      </c>
      <c r="BN310">
        <f>IF(Table2912[[#This Row],[Isobutyrate '[%']]]&lt;V$10,_xlfn.NORM.DIST(Table2912[[#This Row],[Isobutyrate '[%']]],V$6,V$2,FALSE),-100)</f>
        <v>-100</v>
      </c>
      <c r="BO310">
        <f>IF(Table2912[[#This Row],[Isovalerate '[%']]]&lt;W$10,_xlfn.NORM.DIST(Table2912[[#This Row],[Isovalerate '[%']]],W$6,W$2,FALSE),-100)</f>
        <v>-100</v>
      </c>
      <c r="BP310">
        <f>IF(Table2912[[#This Row],[CH4 '[g/mmol SCFA']]]&lt;X$10,_xlfn.NORM.DIST(Table2912[[#This Row],[CH4 '[g/mmol SCFA']]],X$6,X$2,FALSE),-100)</f>
        <v>-100</v>
      </c>
      <c r="BQ310">
        <f>IF(Table2912[[#This Row],[DMD '[mg/g']]]&gt;Y$10,_xlfn.NORM.DIST(Table2912[[#This Row],[DMD '[mg/g']]],Y$6,Y$2,FALSE),-100)</f>
        <v>-100</v>
      </c>
      <c r="BR310">
        <f>IF(Table2912[[#This Row],[CH4 '[ml/g']]]&lt;Z$10,_xlfn.NORM.DIST(Table2912[[#This Row],[CH4 '[ml/g']]],Z$6,Z$2,FALSE),-100)</f>
        <v>-100</v>
      </c>
      <c r="BS310">
        <f>IF(Table2912[[#This Row],[CH4 '[% GP']]]&lt;AA$10,_xlfn.NORM.DIST(Table2912[[#This Row],[CH4 '[% GP']]],AA$6,AA$2,FALSE),-100)</f>
        <v>-100</v>
      </c>
      <c r="BT310">
        <f>IF(Table2912[[#This Row],[CH4 '[g/g DDM']]]&lt;AB$10,_xlfn.NORM.DIST(Table2912[[#This Row],[CH4 '[g/g DDM']]],AB$6,AB$2,FALSE),-100)</f>
        <v>-100</v>
      </c>
    </row>
    <row r="311" spans="1:72" x14ac:dyDescent="0.25">
      <c r="A311" s="12" t="s">
        <v>86</v>
      </c>
      <c r="B311" s="13">
        <v>1072</v>
      </c>
      <c r="C311" s="32">
        <v>17488</v>
      </c>
      <c r="D311" s="104" t="s">
        <v>161</v>
      </c>
      <c r="E311" t="s">
        <v>242</v>
      </c>
      <c r="F311" t="s">
        <v>147</v>
      </c>
      <c r="G311" s="32" t="s">
        <v>73</v>
      </c>
      <c r="H311" s="32" t="s">
        <v>74</v>
      </c>
      <c r="I311" s="105" t="s">
        <v>44</v>
      </c>
      <c r="J311" s="70">
        <v>3</v>
      </c>
      <c r="K311" s="70"/>
      <c r="L311" s="70"/>
      <c r="M311" t="s">
        <v>147</v>
      </c>
      <c r="N311" t="s">
        <v>98</v>
      </c>
      <c r="O311" s="18">
        <v>231.34166114424502</v>
      </c>
      <c r="P311" s="18">
        <v>6.9337166221592312</v>
      </c>
      <c r="Q311" s="97">
        <v>0.66789596946223562</v>
      </c>
      <c r="R311" s="97">
        <v>0.16547103638829219</v>
      </c>
      <c r="S311" s="97">
        <v>7.9128470252461031E-2</v>
      </c>
      <c r="T311" s="97">
        <v>2.3043912818750914E-2</v>
      </c>
      <c r="U311" s="97">
        <v>7.3319505176605636E-4</v>
      </c>
      <c r="V311" s="97">
        <v>2.3439554404224468E-2</v>
      </c>
      <c r="W311" s="97">
        <v>4.0287861622269952E-2</v>
      </c>
      <c r="X311" s="51">
        <f t="shared" si="20"/>
        <v>6.5259936069286928</v>
      </c>
      <c r="Y311" s="18">
        <v>825.03242371950898</v>
      </c>
      <c r="Z311" s="18">
        <v>45.249390348466356</v>
      </c>
      <c r="AA311" s="18">
        <f t="shared" si="21"/>
        <v>19.55955106601084</v>
      </c>
      <c r="AB311" s="18">
        <f t="shared" si="22"/>
        <v>54.845590364155257</v>
      </c>
      <c r="AC311" s="18">
        <f>$CP$15*Table2912[[#This Row],[DMD '[mg/g']]]+$CS$15*Table2912[[#This Row],[CH4 '[ml/g']]]+$CR$15*Table2912[[#This Row],[CH4 '[% GP']]]+$CQ$15*Table2912[[#This Row],[CH4 '[g/g DDM']]]</f>
        <v>16.578311408908299</v>
      </c>
      <c r="AD311" s="18">
        <f>_xlfn.RANK.AVG(Table2912[[#This Row],[Index]],Table2912[Index])</f>
        <v>241</v>
      </c>
      <c r="AE31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6.3269850503003955</v>
      </c>
      <c r="AF311" s="18">
        <f>Table2912[[#This Row],[CH4 '[ml/g']]]/Table2912[[#This Row],[APB]]</f>
        <v>7.1518092723038729</v>
      </c>
      <c r="AG311" s="18">
        <f>Table2912[[#This Row],[Propionate '[%']]]/Table2912[[#This Row],[Acetate '[%']]]</f>
        <v>0.24774971545572158</v>
      </c>
      <c r="AH311" s="51"/>
      <c r="AI311" s="18"/>
      <c r="AJ311" s="18"/>
      <c r="AK311" s="18">
        <f>(Table2912[[#This Row],[DMD '[mg/g']]]-$AK$15)/$AK$15*100</f>
        <v>68.274675011454718</v>
      </c>
      <c r="AL311" s="18">
        <f>(Table2912[[#This Row],[CH4 '[ml/g']]]-AL$15)/AL$15*100</f>
        <v>15.044114576914231</v>
      </c>
      <c r="AM311" s="18">
        <f>(Table2912[[#This Row],[CH4 '[% GP']]]-AM$15)/AM$15*100</f>
        <v>26.00892451588518</v>
      </c>
      <c r="AN311" s="18">
        <f>(Table2912[[#This Row],[CH4 '[g/g DDM']]]-AN$15)/AN$15*100</f>
        <v>7.0878218834751729</v>
      </c>
      <c r="AO311" s="18"/>
      <c r="AP311" s="18"/>
      <c r="AR311">
        <f>_xlfn.NORM.DIST(Table2912[[#This Row],[GP '[ml/g']]],O$6,O$2,FALSE)</f>
        <v>6.751195665293158E-3</v>
      </c>
      <c r="AS311">
        <f>_xlfn.NORM.DIST(Table2912[[#This Row],[SCFA '[mmol/g']]],P$6,P$2,FALSE)</f>
        <v>0.31505899980268226</v>
      </c>
      <c r="AT311">
        <f>_xlfn.NORM.DIST(Table2912[[#This Row],[Acetate '[%']]],Q$6,Q$2,FALSE)</f>
        <v>13.791825668783957</v>
      </c>
      <c r="AU311">
        <f>_xlfn.NORM.DIST(Table2912[[#This Row],[Propionate '[%']]],R$6,R$2,FALSE)</f>
        <v>16.193471090196518</v>
      </c>
      <c r="AV311">
        <f>_xlfn.NORM.DIST(Table2912[[#This Row],[Butyrate '[%']]],S$6,S$2,FALSE)</f>
        <v>16.773251691174206</v>
      </c>
      <c r="AW311">
        <f>_xlfn.NORM.DIST(Table2912[[#This Row],[Valerate '[%']]],T$6,T$2,FALSE)</f>
        <v>44.847040148152523</v>
      </c>
      <c r="AX311">
        <f>_xlfn.NORM.DIST(Table2912[[#This Row],[Caproate '[%']]],U$6,U$2,FALSE)</f>
        <v>337.45087271111714</v>
      </c>
      <c r="AY311">
        <f>_xlfn.NORM.DIST(Table2912[[#This Row],[Isobutyrate '[%']]],V$6,V$2,FALSE)</f>
        <v>16.72725693686867</v>
      </c>
      <c r="AZ311">
        <f>_xlfn.NORM.DIST(Table2912[[#This Row],[Isovalerate '[%']]],W$6,W$2,FALSE)</f>
        <v>16.783164402044576</v>
      </c>
      <c r="BA311">
        <f>_xlfn.NORM.DIST(Table2912[[#This Row],[CH4 '[g/mmol SCFA']]],X$6,X$2,FALSE)</f>
        <v>0.29255689097076859</v>
      </c>
      <c r="BB311">
        <f>_xlfn.NORM.DIST(Table2912[[#This Row],[DMD '[mg/g']]],Y$6,Y$2,FALSE)</f>
        <v>2.7346345932005175E-3</v>
      </c>
      <c r="BC311">
        <f>_xlfn.NORM.DIST(Table2912[[#This Row],[CH4 '[ml/g']]],Z$6,Z$2,FALSE)</f>
        <v>3.1798279815198519E-2</v>
      </c>
      <c r="BD311">
        <f>_xlfn.NORM.DIST(Table2912[[#This Row],[CH4 '[% GP']]],AA$6,AA$2,FALSE)</f>
        <v>6.7236100715508146E-2</v>
      </c>
      <c r="BE311">
        <f>_xlfn.NORM.DIST(Table2912[[#This Row],[CH4 '[g/g DDM']]],AB$6,AB$2,FALSE)</f>
        <v>3.2605301058956329E-2</v>
      </c>
      <c r="BG311">
        <f>IF(Table2912[[#This Row],[GP '[ml/g']]]&lt;O$10,_xlfn.NORM.DIST(Table2912[[#This Row],[GP '[ml/g']]],O$6,O$2,FALSE),-100)</f>
        <v>-100</v>
      </c>
      <c r="BH311">
        <f>IF(Table2912[[#This Row],[SCFA '[mmol/g']]]&lt;P$10,_xlfn.NORM.DIST(Table2912[[#This Row],[SCFA '[mmol/g']]],P$6,P$2,FALSE),-100)</f>
        <v>-100</v>
      </c>
      <c r="BI311">
        <f>IF(Table2912[[#This Row],[Acetate '[%']]]&lt;Q$10,_xlfn.NORM.DIST(Table2912[[#This Row],[Acetate '[%']]],Q$6,Q$2,FALSE),-100)</f>
        <v>-100</v>
      </c>
      <c r="BJ311">
        <f>IF(Table2912[[#This Row],[Propionate '[%']]]&lt;R$10,_xlfn.NORM.DIST(Table2912[[#This Row],[Propionate '[%']]],R$6,R$2,FALSE),-100)</f>
        <v>-100</v>
      </c>
      <c r="BK311">
        <f>IF(Table2912[[#This Row],[Butyrate '[%']]]&lt;S$10,_xlfn.NORM.DIST(Table2912[[#This Row],[Butyrate '[%']]],S$6,S$2,FALSE),-100)</f>
        <v>-100</v>
      </c>
      <c r="BL311">
        <f>IF(Table2912[[#This Row],[Valerate '[%']]]&lt;T$10,_xlfn.NORM.DIST(Table2912[[#This Row],[Valerate '[%']]],T$6,T$2,FALSE),-100)</f>
        <v>-100</v>
      </c>
      <c r="BM311">
        <f>IF(Table2912[[#This Row],[Caproate '[%']]]&lt;U$10,_xlfn.NORM.DIST(Table2912[[#This Row],[Caproate '[%']]],U$6,U$2,FALSE),-100)</f>
        <v>-100</v>
      </c>
      <c r="BN311">
        <f>IF(Table2912[[#This Row],[Isobutyrate '[%']]]&lt;V$10,_xlfn.NORM.DIST(Table2912[[#This Row],[Isobutyrate '[%']]],V$6,V$2,FALSE),-100)</f>
        <v>-100</v>
      </c>
      <c r="BO311">
        <f>IF(Table2912[[#This Row],[Isovalerate '[%']]]&lt;W$10,_xlfn.NORM.DIST(Table2912[[#This Row],[Isovalerate '[%']]],W$6,W$2,FALSE),-100)</f>
        <v>-100</v>
      </c>
      <c r="BP311">
        <f>IF(Table2912[[#This Row],[CH4 '[g/mmol SCFA']]]&lt;X$10,_xlfn.NORM.DIST(Table2912[[#This Row],[CH4 '[g/mmol SCFA']]],X$6,X$2,FALSE),-100)</f>
        <v>-100</v>
      </c>
      <c r="BQ311">
        <f>IF(Table2912[[#This Row],[DMD '[mg/g']]]&gt;Y$10,_xlfn.NORM.DIST(Table2912[[#This Row],[DMD '[mg/g']]],Y$6,Y$2,FALSE),-100)</f>
        <v>-100</v>
      </c>
      <c r="BR311">
        <f>IF(Table2912[[#This Row],[CH4 '[ml/g']]]&lt;Z$10,_xlfn.NORM.DIST(Table2912[[#This Row],[CH4 '[ml/g']]],Z$6,Z$2,FALSE),-100)</f>
        <v>-100</v>
      </c>
      <c r="BS311">
        <f>IF(Table2912[[#This Row],[CH4 '[% GP']]]&lt;AA$10,_xlfn.NORM.DIST(Table2912[[#This Row],[CH4 '[% GP']]],AA$6,AA$2,FALSE),-100)</f>
        <v>-100</v>
      </c>
      <c r="BT311">
        <f>IF(Table2912[[#This Row],[CH4 '[g/g DDM']]]&lt;AB$10,_xlfn.NORM.DIST(Table2912[[#This Row],[CH4 '[g/g DDM']]],AB$6,AB$2,FALSE),-100)</f>
        <v>-100</v>
      </c>
    </row>
    <row r="312" spans="1:72" x14ac:dyDescent="0.25">
      <c r="A312" s="12" t="s">
        <v>200</v>
      </c>
      <c r="B312" s="13">
        <v>1151</v>
      </c>
      <c r="C312" s="117" t="s">
        <v>407</v>
      </c>
      <c r="D312" s="117" t="s">
        <v>408</v>
      </c>
      <c r="E312" s="117" t="s">
        <v>213</v>
      </c>
      <c r="F312" s="117" t="s">
        <v>214</v>
      </c>
      <c r="G312" t="s">
        <v>73</v>
      </c>
      <c r="H312" t="s">
        <v>74</v>
      </c>
      <c r="I312" t="s">
        <v>75</v>
      </c>
      <c r="J312" s="70">
        <v>3</v>
      </c>
      <c r="K312" s="70"/>
      <c r="L312" s="70"/>
      <c r="M312" t="s">
        <v>409</v>
      </c>
      <c r="N312" t="s">
        <v>245</v>
      </c>
      <c r="O312" s="18">
        <v>291.51794532627736</v>
      </c>
      <c r="P312" s="18">
        <v>6.0036051903479866</v>
      </c>
      <c r="Q312" s="97">
        <v>0.6642736305544662</v>
      </c>
      <c r="R312" s="97">
        <v>0.17318480772599981</v>
      </c>
      <c r="S312" s="97">
        <v>9.7448488280302004E-2</v>
      </c>
      <c r="T312" s="97">
        <v>1.6499674553417623E-2</v>
      </c>
      <c r="U312" s="97">
        <v>1.7618321966042603E-3</v>
      </c>
      <c r="V312" s="97">
        <v>1.5996133597971689E-2</v>
      </c>
      <c r="W312" s="97">
        <v>3.083543309123829E-2</v>
      </c>
      <c r="X312" s="51">
        <f t="shared" ref="X312:X375" si="23">Z312/P312</f>
        <v>8.2670385499494206</v>
      </c>
      <c r="Y312" s="18">
        <v>826.65114361250585</v>
      </c>
      <c r="Z312" s="18">
        <v>49.63203554728323</v>
      </c>
      <c r="AA312" s="18">
        <f t="shared" ref="AA312:AA375" si="24">Z312/O312*100</f>
        <v>17.025379172363909</v>
      </c>
      <c r="AB312" s="18">
        <f t="shared" ref="AB312:AB375" si="25">Z312/Y312*1000</f>
        <v>60.039880100315131</v>
      </c>
      <c r="AC312" s="18">
        <f>$CP$15*Table2912[[#This Row],[DMD '[mg/g']]]+$CS$15*Table2912[[#This Row],[CH4 '[ml/g']]]+$CR$15*Table2912[[#This Row],[CH4 '[% GP']]]+$CQ$15*Table2912[[#This Row],[CH4 '[g/g DDM']]]</f>
        <v>15.426715964880906</v>
      </c>
      <c r="AD312" s="18">
        <f>_xlfn.RANK.AVG(Table2912[[#This Row],[Index]],Table2912[Index])</f>
        <v>261</v>
      </c>
      <c r="AE31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5.6128120767925109</v>
      </c>
      <c r="AF312" s="18">
        <f>Table2912[[#This Row],[CH4 '[ml/g']]]/Table2912[[#This Row],[APB]]</f>
        <v>8.8426326889686067</v>
      </c>
      <c r="AG312" s="18">
        <f>Table2912[[#This Row],[Propionate '[%']]]/Table2912[[#This Row],[Acetate '[%']]]</f>
        <v>0.26071305522310623</v>
      </c>
      <c r="AH312" s="51"/>
      <c r="AI312" s="18"/>
      <c r="AJ312" s="18"/>
      <c r="AK312" s="18">
        <f>(Table2912[[#This Row],[DMD '[mg/g']]]-$AK$15)/$AK$15*100</f>
        <v>68.604831204226642</v>
      </c>
      <c r="AL312" s="18">
        <f>(Table2912[[#This Row],[CH4 '[ml/g']]]-AL$15)/AL$15*100</f>
        <v>26.186751693565245</v>
      </c>
      <c r="AM312" s="18">
        <f>(Table2912[[#This Row],[CH4 '[% GP']]]-AM$15)/AM$15*100</f>
        <v>9.6829733844331205</v>
      </c>
      <c r="AN312" s="18">
        <f>(Table2912[[#This Row],[CH4 '[g/g DDM']]]-AN$15)/AN$15*100</f>
        <v>17.229843701159716</v>
      </c>
      <c r="AO312" s="18"/>
      <c r="AP312" s="18"/>
      <c r="AR312">
        <f>_xlfn.NORM.DIST(Table2912[[#This Row],[GP '[ml/g']]],O$6,O$2,FALSE)</f>
        <v>5.9540030343955214E-3</v>
      </c>
      <c r="AS312">
        <f>_xlfn.NORM.DIST(Table2912[[#This Row],[SCFA '[mmol/g']]],P$6,P$2,FALSE)</f>
        <v>0.30133863087790685</v>
      </c>
      <c r="AT312">
        <f>_xlfn.NORM.DIST(Table2912[[#This Row],[Acetate '[%']]],Q$6,Q$2,FALSE)</f>
        <v>13.363801586981126</v>
      </c>
      <c r="AU312">
        <f>_xlfn.NORM.DIST(Table2912[[#This Row],[Propionate '[%']]],R$6,R$2,FALSE)</f>
        <v>16.765292413606208</v>
      </c>
      <c r="AV312">
        <f>_xlfn.NORM.DIST(Table2912[[#This Row],[Butyrate '[%']]],S$6,S$2,FALSE)</f>
        <v>22.257016294009702</v>
      </c>
      <c r="AW312">
        <f>_xlfn.NORM.DIST(Table2912[[#This Row],[Valerate '[%']]],T$6,T$2,FALSE)</f>
        <v>75.462137702460993</v>
      </c>
      <c r="AX312">
        <f>_xlfn.NORM.DIST(Table2912[[#This Row],[Caproate '[%']]],U$6,U$2,FALSE)</f>
        <v>369.80288388824306</v>
      </c>
      <c r="AY312">
        <f>_xlfn.NORM.DIST(Table2912[[#This Row],[Isobutyrate '[%']]],V$6,V$2,FALSE)</f>
        <v>89.104711774159071</v>
      </c>
      <c r="AZ312">
        <f>_xlfn.NORM.DIST(Table2912[[#This Row],[Isovalerate '[%']]],W$6,W$2,FALSE)</f>
        <v>42.953314789668553</v>
      </c>
      <c r="BA312">
        <f>_xlfn.NORM.DIST(Table2912[[#This Row],[CH4 '[g/mmol SCFA']]],X$6,X$2,FALSE)</f>
        <v>9.958141705840419E-2</v>
      </c>
      <c r="BB312">
        <f>_xlfn.NORM.DIST(Table2912[[#This Row],[DMD '[mg/g']]],Y$6,Y$2,FALSE)</f>
        <v>2.7228713190696244E-3</v>
      </c>
      <c r="BC312">
        <f>_xlfn.NORM.DIST(Table2912[[#This Row],[CH4 '[ml/g']]],Z$6,Z$2,FALSE)</f>
        <v>2.638003893241295E-2</v>
      </c>
      <c r="BD312">
        <f>_xlfn.NORM.DIST(Table2912[[#This Row],[CH4 '[% GP']]],AA$6,AA$2,FALSE)</f>
        <v>0.12786126314260376</v>
      </c>
      <c r="BE312">
        <f>_xlfn.NORM.DIST(Table2912[[#This Row],[CH4 '[g/g DDM']]],AB$6,AB$2,FALSE)</f>
        <v>2.8232148478027321E-2</v>
      </c>
      <c r="BG312">
        <f>IF(Table2912[[#This Row],[GP '[ml/g']]]&lt;O$10,_xlfn.NORM.DIST(Table2912[[#This Row],[GP '[ml/g']]],O$6,O$2,FALSE),-100)</f>
        <v>-100</v>
      </c>
      <c r="BH312">
        <f>IF(Table2912[[#This Row],[SCFA '[mmol/g']]]&lt;P$10,_xlfn.NORM.DIST(Table2912[[#This Row],[SCFA '[mmol/g']]],P$6,P$2,FALSE),-100)</f>
        <v>-100</v>
      </c>
      <c r="BI312">
        <f>IF(Table2912[[#This Row],[Acetate '[%']]]&lt;Q$10,_xlfn.NORM.DIST(Table2912[[#This Row],[Acetate '[%']]],Q$6,Q$2,FALSE),-100)</f>
        <v>-100</v>
      </c>
      <c r="BJ312">
        <f>IF(Table2912[[#This Row],[Propionate '[%']]]&lt;R$10,_xlfn.NORM.DIST(Table2912[[#This Row],[Propionate '[%']]],R$6,R$2,FALSE),-100)</f>
        <v>-100</v>
      </c>
      <c r="BK312">
        <f>IF(Table2912[[#This Row],[Butyrate '[%']]]&lt;S$10,_xlfn.NORM.DIST(Table2912[[#This Row],[Butyrate '[%']]],S$6,S$2,FALSE),-100)</f>
        <v>-100</v>
      </c>
      <c r="BL312">
        <f>IF(Table2912[[#This Row],[Valerate '[%']]]&lt;T$10,_xlfn.NORM.DIST(Table2912[[#This Row],[Valerate '[%']]],T$6,T$2,FALSE),-100)</f>
        <v>-100</v>
      </c>
      <c r="BM312">
        <f>IF(Table2912[[#This Row],[Caproate '[%']]]&lt;U$10,_xlfn.NORM.DIST(Table2912[[#This Row],[Caproate '[%']]],U$6,U$2,FALSE),-100)</f>
        <v>-100</v>
      </c>
      <c r="BN312">
        <f>IF(Table2912[[#This Row],[Isobutyrate '[%']]]&lt;V$10,_xlfn.NORM.DIST(Table2912[[#This Row],[Isobutyrate '[%']]],V$6,V$2,FALSE),-100)</f>
        <v>-100</v>
      </c>
      <c r="BO312">
        <f>IF(Table2912[[#This Row],[Isovalerate '[%']]]&lt;W$10,_xlfn.NORM.DIST(Table2912[[#This Row],[Isovalerate '[%']]],W$6,W$2,FALSE),-100)</f>
        <v>-100</v>
      </c>
      <c r="BP312">
        <f>IF(Table2912[[#This Row],[CH4 '[g/mmol SCFA']]]&lt;X$10,_xlfn.NORM.DIST(Table2912[[#This Row],[CH4 '[g/mmol SCFA']]],X$6,X$2,FALSE),-100)</f>
        <v>-100</v>
      </c>
      <c r="BQ312">
        <f>IF(Table2912[[#This Row],[DMD '[mg/g']]]&gt;Y$10,_xlfn.NORM.DIST(Table2912[[#This Row],[DMD '[mg/g']]],Y$6,Y$2,FALSE),-100)</f>
        <v>-100</v>
      </c>
      <c r="BR312">
        <f>IF(Table2912[[#This Row],[CH4 '[ml/g']]]&lt;Z$10,_xlfn.NORM.DIST(Table2912[[#This Row],[CH4 '[ml/g']]],Z$6,Z$2,FALSE),-100)</f>
        <v>-100</v>
      </c>
      <c r="BS312">
        <f>IF(Table2912[[#This Row],[CH4 '[% GP']]]&lt;AA$10,_xlfn.NORM.DIST(Table2912[[#This Row],[CH4 '[% GP']]],AA$6,AA$2,FALSE),-100)</f>
        <v>-100</v>
      </c>
      <c r="BT312">
        <f>IF(Table2912[[#This Row],[CH4 '[g/g DDM']]]&lt;AB$10,_xlfn.NORM.DIST(Table2912[[#This Row],[CH4 '[g/g DDM']]],AB$6,AB$2,FALSE),-100)</f>
        <v>-100</v>
      </c>
    </row>
    <row r="313" spans="1:72" x14ac:dyDescent="0.25">
      <c r="A313" s="12" t="s">
        <v>86</v>
      </c>
      <c r="B313" s="13">
        <v>1066</v>
      </c>
      <c r="C313" s="32">
        <v>20417</v>
      </c>
      <c r="D313" t="s">
        <v>323</v>
      </c>
      <c r="E313" t="s">
        <v>324</v>
      </c>
      <c r="F313" t="s">
        <v>325</v>
      </c>
      <c r="G313" s="23" t="s">
        <v>73</v>
      </c>
      <c r="H313" s="23" t="s">
        <v>74</v>
      </c>
      <c r="I313" s="105" t="s">
        <v>44</v>
      </c>
      <c r="J313" s="70">
        <v>3</v>
      </c>
      <c r="K313" s="70"/>
      <c r="L313" s="70"/>
      <c r="M313" t="s">
        <v>325</v>
      </c>
      <c r="N313" t="s">
        <v>98</v>
      </c>
      <c r="O313" s="18">
        <v>238.72391304347855</v>
      </c>
      <c r="P313" s="18">
        <v>6.7497257338742855</v>
      </c>
      <c r="Q313" s="97">
        <v>0.66054476692542963</v>
      </c>
      <c r="R313" s="97">
        <v>0.18285469522354963</v>
      </c>
      <c r="S313" s="97">
        <v>7.0561990459983584E-2</v>
      </c>
      <c r="T313" s="97">
        <v>2.1077221993012339E-2</v>
      </c>
      <c r="U313" s="97">
        <v>7.9907703334114769E-4</v>
      </c>
      <c r="V313" s="97">
        <v>2.2492329769072554E-2</v>
      </c>
      <c r="W313" s="97">
        <v>4.1669918595610964E-2</v>
      </c>
      <c r="X313" s="51">
        <f t="shared" si="23"/>
        <v>6.5992708718371516</v>
      </c>
      <c r="Y313" s="18">
        <v>827.00321015538407</v>
      </c>
      <c r="Z313" s="18">
        <v>44.543268428446211</v>
      </c>
      <c r="AA313" s="18">
        <f t="shared" si="24"/>
        <v>18.65890511786877</v>
      </c>
      <c r="AB313" s="18">
        <f t="shared" si="25"/>
        <v>53.861058677241481</v>
      </c>
      <c r="AC313" s="18">
        <f>$CP$15*Table2912[[#This Row],[DMD '[mg/g']]]+$CS$15*Table2912[[#This Row],[CH4 '[ml/g']]]+$CR$15*Table2912[[#This Row],[CH4 '[% GP']]]+$CQ$15*Table2912[[#This Row],[CH4 '[g/g DDM']]]</f>
        <v>17.407045283681967</v>
      </c>
      <c r="AD313" s="18">
        <f>_xlfn.RANK.AVG(Table2912[[#This Row],[Index]],Table2912[Index])</f>
        <v>218</v>
      </c>
      <c r="AE31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6.1689891364438401</v>
      </c>
      <c r="AF313" s="18">
        <f>Table2912[[#This Row],[CH4 '[ml/g']]]/Table2912[[#This Row],[APB]]</f>
        <v>7.2205133520665452</v>
      </c>
      <c r="AG313" s="18">
        <f>Table2912[[#This Row],[Propionate '[%']]]/Table2912[[#This Row],[Acetate '[%']]]</f>
        <v>0.27682407670060688</v>
      </c>
      <c r="AH313" s="51"/>
      <c r="AI313" s="18"/>
      <c r="AJ313" s="18"/>
      <c r="AK313" s="18">
        <f>(Table2912[[#This Row],[DMD '[mg/g']]]-$AK$15)/$AK$15*100</f>
        <v>68.676639149444298</v>
      </c>
      <c r="AL313" s="18">
        <f>(Table2912[[#This Row],[CH4 '[ml/g']]]-AL$15)/AL$15*100</f>
        <v>13.248837989838144</v>
      </c>
      <c r="AM313" s="18">
        <f>(Table2912[[#This Row],[CH4 '[% GP']]]-AM$15)/AM$15*100</f>
        <v>20.206673384866857</v>
      </c>
      <c r="AN313" s="18">
        <f>(Table2912[[#This Row],[CH4 '[g/g DDM']]]-AN$15)/AN$15*100</f>
        <v>5.1654913327994842</v>
      </c>
      <c r="AO313" s="18"/>
      <c r="AP313" s="18"/>
      <c r="AR313">
        <f>_xlfn.NORM.DIST(Table2912[[#This Row],[GP '[ml/g']]],O$6,O$2,FALSE)</f>
        <v>7.1192882927074768E-3</v>
      </c>
      <c r="AS313">
        <f>_xlfn.NORM.DIST(Table2912[[#This Row],[SCFA '[mmol/g']]],P$6,P$2,FALSE)</f>
        <v>0.32757015946602908</v>
      </c>
      <c r="AT313">
        <f>_xlfn.NORM.DIST(Table2912[[#This Row],[Acetate '[%']]],Q$6,Q$2,FALSE)</f>
        <v>12.719706279727962</v>
      </c>
      <c r="AU313">
        <f>_xlfn.NORM.DIST(Table2912[[#This Row],[Propionate '[%']]],R$6,R$2,FALSE)</f>
        <v>15.088339029174971</v>
      </c>
      <c r="AV313">
        <f>_xlfn.NORM.DIST(Table2912[[#This Row],[Butyrate '[%']]],S$6,S$2,FALSE)</f>
        <v>10.011548665862726</v>
      </c>
      <c r="AW313">
        <f>_xlfn.NORM.DIST(Table2912[[#This Row],[Valerate '[%']]],T$6,T$2,FALSE)</f>
        <v>62.119180099378184</v>
      </c>
      <c r="AX313">
        <f>_xlfn.NORM.DIST(Table2912[[#This Row],[Caproate '[%']]],U$6,U$2,FALSE)</f>
        <v>350.82158003708736</v>
      </c>
      <c r="AY313">
        <f>_xlfn.NORM.DIST(Table2912[[#This Row],[Isobutyrate '[%']]],V$6,V$2,FALSE)</f>
        <v>24.216794937333457</v>
      </c>
      <c r="AZ313">
        <f>_xlfn.NORM.DIST(Table2912[[#This Row],[Isovalerate '[%']]],W$6,W$2,FALSE)</f>
        <v>13.275059525495788</v>
      </c>
      <c r="BA313">
        <f>_xlfn.NORM.DIST(Table2912[[#This Row],[CH4 '[g/mmol SCFA']]],X$6,X$2,FALSE)</f>
        <v>0.28924112946328473</v>
      </c>
      <c r="BB313">
        <f>_xlfn.NORM.DIST(Table2912[[#This Row],[DMD '[mg/g']]],Y$6,Y$2,FALSE)</f>
        <v>2.7202691284626801E-3</v>
      </c>
      <c r="BC313">
        <f>_xlfn.NORM.DIST(Table2912[[#This Row],[CH4 '[ml/g']]],Z$6,Z$2,FALSE)</f>
        <v>3.2357197249405299E-2</v>
      </c>
      <c r="BD313">
        <f>_xlfn.NORM.DIST(Table2912[[#This Row],[CH4 '[% GP']]],AA$6,AA$2,FALSE)</f>
        <v>9.1883530685246295E-2</v>
      </c>
      <c r="BE313">
        <f>_xlfn.NORM.DIST(Table2912[[#This Row],[CH4 '[g/g DDM']]],AB$6,AB$2,FALSE)</f>
        <v>3.282352566690197E-2</v>
      </c>
      <c r="BG313">
        <f>IF(Table2912[[#This Row],[GP '[ml/g']]]&lt;O$10,_xlfn.NORM.DIST(Table2912[[#This Row],[GP '[ml/g']]],O$6,O$2,FALSE),-100)</f>
        <v>-100</v>
      </c>
      <c r="BH313">
        <f>IF(Table2912[[#This Row],[SCFA '[mmol/g']]]&lt;P$10,_xlfn.NORM.DIST(Table2912[[#This Row],[SCFA '[mmol/g']]],P$6,P$2,FALSE),-100)</f>
        <v>-100</v>
      </c>
      <c r="BI313">
        <f>IF(Table2912[[#This Row],[Acetate '[%']]]&lt;Q$10,_xlfn.NORM.DIST(Table2912[[#This Row],[Acetate '[%']]],Q$6,Q$2,FALSE),-100)</f>
        <v>-100</v>
      </c>
      <c r="BJ313">
        <f>IF(Table2912[[#This Row],[Propionate '[%']]]&lt;R$10,_xlfn.NORM.DIST(Table2912[[#This Row],[Propionate '[%']]],R$6,R$2,FALSE),-100)</f>
        <v>-100</v>
      </c>
      <c r="BK313">
        <f>IF(Table2912[[#This Row],[Butyrate '[%']]]&lt;S$10,_xlfn.NORM.DIST(Table2912[[#This Row],[Butyrate '[%']]],S$6,S$2,FALSE),-100)</f>
        <v>10.011548665862726</v>
      </c>
      <c r="BL313">
        <f>IF(Table2912[[#This Row],[Valerate '[%']]]&lt;T$10,_xlfn.NORM.DIST(Table2912[[#This Row],[Valerate '[%']]],T$6,T$2,FALSE),-100)</f>
        <v>-100</v>
      </c>
      <c r="BM313">
        <f>IF(Table2912[[#This Row],[Caproate '[%']]]&lt;U$10,_xlfn.NORM.DIST(Table2912[[#This Row],[Caproate '[%']]],U$6,U$2,FALSE),-100)</f>
        <v>-100</v>
      </c>
      <c r="BN313">
        <f>IF(Table2912[[#This Row],[Isobutyrate '[%']]]&lt;V$10,_xlfn.NORM.DIST(Table2912[[#This Row],[Isobutyrate '[%']]],V$6,V$2,FALSE),-100)</f>
        <v>-100</v>
      </c>
      <c r="BO313">
        <f>IF(Table2912[[#This Row],[Isovalerate '[%']]]&lt;W$10,_xlfn.NORM.DIST(Table2912[[#This Row],[Isovalerate '[%']]],W$6,W$2,FALSE),-100)</f>
        <v>-100</v>
      </c>
      <c r="BP313">
        <f>IF(Table2912[[#This Row],[CH4 '[g/mmol SCFA']]]&lt;X$10,_xlfn.NORM.DIST(Table2912[[#This Row],[CH4 '[g/mmol SCFA']]],X$6,X$2,FALSE),-100)</f>
        <v>-100</v>
      </c>
      <c r="BQ313">
        <f>IF(Table2912[[#This Row],[DMD '[mg/g']]]&gt;Y$10,_xlfn.NORM.DIST(Table2912[[#This Row],[DMD '[mg/g']]],Y$6,Y$2,FALSE),-100)</f>
        <v>-100</v>
      </c>
      <c r="BR313">
        <f>IF(Table2912[[#This Row],[CH4 '[ml/g']]]&lt;Z$10,_xlfn.NORM.DIST(Table2912[[#This Row],[CH4 '[ml/g']]],Z$6,Z$2,FALSE),-100)</f>
        <v>-100</v>
      </c>
      <c r="BS313">
        <f>IF(Table2912[[#This Row],[CH4 '[% GP']]]&lt;AA$10,_xlfn.NORM.DIST(Table2912[[#This Row],[CH4 '[% GP']]],AA$6,AA$2,FALSE),-100)</f>
        <v>-100</v>
      </c>
      <c r="BT313">
        <f>IF(Table2912[[#This Row],[CH4 '[g/g DDM']]]&lt;AB$10,_xlfn.NORM.DIST(Table2912[[#This Row],[CH4 '[g/g DDM']]],AB$6,AB$2,FALSE),-100)</f>
        <v>-100</v>
      </c>
    </row>
    <row r="314" spans="1:72" x14ac:dyDescent="0.25">
      <c r="A314" s="12" t="s">
        <v>200</v>
      </c>
      <c r="B314" s="13">
        <v>1203</v>
      </c>
      <c r="C314" s="113" t="s">
        <v>410</v>
      </c>
      <c r="D314" s="113" t="s">
        <v>262</v>
      </c>
      <c r="E314" s="113" t="s">
        <v>411</v>
      </c>
      <c r="F314" s="113" t="s">
        <v>412</v>
      </c>
      <c r="G314" s="32" t="s">
        <v>73</v>
      </c>
      <c r="H314" s="32" t="s">
        <v>74</v>
      </c>
      <c r="I314" s="105" t="s">
        <v>75</v>
      </c>
      <c r="J314" s="70">
        <v>3</v>
      </c>
      <c r="K314" s="70"/>
      <c r="L314" s="70"/>
      <c r="M314" t="s">
        <v>413</v>
      </c>
      <c r="N314" t="s">
        <v>245</v>
      </c>
      <c r="O314" s="18">
        <v>295.8782627865956</v>
      </c>
      <c r="P314" s="18">
        <v>7.4613172726002759</v>
      </c>
      <c r="Q314" s="97">
        <v>0.64619250614314272</v>
      </c>
      <c r="R314" s="97">
        <v>0.1679334528557952</v>
      </c>
      <c r="S314" s="97">
        <v>0.10429327401066599</v>
      </c>
      <c r="T314" s="97">
        <v>2.0352447792321426E-2</v>
      </c>
      <c r="U314" s="97">
        <v>3.5273476308837473E-3</v>
      </c>
      <c r="V314" s="97">
        <v>2.0064939543308673E-2</v>
      </c>
      <c r="W314" s="97">
        <v>3.7636032023882195E-2</v>
      </c>
      <c r="X314" s="51">
        <f t="shared" si="23"/>
        <v>7.2827608512713828</v>
      </c>
      <c r="Y314" s="18">
        <v>827.20240277996072</v>
      </c>
      <c r="Z314" s="18">
        <v>54.338989331808257</v>
      </c>
      <c r="AA314" s="18">
        <f t="shared" si="24"/>
        <v>18.365319851496039</v>
      </c>
      <c r="AB314" s="18">
        <f t="shared" si="25"/>
        <v>65.690076756537977</v>
      </c>
      <c r="AC314" s="18">
        <f>$CP$15*Table2912[[#This Row],[DMD '[mg/g']]]+$CS$15*Table2912[[#This Row],[CH4 '[ml/g']]]+$CR$15*Table2912[[#This Row],[CH4 '[% GP']]]+$CQ$15*Table2912[[#This Row],[CH4 '[g/g DDM']]]</f>
        <v>12.84250726194886</v>
      </c>
      <c r="AD314" s="18">
        <f>_xlfn.RANK.AVG(Table2912[[#This Row],[Index]],Table2912[Index])</f>
        <v>307</v>
      </c>
      <c r="AE31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6.8526172867428556</v>
      </c>
      <c r="AF314" s="18">
        <f>Table2912[[#This Row],[CH4 '[ml/g']]]/Table2912[[#This Row],[APB]]</f>
        <v>7.9296693596084857</v>
      </c>
      <c r="AG314" s="18">
        <f>Table2912[[#This Row],[Propionate '[%']]]/Table2912[[#This Row],[Acetate '[%']]]</f>
        <v>0.25988146142102592</v>
      </c>
      <c r="AH314" s="51"/>
      <c r="AI314" s="18"/>
      <c r="AJ314" s="18"/>
      <c r="AK314" s="18">
        <f>(Table2912[[#This Row],[DMD '[mg/g']]]-$AK$15)/$AK$15*100</f>
        <v>68.717266733526642</v>
      </c>
      <c r="AL314" s="18">
        <f>(Table2912[[#This Row],[CH4 '[ml/g']]]-AL$15)/AL$15*100</f>
        <v>38.153925755469281</v>
      </c>
      <c r="AM314" s="18">
        <f>(Table2912[[#This Row],[CH4 '[% GP']]]-AM$15)/AM$15*100</f>
        <v>18.315302588855921</v>
      </c>
      <c r="AN314" s="18">
        <f>(Table2912[[#This Row],[CH4 '[g/g DDM']]]-AN$15)/AN$15*100</f>
        <v>28.262038798537048</v>
      </c>
      <c r="AO314" s="18"/>
      <c r="AP314" s="18"/>
      <c r="AR314">
        <f>_xlfn.NORM.DIST(Table2912[[#This Row],[GP '[ml/g']]],O$6,O$2,FALSE)</f>
        <v>5.6153168554775503E-3</v>
      </c>
      <c r="AS314">
        <f>_xlfn.NORM.DIST(Table2912[[#This Row],[SCFA '[mmol/g']]],P$6,P$2,FALSE)</f>
        <v>0.24727539316254038</v>
      </c>
      <c r="AT314">
        <f>_xlfn.NORM.DIST(Table2912[[#This Row],[Acetate '[%']]],Q$6,Q$2,FALSE)</f>
        <v>8.9586449991164567</v>
      </c>
      <c r="AU314">
        <f>_xlfn.NORM.DIST(Table2912[[#This Row],[Propionate '[%']]],R$6,R$2,FALSE)</f>
        <v>16.562475081782587</v>
      </c>
      <c r="AV314">
        <f>_xlfn.NORM.DIST(Table2912[[#This Row],[Butyrate '[%']]],S$6,S$2,FALSE)</f>
        <v>18.566101354678924</v>
      </c>
      <c r="AW314">
        <f>_xlfn.NORM.DIST(Table2912[[#This Row],[Valerate '[%']]],T$6,T$2,FALSE)</f>
        <v>67.519088148305883</v>
      </c>
      <c r="AX314">
        <f>_xlfn.NORM.DIST(Table2912[[#This Row],[Caproate '[%']]],U$6,U$2,FALSE)</f>
        <v>33.247555024384859</v>
      </c>
      <c r="AY314">
        <f>_xlfn.NORM.DIST(Table2912[[#This Row],[Isobutyrate '[%']]],V$6,V$2,FALSE)</f>
        <v>50.706589368741007</v>
      </c>
      <c r="AZ314">
        <f>_xlfn.NORM.DIST(Table2912[[#This Row],[Isovalerate '[%']]],W$6,W$2,FALSE)</f>
        <v>24.555719285371939</v>
      </c>
      <c r="BA314">
        <f>_xlfn.NORM.DIST(Table2912[[#This Row],[CH4 '[g/mmol SCFA']]],X$6,X$2,FALSE)</f>
        <v>0.22525032633468089</v>
      </c>
      <c r="BB314">
        <f>_xlfn.NORM.DIST(Table2912[[#This Row],[DMD '[mg/g']]],Y$6,Y$2,FALSE)</f>
        <v>2.7187899843842526E-3</v>
      </c>
      <c r="BC314">
        <f>_xlfn.NORM.DIST(Table2912[[#This Row],[CH4 '[ml/g']]],Z$6,Z$2,FALSE)</f>
        <v>1.8561376742745394E-2</v>
      </c>
      <c r="BD314">
        <f>_xlfn.NORM.DIST(Table2912[[#This Row],[CH4 '[% GP']]],AA$6,AA$2,FALSE)</f>
        <v>9.9717023159035231E-2</v>
      </c>
      <c r="BE314">
        <f>_xlfn.NORM.DIST(Table2912[[#This Row],[CH4 '[g/g DDM']]],AB$6,AB$2,FALSE)</f>
        <v>1.961027280818221E-2</v>
      </c>
      <c r="BG314">
        <f>IF(Table2912[[#This Row],[GP '[ml/g']]]&lt;O$10,_xlfn.NORM.DIST(Table2912[[#This Row],[GP '[ml/g']]],O$6,O$2,FALSE),-100)</f>
        <v>-100</v>
      </c>
      <c r="BH314">
        <f>IF(Table2912[[#This Row],[SCFA '[mmol/g']]]&lt;P$10,_xlfn.NORM.DIST(Table2912[[#This Row],[SCFA '[mmol/g']]],P$6,P$2,FALSE),-100)</f>
        <v>-100</v>
      </c>
      <c r="BI314">
        <f>IF(Table2912[[#This Row],[Acetate '[%']]]&lt;Q$10,_xlfn.NORM.DIST(Table2912[[#This Row],[Acetate '[%']]],Q$6,Q$2,FALSE),-100)</f>
        <v>-100</v>
      </c>
      <c r="BJ314">
        <f>IF(Table2912[[#This Row],[Propionate '[%']]]&lt;R$10,_xlfn.NORM.DIST(Table2912[[#This Row],[Propionate '[%']]],R$6,R$2,FALSE),-100)</f>
        <v>-100</v>
      </c>
      <c r="BK314">
        <f>IF(Table2912[[#This Row],[Butyrate '[%']]]&lt;S$10,_xlfn.NORM.DIST(Table2912[[#This Row],[Butyrate '[%']]],S$6,S$2,FALSE),-100)</f>
        <v>-100</v>
      </c>
      <c r="BL314">
        <f>IF(Table2912[[#This Row],[Valerate '[%']]]&lt;T$10,_xlfn.NORM.DIST(Table2912[[#This Row],[Valerate '[%']]],T$6,T$2,FALSE),-100)</f>
        <v>-100</v>
      </c>
      <c r="BM314">
        <f>IF(Table2912[[#This Row],[Caproate '[%']]]&lt;U$10,_xlfn.NORM.DIST(Table2912[[#This Row],[Caproate '[%']]],U$6,U$2,FALSE),-100)</f>
        <v>-100</v>
      </c>
      <c r="BN314">
        <f>IF(Table2912[[#This Row],[Isobutyrate '[%']]]&lt;V$10,_xlfn.NORM.DIST(Table2912[[#This Row],[Isobutyrate '[%']]],V$6,V$2,FALSE),-100)</f>
        <v>-100</v>
      </c>
      <c r="BO314">
        <f>IF(Table2912[[#This Row],[Isovalerate '[%']]]&lt;W$10,_xlfn.NORM.DIST(Table2912[[#This Row],[Isovalerate '[%']]],W$6,W$2,FALSE),-100)</f>
        <v>-100</v>
      </c>
      <c r="BP314">
        <f>IF(Table2912[[#This Row],[CH4 '[g/mmol SCFA']]]&lt;X$10,_xlfn.NORM.DIST(Table2912[[#This Row],[CH4 '[g/mmol SCFA']]],X$6,X$2,FALSE),-100)</f>
        <v>-100</v>
      </c>
      <c r="BQ314">
        <f>IF(Table2912[[#This Row],[DMD '[mg/g']]]&gt;Y$10,_xlfn.NORM.DIST(Table2912[[#This Row],[DMD '[mg/g']]],Y$6,Y$2,FALSE),-100)</f>
        <v>-100</v>
      </c>
      <c r="BR314">
        <f>IF(Table2912[[#This Row],[CH4 '[ml/g']]]&lt;Z$10,_xlfn.NORM.DIST(Table2912[[#This Row],[CH4 '[ml/g']]],Z$6,Z$2,FALSE),-100)</f>
        <v>-100</v>
      </c>
      <c r="BS314">
        <f>IF(Table2912[[#This Row],[CH4 '[% GP']]]&lt;AA$10,_xlfn.NORM.DIST(Table2912[[#This Row],[CH4 '[% GP']]],AA$6,AA$2,FALSE),-100)</f>
        <v>-100</v>
      </c>
      <c r="BT314">
        <f>IF(Table2912[[#This Row],[CH4 '[g/g DDM']]]&lt;AB$10,_xlfn.NORM.DIST(Table2912[[#This Row],[CH4 '[g/g DDM']]],AB$6,AB$2,FALSE),-100)</f>
        <v>-100</v>
      </c>
    </row>
    <row r="315" spans="1:72" x14ac:dyDescent="0.25">
      <c r="A315" s="12" t="s">
        <v>70</v>
      </c>
      <c r="B315" s="13">
        <v>992</v>
      </c>
      <c r="C315" s="96" t="s">
        <v>343</v>
      </c>
      <c r="D315" s="96"/>
      <c r="E315" s="96"/>
      <c r="F315" s="96" t="s">
        <v>344</v>
      </c>
      <c r="G315" t="s">
        <v>73</v>
      </c>
      <c r="H315" t="s">
        <v>74</v>
      </c>
      <c r="I315" t="s">
        <v>75</v>
      </c>
      <c r="J315" s="100">
        <v>1</v>
      </c>
      <c r="K315" s="100"/>
      <c r="L315" s="100"/>
      <c r="M315" t="s">
        <v>344</v>
      </c>
      <c r="N315" t="s">
        <v>85</v>
      </c>
      <c r="O315" s="18">
        <v>344.83582451499313</v>
      </c>
      <c r="P315" s="18">
        <v>7.4169053880592344</v>
      </c>
      <c r="Q315" s="97">
        <v>0.67182549210876452</v>
      </c>
      <c r="R315" s="97">
        <v>0.12788906202717545</v>
      </c>
      <c r="S315" s="97">
        <v>0.14405442252943823</v>
      </c>
      <c r="T315" s="97">
        <v>1.4916244090065839E-2</v>
      </c>
      <c r="U315" s="97">
        <v>2.5581366947085918E-3</v>
      </c>
      <c r="V315" s="97">
        <v>1.3216438683419389E-2</v>
      </c>
      <c r="W315" s="97">
        <v>2.5540203866427996E-2</v>
      </c>
      <c r="X315" s="51">
        <f t="shared" si="23"/>
        <v>6.2206041224438193</v>
      </c>
      <c r="Y315" s="18">
        <v>827.68489819771867</v>
      </c>
      <c r="Z315" s="18">
        <v>46.137632232737047</v>
      </c>
      <c r="AA315" s="18">
        <f t="shared" si="24"/>
        <v>13.379593694370065</v>
      </c>
      <c r="AB315" s="18">
        <f t="shared" si="25"/>
        <v>55.742991485288186</v>
      </c>
      <c r="AC315" s="18">
        <f>$CP$15*Table2912[[#This Row],[DMD '[mg/g']]]+$CS$15*Table2912[[#This Row],[CH4 '[ml/g']]]+$CR$15*Table2912[[#This Row],[CH4 '[% GP']]]+$CQ$15*Table2912[[#This Row],[CH4 '[g/g DDM']]]</f>
        <v>18.30944594476653</v>
      </c>
      <c r="AD315" s="18">
        <f>_xlfn.RANK.AVG(Table2912[[#This Row],[Index]],Table2912[Index])</f>
        <v>197</v>
      </c>
      <c r="AE31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6.9998452081125935</v>
      </c>
      <c r="AF315" s="18">
        <f>Table2912[[#This Row],[CH4 '[ml/g']]]/Table2912[[#This Row],[APB]]</f>
        <v>6.5912360718012772</v>
      </c>
      <c r="AG315" s="18">
        <f>Table2912[[#This Row],[Propionate '[%']]]/Table2912[[#This Row],[Acetate '[%']]]</f>
        <v>0.19036053786192289</v>
      </c>
      <c r="AH315" s="51"/>
      <c r="AI315" s="18"/>
      <c r="AJ315" s="18"/>
      <c r="AK315" s="18">
        <f>(Table2912[[#This Row],[DMD '[mg/g']]]-$AK$15)/$AK$15*100</f>
        <v>68.815677119935089</v>
      </c>
      <c r="AL315" s="18">
        <f>(Table2912[[#This Row],[CH4 '[ml/g']]]-AL$15)/AL$15*100</f>
        <v>17.302421270531706</v>
      </c>
      <c r="AM315" s="18">
        <f>(Table2912[[#This Row],[CH4 '[% GP']]]-AM$15)/AM$15*100</f>
        <v>-13.804350304501181</v>
      </c>
      <c r="AN315" s="18">
        <f>(Table2912[[#This Row],[CH4 '[g/g DDM']]]-AN$15)/AN$15*100</f>
        <v>8.8400271342499259</v>
      </c>
      <c r="AO315" s="18"/>
      <c r="AP315" s="18"/>
      <c r="AR315">
        <f>_xlfn.NORM.DIST(Table2912[[#This Row],[GP '[ml/g']]],O$6,O$2,FALSE)</f>
        <v>1.8388048949905104E-3</v>
      </c>
      <c r="AS315">
        <f>_xlfn.NORM.DIST(Table2912[[#This Row],[SCFA '[mmol/g']]],P$6,P$2,FALSE)</f>
        <v>0.25426052086566597</v>
      </c>
      <c r="AT315">
        <f>_xlfn.NORM.DIST(Table2912[[#This Row],[Acetate '[%']]],Q$6,Q$2,FALSE)</f>
        <v>14.012266572512049</v>
      </c>
      <c r="AU315">
        <f>_xlfn.NORM.DIST(Table2912[[#This Row],[Propionate '[%']]],R$6,R$2,FALSE)</f>
        <v>3.0274868697360167</v>
      </c>
      <c r="AV315">
        <f>_xlfn.NORM.DIST(Table2912[[#This Row],[Butyrate '[%']]],S$6,S$2,FALSE)</f>
        <v>0.29532529157752135</v>
      </c>
      <c r="AW315">
        <f>_xlfn.NORM.DIST(Table2912[[#This Row],[Valerate '[%']]],T$6,T$2,FALSE)</f>
        <v>67.178726431317202</v>
      </c>
      <c r="AX315">
        <f>_xlfn.NORM.DIST(Table2912[[#This Row],[Caproate '[%']]],U$6,U$2,FALSE)</f>
        <v>186.40251359694571</v>
      </c>
      <c r="AY315">
        <f>_xlfn.NORM.DIST(Table2912[[#This Row],[Isobutyrate '[%']]],V$6,V$2,FALSE)</f>
        <v>80.545505137529503</v>
      </c>
      <c r="AZ315">
        <f>_xlfn.NORM.DIST(Table2912[[#This Row],[Isovalerate '[%']]],W$6,W$2,FALSE)</f>
        <v>43.825416589645727</v>
      </c>
      <c r="BA315">
        <f>_xlfn.NORM.DIST(Table2912[[#This Row],[CH4 '[g/mmol SCFA']]],X$6,X$2,FALSE)</f>
        <v>0.29708825678956052</v>
      </c>
      <c r="BB315">
        <f>_xlfn.NORM.DIST(Table2912[[#This Row],[DMD '[mg/g']]],Y$6,Y$2,FALSE)</f>
        <v>2.7151865949915804E-3</v>
      </c>
      <c r="BC315">
        <f>_xlfn.NORM.DIST(Table2912[[#This Row],[CH4 '[ml/g']]],Z$6,Z$2,FALSE)</f>
        <v>3.0953904863659398E-2</v>
      </c>
      <c r="BD315">
        <f>_xlfn.NORM.DIST(Table2912[[#This Row],[CH4 '[% GP']]],AA$6,AA$2,FALSE)</f>
        <v>8.921149467200469E-2</v>
      </c>
      <c r="BE315">
        <f>_xlfn.NORM.DIST(Table2912[[#This Row],[CH4 '[g/g DDM']]],AB$6,AB$2,FALSE)</f>
        <v>3.2222610484906863E-2</v>
      </c>
      <c r="BG315">
        <f>IF(Table2912[[#This Row],[GP '[ml/g']]]&lt;O$10,_xlfn.NORM.DIST(Table2912[[#This Row],[GP '[ml/g']]],O$6,O$2,FALSE),-100)</f>
        <v>-100</v>
      </c>
      <c r="BH315">
        <f>IF(Table2912[[#This Row],[SCFA '[mmol/g']]]&lt;P$10,_xlfn.NORM.DIST(Table2912[[#This Row],[SCFA '[mmol/g']]],P$6,P$2,FALSE),-100)</f>
        <v>-100</v>
      </c>
      <c r="BI315">
        <f>IF(Table2912[[#This Row],[Acetate '[%']]]&lt;Q$10,_xlfn.NORM.DIST(Table2912[[#This Row],[Acetate '[%']]],Q$6,Q$2,FALSE),-100)</f>
        <v>-100</v>
      </c>
      <c r="BJ315">
        <f>IF(Table2912[[#This Row],[Propionate '[%']]]&lt;R$10,_xlfn.NORM.DIST(Table2912[[#This Row],[Propionate '[%']]],R$6,R$2,FALSE),-100)</f>
        <v>3.0274868697360167</v>
      </c>
      <c r="BK315">
        <f>IF(Table2912[[#This Row],[Butyrate '[%']]]&lt;S$10,_xlfn.NORM.DIST(Table2912[[#This Row],[Butyrate '[%']]],S$6,S$2,FALSE),-100)</f>
        <v>-100</v>
      </c>
      <c r="BL315">
        <f>IF(Table2912[[#This Row],[Valerate '[%']]]&lt;T$10,_xlfn.NORM.DIST(Table2912[[#This Row],[Valerate '[%']]],T$6,T$2,FALSE),-100)</f>
        <v>-100</v>
      </c>
      <c r="BM315">
        <f>IF(Table2912[[#This Row],[Caproate '[%']]]&lt;U$10,_xlfn.NORM.DIST(Table2912[[#This Row],[Caproate '[%']]],U$6,U$2,FALSE),-100)</f>
        <v>-100</v>
      </c>
      <c r="BN315">
        <f>IF(Table2912[[#This Row],[Isobutyrate '[%']]]&lt;V$10,_xlfn.NORM.DIST(Table2912[[#This Row],[Isobutyrate '[%']]],V$6,V$2,FALSE),-100)</f>
        <v>-100</v>
      </c>
      <c r="BO315">
        <f>IF(Table2912[[#This Row],[Isovalerate '[%']]]&lt;W$10,_xlfn.NORM.DIST(Table2912[[#This Row],[Isovalerate '[%']]],W$6,W$2,FALSE),-100)</f>
        <v>-100</v>
      </c>
      <c r="BP315">
        <f>IF(Table2912[[#This Row],[CH4 '[g/mmol SCFA']]]&lt;X$10,_xlfn.NORM.DIST(Table2912[[#This Row],[CH4 '[g/mmol SCFA']]],X$6,X$2,FALSE),-100)</f>
        <v>-100</v>
      </c>
      <c r="BQ315">
        <f>IF(Table2912[[#This Row],[DMD '[mg/g']]]&gt;Y$10,_xlfn.NORM.DIST(Table2912[[#This Row],[DMD '[mg/g']]],Y$6,Y$2,FALSE),-100)</f>
        <v>-100</v>
      </c>
      <c r="BR315">
        <f>IF(Table2912[[#This Row],[CH4 '[ml/g']]]&lt;Z$10,_xlfn.NORM.DIST(Table2912[[#This Row],[CH4 '[ml/g']]],Z$6,Z$2,FALSE),-100)</f>
        <v>-100</v>
      </c>
      <c r="BS315">
        <f>IF(Table2912[[#This Row],[CH4 '[% GP']]]&lt;AA$10,_xlfn.NORM.DIST(Table2912[[#This Row],[CH4 '[% GP']]],AA$6,AA$2,FALSE),-100)</f>
        <v>-100</v>
      </c>
      <c r="BT315">
        <f>IF(Table2912[[#This Row],[CH4 '[g/g DDM']]]&lt;AB$10,_xlfn.NORM.DIST(Table2912[[#This Row],[CH4 '[g/g DDM']]],AB$6,AB$2,FALSE),-100)</f>
        <v>-100</v>
      </c>
    </row>
    <row r="316" spans="1:72" x14ac:dyDescent="0.25">
      <c r="A316" s="12" t="s">
        <v>70</v>
      </c>
      <c r="B316" s="13">
        <v>995</v>
      </c>
      <c r="C316" s="96" t="s">
        <v>226</v>
      </c>
      <c r="D316" s="96"/>
      <c r="E316" s="96"/>
      <c r="F316" s="96" t="s">
        <v>227</v>
      </c>
      <c r="G316" t="s">
        <v>73</v>
      </c>
      <c r="H316" t="s">
        <v>74</v>
      </c>
      <c r="I316" t="s">
        <v>75</v>
      </c>
      <c r="J316" s="100">
        <v>1</v>
      </c>
      <c r="K316" s="100"/>
      <c r="L316" s="100"/>
      <c r="M316" t="s">
        <v>227</v>
      </c>
      <c r="N316" t="s">
        <v>85</v>
      </c>
      <c r="O316" s="18">
        <v>254.94937293729402</v>
      </c>
      <c r="P316" s="18">
        <v>6.5860836083608358</v>
      </c>
      <c r="Q316" s="97">
        <v>0.67745154124901075</v>
      </c>
      <c r="R316" s="97">
        <v>0.16304538652168771</v>
      </c>
      <c r="S316" s="97">
        <v>9.210222253265668E-2</v>
      </c>
      <c r="T316" s="97">
        <v>1.7387825031248832E-2</v>
      </c>
      <c r="U316" s="97">
        <v>1.5042126036605868E-3</v>
      </c>
      <c r="V316" s="97">
        <v>1.6627688546181994E-2</v>
      </c>
      <c r="W316" s="97">
        <v>3.1881123515553278E-2</v>
      </c>
      <c r="X316" s="51">
        <f t="shared" si="23"/>
        <v>6.4330771400960574</v>
      </c>
      <c r="Y316" s="18">
        <v>828.16281628162801</v>
      </c>
      <c r="Z316" s="18">
        <v>42.368783903707445</v>
      </c>
      <c r="AA316" s="18">
        <f t="shared" si="24"/>
        <v>16.618508771201508</v>
      </c>
      <c r="AB316" s="18">
        <f t="shared" si="25"/>
        <v>51.159968874163219</v>
      </c>
      <c r="AC316" s="18">
        <f>$CP$15*Table2912[[#This Row],[DMD '[mg/g']]]+$CS$15*Table2912[[#This Row],[CH4 '[ml/g']]]+$CR$15*Table2912[[#This Row],[CH4 '[% GP']]]+$CQ$15*Table2912[[#This Row],[CH4 '[g/g DDM']]]</f>
        <v>19.183977261527588</v>
      </c>
      <c r="AD316" s="18">
        <f>_xlfn.RANK.AVG(Table2912[[#This Row],[Index]],Table2912[Index])</f>
        <v>178</v>
      </c>
      <c r="AE31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6.1421759769841708</v>
      </c>
      <c r="AF316" s="18">
        <f>Table2912[[#This Row],[CH4 '[ml/g']]]/Table2912[[#This Row],[APB]]</f>
        <v>6.8980087940285069</v>
      </c>
      <c r="AG316" s="18">
        <f>Table2912[[#This Row],[Propionate '[%']]]/Table2912[[#This Row],[Acetate '[%']]]</f>
        <v>0.24067461153174519</v>
      </c>
      <c r="AH316" s="51"/>
      <c r="AI316" s="18"/>
      <c r="AJ316" s="18"/>
      <c r="AK316" s="18">
        <f>(Table2912[[#This Row],[DMD '[mg/g']]]-$AK$15)/$AK$15*100</f>
        <v>68.913153907440446</v>
      </c>
      <c r="AL316" s="18">
        <f>(Table2912[[#This Row],[CH4 '[ml/g']]]-AL$15)/AL$15*100</f>
        <v>7.7203293208091441</v>
      </c>
      <c r="AM316" s="18">
        <f>(Table2912[[#This Row],[CH4 '[% GP']]]-AM$15)/AM$15*100</f>
        <v>7.0617832817158384</v>
      </c>
      <c r="AN316" s="18">
        <f>(Table2912[[#This Row],[CH4 '[g/g DDM']]]-AN$15)/AN$15*100</f>
        <v>-0.10847548573183469</v>
      </c>
      <c r="AO316" s="18"/>
      <c r="AP316" s="18"/>
      <c r="AR316">
        <f>_xlfn.NORM.DIST(Table2912[[#This Row],[GP '[ml/g']]],O$6,O$2,FALSE)</f>
        <v>7.4794808963509155E-3</v>
      </c>
      <c r="AS316">
        <f>_xlfn.NORM.DIST(Table2912[[#This Row],[SCFA '[mmol/g']]],P$6,P$2,FALSE)</f>
        <v>0.33247027377490473</v>
      </c>
      <c r="AT316">
        <f>_xlfn.NORM.DIST(Table2912[[#This Row],[Acetate '[%']]],Q$6,Q$2,FALSE)</f>
        <v>13.865532030439415</v>
      </c>
      <c r="AU316">
        <f>_xlfn.NORM.DIST(Table2912[[#This Row],[Propionate '[%']]],R$6,R$2,FALSE)</f>
        <v>15.672555013645528</v>
      </c>
      <c r="AV316">
        <f>_xlfn.NORM.DIST(Table2912[[#This Row],[Butyrate '[%']]],S$6,S$2,FALSE)</f>
        <v>23.004288768997931</v>
      </c>
      <c r="AW316">
        <f>_xlfn.NORM.DIST(Table2912[[#This Row],[Valerate '[%']]],T$6,T$2,FALSE)</f>
        <v>77.288188016662943</v>
      </c>
      <c r="AX316">
        <f>_xlfn.NORM.DIST(Table2912[[#This Row],[Caproate '[%']]],U$6,U$2,FALSE)</f>
        <v>400.76092274957671</v>
      </c>
      <c r="AY316">
        <f>_xlfn.NORM.DIST(Table2912[[#This Row],[Isobutyrate '[%']]],V$6,V$2,FALSE)</f>
        <v>86.29241580295681</v>
      </c>
      <c r="AZ316">
        <f>_xlfn.NORM.DIST(Table2912[[#This Row],[Isovalerate '[%']]],W$6,W$2,FALSE)</f>
        <v>40.982796819251448</v>
      </c>
      <c r="BA316">
        <f>_xlfn.NORM.DIST(Table2912[[#This Row],[CH4 '[g/mmol SCFA']]],X$6,X$2,FALSE)</f>
        <v>0.29554511669666644</v>
      </c>
      <c r="BB316">
        <f>_xlfn.NORM.DIST(Table2912[[#This Row],[DMD '[mg/g']]],Y$6,Y$2,FALSE)</f>
        <v>2.7115888492051264E-3</v>
      </c>
      <c r="BC316">
        <f>_xlfn.NORM.DIST(Table2912[[#This Row],[CH4 '[ml/g']]],Z$6,Z$2,FALSE)</f>
        <v>3.3394862315707305E-2</v>
      </c>
      <c r="BD316">
        <f>_xlfn.NORM.DIST(Table2912[[#This Row],[CH4 '[% GP']]],AA$6,AA$2,FALSE)</f>
        <v>0.13241131494423217</v>
      </c>
      <c r="BE316">
        <f>_xlfn.NORM.DIST(Table2912[[#This Row],[CH4 '[g/g DDM']]],AB$6,AB$2,FALSE)</f>
        <v>3.2320199842167663E-2</v>
      </c>
      <c r="BG316">
        <f>IF(Table2912[[#This Row],[GP '[ml/g']]]&lt;O$10,_xlfn.NORM.DIST(Table2912[[#This Row],[GP '[ml/g']]],O$6,O$2,FALSE),-100)</f>
        <v>-100</v>
      </c>
      <c r="BH316">
        <f>IF(Table2912[[#This Row],[SCFA '[mmol/g']]]&lt;P$10,_xlfn.NORM.DIST(Table2912[[#This Row],[SCFA '[mmol/g']]],P$6,P$2,FALSE),-100)</f>
        <v>-100</v>
      </c>
      <c r="BI316">
        <f>IF(Table2912[[#This Row],[Acetate '[%']]]&lt;Q$10,_xlfn.NORM.DIST(Table2912[[#This Row],[Acetate '[%']]],Q$6,Q$2,FALSE),-100)</f>
        <v>-100</v>
      </c>
      <c r="BJ316">
        <f>IF(Table2912[[#This Row],[Propionate '[%']]]&lt;R$10,_xlfn.NORM.DIST(Table2912[[#This Row],[Propionate '[%']]],R$6,R$2,FALSE),-100)</f>
        <v>-100</v>
      </c>
      <c r="BK316">
        <f>IF(Table2912[[#This Row],[Butyrate '[%']]]&lt;S$10,_xlfn.NORM.DIST(Table2912[[#This Row],[Butyrate '[%']]],S$6,S$2,FALSE),-100)</f>
        <v>-100</v>
      </c>
      <c r="BL316">
        <f>IF(Table2912[[#This Row],[Valerate '[%']]]&lt;T$10,_xlfn.NORM.DIST(Table2912[[#This Row],[Valerate '[%']]],T$6,T$2,FALSE),-100)</f>
        <v>-100</v>
      </c>
      <c r="BM316">
        <f>IF(Table2912[[#This Row],[Caproate '[%']]]&lt;U$10,_xlfn.NORM.DIST(Table2912[[#This Row],[Caproate '[%']]],U$6,U$2,FALSE),-100)</f>
        <v>-100</v>
      </c>
      <c r="BN316">
        <f>IF(Table2912[[#This Row],[Isobutyrate '[%']]]&lt;V$10,_xlfn.NORM.DIST(Table2912[[#This Row],[Isobutyrate '[%']]],V$6,V$2,FALSE),-100)</f>
        <v>-100</v>
      </c>
      <c r="BO316">
        <f>IF(Table2912[[#This Row],[Isovalerate '[%']]]&lt;W$10,_xlfn.NORM.DIST(Table2912[[#This Row],[Isovalerate '[%']]],W$6,W$2,FALSE),-100)</f>
        <v>-100</v>
      </c>
      <c r="BP316">
        <f>IF(Table2912[[#This Row],[CH4 '[g/mmol SCFA']]]&lt;X$10,_xlfn.NORM.DIST(Table2912[[#This Row],[CH4 '[g/mmol SCFA']]],X$6,X$2,FALSE),-100)</f>
        <v>-100</v>
      </c>
      <c r="BQ316">
        <f>IF(Table2912[[#This Row],[DMD '[mg/g']]]&gt;Y$10,_xlfn.NORM.DIST(Table2912[[#This Row],[DMD '[mg/g']]],Y$6,Y$2,FALSE),-100)</f>
        <v>-100</v>
      </c>
      <c r="BR316">
        <f>IF(Table2912[[#This Row],[CH4 '[ml/g']]]&lt;Z$10,_xlfn.NORM.DIST(Table2912[[#This Row],[CH4 '[ml/g']]],Z$6,Z$2,FALSE),-100)</f>
        <v>-100</v>
      </c>
      <c r="BS316">
        <f>IF(Table2912[[#This Row],[CH4 '[% GP']]]&lt;AA$10,_xlfn.NORM.DIST(Table2912[[#This Row],[CH4 '[% GP']]],AA$6,AA$2,FALSE),-100)</f>
        <v>-100</v>
      </c>
      <c r="BT316">
        <f>IF(Table2912[[#This Row],[CH4 '[g/g DDM']]]&lt;AB$10,_xlfn.NORM.DIST(Table2912[[#This Row],[CH4 '[g/g DDM']]],AB$6,AB$2,FALSE),-100)</f>
        <v>-100</v>
      </c>
    </row>
    <row r="317" spans="1:72" x14ac:dyDescent="0.25">
      <c r="A317" s="12" t="s">
        <v>70</v>
      </c>
      <c r="B317" s="13">
        <v>991</v>
      </c>
      <c r="C317" s="96" t="s">
        <v>399</v>
      </c>
      <c r="D317" s="96"/>
      <c r="E317" s="96"/>
      <c r="F317" s="96" t="s">
        <v>400</v>
      </c>
      <c r="G317" s="15" t="s">
        <v>73</v>
      </c>
      <c r="H317" s="15" t="s">
        <v>74</v>
      </c>
      <c r="I317" t="s">
        <v>75</v>
      </c>
      <c r="J317" s="70">
        <v>2</v>
      </c>
      <c r="K317" s="70"/>
      <c r="L317" s="70"/>
      <c r="M317" t="s">
        <v>400</v>
      </c>
      <c r="N317" t="s">
        <v>180</v>
      </c>
      <c r="O317" s="18">
        <v>292.96311637080822</v>
      </c>
      <c r="P317" s="18">
        <v>6.9125592707180097</v>
      </c>
      <c r="Q317" s="97">
        <v>0.66656441179174619</v>
      </c>
      <c r="R317" s="97">
        <v>0.14265292648614247</v>
      </c>
      <c r="S317" s="97">
        <v>0.12590530080753681</v>
      </c>
      <c r="T317" s="97">
        <v>1.9157811464598752E-2</v>
      </c>
      <c r="U317" s="97">
        <v>1.6231156273593405E-3</v>
      </c>
      <c r="V317" s="97">
        <v>1.4640120476197739E-2</v>
      </c>
      <c r="W317" s="97">
        <v>2.9456313346418656E-2</v>
      </c>
      <c r="X317" s="51">
        <f t="shared" si="23"/>
        <v>6.2483735104029305</v>
      </c>
      <c r="Y317" s="18">
        <v>829.51926834783535</v>
      </c>
      <c r="Z317" s="18">
        <v>43.192252236244613</v>
      </c>
      <c r="AA317" s="18">
        <f t="shared" si="24"/>
        <v>14.743238934410934</v>
      </c>
      <c r="AB317" s="18">
        <f t="shared" si="25"/>
        <v>52.069016217394449</v>
      </c>
      <c r="AC317" s="18">
        <f>$CP$15*Table2912[[#This Row],[DMD '[mg/g']]]+$CS$15*Table2912[[#This Row],[CH4 '[ml/g']]]+$CR$15*Table2912[[#This Row],[CH4 '[% GP']]]+$CQ$15*Table2912[[#This Row],[CH4 '[g/g DDM']]]</f>
        <v>19.5035051395677</v>
      </c>
      <c r="AD317" s="18">
        <f>_xlfn.RANK.AVG(Table2912[[#This Row],[Index]],Table2912[Index])</f>
        <v>173</v>
      </c>
      <c r="AE31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6.4640906680682493</v>
      </c>
      <c r="AF317" s="18">
        <f>Table2912[[#This Row],[CH4 '[ml/g']]]/Table2912[[#This Row],[APB]]</f>
        <v>6.6818759906337037</v>
      </c>
      <c r="AG317" s="18">
        <f>Table2912[[#This Row],[Propionate '[%']]]/Table2912[[#This Row],[Acetate '[%']]]</f>
        <v>0.21401221541769219</v>
      </c>
      <c r="AH317" s="51"/>
      <c r="AI317" s="18"/>
      <c r="AJ317" s="18"/>
      <c r="AK317" s="18">
        <f>(Table2912[[#This Row],[DMD '[mg/g']]]-$AK$15)/$AK$15*100</f>
        <v>69.189817616704858</v>
      </c>
      <c r="AL317" s="18">
        <f>(Table2912[[#This Row],[CH4 '[ml/g']]]-AL$15)/AL$15*100</f>
        <v>9.8139527811322367</v>
      </c>
      <c r="AM317" s="18">
        <f>(Table2912[[#This Row],[CH4 '[% GP']]]-AM$15)/AM$15*100</f>
        <v>-5.0193086878072206</v>
      </c>
      <c r="AN317" s="18">
        <f>(Table2912[[#This Row],[CH4 '[g/g DDM']]]-AN$15)/AN$15*100</f>
        <v>1.6664693973341822</v>
      </c>
      <c r="AO317" s="18"/>
      <c r="AP317" s="18"/>
      <c r="AR317">
        <f>_xlfn.NORM.DIST(Table2912[[#This Row],[GP '[ml/g']]],O$6,O$2,FALSE)</f>
        <v>5.8438708460613773E-3</v>
      </c>
      <c r="AS317">
        <f>_xlfn.NORM.DIST(Table2912[[#This Row],[SCFA '[mmol/g']]],P$6,P$2,FALSE)</f>
        <v>0.31685247184365711</v>
      </c>
      <c r="AT317">
        <f>_xlfn.NORM.DIST(Table2912[[#This Row],[Acetate '[%']]],Q$6,Q$2,FALSE)</f>
        <v>13.65864359057089</v>
      </c>
      <c r="AU317">
        <f>_xlfn.NORM.DIST(Table2912[[#This Row],[Propionate '[%']]],R$6,R$2,FALSE)</f>
        <v>7.8843169446202195</v>
      </c>
      <c r="AV317">
        <f>_xlfn.NORM.DIST(Table2912[[#This Row],[Butyrate '[%']]],S$6,S$2,FALSE)</f>
        <v>3.7586947271402593</v>
      </c>
      <c r="AW317">
        <f>_xlfn.NORM.DIST(Table2912[[#This Row],[Valerate '[%']]],T$6,T$2,FALSE)</f>
        <v>74.191836908711338</v>
      </c>
      <c r="AX317">
        <f>_xlfn.NORM.DIST(Table2912[[#This Row],[Caproate '[%']]],U$6,U$2,FALSE)</f>
        <v>389.49030280855044</v>
      </c>
      <c r="AY317">
        <f>_xlfn.NORM.DIST(Table2912[[#This Row],[Isobutyrate '[%']]],V$6,V$2,FALSE)</f>
        <v>89.107685884857673</v>
      </c>
      <c r="AZ317">
        <f>_xlfn.NORM.DIST(Table2912[[#This Row],[Isovalerate '[%']]],W$6,W$2,FALSE)</f>
        <v>44.717580148450772</v>
      </c>
      <c r="BA317">
        <f>_xlfn.NORM.DIST(Table2912[[#This Row],[CH4 '[g/mmol SCFA']]],X$6,X$2,FALSE)</f>
        <v>0.2973095595105622</v>
      </c>
      <c r="BB317">
        <f>_xlfn.NORM.DIST(Table2912[[#This Row],[DMD '[mg/g']]],Y$6,Y$2,FALSE)</f>
        <v>2.7012239254877797E-3</v>
      </c>
      <c r="BC317">
        <f>_xlfn.NORM.DIST(Table2912[[#This Row],[CH4 '[ml/g']]],Z$6,Z$2,FALSE)</f>
        <v>3.3127775634516618E-2</v>
      </c>
      <c r="BD317">
        <f>_xlfn.NORM.DIST(Table2912[[#This Row],[CH4 '[% GP']]],AA$6,AA$2,FALSE)</f>
        <v>0.12188429092125004</v>
      </c>
      <c r="BE317">
        <f>_xlfn.NORM.DIST(Table2912[[#This Row],[CH4 '[g/g DDM']]],AB$6,AB$2,FALSE)</f>
        <v>3.2668672639050461E-2</v>
      </c>
      <c r="BG317">
        <f>IF(Table2912[[#This Row],[GP '[ml/g']]]&lt;O$10,_xlfn.NORM.DIST(Table2912[[#This Row],[GP '[ml/g']]],O$6,O$2,FALSE),-100)</f>
        <v>-100</v>
      </c>
      <c r="BH317">
        <f>IF(Table2912[[#This Row],[SCFA '[mmol/g']]]&lt;P$10,_xlfn.NORM.DIST(Table2912[[#This Row],[SCFA '[mmol/g']]],P$6,P$2,FALSE),-100)</f>
        <v>-100</v>
      </c>
      <c r="BI317">
        <f>IF(Table2912[[#This Row],[Acetate '[%']]]&lt;Q$10,_xlfn.NORM.DIST(Table2912[[#This Row],[Acetate '[%']]],Q$6,Q$2,FALSE),-100)</f>
        <v>-100</v>
      </c>
      <c r="BJ317">
        <f>IF(Table2912[[#This Row],[Propionate '[%']]]&lt;R$10,_xlfn.NORM.DIST(Table2912[[#This Row],[Propionate '[%']]],R$6,R$2,FALSE),-100)</f>
        <v>7.8843169446202195</v>
      </c>
      <c r="BK317">
        <f>IF(Table2912[[#This Row],[Butyrate '[%']]]&lt;S$10,_xlfn.NORM.DIST(Table2912[[#This Row],[Butyrate '[%']]],S$6,S$2,FALSE),-100)</f>
        <v>-100</v>
      </c>
      <c r="BL317">
        <f>IF(Table2912[[#This Row],[Valerate '[%']]]&lt;T$10,_xlfn.NORM.DIST(Table2912[[#This Row],[Valerate '[%']]],T$6,T$2,FALSE),-100)</f>
        <v>-100</v>
      </c>
      <c r="BM317">
        <f>IF(Table2912[[#This Row],[Caproate '[%']]]&lt;U$10,_xlfn.NORM.DIST(Table2912[[#This Row],[Caproate '[%']]],U$6,U$2,FALSE),-100)</f>
        <v>-100</v>
      </c>
      <c r="BN317">
        <f>IF(Table2912[[#This Row],[Isobutyrate '[%']]]&lt;V$10,_xlfn.NORM.DIST(Table2912[[#This Row],[Isobutyrate '[%']]],V$6,V$2,FALSE),-100)</f>
        <v>-100</v>
      </c>
      <c r="BO317">
        <f>IF(Table2912[[#This Row],[Isovalerate '[%']]]&lt;W$10,_xlfn.NORM.DIST(Table2912[[#This Row],[Isovalerate '[%']]],W$6,W$2,FALSE),-100)</f>
        <v>-100</v>
      </c>
      <c r="BP317">
        <f>IF(Table2912[[#This Row],[CH4 '[g/mmol SCFA']]]&lt;X$10,_xlfn.NORM.DIST(Table2912[[#This Row],[CH4 '[g/mmol SCFA']]],X$6,X$2,FALSE),-100)</f>
        <v>-100</v>
      </c>
      <c r="BQ317">
        <f>IF(Table2912[[#This Row],[DMD '[mg/g']]]&gt;Y$10,_xlfn.NORM.DIST(Table2912[[#This Row],[DMD '[mg/g']]],Y$6,Y$2,FALSE),-100)</f>
        <v>-100</v>
      </c>
      <c r="BR317">
        <f>IF(Table2912[[#This Row],[CH4 '[ml/g']]]&lt;Z$10,_xlfn.NORM.DIST(Table2912[[#This Row],[CH4 '[ml/g']]],Z$6,Z$2,FALSE),-100)</f>
        <v>-100</v>
      </c>
      <c r="BS317">
        <f>IF(Table2912[[#This Row],[CH4 '[% GP']]]&lt;AA$10,_xlfn.NORM.DIST(Table2912[[#This Row],[CH4 '[% GP']]],AA$6,AA$2,FALSE),-100)</f>
        <v>-100</v>
      </c>
      <c r="BT317">
        <f>IF(Table2912[[#This Row],[CH4 '[g/g DDM']]]&lt;AB$10,_xlfn.NORM.DIST(Table2912[[#This Row],[CH4 '[g/g DDM']]],AB$6,AB$2,FALSE),-100)</f>
        <v>-100</v>
      </c>
    </row>
    <row r="318" spans="1:72" x14ac:dyDescent="0.25">
      <c r="A318" s="12" t="s">
        <v>86</v>
      </c>
      <c r="B318" s="13">
        <v>1070</v>
      </c>
      <c r="C318" s="32">
        <v>7985</v>
      </c>
      <c r="D318" s="104" t="s">
        <v>161</v>
      </c>
      <c r="E318" t="s">
        <v>242</v>
      </c>
      <c r="F318" t="s">
        <v>147</v>
      </c>
      <c r="G318" s="32" t="s">
        <v>73</v>
      </c>
      <c r="H318" s="32" t="s">
        <v>74</v>
      </c>
      <c r="I318" s="105" t="s">
        <v>44</v>
      </c>
      <c r="J318" s="70">
        <v>2</v>
      </c>
      <c r="K318" s="70"/>
      <c r="L318" s="70"/>
      <c r="M318" t="s">
        <v>147</v>
      </c>
      <c r="N318" t="s">
        <v>124</v>
      </c>
      <c r="O318" s="18">
        <v>254.99057637519124</v>
      </c>
      <c r="P318" s="18">
        <v>7.1485001888733333</v>
      </c>
      <c r="Q318" s="97">
        <v>0.67004189532042902</v>
      </c>
      <c r="R318" s="97">
        <v>0.16807238769631194</v>
      </c>
      <c r="S318" s="97">
        <v>8.019028657103601E-2</v>
      </c>
      <c r="T318" s="97">
        <v>2.4436849081583334E-2</v>
      </c>
      <c r="U318" s="97">
        <v>8.0005552043371504E-4</v>
      </c>
      <c r="V318" s="97">
        <v>1.9612845654188277E-2</v>
      </c>
      <c r="W318" s="97">
        <v>3.6845680156017732E-2</v>
      </c>
      <c r="X318" s="51">
        <f t="shared" si="23"/>
        <v>6.2624364990132095</v>
      </c>
      <c r="Y318" s="18">
        <v>829.84821729278042</v>
      </c>
      <c r="Z318" s="18">
        <v>44.767028496003185</v>
      </c>
      <c r="AA318" s="18">
        <f t="shared" si="24"/>
        <v>17.556346251060397</v>
      </c>
      <c r="AB318" s="18">
        <f t="shared" si="25"/>
        <v>53.946044063391462</v>
      </c>
      <c r="AC318" s="18">
        <f>$CP$15*Table2912[[#This Row],[DMD '[mg/g']]]+$CS$15*Table2912[[#This Row],[CH4 '[ml/g']]]+$CR$15*Table2912[[#This Row],[CH4 '[% GP']]]+$CQ$15*Table2912[[#This Row],[CH4 '[g/g DDM']]]</f>
        <v>17.947699360871674</v>
      </c>
      <c r="AD318" s="18">
        <f>_xlfn.RANK.AVG(Table2912[[#This Row],[Index]],Table2912[Index])</f>
        <v>206</v>
      </c>
      <c r="AE31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6.5645003891414691</v>
      </c>
      <c r="AF318" s="18">
        <f>Table2912[[#This Row],[CH4 '[ml/g']]]/Table2912[[#This Row],[APB]]</f>
        <v>6.819563689881659</v>
      </c>
      <c r="AG318" s="18">
        <f>Table2912[[#This Row],[Propionate '[%']]]/Table2912[[#This Row],[Acetate '[%']]]</f>
        <v>0.25083862497275033</v>
      </c>
      <c r="AH318" s="51"/>
      <c r="AI318" s="18"/>
      <c r="AJ318" s="18"/>
      <c r="AK318" s="18">
        <f>(Table2912[[#This Row],[DMD '[mg/g']]]-$AK$15)/$AK$15*100</f>
        <v>69.256910466894254</v>
      </c>
      <c r="AL318" s="18">
        <f>(Table2912[[#This Row],[CH4 '[ml/g']]]-AL$15)/AL$15*100</f>
        <v>13.817735794902939</v>
      </c>
      <c r="AM318" s="18">
        <f>(Table2912[[#This Row],[CH4 '[% GP']]]-AM$15)/AM$15*100</f>
        <v>13.103634232633835</v>
      </c>
      <c r="AN318" s="18">
        <f>(Table2912[[#This Row],[CH4 '[g/g DDM']]]-AN$15)/AN$15*100</f>
        <v>5.331428098805663</v>
      </c>
      <c r="AO318" s="18"/>
      <c r="AP318" s="18"/>
      <c r="AR318">
        <f>_xlfn.NORM.DIST(Table2912[[#This Row],[GP '[ml/g']]],O$6,O$2,FALSE)</f>
        <v>7.4795372073915697E-3</v>
      </c>
      <c r="AS318">
        <f>_xlfn.NORM.DIST(Table2912[[#This Row],[SCFA '[mmol/g']]],P$6,P$2,FALSE)</f>
        <v>0.29222040596475884</v>
      </c>
      <c r="AT318">
        <f>_xlfn.NORM.DIST(Table2912[[#This Row],[Acetate '[%']]],Q$6,Q$2,FALSE)</f>
        <v>13.944727819409694</v>
      </c>
      <c r="AU318">
        <f>_xlfn.NORM.DIST(Table2912[[#This Row],[Propionate '[%']]],R$6,R$2,FALSE)</f>
        <v>16.578235973873191</v>
      </c>
      <c r="AV318">
        <f>_xlfn.NORM.DIST(Table2912[[#This Row],[Butyrate '[%']]],S$6,S$2,FALSE)</f>
        <v>17.579168431466456</v>
      </c>
      <c r="AW318">
        <f>_xlfn.NORM.DIST(Table2912[[#This Row],[Valerate '[%']]],T$6,T$2,FALSE)</f>
        <v>32.60425094919092</v>
      </c>
      <c r="AX318">
        <f>_xlfn.NORM.DIST(Table2912[[#This Row],[Caproate '[%']]],U$6,U$2,FALSE)</f>
        <v>351.01215941773108</v>
      </c>
      <c r="AY318">
        <f>_xlfn.NORM.DIST(Table2912[[#This Row],[Isobutyrate '[%']]],V$6,V$2,FALSE)</f>
        <v>56.286273373831129</v>
      </c>
      <c r="AZ318">
        <f>_xlfn.NORM.DIST(Table2912[[#This Row],[Isovalerate '[%']]],W$6,W$2,FALSE)</f>
        <v>27.024124418657962</v>
      </c>
      <c r="BA318">
        <f>_xlfn.NORM.DIST(Table2912[[#This Row],[CH4 '[g/mmol SCFA']]],X$6,X$2,FALSE)</f>
        <v>0.29737307854579165</v>
      </c>
      <c r="BB318">
        <f>_xlfn.NORM.DIST(Table2912[[#This Row],[DMD '[mg/g']]],Y$6,Y$2,FALSE)</f>
        <v>2.6986763656844199E-3</v>
      </c>
      <c r="BC318">
        <f>_xlfn.NORM.DIST(Table2912[[#This Row],[CH4 '[ml/g']]],Z$6,Z$2,FALSE)</f>
        <v>3.2191281017697339E-2</v>
      </c>
      <c r="BD318">
        <f>_xlfn.NORM.DIST(Table2912[[#This Row],[CH4 '[% GP']]],AA$6,AA$2,FALSE)</f>
        <v>0.11873828915674484</v>
      </c>
      <c r="BE318">
        <f>_xlfn.NORM.DIST(Table2912[[#This Row],[CH4 '[g/g DDM']]],AB$6,AB$2,FALSE)</f>
        <v>3.2813135179505869E-2</v>
      </c>
      <c r="BG318">
        <f>IF(Table2912[[#This Row],[GP '[ml/g']]]&lt;O$10,_xlfn.NORM.DIST(Table2912[[#This Row],[GP '[ml/g']]],O$6,O$2,FALSE),-100)</f>
        <v>-100</v>
      </c>
      <c r="BH318">
        <f>IF(Table2912[[#This Row],[SCFA '[mmol/g']]]&lt;P$10,_xlfn.NORM.DIST(Table2912[[#This Row],[SCFA '[mmol/g']]],P$6,P$2,FALSE),-100)</f>
        <v>-100</v>
      </c>
      <c r="BI318">
        <f>IF(Table2912[[#This Row],[Acetate '[%']]]&lt;Q$10,_xlfn.NORM.DIST(Table2912[[#This Row],[Acetate '[%']]],Q$6,Q$2,FALSE),-100)</f>
        <v>-100</v>
      </c>
      <c r="BJ318">
        <f>IF(Table2912[[#This Row],[Propionate '[%']]]&lt;R$10,_xlfn.NORM.DIST(Table2912[[#This Row],[Propionate '[%']]],R$6,R$2,FALSE),-100)</f>
        <v>-100</v>
      </c>
      <c r="BK318">
        <f>IF(Table2912[[#This Row],[Butyrate '[%']]]&lt;S$10,_xlfn.NORM.DIST(Table2912[[#This Row],[Butyrate '[%']]],S$6,S$2,FALSE),-100)</f>
        <v>-100</v>
      </c>
      <c r="BL318">
        <f>IF(Table2912[[#This Row],[Valerate '[%']]]&lt;T$10,_xlfn.NORM.DIST(Table2912[[#This Row],[Valerate '[%']]],T$6,T$2,FALSE),-100)</f>
        <v>-100</v>
      </c>
      <c r="BM318">
        <f>IF(Table2912[[#This Row],[Caproate '[%']]]&lt;U$10,_xlfn.NORM.DIST(Table2912[[#This Row],[Caproate '[%']]],U$6,U$2,FALSE),-100)</f>
        <v>-100</v>
      </c>
      <c r="BN318">
        <f>IF(Table2912[[#This Row],[Isobutyrate '[%']]]&lt;V$10,_xlfn.NORM.DIST(Table2912[[#This Row],[Isobutyrate '[%']]],V$6,V$2,FALSE),-100)</f>
        <v>-100</v>
      </c>
      <c r="BO318">
        <f>IF(Table2912[[#This Row],[Isovalerate '[%']]]&lt;W$10,_xlfn.NORM.DIST(Table2912[[#This Row],[Isovalerate '[%']]],W$6,W$2,FALSE),-100)</f>
        <v>-100</v>
      </c>
      <c r="BP318">
        <f>IF(Table2912[[#This Row],[CH4 '[g/mmol SCFA']]]&lt;X$10,_xlfn.NORM.DIST(Table2912[[#This Row],[CH4 '[g/mmol SCFA']]],X$6,X$2,FALSE),-100)</f>
        <v>-100</v>
      </c>
      <c r="BQ318">
        <f>IF(Table2912[[#This Row],[DMD '[mg/g']]]&gt;Y$10,_xlfn.NORM.DIST(Table2912[[#This Row],[DMD '[mg/g']]],Y$6,Y$2,FALSE),-100)</f>
        <v>-100</v>
      </c>
      <c r="BR318">
        <f>IF(Table2912[[#This Row],[CH4 '[ml/g']]]&lt;Z$10,_xlfn.NORM.DIST(Table2912[[#This Row],[CH4 '[ml/g']]],Z$6,Z$2,FALSE),-100)</f>
        <v>-100</v>
      </c>
      <c r="BS318">
        <f>IF(Table2912[[#This Row],[CH4 '[% GP']]]&lt;AA$10,_xlfn.NORM.DIST(Table2912[[#This Row],[CH4 '[% GP']]],AA$6,AA$2,FALSE),-100)</f>
        <v>-100</v>
      </c>
      <c r="BT318">
        <f>IF(Table2912[[#This Row],[CH4 '[g/g DDM']]]&lt;AB$10,_xlfn.NORM.DIST(Table2912[[#This Row],[CH4 '[g/g DDM']]],AB$6,AB$2,FALSE),-100)</f>
        <v>-100</v>
      </c>
    </row>
    <row r="319" spans="1:72" x14ac:dyDescent="0.25">
      <c r="A319" s="12" t="s">
        <v>86</v>
      </c>
      <c r="B319" s="13">
        <v>1084</v>
      </c>
      <c r="C319" s="32">
        <v>6294</v>
      </c>
      <c r="D319" s="104" t="s">
        <v>164</v>
      </c>
      <c r="E319" t="s">
        <v>165</v>
      </c>
      <c r="F319" t="s">
        <v>166</v>
      </c>
      <c r="G319" s="23" t="s">
        <v>143</v>
      </c>
      <c r="H319" s="23" t="s">
        <v>144</v>
      </c>
      <c r="I319" s="32" t="s">
        <v>52</v>
      </c>
      <c r="J319" s="100">
        <v>2</v>
      </c>
      <c r="K319" s="70"/>
      <c r="L319" s="70"/>
      <c r="M319" t="s">
        <v>166</v>
      </c>
      <c r="N319" t="s">
        <v>145</v>
      </c>
      <c r="O319" s="18">
        <v>296.56640368178819</v>
      </c>
      <c r="P319" s="18">
        <v>6.1921813322315007</v>
      </c>
      <c r="Q319" s="97">
        <v>0.6458606390105226</v>
      </c>
      <c r="R319" s="97">
        <v>0.18633771202471133</v>
      </c>
      <c r="S319" s="97">
        <v>0.10037365329852777</v>
      </c>
      <c r="T319" s="97">
        <v>1.8174486854097185E-2</v>
      </c>
      <c r="U319" s="97">
        <v>5.4904125109142804E-4</v>
      </c>
      <c r="V319" s="97">
        <v>1.6500407296540731E-2</v>
      </c>
      <c r="W319" s="97">
        <v>3.2204060264508921E-2</v>
      </c>
      <c r="X319" s="51">
        <f t="shared" si="23"/>
        <v>7.6858363563378171</v>
      </c>
      <c r="Y319" s="18">
        <v>833.25190850274475</v>
      </c>
      <c r="Z319" s="18">
        <v>47.592092408301205</v>
      </c>
      <c r="AA319" s="18">
        <f t="shared" si="24"/>
        <v>16.047701903337266</v>
      </c>
      <c r="AB319" s="18">
        <f t="shared" si="25"/>
        <v>57.116091691669297</v>
      </c>
      <c r="AC319" s="18">
        <f>$CP$15*Table2912[[#This Row],[DMD '[mg/g']]]+$CS$15*Table2912[[#This Row],[CH4 '[ml/g']]]+$CR$15*Table2912[[#This Row],[CH4 '[% GP']]]+$CQ$15*Table2912[[#This Row],[CH4 '[g/g DDM']]]</f>
        <v>17.45151071381909</v>
      </c>
      <c r="AD319" s="18">
        <f>_xlfn.RANK.AVG(Table2912[[#This Row],[Index]],Table2912[Index])</f>
        <v>216</v>
      </c>
      <c r="AE31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5.7746549561972333</v>
      </c>
      <c r="AF319" s="18">
        <f>Table2912[[#This Row],[CH4 '[ml/g']]]/Table2912[[#This Row],[APB]]</f>
        <v>8.2415473771686418</v>
      </c>
      <c r="AG319" s="18">
        <f>Table2912[[#This Row],[Propionate '[%']]]/Table2912[[#This Row],[Acetate '[%']]]</f>
        <v>0.28851071077839047</v>
      </c>
      <c r="AH319" s="51"/>
      <c r="AI319" s="18"/>
      <c r="AJ319" s="18"/>
      <c r="AK319" s="18">
        <f>(Table2912[[#This Row],[DMD '[mg/g']]]-$AK$15)/$AK$15*100</f>
        <v>69.951131706847377</v>
      </c>
      <c r="AL319" s="18">
        <f>(Table2912[[#This Row],[CH4 '[ml/g']]]-AL$15)/AL$15*100</f>
        <v>21.00030718228815</v>
      </c>
      <c r="AM319" s="18">
        <f>(Table2912[[#This Row],[CH4 '[% GP']]]-AM$15)/AM$15*100</f>
        <v>3.3844616865978825</v>
      </c>
      <c r="AN319" s="18">
        <f>(Table2912[[#This Row],[CH4 '[g/g DDM']]]-AN$15)/AN$15*100</f>
        <v>11.521050519225721</v>
      </c>
      <c r="AO319" s="18"/>
      <c r="AP319" s="18"/>
      <c r="AR319">
        <f>_xlfn.NORM.DIST(Table2912[[#This Row],[GP '[ml/g']]],O$6,O$2,FALSE)</f>
        <v>5.5602585275354895E-3</v>
      </c>
      <c r="AS319">
        <f>_xlfn.NORM.DIST(Table2912[[#This Row],[SCFA '[mmol/g']]],P$6,P$2,FALSE)</f>
        <v>0.31922664421492769</v>
      </c>
      <c r="AT319">
        <f>_xlfn.NORM.DIST(Table2912[[#This Row],[Acetate '[%']]],Q$6,Q$2,FALSE)</f>
        <v>8.8595980260216933</v>
      </c>
      <c r="AU319">
        <f>_xlfn.NORM.DIST(Table2912[[#This Row],[Propionate '[%']]],R$6,R$2,FALSE)</f>
        <v>13.948676472133133</v>
      </c>
      <c r="AV319">
        <f>_xlfn.NORM.DIST(Table2912[[#This Row],[Butyrate '[%']]],S$6,S$2,FALSE)</f>
        <v>20.994772130986789</v>
      </c>
      <c r="AW319">
        <f>_xlfn.NORM.DIST(Table2912[[#This Row],[Valerate '[%']]],T$6,T$2,FALSE)</f>
        <v>77.009271577726551</v>
      </c>
      <c r="AX319">
        <f>_xlfn.NORM.DIST(Table2912[[#This Row],[Caproate '[%']]],U$6,U$2,FALSE)</f>
        <v>295.55424789542036</v>
      </c>
      <c r="AY319">
        <f>_xlfn.NORM.DIST(Table2912[[#This Row],[Isobutyrate '[%']]],V$6,V$2,FALSE)</f>
        <v>86.994433619073376</v>
      </c>
      <c r="AZ319">
        <f>_xlfn.NORM.DIST(Table2912[[#This Row],[Isovalerate '[%']]],W$6,W$2,FALSE)</f>
        <v>40.277126458868864</v>
      </c>
      <c r="BA319">
        <f>_xlfn.NORM.DIST(Table2912[[#This Row],[CH4 '[g/mmol SCFA']]],X$6,X$2,FALSE)</f>
        <v>0.17209553368637398</v>
      </c>
      <c r="BB319">
        <f>_xlfn.NORM.DIST(Table2912[[#This Row],[DMD '[mg/g']]],Y$6,Y$2,FALSE)</f>
        <v>2.6715500921780416E-3</v>
      </c>
      <c r="BC319">
        <f>_xlfn.NORM.DIST(Table2912[[#This Row],[CH4 '[ml/g']]],Z$6,Z$2,FALSE)</f>
        <v>2.9265596225754129E-2</v>
      </c>
      <c r="BD319">
        <f>_xlfn.NORM.DIST(Table2912[[#This Row],[CH4 '[% GP']]],AA$6,AA$2,FALSE)</f>
        <v>0.13471360054841136</v>
      </c>
      <c r="BE319">
        <f>_xlfn.NORM.DIST(Table2912[[#This Row],[CH4 '[g/g DDM']]],AB$6,AB$2,FALSE)</f>
        <v>3.1312983738104885E-2</v>
      </c>
      <c r="BG319">
        <f>IF(Table2912[[#This Row],[GP '[ml/g']]]&lt;O$10,_xlfn.NORM.DIST(Table2912[[#This Row],[GP '[ml/g']]],O$6,O$2,FALSE),-100)</f>
        <v>-100</v>
      </c>
      <c r="BH319">
        <f>IF(Table2912[[#This Row],[SCFA '[mmol/g']]]&lt;P$10,_xlfn.NORM.DIST(Table2912[[#This Row],[SCFA '[mmol/g']]],P$6,P$2,FALSE),-100)</f>
        <v>-100</v>
      </c>
      <c r="BI319">
        <f>IF(Table2912[[#This Row],[Acetate '[%']]]&lt;Q$10,_xlfn.NORM.DIST(Table2912[[#This Row],[Acetate '[%']]],Q$6,Q$2,FALSE),-100)</f>
        <v>-100</v>
      </c>
      <c r="BJ319">
        <f>IF(Table2912[[#This Row],[Propionate '[%']]]&lt;R$10,_xlfn.NORM.DIST(Table2912[[#This Row],[Propionate '[%']]],R$6,R$2,FALSE),-100)</f>
        <v>-100</v>
      </c>
      <c r="BK319">
        <f>IF(Table2912[[#This Row],[Butyrate '[%']]]&lt;S$10,_xlfn.NORM.DIST(Table2912[[#This Row],[Butyrate '[%']]],S$6,S$2,FALSE),-100)</f>
        <v>-100</v>
      </c>
      <c r="BL319">
        <f>IF(Table2912[[#This Row],[Valerate '[%']]]&lt;T$10,_xlfn.NORM.DIST(Table2912[[#This Row],[Valerate '[%']]],T$6,T$2,FALSE),-100)</f>
        <v>-100</v>
      </c>
      <c r="BM319">
        <f>IF(Table2912[[#This Row],[Caproate '[%']]]&lt;U$10,_xlfn.NORM.DIST(Table2912[[#This Row],[Caproate '[%']]],U$6,U$2,FALSE),-100)</f>
        <v>-100</v>
      </c>
      <c r="BN319">
        <f>IF(Table2912[[#This Row],[Isobutyrate '[%']]]&lt;V$10,_xlfn.NORM.DIST(Table2912[[#This Row],[Isobutyrate '[%']]],V$6,V$2,FALSE),-100)</f>
        <v>-100</v>
      </c>
      <c r="BO319">
        <f>IF(Table2912[[#This Row],[Isovalerate '[%']]]&lt;W$10,_xlfn.NORM.DIST(Table2912[[#This Row],[Isovalerate '[%']]],W$6,W$2,FALSE),-100)</f>
        <v>-100</v>
      </c>
      <c r="BP319">
        <f>IF(Table2912[[#This Row],[CH4 '[g/mmol SCFA']]]&lt;X$10,_xlfn.NORM.DIST(Table2912[[#This Row],[CH4 '[g/mmol SCFA']]],X$6,X$2,FALSE),-100)</f>
        <v>-100</v>
      </c>
      <c r="BQ319">
        <f>IF(Table2912[[#This Row],[DMD '[mg/g']]]&gt;Y$10,_xlfn.NORM.DIST(Table2912[[#This Row],[DMD '[mg/g']]],Y$6,Y$2,FALSE),-100)</f>
        <v>-100</v>
      </c>
      <c r="BR319">
        <f>IF(Table2912[[#This Row],[CH4 '[ml/g']]]&lt;Z$10,_xlfn.NORM.DIST(Table2912[[#This Row],[CH4 '[ml/g']]],Z$6,Z$2,FALSE),-100)</f>
        <v>-100</v>
      </c>
      <c r="BS319">
        <f>IF(Table2912[[#This Row],[CH4 '[% GP']]]&lt;AA$10,_xlfn.NORM.DIST(Table2912[[#This Row],[CH4 '[% GP']]],AA$6,AA$2,FALSE),-100)</f>
        <v>-100</v>
      </c>
      <c r="BT319">
        <f>IF(Table2912[[#This Row],[CH4 '[g/g DDM']]]&lt;AB$10,_xlfn.NORM.DIST(Table2912[[#This Row],[CH4 '[g/g DDM']]],AB$6,AB$2,FALSE),-100)</f>
        <v>-100</v>
      </c>
    </row>
    <row r="320" spans="1:72" x14ac:dyDescent="0.25">
      <c r="A320" s="12" t="s">
        <v>200</v>
      </c>
      <c r="B320" s="13">
        <v>1210</v>
      </c>
      <c r="C320" s="113" t="s">
        <v>414</v>
      </c>
      <c r="D320" s="113" t="s">
        <v>391</v>
      </c>
      <c r="E320" s="113" t="s">
        <v>392</v>
      </c>
      <c r="F320" s="113" t="s">
        <v>393</v>
      </c>
      <c r="G320" t="s">
        <v>143</v>
      </c>
      <c r="H320" t="s">
        <v>144</v>
      </c>
      <c r="I320" t="s">
        <v>52</v>
      </c>
      <c r="J320" s="70">
        <v>1</v>
      </c>
      <c r="K320" s="70"/>
      <c r="L320" s="70"/>
      <c r="M320" t="s">
        <v>415</v>
      </c>
      <c r="N320" t="s">
        <v>352</v>
      </c>
      <c r="O320" s="18">
        <v>336.86037110669173</v>
      </c>
      <c r="P320" s="18">
        <v>8.0701324551592517</v>
      </c>
      <c r="Q320" s="97">
        <v>0.65331796830523514</v>
      </c>
      <c r="R320" s="97">
        <v>0.18924667676682444</v>
      </c>
      <c r="S320" s="97">
        <v>0.10516730360458318</v>
      </c>
      <c r="T320" s="97">
        <v>1.3398974794501788E-2</v>
      </c>
      <c r="U320" s="97">
        <v>1.5896131700759192E-3</v>
      </c>
      <c r="V320" s="97">
        <v>1.3634729242379096E-2</v>
      </c>
      <c r="W320" s="97">
        <v>2.3644734116400432E-2</v>
      </c>
      <c r="X320" s="51">
        <f t="shared" si="23"/>
        <v>6.5357641605840682</v>
      </c>
      <c r="Y320" s="18">
        <v>834.94989658011514</v>
      </c>
      <c r="Z320" s="18">
        <v>52.74448247159615</v>
      </c>
      <c r="AA320" s="18">
        <f t="shared" si="24"/>
        <v>15.657669169666358</v>
      </c>
      <c r="AB320" s="18">
        <f t="shared" si="25"/>
        <v>63.170835385013085</v>
      </c>
      <c r="AC320" s="18">
        <f>$CP$15*Table2912[[#This Row],[DMD '[mg/g']]]+$CS$15*Table2912[[#This Row],[CH4 '[ml/g']]]+$CR$15*Table2912[[#This Row],[CH4 '[% GP']]]+$CQ$15*Table2912[[#This Row],[CH4 '[g/g DDM']]]</f>
        <v>15.354265948059215</v>
      </c>
      <c r="AD320" s="18">
        <f>_xlfn.RANK.AVG(Table2912[[#This Row],[Index]],Table2912[Index])</f>
        <v>263</v>
      </c>
      <c r="AE32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7.6483223578066974</v>
      </c>
      <c r="AF320" s="18">
        <f>Table2912[[#This Row],[CH4 '[ml/g']]]/Table2912[[#This Row],[APB]]</f>
        <v>6.8962159286813378</v>
      </c>
      <c r="AG320" s="18">
        <f>Table2912[[#This Row],[Propionate '[%']]]/Table2912[[#This Row],[Acetate '[%']]]</f>
        <v>0.28967009319787596</v>
      </c>
      <c r="AH320" s="51"/>
      <c r="AI320" s="18"/>
      <c r="AJ320" s="18"/>
      <c r="AK320" s="18">
        <f>(Table2912[[#This Row],[DMD '[mg/g']]]-$AK$15)/$AK$15*100</f>
        <v>70.297455540527352</v>
      </c>
      <c r="AL320" s="18">
        <f>(Table2912[[#This Row],[CH4 '[ml/g']]]-AL$15)/AL$15*100</f>
        <v>34.099978762874386</v>
      </c>
      <c r="AM320" s="18">
        <f>(Table2912[[#This Row],[CH4 '[% GP']]]-AM$15)/AM$15*100</f>
        <v>0.87174525818930859</v>
      </c>
      <c r="AN320" s="18">
        <f>(Table2912[[#This Row],[CH4 '[g/g DDM']]]-AN$15)/AN$15*100</f>
        <v>23.343137032978593</v>
      </c>
      <c r="AO320" s="18"/>
      <c r="AP320" s="18"/>
      <c r="AR320">
        <f>_xlfn.NORM.DIST(Table2912[[#This Row],[GP '[ml/g']]],O$6,O$2,FALSE)</f>
        <v>2.3359769249819535E-3</v>
      </c>
      <c r="AS320">
        <f>_xlfn.NORM.DIST(Table2912[[#This Row],[SCFA '[mmol/g']]],P$6,P$2,FALSE)</f>
        <v>0.14698063335801395</v>
      </c>
      <c r="AT320">
        <f>_xlfn.NORM.DIST(Table2912[[#This Row],[Acetate '[%']]],Q$6,Q$2,FALSE)</f>
        <v>11.00641082774543</v>
      </c>
      <c r="AU320">
        <f>_xlfn.NORM.DIST(Table2912[[#This Row],[Propionate '[%']]],R$6,R$2,FALSE)</f>
        <v>12.8497154657436</v>
      </c>
      <c r="AV320">
        <f>_xlfn.NORM.DIST(Table2912[[#This Row],[Butyrate '[%']]],S$6,S$2,FALSE)</f>
        <v>17.938385791637547</v>
      </c>
      <c r="AW320">
        <f>_xlfn.NORM.DIST(Table2912[[#This Row],[Valerate '[%']]],T$6,T$2,FALSE)</f>
        <v>55.004138621161786</v>
      </c>
      <c r="AX320">
        <f>_xlfn.NORM.DIST(Table2912[[#This Row],[Caproate '[%']]],U$6,U$2,FALSE)</f>
        <v>393.21827597338125</v>
      </c>
      <c r="AY320">
        <f>_xlfn.NORM.DIST(Table2912[[#This Row],[Isobutyrate '[%']]],V$6,V$2,FALSE)</f>
        <v>83.867916619165001</v>
      </c>
      <c r="AZ320">
        <f>_xlfn.NORM.DIST(Table2912[[#This Row],[Isovalerate '[%']]],W$6,W$2,FALSE)</f>
        <v>40.40831508496418</v>
      </c>
      <c r="BA320">
        <f>_xlfn.NORM.DIST(Table2912[[#This Row],[CH4 '[g/mmol SCFA']]],X$6,X$2,FALSE)</f>
        <v>0.29216296211376125</v>
      </c>
      <c r="BB320">
        <f>_xlfn.NORM.DIST(Table2912[[#This Row],[DMD '[mg/g']]],Y$6,Y$2,FALSE)</f>
        <v>2.6575047565957828E-3</v>
      </c>
      <c r="BC320">
        <f>_xlfn.NORM.DIST(Table2912[[#This Row],[CH4 '[ml/g']]],Z$6,Z$2,FALSE)</f>
        <v>2.1277864970916452E-2</v>
      </c>
      <c r="BD320">
        <f>_xlfn.NORM.DIST(Table2912[[#This Row],[CH4 '[% GP']]],AA$6,AA$2,FALSE)</f>
        <v>0.1334280851786141</v>
      </c>
      <c r="BE320">
        <f>_xlfn.NORM.DIST(Table2912[[#This Row],[CH4 '[g/g DDM']]],AB$6,AB$2,FALSE)</f>
        <v>2.36952623014931E-2</v>
      </c>
      <c r="BG320">
        <f>IF(Table2912[[#This Row],[GP '[ml/g']]]&lt;O$10,_xlfn.NORM.DIST(Table2912[[#This Row],[GP '[ml/g']]],O$6,O$2,FALSE),-100)</f>
        <v>-100</v>
      </c>
      <c r="BH320">
        <f>IF(Table2912[[#This Row],[SCFA '[mmol/g']]]&lt;P$10,_xlfn.NORM.DIST(Table2912[[#This Row],[SCFA '[mmol/g']]],P$6,P$2,FALSE),-100)</f>
        <v>-100</v>
      </c>
      <c r="BI320">
        <f>IF(Table2912[[#This Row],[Acetate '[%']]]&lt;Q$10,_xlfn.NORM.DIST(Table2912[[#This Row],[Acetate '[%']]],Q$6,Q$2,FALSE),-100)</f>
        <v>-100</v>
      </c>
      <c r="BJ320">
        <f>IF(Table2912[[#This Row],[Propionate '[%']]]&lt;R$10,_xlfn.NORM.DIST(Table2912[[#This Row],[Propionate '[%']]],R$6,R$2,FALSE),-100)</f>
        <v>-100</v>
      </c>
      <c r="BK320">
        <f>IF(Table2912[[#This Row],[Butyrate '[%']]]&lt;S$10,_xlfn.NORM.DIST(Table2912[[#This Row],[Butyrate '[%']]],S$6,S$2,FALSE),-100)</f>
        <v>-100</v>
      </c>
      <c r="BL320">
        <f>IF(Table2912[[#This Row],[Valerate '[%']]]&lt;T$10,_xlfn.NORM.DIST(Table2912[[#This Row],[Valerate '[%']]],T$6,T$2,FALSE),-100)</f>
        <v>-100</v>
      </c>
      <c r="BM320">
        <f>IF(Table2912[[#This Row],[Caproate '[%']]]&lt;U$10,_xlfn.NORM.DIST(Table2912[[#This Row],[Caproate '[%']]],U$6,U$2,FALSE),-100)</f>
        <v>-100</v>
      </c>
      <c r="BN320">
        <f>IF(Table2912[[#This Row],[Isobutyrate '[%']]]&lt;V$10,_xlfn.NORM.DIST(Table2912[[#This Row],[Isobutyrate '[%']]],V$6,V$2,FALSE),-100)</f>
        <v>-100</v>
      </c>
      <c r="BO320">
        <f>IF(Table2912[[#This Row],[Isovalerate '[%']]]&lt;W$10,_xlfn.NORM.DIST(Table2912[[#This Row],[Isovalerate '[%']]],W$6,W$2,FALSE),-100)</f>
        <v>-100</v>
      </c>
      <c r="BP320">
        <f>IF(Table2912[[#This Row],[CH4 '[g/mmol SCFA']]]&lt;X$10,_xlfn.NORM.DIST(Table2912[[#This Row],[CH4 '[g/mmol SCFA']]],X$6,X$2,FALSE),-100)</f>
        <v>-100</v>
      </c>
      <c r="BQ320">
        <f>IF(Table2912[[#This Row],[DMD '[mg/g']]]&gt;Y$10,_xlfn.NORM.DIST(Table2912[[#This Row],[DMD '[mg/g']]],Y$6,Y$2,FALSE),-100)</f>
        <v>-100</v>
      </c>
      <c r="BR320">
        <f>IF(Table2912[[#This Row],[CH4 '[ml/g']]]&lt;Z$10,_xlfn.NORM.DIST(Table2912[[#This Row],[CH4 '[ml/g']]],Z$6,Z$2,FALSE),-100)</f>
        <v>-100</v>
      </c>
      <c r="BS320">
        <f>IF(Table2912[[#This Row],[CH4 '[% GP']]]&lt;AA$10,_xlfn.NORM.DIST(Table2912[[#This Row],[CH4 '[% GP']]],AA$6,AA$2,FALSE),-100)</f>
        <v>-100</v>
      </c>
      <c r="BT320">
        <f>IF(Table2912[[#This Row],[CH4 '[g/g DDM']]]&lt;AB$10,_xlfn.NORM.DIST(Table2912[[#This Row],[CH4 '[g/g DDM']]],AB$6,AB$2,FALSE),-100)</f>
        <v>-100</v>
      </c>
    </row>
    <row r="321" spans="1:72" x14ac:dyDescent="0.25">
      <c r="A321" s="12" t="s">
        <v>200</v>
      </c>
      <c r="B321" s="13">
        <v>1208</v>
      </c>
      <c r="C321" s="113" t="s">
        <v>390</v>
      </c>
      <c r="D321" s="113" t="s">
        <v>391</v>
      </c>
      <c r="E321" s="113" t="s">
        <v>392</v>
      </c>
      <c r="F321" s="113" t="s">
        <v>393</v>
      </c>
      <c r="G321" s="32" t="s">
        <v>73</v>
      </c>
      <c r="H321" s="32" t="s">
        <v>74</v>
      </c>
      <c r="I321" s="104" t="s">
        <v>44</v>
      </c>
      <c r="J321" s="70">
        <v>2</v>
      </c>
      <c r="K321" s="70"/>
      <c r="L321" s="70"/>
      <c r="M321" t="s">
        <v>394</v>
      </c>
      <c r="N321" t="s">
        <v>245</v>
      </c>
      <c r="O321" s="18">
        <v>343.00570866141646</v>
      </c>
      <c r="P321" s="18">
        <v>8.23198602340549</v>
      </c>
      <c r="Q321" s="97">
        <v>0.65789155437736158</v>
      </c>
      <c r="R321" s="97">
        <v>0.17129448340208198</v>
      </c>
      <c r="S321" s="97">
        <v>0.11754109999864756</v>
      </c>
      <c r="T321" s="97">
        <v>1.4598415366360064E-2</v>
      </c>
      <c r="U321" s="97">
        <v>3.0452551719648232E-3</v>
      </c>
      <c r="V321" s="97">
        <v>1.2530848540565418E-2</v>
      </c>
      <c r="W321" s="97">
        <v>2.3098343143018455E-2</v>
      </c>
      <c r="X321" s="51">
        <f t="shared" si="23"/>
        <v>7.3357231775109781</v>
      </c>
      <c r="Y321" s="18">
        <v>835.32825723517249</v>
      </c>
      <c r="Z321" s="18">
        <v>60.387570668842081</v>
      </c>
      <c r="AA321" s="18">
        <f t="shared" si="24"/>
        <v>17.605412721702283</v>
      </c>
      <c r="AB321" s="18">
        <f t="shared" si="25"/>
        <v>72.292024297989229</v>
      </c>
      <c r="AC321" s="18">
        <f>$CP$15*Table2912[[#This Row],[DMD '[mg/g']]]+$CS$15*Table2912[[#This Row],[CH4 '[ml/g']]]+$CR$15*Table2912[[#This Row],[CH4 '[% GP']]]+$CQ$15*Table2912[[#This Row],[CH4 '[g/g DDM']]]</f>
        <v>11.246164336331859</v>
      </c>
      <c r="AD321" s="18">
        <f>_xlfn.RANK.AVG(Table2912[[#This Row],[Index]],Table2912[Index])</f>
        <v>342</v>
      </c>
      <c r="AE32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7.7934445661679295</v>
      </c>
      <c r="AF321" s="18">
        <f>Table2912[[#This Row],[CH4 '[ml/g']]]/Table2912[[#This Row],[APB]]</f>
        <v>7.748508397812973</v>
      </c>
      <c r="AG321" s="18">
        <f>Table2912[[#This Row],[Propionate '[%']]]/Table2912[[#This Row],[Acetate '[%']]]</f>
        <v>0.2603688742656039</v>
      </c>
      <c r="AH321" s="51"/>
      <c r="AI321" s="18"/>
      <c r="AJ321" s="18"/>
      <c r="AK321" s="18">
        <f>(Table2912[[#This Row],[DMD '[mg/g']]]-$AK$15)/$AK$15*100</f>
        <v>70.374626466707269</v>
      </c>
      <c r="AL321" s="18">
        <f>(Table2912[[#This Row],[CH4 '[ml/g']]]-AL$15)/AL$15*100</f>
        <v>53.532114920156857</v>
      </c>
      <c r="AM321" s="18">
        <f>(Table2912[[#This Row],[CH4 '[% GP']]]-AM$15)/AM$15*100</f>
        <v>13.419736231831472</v>
      </c>
      <c r="AN321" s="18">
        <f>(Table2912[[#This Row],[CH4 '[g/g DDM']]]-AN$15)/AN$15*100</f>
        <v>41.152558851449747</v>
      </c>
      <c r="AO321" s="18"/>
      <c r="AP321" s="18"/>
      <c r="AR321">
        <f>_xlfn.NORM.DIST(Table2912[[#This Row],[GP '[ml/g']]],O$6,O$2,FALSE)</f>
        <v>1.9464510899700289E-3</v>
      </c>
      <c r="AS321">
        <f>_xlfn.NORM.DIST(Table2912[[#This Row],[SCFA '[mmol/g']]],P$6,P$2,FALSE)</f>
        <v>0.1225621379403828</v>
      </c>
      <c r="AT321">
        <f>_xlfn.NORM.DIST(Table2912[[#This Row],[Acetate '[%']]],Q$6,Q$2,FALSE)</f>
        <v>12.152538048342301</v>
      </c>
      <c r="AU321">
        <f>_xlfn.NORM.DIST(Table2912[[#This Row],[Propionate '[%']]],R$6,R$2,FALSE)</f>
        <v>16.786199101507169</v>
      </c>
      <c r="AV321">
        <f>_xlfn.NORM.DIST(Table2912[[#This Row],[Butyrate '[%']]],S$6,S$2,FALSE)</f>
        <v>8.388585578958125</v>
      </c>
      <c r="AW321">
        <f>_xlfn.NORM.DIST(Table2912[[#This Row],[Valerate '[%']]],T$6,T$2,FALSE)</f>
        <v>64.886945966620473</v>
      </c>
      <c r="AX321">
        <f>_xlfn.NORM.DIST(Table2912[[#This Row],[Caproate '[%']]],U$6,U$2,FALSE)</f>
        <v>88.555775679908777</v>
      </c>
      <c r="AY321">
        <f>_xlfn.NORM.DIST(Table2912[[#This Row],[Isobutyrate '[%']]],V$6,V$2,FALSE)</f>
        <v>73.939345779272088</v>
      </c>
      <c r="AZ321">
        <f>_xlfn.NORM.DIST(Table2912[[#This Row],[Isovalerate '[%']]],W$6,W$2,FALSE)</f>
        <v>39.133706646174808</v>
      </c>
      <c r="BA321">
        <f>_xlfn.NORM.DIST(Table2912[[#This Row],[CH4 '[g/mmol SCFA']]],X$6,X$2,FALSE)</f>
        <v>0.21854636736269875</v>
      </c>
      <c r="BB321">
        <f>_xlfn.NORM.DIST(Table2912[[#This Row],[DMD '[mg/g']]],Y$6,Y$2,FALSE)</f>
        <v>2.6543294185550322E-3</v>
      </c>
      <c r="BC321">
        <f>_xlfn.NORM.DIST(Table2912[[#This Row],[CH4 '[ml/g']]],Z$6,Z$2,FALSE)</f>
        <v>9.3925455709932236E-3</v>
      </c>
      <c r="BD321">
        <f>_xlfn.NORM.DIST(Table2912[[#This Row],[CH4 '[% GP']]],AA$6,AA$2,FALSE)</f>
        <v>0.11773762326296017</v>
      </c>
      <c r="BE321">
        <f>_xlfn.NORM.DIST(Table2912[[#This Row],[CH4 '[g/g DDM']]],AB$6,AB$2,FALSE)</f>
        <v>9.7376877026631534E-3</v>
      </c>
      <c r="BG321">
        <f>IF(Table2912[[#This Row],[GP '[ml/g']]]&lt;O$10,_xlfn.NORM.DIST(Table2912[[#This Row],[GP '[ml/g']]],O$6,O$2,FALSE),-100)</f>
        <v>-100</v>
      </c>
      <c r="BH321">
        <f>IF(Table2912[[#This Row],[SCFA '[mmol/g']]]&lt;P$10,_xlfn.NORM.DIST(Table2912[[#This Row],[SCFA '[mmol/g']]],P$6,P$2,FALSE),-100)</f>
        <v>-100</v>
      </c>
      <c r="BI321">
        <f>IF(Table2912[[#This Row],[Acetate '[%']]]&lt;Q$10,_xlfn.NORM.DIST(Table2912[[#This Row],[Acetate '[%']]],Q$6,Q$2,FALSE),-100)</f>
        <v>-100</v>
      </c>
      <c r="BJ321">
        <f>IF(Table2912[[#This Row],[Propionate '[%']]]&lt;R$10,_xlfn.NORM.DIST(Table2912[[#This Row],[Propionate '[%']]],R$6,R$2,FALSE),-100)</f>
        <v>-100</v>
      </c>
      <c r="BK321">
        <f>IF(Table2912[[#This Row],[Butyrate '[%']]]&lt;S$10,_xlfn.NORM.DIST(Table2912[[#This Row],[Butyrate '[%']]],S$6,S$2,FALSE),-100)</f>
        <v>-100</v>
      </c>
      <c r="BL321">
        <f>IF(Table2912[[#This Row],[Valerate '[%']]]&lt;T$10,_xlfn.NORM.DIST(Table2912[[#This Row],[Valerate '[%']]],T$6,T$2,FALSE),-100)</f>
        <v>-100</v>
      </c>
      <c r="BM321">
        <f>IF(Table2912[[#This Row],[Caproate '[%']]]&lt;U$10,_xlfn.NORM.DIST(Table2912[[#This Row],[Caproate '[%']]],U$6,U$2,FALSE),-100)</f>
        <v>-100</v>
      </c>
      <c r="BN321">
        <f>IF(Table2912[[#This Row],[Isobutyrate '[%']]]&lt;V$10,_xlfn.NORM.DIST(Table2912[[#This Row],[Isobutyrate '[%']]],V$6,V$2,FALSE),-100)</f>
        <v>-100</v>
      </c>
      <c r="BO321">
        <f>IF(Table2912[[#This Row],[Isovalerate '[%']]]&lt;W$10,_xlfn.NORM.DIST(Table2912[[#This Row],[Isovalerate '[%']]],W$6,W$2,FALSE),-100)</f>
        <v>-100</v>
      </c>
      <c r="BP321">
        <f>IF(Table2912[[#This Row],[CH4 '[g/mmol SCFA']]]&lt;X$10,_xlfn.NORM.DIST(Table2912[[#This Row],[CH4 '[g/mmol SCFA']]],X$6,X$2,FALSE),-100)</f>
        <v>-100</v>
      </c>
      <c r="BQ321">
        <f>IF(Table2912[[#This Row],[DMD '[mg/g']]]&gt;Y$10,_xlfn.NORM.DIST(Table2912[[#This Row],[DMD '[mg/g']]],Y$6,Y$2,FALSE),-100)</f>
        <v>-100</v>
      </c>
      <c r="BR321">
        <f>IF(Table2912[[#This Row],[CH4 '[ml/g']]]&lt;Z$10,_xlfn.NORM.DIST(Table2912[[#This Row],[CH4 '[ml/g']]],Z$6,Z$2,FALSE),-100)</f>
        <v>-100</v>
      </c>
      <c r="BS321">
        <f>IF(Table2912[[#This Row],[CH4 '[% GP']]]&lt;AA$10,_xlfn.NORM.DIST(Table2912[[#This Row],[CH4 '[% GP']]],AA$6,AA$2,FALSE),-100)</f>
        <v>-100</v>
      </c>
      <c r="BT321">
        <f>IF(Table2912[[#This Row],[CH4 '[g/g DDM']]]&lt;AB$10,_xlfn.NORM.DIST(Table2912[[#This Row],[CH4 '[g/g DDM']]],AB$6,AB$2,FALSE),-100)</f>
        <v>-100</v>
      </c>
    </row>
    <row r="322" spans="1:72" x14ac:dyDescent="0.25">
      <c r="A322" s="12" t="s">
        <v>200</v>
      </c>
      <c r="B322" s="13">
        <v>1262</v>
      </c>
      <c r="C322" s="119" t="s">
        <v>312</v>
      </c>
      <c r="D322" s="119" t="s">
        <v>313</v>
      </c>
      <c r="E322" s="119" t="s">
        <v>314</v>
      </c>
      <c r="F322" s="120" t="s">
        <v>315</v>
      </c>
      <c r="G322" s="53" t="s">
        <v>316</v>
      </c>
      <c r="H322" s="121" t="s">
        <v>317</v>
      </c>
      <c r="I322" s="121" t="s">
        <v>48</v>
      </c>
      <c r="J322" s="100">
        <v>1</v>
      </c>
      <c r="K322" s="100"/>
      <c r="L322" s="100"/>
      <c r="M322" t="s">
        <v>318</v>
      </c>
      <c r="N322" t="s">
        <v>363</v>
      </c>
      <c r="O322" s="18">
        <v>228.06964129483757</v>
      </c>
      <c r="P322" s="18">
        <v>5.2477580927384082</v>
      </c>
      <c r="Q322" s="97">
        <v>0.72563854203506639</v>
      </c>
      <c r="R322" s="97">
        <v>0.167426858171835</v>
      </c>
      <c r="S322" s="97">
        <v>7.3641350281986415E-2</v>
      </c>
      <c r="T322" s="97">
        <v>1.1023474197454499E-2</v>
      </c>
      <c r="U322" s="97">
        <v>6.4140161717666415E-4</v>
      </c>
      <c r="V322" s="97">
        <v>8.1697978497019992E-3</v>
      </c>
      <c r="W322" s="97">
        <v>1.3458575846779088E-2</v>
      </c>
      <c r="X322" s="51">
        <f t="shared" si="23"/>
        <v>7.0571079919093229</v>
      </c>
      <c r="Y322" s="18">
        <v>835.62992125984238</v>
      </c>
      <c r="Z322" s="18">
        <v>37.033995575871046</v>
      </c>
      <c r="AA322" s="18">
        <f t="shared" si="24"/>
        <v>16.238020705261363</v>
      </c>
      <c r="AB322" s="18">
        <f t="shared" si="25"/>
        <v>44.318656660877487</v>
      </c>
      <c r="AC322" s="18">
        <f>$CP$15*Table2912[[#This Row],[DMD '[mg/g']]]+$CS$15*Table2912[[#This Row],[CH4 '[ml/g']]]+$CR$15*Table2912[[#This Row],[CH4 '[% GP']]]+$CQ$15*Table2912[[#This Row],[CH4 '[g/g DDM']]]</f>
        <v>22.590213816440119</v>
      </c>
      <c r="AD322" s="18">
        <f>_xlfn.RANK.AVG(Table2912[[#This Row],[Index]],Table2912[Index])</f>
        <v>123</v>
      </c>
      <c r="AE32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5.07304317318291</v>
      </c>
      <c r="AF322" s="18">
        <f>Table2912[[#This Row],[CH4 '[ml/g']]]/Table2912[[#This Row],[APB]]</f>
        <v>7.3001538350077384</v>
      </c>
      <c r="AG322" s="18">
        <f>Table2912[[#This Row],[Propionate '[%']]]/Table2912[[#This Row],[Acetate '[%']]]</f>
        <v>0.23073038224001077</v>
      </c>
      <c r="AH322" s="51"/>
      <c r="AI322" s="18"/>
      <c r="AJ322" s="18"/>
      <c r="AK322" s="18">
        <f>(Table2912[[#This Row],[DMD '[mg/g']]]-$AK$15)/$AK$15*100</f>
        <v>70.43615424943988</v>
      </c>
      <c r="AL322" s="18">
        <f>(Table2912[[#This Row],[CH4 '[ml/g']]]-AL$15)/AL$15*100</f>
        <v>-5.8430799296758593</v>
      </c>
      <c r="AM322" s="18">
        <f>(Table2912[[#This Row],[CH4 '[% GP']]]-AM$15)/AM$15*100</f>
        <v>4.610556675418005</v>
      </c>
      <c r="AN322" s="18">
        <f>(Table2912[[#This Row],[CH4 '[g/g DDM']]]-AN$15)/AN$15*100</f>
        <v>-13.466362945439004</v>
      </c>
      <c r="AO322" s="18"/>
      <c r="AP322" s="18"/>
      <c r="AR322">
        <f>_xlfn.NORM.DIST(Table2912[[#This Row],[GP '[ml/g']]],O$6,O$2,FALSE)</f>
        <v>6.5539116559324593E-3</v>
      </c>
      <c r="AS322">
        <f>_xlfn.NORM.DIST(Table2912[[#This Row],[SCFA '[mmol/g']]],P$6,P$2,FALSE)</f>
        <v>0.18656879664292725</v>
      </c>
      <c r="AT322">
        <f>_xlfn.NORM.DIST(Table2912[[#This Row],[Acetate '[%']]],Q$6,Q$2,FALSE)</f>
        <v>2.5507812460964718</v>
      </c>
      <c r="AU322">
        <f>_xlfn.NORM.DIST(Table2912[[#This Row],[Propionate '[%']]],R$6,R$2,FALSE)</f>
        <v>16.500353214011156</v>
      </c>
      <c r="AV322">
        <f>_xlfn.NORM.DIST(Table2912[[#This Row],[Butyrate '[%']]],S$6,S$2,FALSE)</f>
        <v>12.396258954158181</v>
      </c>
      <c r="AW322">
        <f>_xlfn.NORM.DIST(Table2912[[#This Row],[Valerate '[%']]],T$6,T$2,FALSE)</f>
        <v>33.796047129978376</v>
      </c>
      <c r="AX322">
        <f>_xlfn.NORM.DIST(Table2912[[#This Row],[Caproate '[%']]],U$6,U$2,FALSE)</f>
        <v>317.26912054986445</v>
      </c>
      <c r="AY322">
        <f>_xlfn.NORM.DIST(Table2912[[#This Row],[Isobutyrate '[%']]],V$6,V$2,FALSE)</f>
        <v>24.455670961991636</v>
      </c>
      <c r="AZ322">
        <f>_xlfn.NORM.DIST(Table2912[[#This Row],[Isovalerate '[%']]],W$6,W$2,FALSE)</f>
        <v>11.761706814247779</v>
      </c>
      <c r="BA322">
        <f>_xlfn.NORM.DIST(Table2912[[#This Row],[CH4 '[g/mmol SCFA']]],X$6,X$2,FALSE)</f>
        <v>0.25175928558434479</v>
      </c>
      <c r="BB322">
        <f>_xlfn.NORM.DIST(Table2912[[#This Row],[DMD '[mg/g']]],Y$6,Y$2,FALSE)</f>
        <v>2.6517859325697552E-3</v>
      </c>
      <c r="BC322">
        <f>_xlfn.NORM.DIST(Table2912[[#This Row],[CH4 '[ml/g']]],Z$6,Z$2,FALSE)</f>
        <v>3.1329305985050064E-2</v>
      </c>
      <c r="BD322">
        <f>_xlfn.NORM.DIST(Table2912[[#This Row],[CH4 '[% GP']]],AA$6,AA$2,FALSE)</f>
        <v>0.13449570822489354</v>
      </c>
      <c r="BE322">
        <f>_xlfn.NORM.DIST(Table2912[[#This Row],[CH4 '[g/g DDM']]],AB$6,AB$2,FALSE)</f>
        <v>2.4908413590821077E-2</v>
      </c>
      <c r="BG322">
        <f>IF(Table2912[[#This Row],[GP '[ml/g']]]&lt;O$10,_xlfn.NORM.DIST(Table2912[[#This Row],[GP '[ml/g']]],O$6,O$2,FALSE),-100)</f>
        <v>-100</v>
      </c>
      <c r="BH322">
        <f>IF(Table2912[[#This Row],[SCFA '[mmol/g']]]&lt;P$10,_xlfn.NORM.DIST(Table2912[[#This Row],[SCFA '[mmol/g']]],P$6,P$2,FALSE),-100)</f>
        <v>0.18656879664292725</v>
      </c>
      <c r="BI322">
        <f>IF(Table2912[[#This Row],[Acetate '[%']]]&lt;Q$10,_xlfn.NORM.DIST(Table2912[[#This Row],[Acetate '[%']]],Q$6,Q$2,FALSE),-100)</f>
        <v>-100</v>
      </c>
      <c r="BJ322">
        <f>IF(Table2912[[#This Row],[Propionate '[%']]]&lt;R$10,_xlfn.NORM.DIST(Table2912[[#This Row],[Propionate '[%']]],R$6,R$2,FALSE),-100)</f>
        <v>-100</v>
      </c>
      <c r="BK322">
        <f>IF(Table2912[[#This Row],[Butyrate '[%']]]&lt;S$10,_xlfn.NORM.DIST(Table2912[[#This Row],[Butyrate '[%']]],S$6,S$2,FALSE),-100)</f>
        <v>12.396258954158181</v>
      </c>
      <c r="BL322">
        <f>IF(Table2912[[#This Row],[Valerate '[%']]]&lt;T$10,_xlfn.NORM.DIST(Table2912[[#This Row],[Valerate '[%']]],T$6,T$2,FALSE),-100)</f>
        <v>33.796047129978376</v>
      </c>
      <c r="BM322">
        <f>IF(Table2912[[#This Row],[Caproate '[%']]]&lt;U$10,_xlfn.NORM.DIST(Table2912[[#This Row],[Caproate '[%']]],U$6,U$2,FALSE),-100)</f>
        <v>-100</v>
      </c>
      <c r="BN322">
        <f>IF(Table2912[[#This Row],[Isobutyrate '[%']]]&lt;V$10,_xlfn.NORM.DIST(Table2912[[#This Row],[Isobutyrate '[%']]],V$6,V$2,FALSE),-100)</f>
        <v>24.455670961991636</v>
      </c>
      <c r="BO322">
        <f>IF(Table2912[[#This Row],[Isovalerate '[%']]]&lt;W$10,_xlfn.NORM.DIST(Table2912[[#This Row],[Isovalerate '[%']]],W$6,W$2,FALSE),-100)</f>
        <v>11.761706814247779</v>
      </c>
      <c r="BP322">
        <f>IF(Table2912[[#This Row],[CH4 '[g/mmol SCFA']]]&lt;X$10,_xlfn.NORM.DIST(Table2912[[#This Row],[CH4 '[g/mmol SCFA']]],X$6,X$2,FALSE),-100)</f>
        <v>-100</v>
      </c>
      <c r="BQ322">
        <f>IF(Table2912[[#This Row],[DMD '[mg/g']]]&gt;Y$10,_xlfn.NORM.DIST(Table2912[[#This Row],[DMD '[mg/g']]],Y$6,Y$2,FALSE),-100)</f>
        <v>-100</v>
      </c>
      <c r="BR322">
        <f>IF(Table2912[[#This Row],[CH4 '[ml/g']]]&lt;Z$10,_xlfn.NORM.DIST(Table2912[[#This Row],[CH4 '[ml/g']]],Z$6,Z$2,FALSE),-100)</f>
        <v>-100</v>
      </c>
      <c r="BS322">
        <f>IF(Table2912[[#This Row],[CH4 '[% GP']]]&lt;AA$10,_xlfn.NORM.DIST(Table2912[[#This Row],[CH4 '[% GP']]],AA$6,AA$2,FALSE),-100)</f>
        <v>-100</v>
      </c>
      <c r="BT322">
        <f>IF(Table2912[[#This Row],[CH4 '[g/g DDM']]]&lt;AB$10,_xlfn.NORM.DIST(Table2912[[#This Row],[CH4 '[g/g DDM']]],AB$6,AB$2,FALSE),-100)</f>
        <v>-100</v>
      </c>
    </row>
    <row r="323" spans="1:72" x14ac:dyDescent="0.25">
      <c r="A323" s="12" t="s">
        <v>70</v>
      </c>
      <c r="B323" s="13">
        <v>1002</v>
      </c>
      <c r="C323" s="96" t="s">
        <v>382</v>
      </c>
      <c r="D323" s="96"/>
      <c r="E323" s="96"/>
      <c r="F323" s="96" t="s">
        <v>383</v>
      </c>
      <c r="G323" t="s">
        <v>73</v>
      </c>
      <c r="H323" t="s">
        <v>74</v>
      </c>
      <c r="I323" t="s">
        <v>75</v>
      </c>
      <c r="J323" s="100">
        <v>1</v>
      </c>
      <c r="K323" s="100"/>
      <c r="L323" s="100"/>
      <c r="M323" t="s">
        <v>383</v>
      </c>
      <c r="N323" t="s">
        <v>76</v>
      </c>
      <c r="O323" s="18">
        <v>296.46985068071996</v>
      </c>
      <c r="P323" s="18">
        <v>7.5176980983837192</v>
      </c>
      <c r="Q323" s="97">
        <v>0.67058625311294728</v>
      </c>
      <c r="R323" s="97">
        <v>0.17282221944503079</v>
      </c>
      <c r="S323" s="97">
        <v>0.10111085863722499</v>
      </c>
      <c r="T323" s="97">
        <v>1.5704349677770575E-2</v>
      </c>
      <c r="U323" s="97">
        <v>7.0613922061377502E-4</v>
      </c>
      <c r="V323" s="97">
        <v>1.328844848702276E-2</v>
      </c>
      <c r="W323" s="97">
        <v>2.578173141938964E-2</v>
      </c>
      <c r="X323" s="51">
        <f t="shared" si="23"/>
        <v>5.6029788219654169</v>
      </c>
      <c r="Y323" s="18">
        <v>835.82783499171467</v>
      </c>
      <c r="Z323" s="18">
        <v>42.121503235173662</v>
      </c>
      <c r="AA323" s="18">
        <f t="shared" si="24"/>
        <v>14.207685246394908</v>
      </c>
      <c r="AB323" s="18">
        <f t="shared" si="25"/>
        <v>50.39495153399767</v>
      </c>
      <c r="AC323" s="18">
        <f>$CP$15*Table2912[[#This Row],[DMD '[mg/g']]]+$CS$15*Table2912[[#This Row],[CH4 '[ml/g']]]+$CR$15*Table2912[[#This Row],[CH4 '[% GP']]]+$CQ$15*Table2912[[#This Row],[CH4 '[g/g DDM']]]</f>
        <v>20.848337546027594</v>
      </c>
      <c r="AD323" s="18">
        <f>_xlfn.RANK.AVG(Table2912[[#This Row],[Index]],Table2912[Index])</f>
        <v>146</v>
      </c>
      <c r="AE32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7.1006111800128409</v>
      </c>
      <c r="AF323" s="18">
        <f>Table2912[[#This Row],[CH4 '[ml/g']]]/Table2912[[#This Row],[APB]]</f>
        <v>5.9320954446483984</v>
      </c>
      <c r="AG323" s="18">
        <f>Table2912[[#This Row],[Propionate '[%']]]/Table2912[[#This Row],[Acetate '[%']]]</f>
        <v>0.25771810657132904</v>
      </c>
      <c r="AH323" s="51"/>
      <c r="AI323" s="18"/>
      <c r="AJ323" s="18"/>
      <c r="AK323" s="18">
        <f>(Table2912[[#This Row],[DMD '[mg/g']]]-$AK$15)/$AK$15*100</f>
        <v>70.476520988920228</v>
      </c>
      <c r="AL323" s="18">
        <f>(Table2912[[#This Row],[CH4 '[ml/g']]]-AL$15)/AL$15*100</f>
        <v>7.0916316666667019</v>
      </c>
      <c r="AM323" s="18">
        <f>(Table2912[[#This Row],[CH4 '[% GP']]]-AM$15)/AM$15*100</f>
        <v>-8.4695179497511255</v>
      </c>
      <c r="AN323" s="18">
        <f>(Table2912[[#This Row],[CH4 '[g/g DDM']]]-AN$15)/AN$15*100</f>
        <v>-1.6021970432439649</v>
      </c>
      <c r="AO323" s="18"/>
      <c r="AP323" s="18"/>
      <c r="AR323">
        <f>_xlfn.NORM.DIST(Table2912[[#This Row],[GP '[ml/g']]],O$6,O$2,FALSE)</f>
        <v>5.568006977686649E-3</v>
      </c>
      <c r="AS323">
        <f>_xlfn.NORM.DIST(Table2912[[#This Row],[SCFA '[mmol/g']]],P$6,P$2,FALSE)</f>
        <v>0.23821221018672942</v>
      </c>
      <c r="AT323">
        <f>_xlfn.NORM.DIST(Table2912[[#This Row],[Acetate '[%']]],Q$6,Q$2,FALSE)</f>
        <v>13.971130646896297</v>
      </c>
      <c r="AU323">
        <f>_xlfn.NORM.DIST(Table2912[[#This Row],[Propionate '[%']]],R$6,R$2,FALSE)</f>
        <v>16.777530392081129</v>
      </c>
      <c r="AV323">
        <f>_xlfn.NORM.DIST(Table2912[[#This Row],[Butyrate '[%']]],S$6,S$2,FALSE)</f>
        <v>20.595255340334681</v>
      </c>
      <c r="AW323">
        <f>_xlfn.NORM.DIST(Table2912[[#This Row],[Valerate '[%']]],T$6,T$2,FALSE)</f>
        <v>72.025774225551203</v>
      </c>
      <c r="AX323">
        <f>_xlfn.NORM.DIST(Table2912[[#This Row],[Caproate '[%']]],U$6,U$2,FALSE)</f>
        <v>331.67452422015049</v>
      </c>
      <c r="AY323">
        <f>_xlfn.NORM.DIST(Table2912[[#This Row],[Isobutyrate '[%']]],V$6,V$2,FALSE)</f>
        <v>81.159603248911921</v>
      </c>
      <c r="AZ323">
        <f>_xlfn.NORM.DIST(Table2912[[#This Row],[Isovalerate '[%']]],W$6,W$2,FALSE)</f>
        <v>44.133157553847653</v>
      </c>
      <c r="BA323">
        <f>_xlfn.NORM.DIST(Table2912[[#This Row],[CH4 '[g/mmol SCFA']]],X$6,X$2,FALSE)</f>
        <v>0.26157019071920473</v>
      </c>
      <c r="BB323">
        <f>_xlfn.NORM.DIST(Table2912[[#This Row],[DMD '[mg/g']]],Y$6,Y$2,FALSE)</f>
        <v>2.6501115435669798E-3</v>
      </c>
      <c r="BC323">
        <f>_xlfn.NORM.DIST(Table2912[[#This Row],[CH4 '[ml/g']]],Z$6,Z$2,FALSE)</f>
        <v>3.3444239599342743E-2</v>
      </c>
      <c r="BD323">
        <f>_xlfn.NORM.DIST(Table2912[[#This Row],[CH4 '[% GP']]],AA$6,AA$2,FALSE)</f>
        <v>0.11058666651566527</v>
      </c>
      <c r="BE323">
        <f>_xlfn.NORM.DIST(Table2912[[#This Row],[CH4 '[g/g DDM']]],AB$6,AB$2,FALSE)</f>
        <v>3.1891039493621112E-2</v>
      </c>
      <c r="BG323">
        <f>IF(Table2912[[#This Row],[GP '[ml/g']]]&lt;O$10,_xlfn.NORM.DIST(Table2912[[#This Row],[GP '[ml/g']]],O$6,O$2,FALSE),-100)</f>
        <v>-100</v>
      </c>
      <c r="BH323">
        <f>IF(Table2912[[#This Row],[SCFA '[mmol/g']]]&lt;P$10,_xlfn.NORM.DIST(Table2912[[#This Row],[SCFA '[mmol/g']]],P$6,P$2,FALSE),-100)</f>
        <v>-100</v>
      </c>
      <c r="BI323">
        <f>IF(Table2912[[#This Row],[Acetate '[%']]]&lt;Q$10,_xlfn.NORM.DIST(Table2912[[#This Row],[Acetate '[%']]],Q$6,Q$2,FALSE),-100)</f>
        <v>-100</v>
      </c>
      <c r="BJ323">
        <f>IF(Table2912[[#This Row],[Propionate '[%']]]&lt;R$10,_xlfn.NORM.DIST(Table2912[[#This Row],[Propionate '[%']]],R$6,R$2,FALSE),-100)</f>
        <v>-100</v>
      </c>
      <c r="BK323">
        <f>IF(Table2912[[#This Row],[Butyrate '[%']]]&lt;S$10,_xlfn.NORM.DIST(Table2912[[#This Row],[Butyrate '[%']]],S$6,S$2,FALSE),-100)</f>
        <v>-100</v>
      </c>
      <c r="BL323">
        <f>IF(Table2912[[#This Row],[Valerate '[%']]]&lt;T$10,_xlfn.NORM.DIST(Table2912[[#This Row],[Valerate '[%']]],T$6,T$2,FALSE),-100)</f>
        <v>-100</v>
      </c>
      <c r="BM323">
        <f>IF(Table2912[[#This Row],[Caproate '[%']]]&lt;U$10,_xlfn.NORM.DIST(Table2912[[#This Row],[Caproate '[%']]],U$6,U$2,FALSE),-100)</f>
        <v>-100</v>
      </c>
      <c r="BN323">
        <f>IF(Table2912[[#This Row],[Isobutyrate '[%']]]&lt;V$10,_xlfn.NORM.DIST(Table2912[[#This Row],[Isobutyrate '[%']]],V$6,V$2,FALSE),-100)</f>
        <v>-100</v>
      </c>
      <c r="BO323">
        <f>IF(Table2912[[#This Row],[Isovalerate '[%']]]&lt;W$10,_xlfn.NORM.DIST(Table2912[[#This Row],[Isovalerate '[%']]],W$6,W$2,FALSE),-100)</f>
        <v>-100</v>
      </c>
      <c r="BP323">
        <f>IF(Table2912[[#This Row],[CH4 '[g/mmol SCFA']]]&lt;X$10,_xlfn.NORM.DIST(Table2912[[#This Row],[CH4 '[g/mmol SCFA']]],X$6,X$2,FALSE),-100)</f>
        <v>-100</v>
      </c>
      <c r="BQ323">
        <f>IF(Table2912[[#This Row],[DMD '[mg/g']]]&gt;Y$10,_xlfn.NORM.DIST(Table2912[[#This Row],[DMD '[mg/g']]],Y$6,Y$2,FALSE),-100)</f>
        <v>-100</v>
      </c>
      <c r="BR323">
        <f>IF(Table2912[[#This Row],[CH4 '[ml/g']]]&lt;Z$10,_xlfn.NORM.DIST(Table2912[[#This Row],[CH4 '[ml/g']]],Z$6,Z$2,FALSE),-100)</f>
        <v>-100</v>
      </c>
      <c r="BS323">
        <f>IF(Table2912[[#This Row],[CH4 '[% GP']]]&lt;AA$10,_xlfn.NORM.DIST(Table2912[[#This Row],[CH4 '[% GP']]],AA$6,AA$2,FALSE),-100)</f>
        <v>-100</v>
      </c>
      <c r="BT323">
        <f>IF(Table2912[[#This Row],[CH4 '[g/g DDM']]]&lt;AB$10,_xlfn.NORM.DIST(Table2912[[#This Row],[CH4 '[g/g DDM']]],AB$6,AB$2,FALSE),-100)</f>
        <v>-100</v>
      </c>
    </row>
    <row r="324" spans="1:72" x14ac:dyDescent="0.25">
      <c r="A324" s="12" t="s">
        <v>86</v>
      </c>
      <c r="B324" s="13">
        <v>1046</v>
      </c>
      <c r="C324" s="104" t="s">
        <v>416</v>
      </c>
      <c r="D324" s="104" t="s">
        <v>417</v>
      </c>
      <c r="E324" s="104" t="s">
        <v>418</v>
      </c>
      <c r="F324" s="104" t="s">
        <v>419</v>
      </c>
      <c r="G324" s="32" t="s">
        <v>73</v>
      </c>
      <c r="H324" s="32" t="s">
        <v>74</v>
      </c>
      <c r="I324" s="104" t="s">
        <v>75</v>
      </c>
      <c r="J324" s="100">
        <v>2</v>
      </c>
      <c r="K324" s="100"/>
      <c r="L324" s="100"/>
      <c r="M324" t="s">
        <v>419</v>
      </c>
      <c r="N324" t="s">
        <v>99</v>
      </c>
      <c r="O324" s="18">
        <v>289.1278325662945</v>
      </c>
      <c r="P324" s="18">
        <v>7.4677295638834096</v>
      </c>
      <c r="Q324" s="97">
        <v>0.66732865484372139</v>
      </c>
      <c r="R324" s="97">
        <v>0.16577266036945598</v>
      </c>
      <c r="S324" s="97">
        <v>9.9655776038650223E-2</v>
      </c>
      <c r="T324" s="97">
        <v>2.1360951022126824E-2</v>
      </c>
      <c r="U324" s="97">
        <v>9.3472614848481416E-4</v>
      </c>
      <c r="V324" s="97">
        <v>1.7014431613282761E-2</v>
      </c>
      <c r="W324" s="97">
        <v>2.7932799964278006E-2</v>
      </c>
      <c r="X324" s="51">
        <f t="shared" si="23"/>
        <v>7.5954268288652997</v>
      </c>
      <c r="Y324" s="18">
        <v>837.27810650887568</v>
      </c>
      <c r="Z324" s="18">
        <v>56.720593480230612</v>
      </c>
      <c r="AA324" s="18">
        <f t="shared" si="24"/>
        <v>19.617825436167607</v>
      </c>
      <c r="AB324" s="18">
        <f t="shared" si="25"/>
        <v>67.744030375681803</v>
      </c>
      <c r="AC324" s="18">
        <f>$CP$15*Table2912[[#This Row],[DMD '[mg/g']]]+$CS$15*Table2912[[#This Row],[CH4 '[ml/g']]]+$CR$15*Table2912[[#This Row],[CH4 '[% GP']]]+$CQ$15*Table2912[[#This Row],[CH4 '[g/g DDM']]]</f>
        <v>12.597286190303734</v>
      </c>
      <c r="AD324" s="18">
        <f>_xlfn.RANK.AVG(Table2912[[#This Row],[Index]],Table2912[Index])</f>
        <v>311</v>
      </c>
      <c r="AE32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6.9655777062631685</v>
      </c>
      <c r="AF324" s="18">
        <f>Table2912[[#This Row],[CH4 '[ml/g']]]/Table2912[[#This Row],[APB]]</f>
        <v>8.1429848136256844</v>
      </c>
      <c r="AG324" s="18">
        <f>Table2912[[#This Row],[Propionate '[%']]]/Table2912[[#This Row],[Acetate '[%']]]</f>
        <v>0.24841232152435822</v>
      </c>
      <c r="AH324" s="51"/>
      <c r="AI324" s="18"/>
      <c r="AJ324" s="18"/>
      <c r="AK324" s="18">
        <f>(Table2912[[#This Row],[DMD '[mg/g']]]-$AK$15)/$AK$15*100</f>
        <v>70.772320234152801</v>
      </c>
      <c r="AL324" s="18">
        <f>(Table2912[[#This Row],[CH4 '[ml/g']]]-AL$15)/AL$15*100</f>
        <v>44.209024805820171</v>
      </c>
      <c r="AM324" s="18">
        <f>(Table2912[[#This Row],[CH4 '[% GP']]]-AM$15)/AM$15*100</f>
        <v>26.384346767935483</v>
      </c>
      <c r="AN324" s="18">
        <f>(Table2912[[#This Row],[CH4 '[g/g DDM']]]-AN$15)/AN$15*100</f>
        <v>32.272450900282706</v>
      </c>
      <c r="AO324" s="18"/>
      <c r="AP324" s="18"/>
      <c r="AR324">
        <f>_xlfn.NORM.DIST(Table2912[[#This Row],[GP '[ml/g']]],O$6,O$2,FALSE)</f>
        <v>6.1308339146462186E-3</v>
      </c>
      <c r="AS324">
        <f>_xlfn.NORM.DIST(Table2912[[#This Row],[SCFA '[mmol/g']]],P$6,P$2,FALSE)</f>
        <v>0.24625492688035122</v>
      </c>
      <c r="AT324">
        <f>_xlfn.NORM.DIST(Table2912[[#This Row],[Acetate '[%']]],Q$6,Q$2,FALSE)</f>
        <v>13.738606352588532</v>
      </c>
      <c r="AU324">
        <f>_xlfn.NORM.DIST(Table2912[[#This Row],[Propionate '[%']]],R$6,R$2,FALSE)</f>
        <v>16.247601912715773</v>
      </c>
      <c r="AV324">
        <f>_xlfn.NORM.DIST(Table2912[[#This Row],[Butyrate '[%']]],S$6,S$2,FALSE)</f>
        <v>21.35406160952445</v>
      </c>
      <c r="AW324">
        <f>_xlfn.NORM.DIST(Table2912[[#This Row],[Valerate '[%']]],T$6,T$2,FALSE)</f>
        <v>59.801977906915937</v>
      </c>
      <c r="AX324">
        <f>_xlfn.NORM.DIST(Table2912[[#This Row],[Caproate '[%']]],U$6,U$2,FALSE)</f>
        <v>374.67705025707045</v>
      </c>
      <c r="AY324">
        <f>_xlfn.NORM.DIST(Table2912[[#This Row],[Isobutyrate '[%']]],V$6,V$2,FALSE)</f>
        <v>83.767576727251821</v>
      </c>
      <c r="AZ324">
        <f>_xlfn.NORM.DIST(Table2912[[#This Row],[Isovalerate '[%']]],W$6,W$2,FALSE)</f>
        <v>45.429477155551901</v>
      </c>
      <c r="BA324">
        <f>_xlfn.NORM.DIST(Table2912[[#This Row],[CH4 '[g/mmol SCFA']]],X$6,X$2,FALSE)</f>
        <v>0.18424709019962918</v>
      </c>
      <c r="BB324">
        <f>_xlfn.NORM.DIST(Table2912[[#This Row],[DMD '[mg/g']]],Y$6,Y$2,FALSE)</f>
        <v>2.6377057410251524E-3</v>
      </c>
      <c r="BC324">
        <f>_xlfn.NORM.DIST(Table2912[[#This Row],[CH4 '[ml/g']]],Z$6,Z$2,FALSE)</f>
        <v>1.4638835683209183E-2</v>
      </c>
      <c r="BD324">
        <f>_xlfn.NORM.DIST(Table2912[[#This Row],[CH4 '[% GP']]],AA$6,AA$2,FALSE)</f>
        <v>6.5681467642813893E-2</v>
      </c>
      <c r="BE324">
        <f>_xlfn.NORM.DIST(Table2912[[#This Row],[CH4 '[g/g DDM']]],AB$6,AB$2,FALSE)</f>
        <v>1.6279906405757414E-2</v>
      </c>
      <c r="BG324">
        <f>IF(Table2912[[#This Row],[GP '[ml/g']]]&lt;O$10,_xlfn.NORM.DIST(Table2912[[#This Row],[GP '[ml/g']]],O$6,O$2,FALSE),-100)</f>
        <v>-100</v>
      </c>
      <c r="BH324">
        <f>IF(Table2912[[#This Row],[SCFA '[mmol/g']]]&lt;P$10,_xlfn.NORM.DIST(Table2912[[#This Row],[SCFA '[mmol/g']]],P$6,P$2,FALSE),-100)</f>
        <v>-100</v>
      </c>
      <c r="BI324">
        <f>IF(Table2912[[#This Row],[Acetate '[%']]]&lt;Q$10,_xlfn.NORM.DIST(Table2912[[#This Row],[Acetate '[%']]],Q$6,Q$2,FALSE),-100)</f>
        <v>-100</v>
      </c>
      <c r="BJ324">
        <f>IF(Table2912[[#This Row],[Propionate '[%']]]&lt;R$10,_xlfn.NORM.DIST(Table2912[[#This Row],[Propionate '[%']]],R$6,R$2,FALSE),-100)</f>
        <v>-100</v>
      </c>
      <c r="BK324">
        <f>IF(Table2912[[#This Row],[Butyrate '[%']]]&lt;S$10,_xlfn.NORM.DIST(Table2912[[#This Row],[Butyrate '[%']]],S$6,S$2,FALSE),-100)</f>
        <v>-100</v>
      </c>
      <c r="BL324">
        <f>IF(Table2912[[#This Row],[Valerate '[%']]]&lt;T$10,_xlfn.NORM.DIST(Table2912[[#This Row],[Valerate '[%']]],T$6,T$2,FALSE),-100)</f>
        <v>-100</v>
      </c>
      <c r="BM324">
        <f>IF(Table2912[[#This Row],[Caproate '[%']]]&lt;U$10,_xlfn.NORM.DIST(Table2912[[#This Row],[Caproate '[%']]],U$6,U$2,FALSE),-100)</f>
        <v>-100</v>
      </c>
      <c r="BN324">
        <f>IF(Table2912[[#This Row],[Isobutyrate '[%']]]&lt;V$10,_xlfn.NORM.DIST(Table2912[[#This Row],[Isobutyrate '[%']]],V$6,V$2,FALSE),-100)</f>
        <v>-100</v>
      </c>
      <c r="BO324">
        <f>IF(Table2912[[#This Row],[Isovalerate '[%']]]&lt;W$10,_xlfn.NORM.DIST(Table2912[[#This Row],[Isovalerate '[%']]],W$6,W$2,FALSE),-100)</f>
        <v>-100</v>
      </c>
      <c r="BP324">
        <f>IF(Table2912[[#This Row],[CH4 '[g/mmol SCFA']]]&lt;X$10,_xlfn.NORM.DIST(Table2912[[#This Row],[CH4 '[g/mmol SCFA']]],X$6,X$2,FALSE),-100)</f>
        <v>-100</v>
      </c>
      <c r="BQ324">
        <f>IF(Table2912[[#This Row],[DMD '[mg/g']]]&gt;Y$10,_xlfn.NORM.DIST(Table2912[[#This Row],[DMD '[mg/g']]],Y$6,Y$2,FALSE),-100)</f>
        <v>-100</v>
      </c>
      <c r="BR324">
        <f>IF(Table2912[[#This Row],[CH4 '[ml/g']]]&lt;Z$10,_xlfn.NORM.DIST(Table2912[[#This Row],[CH4 '[ml/g']]],Z$6,Z$2,FALSE),-100)</f>
        <v>-100</v>
      </c>
      <c r="BS324">
        <f>IF(Table2912[[#This Row],[CH4 '[% GP']]]&lt;AA$10,_xlfn.NORM.DIST(Table2912[[#This Row],[CH4 '[% GP']]],AA$6,AA$2,FALSE),-100)</f>
        <v>-100</v>
      </c>
      <c r="BT324">
        <f>IF(Table2912[[#This Row],[CH4 '[g/g DDM']]]&lt;AB$10,_xlfn.NORM.DIST(Table2912[[#This Row],[CH4 '[g/g DDM']]],AB$6,AB$2,FALSE),-100)</f>
        <v>-100</v>
      </c>
    </row>
    <row r="325" spans="1:72" x14ac:dyDescent="0.25">
      <c r="A325" s="12" t="s">
        <v>200</v>
      </c>
      <c r="B325" s="13">
        <v>1151</v>
      </c>
      <c r="C325" s="117" t="s">
        <v>407</v>
      </c>
      <c r="D325" s="117" t="s">
        <v>408</v>
      </c>
      <c r="E325" s="117" t="s">
        <v>213</v>
      </c>
      <c r="F325" s="117" t="s">
        <v>214</v>
      </c>
      <c r="G325" s="15" t="s">
        <v>73</v>
      </c>
      <c r="H325" s="15" t="s">
        <v>74</v>
      </c>
      <c r="I325" t="s">
        <v>75</v>
      </c>
      <c r="J325" s="70">
        <v>1</v>
      </c>
      <c r="K325" s="70"/>
      <c r="L325" s="70"/>
      <c r="M325" t="s">
        <v>409</v>
      </c>
      <c r="N325" t="s">
        <v>171</v>
      </c>
      <c r="O325" s="18">
        <v>255.84025032938041</v>
      </c>
      <c r="P325" s="18">
        <v>5.8616487928841483</v>
      </c>
      <c r="Q325" s="97">
        <v>0.69252953313854304</v>
      </c>
      <c r="R325" s="97">
        <v>0.17384172028578365</v>
      </c>
      <c r="S325" s="97">
        <v>8.2837418248829342E-2</v>
      </c>
      <c r="T325" s="97">
        <v>1.3768827293475956E-2</v>
      </c>
      <c r="U325" s="97">
        <v>1.4957787723291712E-3</v>
      </c>
      <c r="V325" s="97">
        <v>1.2585167853222529E-2</v>
      </c>
      <c r="W325" s="97">
        <v>2.2941554407816325E-2</v>
      </c>
      <c r="X325" s="51">
        <f t="shared" si="23"/>
        <v>7.7035776683150949</v>
      </c>
      <c r="Y325" s="18">
        <v>837.50746201930815</v>
      </c>
      <c r="Z325" s="18">
        <v>45.15566674036846</v>
      </c>
      <c r="AA325" s="18">
        <f t="shared" si="24"/>
        <v>17.649946277895285</v>
      </c>
      <c r="AB325" s="18">
        <f t="shared" si="25"/>
        <v>53.916733627058029</v>
      </c>
      <c r="AC325" s="18">
        <f>$CP$15*Table2912[[#This Row],[DMD '[mg/g']]]+$CS$15*Table2912[[#This Row],[CH4 '[ml/g']]]+$CR$15*Table2912[[#This Row],[CH4 '[% GP']]]+$CQ$15*Table2912[[#This Row],[CH4 '[g/g DDM']]]</f>
        <v>18.584757395833769</v>
      </c>
      <c r="AD325" s="18">
        <f>_xlfn.RANK.AVG(Table2912[[#This Row],[Index]],Table2912[Index])</f>
        <v>188</v>
      </c>
      <c r="AE32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5.5639278645081216</v>
      </c>
      <c r="AF325" s="18">
        <f>Table2912[[#This Row],[CH4 '[ml/g']]]/Table2912[[#This Row],[APB]]</f>
        <v>8.1157893919533119</v>
      </c>
      <c r="AG325" s="18">
        <f>Table2912[[#This Row],[Propionate '[%']]]/Table2912[[#This Row],[Acetate '[%']]]</f>
        <v>0.25102426967689473</v>
      </c>
      <c r="AH325" s="51"/>
      <c r="AI325" s="18"/>
      <c r="AJ325" s="18"/>
      <c r="AK325" s="18">
        <f>(Table2912[[#This Row],[DMD '[mg/g']]]-$AK$15)/$AK$15*100</f>
        <v>70.819099879255859</v>
      </c>
      <c r="AL325" s="18">
        <f>(Table2912[[#This Row],[CH4 '[ml/g']]]-AL$15)/AL$15*100</f>
        <v>14.805827399439769</v>
      </c>
      <c r="AM325" s="18">
        <f>(Table2912[[#This Row],[CH4 '[% GP']]]-AM$15)/AM$15*100</f>
        <v>13.706635736927957</v>
      </c>
      <c r="AN325" s="18">
        <f>(Table2912[[#This Row],[CH4 '[g/g DDM']]]-AN$15)/AN$15*100</f>
        <v>5.2741985063341241</v>
      </c>
      <c r="AO325" s="18"/>
      <c r="AP325" s="18"/>
      <c r="AR325">
        <f>_xlfn.NORM.DIST(Table2912[[#This Row],[GP '[ml/g']]],O$6,O$2,FALSE)</f>
        <v>7.4797032922119871E-3</v>
      </c>
      <c r="AS325">
        <f>_xlfn.NORM.DIST(Table2912[[#This Row],[SCFA '[mmol/g']]],P$6,P$2,FALSE)</f>
        <v>0.28386637570899309</v>
      </c>
      <c r="AT325">
        <f>_xlfn.NORM.DIST(Table2912[[#This Row],[Acetate '[%']]],Q$6,Q$2,FALSE)</f>
        <v>11.114283742102495</v>
      </c>
      <c r="AU325">
        <f>_xlfn.NORM.DIST(Table2912[[#This Row],[Propionate '[%']]],R$6,R$2,FALSE)</f>
        <v>16.733214101222242</v>
      </c>
      <c r="AV325">
        <f>_xlfn.NORM.DIST(Table2912[[#This Row],[Butyrate '[%']]],S$6,S$2,FALSE)</f>
        <v>19.440346299332376</v>
      </c>
      <c r="AW325">
        <f>_xlfn.NORM.DIST(Table2912[[#This Row],[Valerate '[%']]],T$6,T$2,FALSE)</f>
        <v>58.214482853623821</v>
      </c>
      <c r="AX325">
        <f>_xlfn.NORM.DIST(Table2912[[#This Row],[Caproate '[%']]],U$6,U$2,FALSE)</f>
        <v>401.34835572143265</v>
      </c>
      <c r="AY325">
        <f>_xlfn.NORM.DIST(Table2912[[#This Row],[Isobutyrate '[%']]],V$6,V$2,FALSE)</f>
        <v>74.507593082609191</v>
      </c>
      <c r="AZ325">
        <f>_xlfn.NORM.DIST(Table2912[[#This Row],[Isovalerate '[%']]],W$6,W$2,FALSE)</f>
        <v>38.747724996040404</v>
      </c>
      <c r="BA325">
        <f>_xlfn.NORM.DIST(Table2912[[#This Row],[CH4 '[g/mmol SCFA']]],X$6,X$2,FALSE)</f>
        <v>0.16971626461184855</v>
      </c>
      <c r="BB325">
        <f>_xlfn.NORM.DIST(Table2912[[#This Row],[DMD '[mg/g']]],Y$6,Y$2,FALSE)</f>
        <v>2.6357220061796406E-3</v>
      </c>
      <c r="BC325">
        <f>_xlfn.NORM.DIST(Table2912[[#This Row],[CH4 '[ml/g']]],Z$6,Z$2,FALSE)</f>
        <v>3.1878358172789632E-2</v>
      </c>
      <c r="BD325">
        <f>_xlfn.NORM.DIST(Table2912[[#This Row],[CH4 '[% GP']]],AA$6,AA$2,FALSE)</f>
        <v>0.11680894022299095</v>
      </c>
      <c r="BE325">
        <f>_xlfn.NORM.DIST(Table2912[[#This Row],[CH4 '[g/g DDM']]],AB$6,AB$2,FALSE)</f>
        <v>3.2816899936614699E-2</v>
      </c>
      <c r="BG325">
        <f>IF(Table2912[[#This Row],[GP '[ml/g']]]&lt;O$10,_xlfn.NORM.DIST(Table2912[[#This Row],[GP '[ml/g']]],O$6,O$2,FALSE),-100)</f>
        <v>-100</v>
      </c>
      <c r="BH325">
        <f>IF(Table2912[[#This Row],[SCFA '[mmol/g']]]&lt;P$10,_xlfn.NORM.DIST(Table2912[[#This Row],[SCFA '[mmol/g']]],P$6,P$2,FALSE),-100)</f>
        <v>-100</v>
      </c>
      <c r="BI325">
        <f>IF(Table2912[[#This Row],[Acetate '[%']]]&lt;Q$10,_xlfn.NORM.DIST(Table2912[[#This Row],[Acetate '[%']]],Q$6,Q$2,FALSE),-100)</f>
        <v>-100</v>
      </c>
      <c r="BJ325">
        <f>IF(Table2912[[#This Row],[Propionate '[%']]]&lt;R$10,_xlfn.NORM.DIST(Table2912[[#This Row],[Propionate '[%']]],R$6,R$2,FALSE),-100)</f>
        <v>-100</v>
      </c>
      <c r="BK325">
        <f>IF(Table2912[[#This Row],[Butyrate '[%']]]&lt;S$10,_xlfn.NORM.DIST(Table2912[[#This Row],[Butyrate '[%']]],S$6,S$2,FALSE),-100)</f>
        <v>-100</v>
      </c>
      <c r="BL325">
        <f>IF(Table2912[[#This Row],[Valerate '[%']]]&lt;T$10,_xlfn.NORM.DIST(Table2912[[#This Row],[Valerate '[%']]],T$6,T$2,FALSE),-100)</f>
        <v>-100</v>
      </c>
      <c r="BM325">
        <f>IF(Table2912[[#This Row],[Caproate '[%']]]&lt;U$10,_xlfn.NORM.DIST(Table2912[[#This Row],[Caproate '[%']]],U$6,U$2,FALSE),-100)</f>
        <v>-100</v>
      </c>
      <c r="BN325">
        <f>IF(Table2912[[#This Row],[Isobutyrate '[%']]]&lt;V$10,_xlfn.NORM.DIST(Table2912[[#This Row],[Isobutyrate '[%']]],V$6,V$2,FALSE),-100)</f>
        <v>-100</v>
      </c>
      <c r="BO325">
        <f>IF(Table2912[[#This Row],[Isovalerate '[%']]]&lt;W$10,_xlfn.NORM.DIST(Table2912[[#This Row],[Isovalerate '[%']]],W$6,W$2,FALSE),-100)</f>
        <v>-100</v>
      </c>
      <c r="BP325">
        <f>IF(Table2912[[#This Row],[CH4 '[g/mmol SCFA']]]&lt;X$10,_xlfn.NORM.DIST(Table2912[[#This Row],[CH4 '[g/mmol SCFA']]],X$6,X$2,FALSE),-100)</f>
        <v>-100</v>
      </c>
      <c r="BQ325">
        <f>IF(Table2912[[#This Row],[DMD '[mg/g']]]&gt;Y$10,_xlfn.NORM.DIST(Table2912[[#This Row],[DMD '[mg/g']]],Y$6,Y$2,FALSE),-100)</f>
        <v>-100</v>
      </c>
      <c r="BR325">
        <f>IF(Table2912[[#This Row],[CH4 '[ml/g']]]&lt;Z$10,_xlfn.NORM.DIST(Table2912[[#This Row],[CH4 '[ml/g']]],Z$6,Z$2,FALSE),-100)</f>
        <v>-100</v>
      </c>
      <c r="BS325">
        <f>IF(Table2912[[#This Row],[CH4 '[% GP']]]&lt;AA$10,_xlfn.NORM.DIST(Table2912[[#This Row],[CH4 '[% GP']]],AA$6,AA$2,FALSE),-100)</f>
        <v>-100</v>
      </c>
      <c r="BT325">
        <f>IF(Table2912[[#This Row],[CH4 '[g/g DDM']]]&lt;AB$10,_xlfn.NORM.DIST(Table2912[[#This Row],[CH4 '[g/g DDM']]],AB$6,AB$2,FALSE),-100)</f>
        <v>-100</v>
      </c>
    </row>
    <row r="326" spans="1:72" x14ac:dyDescent="0.25">
      <c r="A326" s="12" t="s">
        <v>86</v>
      </c>
      <c r="B326" s="13">
        <v>1082</v>
      </c>
      <c r="C326" s="104" t="s">
        <v>331</v>
      </c>
      <c r="D326" s="104" t="s">
        <v>164</v>
      </c>
      <c r="E326" s="104" t="s">
        <v>332</v>
      </c>
      <c r="F326" s="104" t="s">
        <v>333</v>
      </c>
      <c r="G326" s="32" t="s">
        <v>143</v>
      </c>
      <c r="H326" s="32" t="s">
        <v>144</v>
      </c>
      <c r="I326" s="32" t="s">
        <v>52</v>
      </c>
      <c r="J326" s="100">
        <v>1</v>
      </c>
      <c r="K326" s="100"/>
      <c r="L326" s="100"/>
      <c r="M326" s="118" t="s">
        <v>333</v>
      </c>
      <c r="N326" t="s">
        <v>145</v>
      </c>
      <c r="O326" s="18">
        <v>323.55527009222635</v>
      </c>
      <c r="P326" s="18">
        <v>6.7410280449202604</v>
      </c>
      <c r="Q326" s="97">
        <v>0.64066211306650533</v>
      </c>
      <c r="R326" s="97">
        <v>0.19925857116464468</v>
      </c>
      <c r="S326" s="97">
        <v>0.10274144913805128</v>
      </c>
      <c r="T326" s="97">
        <v>1.763917243520698E-2</v>
      </c>
      <c r="U326" s="97">
        <v>4.5828422373788482E-4</v>
      </c>
      <c r="V326" s="97">
        <v>1.2769833828259469E-2</v>
      </c>
      <c r="W326" s="97">
        <v>2.6470576143594382E-2</v>
      </c>
      <c r="X326" s="51">
        <f t="shared" si="23"/>
        <v>6.2051082181524215</v>
      </c>
      <c r="Y326" s="18">
        <v>837.59271093298719</v>
      </c>
      <c r="Z326" s="18">
        <v>41.828808520330661</v>
      </c>
      <c r="AA326" s="18">
        <f t="shared" si="24"/>
        <v>12.927871182072776</v>
      </c>
      <c r="AB326" s="18">
        <f t="shared" si="25"/>
        <v>49.939317730855031</v>
      </c>
      <c r="AC326" s="18">
        <f>$CP$15*Table2912[[#This Row],[DMD '[mg/g']]]+$CS$15*Table2912[[#This Row],[CH4 '[ml/g']]]+$CR$15*Table2912[[#This Row],[CH4 '[% GP']]]+$CQ$15*Table2912[[#This Row],[CH4 '[g/g DDM']]]</f>
        <v>21.557007143650594</v>
      </c>
      <c r="AD326" s="18">
        <f>_xlfn.RANK.AVG(Table2912[[#This Row],[Index]],Table2912[Index])</f>
        <v>139</v>
      </c>
      <c r="AE32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6.3545118779261491</v>
      </c>
      <c r="AF326" s="18">
        <f>Table2912[[#This Row],[CH4 '[ml/g']]]/Table2912[[#This Row],[APB]]</f>
        <v>6.5825368374292594</v>
      </c>
      <c r="AG326" s="18">
        <f>Table2912[[#This Row],[Propionate '[%']]]/Table2912[[#This Row],[Acetate '[%']]]</f>
        <v>0.31101975144261451</v>
      </c>
      <c r="AH326" s="51"/>
      <c r="AI326" s="18"/>
      <c r="AJ326" s="18"/>
      <c r="AK326" s="18">
        <f>(Table2912[[#This Row],[DMD '[mg/g']]]-$AK$15)/$AK$15*100</f>
        <v>70.836487357410647</v>
      </c>
      <c r="AL326" s="18">
        <f>(Table2912[[#This Row],[CH4 '[ml/g']]]-AL$15)/AL$15*100</f>
        <v>6.3474712691201125</v>
      </c>
      <c r="AM326" s="18">
        <f>(Table2912[[#This Row],[CH4 '[% GP']]]-AM$15)/AM$15*100</f>
        <v>-16.714492145798779</v>
      </c>
      <c r="AN326" s="18">
        <f>(Table2912[[#This Row],[CH4 '[g/g DDM']]]-AN$15)/AN$15*100</f>
        <v>-2.4918370531529161</v>
      </c>
      <c r="AO326" s="18"/>
      <c r="AP326" s="18"/>
      <c r="AR326">
        <f>_xlfn.NORM.DIST(Table2912[[#This Row],[GP '[ml/g']]],O$6,O$2,FALSE)</f>
        <v>3.3131559757102681E-3</v>
      </c>
      <c r="AS326">
        <f>_xlfn.NORM.DIST(Table2912[[#This Row],[SCFA '[mmol/g']]],P$6,P$2,FALSE)</f>
        <v>0.32798248567520655</v>
      </c>
      <c r="AT326">
        <f>_xlfn.NORM.DIST(Table2912[[#This Row],[Acetate '[%']]],Q$6,Q$2,FALSE)</f>
        <v>7.3124558285098562</v>
      </c>
      <c r="AU326">
        <f>_xlfn.NORM.DIST(Table2912[[#This Row],[Propionate '[%']]],R$6,R$2,FALSE)</f>
        <v>8.6391212608661156</v>
      </c>
      <c r="AV326">
        <f>_xlfn.NORM.DIST(Table2912[[#This Row],[Butyrate '[%']]],S$6,S$2,FALSE)</f>
        <v>19.611806110066542</v>
      </c>
      <c r="AW326">
        <f>_xlfn.NORM.DIST(Table2912[[#This Row],[Valerate '[%']]],T$6,T$2,FALSE)</f>
        <v>77.394675999680459</v>
      </c>
      <c r="AX326">
        <f>_xlfn.NORM.DIST(Table2912[[#This Row],[Caproate '[%']]],U$6,U$2,FALSE)</f>
        <v>273.2918233863457</v>
      </c>
      <c r="AY326">
        <f>_xlfn.NORM.DIST(Table2912[[#This Row],[Isobutyrate '[%']]],V$6,V$2,FALSE)</f>
        <v>76.386154487636873</v>
      </c>
      <c r="AZ326">
        <f>_xlfn.NORM.DIST(Table2912[[#This Row],[Isovalerate '[%']]],W$6,W$2,FALSE)</f>
        <v>44.836068090097882</v>
      </c>
      <c r="BA326">
        <f>_xlfn.NORM.DIST(Table2912[[#This Row],[CH4 '[g/mmol SCFA']]],X$6,X$2,FALSE)</f>
        <v>0.29690951788572728</v>
      </c>
      <c r="BB326">
        <f>_xlfn.NORM.DIST(Table2912[[#This Row],[DMD '[mg/g']]],Y$6,Y$2,FALSE)</f>
        <v>2.6349831663189643E-3</v>
      </c>
      <c r="BC326">
        <f>_xlfn.NORM.DIST(Table2912[[#This Row],[CH4 '[ml/g']]],Z$6,Z$2,FALSE)</f>
        <v>3.348410957068821E-2</v>
      </c>
      <c r="BD326">
        <f>_xlfn.NORM.DIST(Table2912[[#This Row],[CH4 '[% GP']]],AA$6,AA$2,FALSE)</f>
        <v>7.6775118951145069E-2</v>
      </c>
      <c r="BE326">
        <f>_xlfn.NORM.DIST(Table2912[[#This Row],[CH4 '[g/g DDM']]],AB$6,AB$2,FALSE)</f>
        <v>3.1578544585762792E-2</v>
      </c>
      <c r="BG326">
        <f>IF(Table2912[[#This Row],[GP '[ml/g']]]&lt;O$10,_xlfn.NORM.DIST(Table2912[[#This Row],[GP '[ml/g']]],O$6,O$2,FALSE),-100)</f>
        <v>-100</v>
      </c>
      <c r="BH326">
        <f>IF(Table2912[[#This Row],[SCFA '[mmol/g']]]&lt;P$10,_xlfn.NORM.DIST(Table2912[[#This Row],[SCFA '[mmol/g']]],P$6,P$2,FALSE),-100)</f>
        <v>-100</v>
      </c>
      <c r="BI326">
        <f>IF(Table2912[[#This Row],[Acetate '[%']]]&lt;Q$10,_xlfn.NORM.DIST(Table2912[[#This Row],[Acetate '[%']]],Q$6,Q$2,FALSE),-100)</f>
        <v>7.3124558285098562</v>
      </c>
      <c r="BJ326">
        <f>IF(Table2912[[#This Row],[Propionate '[%']]]&lt;R$10,_xlfn.NORM.DIST(Table2912[[#This Row],[Propionate '[%']]],R$6,R$2,FALSE),-100)</f>
        <v>-100</v>
      </c>
      <c r="BK326">
        <f>IF(Table2912[[#This Row],[Butyrate '[%']]]&lt;S$10,_xlfn.NORM.DIST(Table2912[[#This Row],[Butyrate '[%']]],S$6,S$2,FALSE),-100)</f>
        <v>-100</v>
      </c>
      <c r="BL326">
        <f>IF(Table2912[[#This Row],[Valerate '[%']]]&lt;T$10,_xlfn.NORM.DIST(Table2912[[#This Row],[Valerate '[%']]],T$6,T$2,FALSE),-100)</f>
        <v>-100</v>
      </c>
      <c r="BM326">
        <f>IF(Table2912[[#This Row],[Caproate '[%']]]&lt;U$10,_xlfn.NORM.DIST(Table2912[[#This Row],[Caproate '[%']]],U$6,U$2,FALSE),-100)</f>
        <v>-100</v>
      </c>
      <c r="BN326">
        <f>IF(Table2912[[#This Row],[Isobutyrate '[%']]]&lt;V$10,_xlfn.NORM.DIST(Table2912[[#This Row],[Isobutyrate '[%']]],V$6,V$2,FALSE),-100)</f>
        <v>-100</v>
      </c>
      <c r="BO326">
        <f>IF(Table2912[[#This Row],[Isovalerate '[%']]]&lt;W$10,_xlfn.NORM.DIST(Table2912[[#This Row],[Isovalerate '[%']]],W$6,W$2,FALSE),-100)</f>
        <v>-100</v>
      </c>
      <c r="BP326">
        <f>IF(Table2912[[#This Row],[CH4 '[g/mmol SCFA']]]&lt;X$10,_xlfn.NORM.DIST(Table2912[[#This Row],[CH4 '[g/mmol SCFA']]],X$6,X$2,FALSE),-100)</f>
        <v>-100</v>
      </c>
      <c r="BQ326">
        <f>IF(Table2912[[#This Row],[DMD '[mg/g']]]&gt;Y$10,_xlfn.NORM.DIST(Table2912[[#This Row],[DMD '[mg/g']]],Y$6,Y$2,FALSE),-100)</f>
        <v>-100</v>
      </c>
      <c r="BR326">
        <f>IF(Table2912[[#This Row],[CH4 '[ml/g']]]&lt;Z$10,_xlfn.NORM.DIST(Table2912[[#This Row],[CH4 '[ml/g']]],Z$6,Z$2,FALSE),-100)</f>
        <v>-100</v>
      </c>
      <c r="BS326">
        <f>IF(Table2912[[#This Row],[CH4 '[% GP']]]&lt;AA$10,_xlfn.NORM.DIST(Table2912[[#This Row],[CH4 '[% GP']]],AA$6,AA$2,FALSE),-100)</f>
        <v>-100</v>
      </c>
      <c r="BT326">
        <f>IF(Table2912[[#This Row],[CH4 '[g/g DDM']]]&lt;AB$10,_xlfn.NORM.DIST(Table2912[[#This Row],[CH4 '[g/g DDM']]],AB$6,AB$2,FALSE),-100)</f>
        <v>-100</v>
      </c>
    </row>
    <row r="327" spans="1:72" x14ac:dyDescent="0.25">
      <c r="A327" s="12" t="s">
        <v>86</v>
      </c>
      <c r="B327" s="13">
        <v>1068</v>
      </c>
      <c r="C327" s="32">
        <v>32028</v>
      </c>
      <c r="D327" t="s">
        <v>323</v>
      </c>
      <c r="E327" t="s">
        <v>324</v>
      </c>
      <c r="F327" t="s">
        <v>325</v>
      </c>
      <c r="G327" s="32" t="s">
        <v>73</v>
      </c>
      <c r="H327" s="32" t="s">
        <v>74</v>
      </c>
      <c r="I327" s="105" t="s">
        <v>44</v>
      </c>
      <c r="J327" s="70">
        <v>1</v>
      </c>
      <c r="K327" s="70"/>
      <c r="L327" s="70"/>
      <c r="M327" t="s">
        <v>325</v>
      </c>
      <c r="N327" t="s">
        <v>145</v>
      </c>
      <c r="O327" s="18">
        <v>243.10345974717197</v>
      </c>
      <c r="P327" s="18">
        <v>5.7206504151460393</v>
      </c>
      <c r="Q327" s="97">
        <v>0.64917968373437507</v>
      </c>
      <c r="R327" s="97">
        <v>0.16766748119641259</v>
      </c>
      <c r="S327" s="97">
        <v>9.0246246065809832E-2</v>
      </c>
      <c r="T327" s="97">
        <v>2.2380889496091551E-2</v>
      </c>
      <c r="U327" s="97">
        <v>1.175196967803585E-3</v>
      </c>
      <c r="V327" s="97">
        <v>2.2959450433907885E-2</v>
      </c>
      <c r="W327" s="97">
        <v>4.6391052105599399E-2</v>
      </c>
      <c r="X327" s="51">
        <f t="shared" si="23"/>
        <v>7.0884314129837005</v>
      </c>
      <c r="Y327" s="18">
        <v>837.77153123076664</v>
      </c>
      <c r="Z327" s="18">
        <v>40.550438105419431</v>
      </c>
      <c r="AA327" s="18">
        <f t="shared" si="24"/>
        <v>16.680321270454957</v>
      </c>
      <c r="AB327" s="18">
        <f t="shared" si="25"/>
        <v>48.402740596648059</v>
      </c>
      <c r="AC327" s="18">
        <f>$CP$15*Table2912[[#This Row],[DMD '[mg/g']]]+$CS$15*Table2912[[#This Row],[CH4 '[ml/g']]]+$CR$15*Table2912[[#This Row],[CH4 '[% GP']]]+$CQ$15*Table2912[[#This Row],[CH4 '[g/g DDM']]]</f>
        <v>21.041107668766607</v>
      </c>
      <c r="AD327" s="18">
        <f>_xlfn.RANK.AVG(Table2912[[#This Row],[Index]],Table2912[Index])</f>
        <v>143</v>
      </c>
      <c r="AE32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5.1891642981939219</v>
      </c>
      <c r="AF327" s="18">
        <f>Table2912[[#This Row],[CH4 '[ml/g']]]/Table2912[[#This Row],[APB]]</f>
        <v>7.8144448267966631</v>
      </c>
      <c r="AG327" s="18">
        <f>Table2912[[#This Row],[Propionate '[%']]]/Table2912[[#This Row],[Acetate '[%']]]</f>
        <v>0.25827592174775621</v>
      </c>
      <c r="AH327" s="51"/>
      <c r="AI327" s="18"/>
      <c r="AJ327" s="18"/>
      <c r="AK327" s="18">
        <f>(Table2912[[#This Row],[DMD '[mg/g']]]-$AK$15)/$AK$15*100</f>
        <v>70.872959775498927</v>
      </c>
      <c r="AL327" s="18">
        <f>(Table2912[[#This Row],[CH4 '[ml/g']]]-AL$15)/AL$15*100</f>
        <v>3.0972839991435679</v>
      </c>
      <c r="AM327" s="18">
        <f>(Table2912[[#This Row],[CH4 '[% GP']]]-AM$15)/AM$15*100</f>
        <v>7.4599993003902698</v>
      </c>
      <c r="AN327" s="18">
        <f>(Table2912[[#This Row],[CH4 '[g/g DDM']]]-AN$15)/AN$15*100</f>
        <v>-5.4920545248882364</v>
      </c>
      <c r="AO327" s="18"/>
      <c r="AP327" s="18"/>
      <c r="AR327">
        <f>_xlfn.NORM.DIST(Table2912[[#This Row],[GP '[ml/g']]],O$6,O$2,FALSE)</f>
        <v>7.280856370091615E-3</v>
      </c>
      <c r="AS327">
        <f>_xlfn.NORM.DIST(Table2912[[#This Row],[SCFA '[mmol/g']]],P$6,P$2,FALSE)</f>
        <v>0.26382830583966954</v>
      </c>
      <c r="AT327">
        <f>_xlfn.NORM.DIST(Table2912[[#This Row],[Acetate '[%']]],Q$6,Q$2,FALSE)</f>
        <v>9.8410403874686132</v>
      </c>
      <c r="AU327">
        <f>_xlfn.NORM.DIST(Table2912[[#This Row],[Propionate '[%']]],R$6,R$2,FALSE)</f>
        <v>16.530767881102065</v>
      </c>
      <c r="AV327">
        <f>_xlfn.NORM.DIST(Table2912[[#This Row],[Butyrate '[%']]],S$6,S$2,FALSE)</f>
        <v>22.756977351765613</v>
      </c>
      <c r="AW327">
        <f>_xlfn.NORM.DIST(Table2912[[#This Row],[Valerate '[%']]],T$6,T$2,FALSE)</f>
        <v>50.874314585855167</v>
      </c>
      <c r="AX327">
        <f>_xlfn.NORM.DIST(Table2912[[#This Row],[Caproate '[%']]],U$6,U$2,FALSE)</f>
        <v>401.67322312655034</v>
      </c>
      <c r="AY327">
        <f>_xlfn.NORM.DIST(Table2912[[#This Row],[Isobutyrate '[%']]],V$6,V$2,FALSE)</f>
        <v>20.29360359184713</v>
      </c>
      <c r="AZ327">
        <f>_xlfn.NORM.DIST(Table2912[[#This Row],[Isovalerate '[%']]],W$6,W$2,FALSE)</f>
        <v>4.9433421888066116</v>
      </c>
      <c r="BA327">
        <f>_xlfn.NORM.DIST(Table2912[[#This Row],[CH4 '[g/mmol SCFA']]],X$6,X$2,FALSE)</f>
        <v>0.24832054975015955</v>
      </c>
      <c r="BB327">
        <f>_xlfn.NORM.DIST(Table2912[[#This Row],[DMD '[mg/g']]],Y$6,Y$2,FALSE)</f>
        <v>2.6334307077712942E-3</v>
      </c>
      <c r="BC327">
        <f>_xlfn.NORM.DIST(Table2912[[#This Row],[CH4 '[ml/g']]],Z$6,Z$2,FALSE)</f>
        <v>3.3421224141625662E-2</v>
      </c>
      <c r="BD327">
        <f>_xlfn.NORM.DIST(Table2912[[#This Row],[CH4 '[% GP']]],AA$6,AA$2,FALSE)</f>
        <v>0.13187003871020234</v>
      </c>
      <c r="BE327">
        <f>_xlfn.NORM.DIST(Table2912[[#This Row],[CH4 '[g/g DDM']]],AB$6,AB$2,FALSE)</f>
        <v>3.0231673214579181E-2</v>
      </c>
      <c r="BG327">
        <f>IF(Table2912[[#This Row],[GP '[ml/g']]]&lt;O$10,_xlfn.NORM.DIST(Table2912[[#This Row],[GP '[ml/g']]],O$6,O$2,FALSE),-100)</f>
        <v>-100</v>
      </c>
      <c r="BH327">
        <f>IF(Table2912[[#This Row],[SCFA '[mmol/g']]]&lt;P$10,_xlfn.NORM.DIST(Table2912[[#This Row],[SCFA '[mmol/g']]],P$6,P$2,FALSE),-100)</f>
        <v>-100</v>
      </c>
      <c r="BI327">
        <f>IF(Table2912[[#This Row],[Acetate '[%']]]&lt;Q$10,_xlfn.NORM.DIST(Table2912[[#This Row],[Acetate '[%']]],Q$6,Q$2,FALSE),-100)</f>
        <v>-100</v>
      </c>
      <c r="BJ327">
        <f>IF(Table2912[[#This Row],[Propionate '[%']]]&lt;R$10,_xlfn.NORM.DIST(Table2912[[#This Row],[Propionate '[%']]],R$6,R$2,FALSE),-100)</f>
        <v>-100</v>
      </c>
      <c r="BK327">
        <f>IF(Table2912[[#This Row],[Butyrate '[%']]]&lt;S$10,_xlfn.NORM.DIST(Table2912[[#This Row],[Butyrate '[%']]],S$6,S$2,FALSE),-100)</f>
        <v>-100</v>
      </c>
      <c r="BL327">
        <f>IF(Table2912[[#This Row],[Valerate '[%']]]&lt;T$10,_xlfn.NORM.DIST(Table2912[[#This Row],[Valerate '[%']]],T$6,T$2,FALSE),-100)</f>
        <v>-100</v>
      </c>
      <c r="BM327">
        <f>IF(Table2912[[#This Row],[Caproate '[%']]]&lt;U$10,_xlfn.NORM.DIST(Table2912[[#This Row],[Caproate '[%']]],U$6,U$2,FALSE),-100)</f>
        <v>-100</v>
      </c>
      <c r="BN327">
        <f>IF(Table2912[[#This Row],[Isobutyrate '[%']]]&lt;V$10,_xlfn.NORM.DIST(Table2912[[#This Row],[Isobutyrate '[%']]],V$6,V$2,FALSE),-100)</f>
        <v>-100</v>
      </c>
      <c r="BO327">
        <f>IF(Table2912[[#This Row],[Isovalerate '[%']]]&lt;W$10,_xlfn.NORM.DIST(Table2912[[#This Row],[Isovalerate '[%']]],W$6,W$2,FALSE),-100)</f>
        <v>-100</v>
      </c>
      <c r="BP327">
        <f>IF(Table2912[[#This Row],[CH4 '[g/mmol SCFA']]]&lt;X$10,_xlfn.NORM.DIST(Table2912[[#This Row],[CH4 '[g/mmol SCFA']]],X$6,X$2,FALSE),-100)</f>
        <v>-100</v>
      </c>
      <c r="BQ327">
        <f>IF(Table2912[[#This Row],[DMD '[mg/g']]]&gt;Y$10,_xlfn.NORM.DIST(Table2912[[#This Row],[DMD '[mg/g']]],Y$6,Y$2,FALSE),-100)</f>
        <v>-100</v>
      </c>
      <c r="BR327">
        <f>IF(Table2912[[#This Row],[CH4 '[ml/g']]]&lt;Z$10,_xlfn.NORM.DIST(Table2912[[#This Row],[CH4 '[ml/g']]],Z$6,Z$2,FALSE),-100)</f>
        <v>-100</v>
      </c>
      <c r="BS327">
        <f>IF(Table2912[[#This Row],[CH4 '[% GP']]]&lt;AA$10,_xlfn.NORM.DIST(Table2912[[#This Row],[CH4 '[% GP']]],AA$6,AA$2,FALSE),-100)</f>
        <v>-100</v>
      </c>
      <c r="BT327">
        <f>IF(Table2912[[#This Row],[CH4 '[g/g DDM']]]&lt;AB$10,_xlfn.NORM.DIST(Table2912[[#This Row],[CH4 '[g/g DDM']]],AB$6,AB$2,FALSE),-100)</f>
        <v>-100</v>
      </c>
    </row>
    <row r="328" spans="1:72" x14ac:dyDescent="0.25">
      <c r="A328" s="12" t="s">
        <v>200</v>
      </c>
      <c r="B328" s="13">
        <v>1216</v>
      </c>
      <c r="C328" s="113" t="s">
        <v>420</v>
      </c>
      <c r="D328" s="113" t="s">
        <v>391</v>
      </c>
      <c r="E328" s="113" t="s">
        <v>392</v>
      </c>
      <c r="F328" s="113" t="s">
        <v>393</v>
      </c>
      <c r="G328" t="s">
        <v>143</v>
      </c>
      <c r="H328" t="s">
        <v>144</v>
      </c>
      <c r="I328" t="s">
        <v>52</v>
      </c>
      <c r="J328" s="70">
        <v>2</v>
      </c>
      <c r="K328" s="70"/>
      <c r="L328" s="70"/>
      <c r="M328" t="s">
        <v>421</v>
      </c>
      <c r="N328" t="s">
        <v>352</v>
      </c>
      <c r="O328" s="18">
        <v>317.08015873015836</v>
      </c>
      <c r="P328" s="18">
        <v>8.1504797943794944</v>
      </c>
      <c r="Q328" s="97">
        <v>0.6577515449163529</v>
      </c>
      <c r="R328" s="97">
        <v>0.18480398532239806</v>
      </c>
      <c r="S328" s="97">
        <v>0.1020269594754232</v>
      </c>
      <c r="T328" s="97">
        <v>1.3744240460736405E-2</v>
      </c>
      <c r="U328" s="97">
        <v>1.6063026972814778E-3</v>
      </c>
      <c r="V328" s="97">
        <v>1.4735390155605554E-2</v>
      </c>
      <c r="W328" s="97">
        <v>2.5331576972202584E-2</v>
      </c>
      <c r="X328" s="51">
        <f t="shared" si="23"/>
        <v>7.0169445516644666</v>
      </c>
      <c r="Y328" s="18">
        <v>837.95372218525904</v>
      </c>
      <c r="Z328" s="18">
        <v>57.191464786622518</v>
      </c>
      <c r="AA328" s="18">
        <f t="shared" si="24"/>
        <v>18.036910608239481</v>
      </c>
      <c r="AB328" s="18">
        <f t="shared" si="25"/>
        <v>68.251340464811904</v>
      </c>
      <c r="AC328" s="18">
        <f>$CP$15*Table2912[[#This Row],[DMD '[mg/g']]]+$CS$15*Table2912[[#This Row],[CH4 '[ml/g']]]+$CR$15*Table2912[[#This Row],[CH4 '[% GP']]]+$CQ$15*Table2912[[#This Row],[CH4 '[g/g DDM']]]</f>
        <v>12.938527277234357</v>
      </c>
      <c r="AD328" s="18">
        <f>_xlfn.RANK.AVG(Table2912[[#This Row],[Index]],Table2912[Index])</f>
        <v>304</v>
      </c>
      <c r="AE32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7.6988004965400538</v>
      </c>
      <c r="AF328" s="18">
        <f>Table2912[[#This Row],[CH4 '[ml/g']]]/Table2912[[#This Row],[APB]]</f>
        <v>7.4286201873038724</v>
      </c>
      <c r="AG328" s="18">
        <f>Table2912[[#This Row],[Propionate '[%']]]/Table2912[[#This Row],[Acetate '[%']]]</f>
        <v>0.28096320981792572</v>
      </c>
      <c r="AH328" s="51"/>
      <c r="AI328" s="18"/>
      <c r="AJ328" s="18"/>
      <c r="AK328" s="18">
        <f>(Table2912[[#This Row],[DMD '[mg/g']]]-$AK$15)/$AK$15*100</f>
        <v>70.910119677068636</v>
      </c>
      <c r="AL328" s="18">
        <f>(Table2912[[#This Row],[CH4 '[ml/g']]]-AL$15)/AL$15*100</f>
        <v>45.406189499230635</v>
      </c>
      <c r="AM328" s="18">
        <f>(Table2912[[#This Row],[CH4 '[% GP']]]-AM$15)/AM$15*100</f>
        <v>16.199584523335179</v>
      </c>
      <c r="AN328" s="18">
        <f>(Table2912[[#This Row],[CH4 '[g/g DDM']]]-AN$15)/AN$15*100</f>
        <v>33.262990560877917</v>
      </c>
      <c r="AO328" s="18"/>
      <c r="AP328" s="18"/>
      <c r="AR328">
        <f>_xlfn.NORM.DIST(Table2912[[#This Row],[GP '[ml/g']]],O$6,O$2,FALSE)</f>
        <v>3.8399679745724771E-3</v>
      </c>
      <c r="AS328">
        <f>_xlfn.NORM.DIST(Table2912[[#This Row],[SCFA '[mmol/g']]],P$6,P$2,FALSE)</f>
        <v>0.134610821273946</v>
      </c>
      <c r="AT328">
        <f>_xlfn.NORM.DIST(Table2912[[#This Row],[Acetate '[%']]],Q$6,Q$2,FALSE)</f>
        <v>12.120391041074436</v>
      </c>
      <c r="AU328">
        <f>_xlfn.NORM.DIST(Table2912[[#This Row],[Propionate '[%']]],R$6,R$2,FALSE)</f>
        <v>14.477797712818028</v>
      </c>
      <c r="AV328">
        <f>_xlfn.NORM.DIST(Table2912[[#This Row],[Butyrate '[%']]],S$6,S$2,FALSE)</f>
        <v>20.058680462940238</v>
      </c>
      <c r="AW328">
        <f>_xlfn.NORM.DIST(Table2912[[#This Row],[Valerate '[%']]],T$6,T$2,FALSE)</f>
        <v>58.00463597589637</v>
      </c>
      <c r="AX328">
        <f>_xlfn.NORM.DIST(Table2912[[#This Row],[Caproate '[%']]],U$6,U$2,FALSE)</f>
        <v>391.4138440190651</v>
      </c>
      <c r="AY328">
        <f>_xlfn.NORM.DIST(Table2912[[#This Row],[Isobutyrate '[%']]],V$6,V$2,FALSE)</f>
        <v>89.381207828057299</v>
      </c>
      <c r="AZ328">
        <f>_xlfn.NORM.DIST(Table2912[[#This Row],[Isovalerate '[%']]],W$6,W$2,FALSE)</f>
        <v>43.534806097348202</v>
      </c>
      <c r="BA328">
        <f>_xlfn.NORM.DIST(Table2912[[#This Row],[CH4 '[g/mmol SCFA']]],X$6,X$2,FALSE)</f>
        <v>0.25603390527634129</v>
      </c>
      <c r="BB328">
        <f>_xlfn.NORM.DIST(Table2912[[#This Row],[DMD '[mg/g']]],Y$6,Y$2,FALSE)</f>
        <v>2.6318453026454242E-3</v>
      </c>
      <c r="BC328">
        <f>_xlfn.NORM.DIST(Table2912[[#This Row],[CH4 '[ml/g']]],Z$6,Z$2,FALSE)</f>
        <v>1.3901587387926195E-2</v>
      </c>
      <c r="BD328">
        <f>_xlfn.NORM.DIST(Table2912[[#This Row],[CH4 '[% GP']]],AA$6,AA$2,FALSE)</f>
        <v>0.10800840434785698</v>
      </c>
      <c r="BE328">
        <f>_xlfn.NORM.DIST(Table2912[[#This Row],[CH4 '[g/g DDM']]],AB$6,AB$2,FALSE)</f>
        <v>1.5480100898490896E-2</v>
      </c>
      <c r="BG328">
        <f>IF(Table2912[[#This Row],[GP '[ml/g']]]&lt;O$10,_xlfn.NORM.DIST(Table2912[[#This Row],[GP '[ml/g']]],O$6,O$2,FALSE),-100)</f>
        <v>-100</v>
      </c>
      <c r="BH328">
        <f>IF(Table2912[[#This Row],[SCFA '[mmol/g']]]&lt;P$10,_xlfn.NORM.DIST(Table2912[[#This Row],[SCFA '[mmol/g']]],P$6,P$2,FALSE),-100)</f>
        <v>-100</v>
      </c>
      <c r="BI328">
        <f>IF(Table2912[[#This Row],[Acetate '[%']]]&lt;Q$10,_xlfn.NORM.DIST(Table2912[[#This Row],[Acetate '[%']]],Q$6,Q$2,FALSE),-100)</f>
        <v>-100</v>
      </c>
      <c r="BJ328">
        <f>IF(Table2912[[#This Row],[Propionate '[%']]]&lt;R$10,_xlfn.NORM.DIST(Table2912[[#This Row],[Propionate '[%']]],R$6,R$2,FALSE),-100)</f>
        <v>-100</v>
      </c>
      <c r="BK328">
        <f>IF(Table2912[[#This Row],[Butyrate '[%']]]&lt;S$10,_xlfn.NORM.DIST(Table2912[[#This Row],[Butyrate '[%']]],S$6,S$2,FALSE),-100)</f>
        <v>-100</v>
      </c>
      <c r="BL328">
        <f>IF(Table2912[[#This Row],[Valerate '[%']]]&lt;T$10,_xlfn.NORM.DIST(Table2912[[#This Row],[Valerate '[%']]],T$6,T$2,FALSE),-100)</f>
        <v>-100</v>
      </c>
      <c r="BM328">
        <f>IF(Table2912[[#This Row],[Caproate '[%']]]&lt;U$10,_xlfn.NORM.DIST(Table2912[[#This Row],[Caproate '[%']]],U$6,U$2,FALSE),-100)</f>
        <v>-100</v>
      </c>
      <c r="BN328">
        <f>IF(Table2912[[#This Row],[Isobutyrate '[%']]]&lt;V$10,_xlfn.NORM.DIST(Table2912[[#This Row],[Isobutyrate '[%']]],V$6,V$2,FALSE),-100)</f>
        <v>-100</v>
      </c>
      <c r="BO328">
        <f>IF(Table2912[[#This Row],[Isovalerate '[%']]]&lt;W$10,_xlfn.NORM.DIST(Table2912[[#This Row],[Isovalerate '[%']]],W$6,W$2,FALSE),-100)</f>
        <v>-100</v>
      </c>
      <c r="BP328">
        <f>IF(Table2912[[#This Row],[CH4 '[g/mmol SCFA']]]&lt;X$10,_xlfn.NORM.DIST(Table2912[[#This Row],[CH4 '[g/mmol SCFA']]],X$6,X$2,FALSE),-100)</f>
        <v>-100</v>
      </c>
      <c r="BQ328">
        <f>IF(Table2912[[#This Row],[DMD '[mg/g']]]&gt;Y$10,_xlfn.NORM.DIST(Table2912[[#This Row],[DMD '[mg/g']]],Y$6,Y$2,FALSE),-100)</f>
        <v>-100</v>
      </c>
      <c r="BR328">
        <f>IF(Table2912[[#This Row],[CH4 '[ml/g']]]&lt;Z$10,_xlfn.NORM.DIST(Table2912[[#This Row],[CH4 '[ml/g']]],Z$6,Z$2,FALSE),-100)</f>
        <v>-100</v>
      </c>
      <c r="BS328">
        <f>IF(Table2912[[#This Row],[CH4 '[% GP']]]&lt;AA$10,_xlfn.NORM.DIST(Table2912[[#This Row],[CH4 '[% GP']]],AA$6,AA$2,FALSE),-100)</f>
        <v>-100</v>
      </c>
      <c r="BT328">
        <f>IF(Table2912[[#This Row],[CH4 '[g/g DDM']]]&lt;AB$10,_xlfn.NORM.DIST(Table2912[[#This Row],[CH4 '[g/g DDM']]],AB$6,AB$2,FALSE),-100)</f>
        <v>-100</v>
      </c>
    </row>
    <row r="329" spans="1:72" x14ac:dyDescent="0.25">
      <c r="A329" s="12" t="s">
        <v>70</v>
      </c>
      <c r="B329" s="13">
        <v>1029</v>
      </c>
      <c r="C329" s="96" t="s">
        <v>368</v>
      </c>
      <c r="D329" s="96"/>
      <c r="E329" s="96"/>
      <c r="F329" s="96" t="s">
        <v>369</v>
      </c>
      <c r="G329" s="15" t="s">
        <v>73</v>
      </c>
      <c r="H329" s="15" t="s">
        <v>74</v>
      </c>
      <c r="I329" t="s">
        <v>75</v>
      </c>
      <c r="J329" s="70">
        <v>3</v>
      </c>
      <c r="K329" s="70"/>
      <c r="L329" s="70"/>
      <c r="M329" t="s">
        <v>369</v>
      </c>
      <c r="N329" t="s">
        <v>84</v>
      </c>
      <c r="O329" s="18">
        <v>249.29062222222265</v>
      </c>
      <c r="P329" s="18">
        <v>7.3192520432957799</v>
      </c>
      <c r="Q329" s="97">
        <v>0.63964168790209497</v>
      </c>
      <c r="R329" s="97">
        <v>0.17470048683347528</v>
      </c>
      <c r="S329" s="97">
        <v>9.740044356714242E-2</v>
      </c>
      <c r="T329" s="97">
        <v>2.1474502596092737E-2</v>
      </c>
      <c r="U329" s="97">
        <v>1.6658950214204677E-3</v>
      </c>
      <c r="V329" s="97">
        <v>2.2756032076958404E-2</v>
      </c>
      <c r="W329" s="97">
        <v>4.2360952002815845E-2</v>
      </c>
      <c r="X329" s="51">
        <f t="shared" si="23"/>
        <v>6.2099158712606508</v>
      </c>
      <c r="Y329" s="18">
        <v>839.77733598409554</v>
      </c>
      <c r="Z329" s="18">
        <v>45.451939429419411</v>
      </c>
      <c r="AA329" s="18">
        <f t="shared" si="24"/>
        <v>18.232510723529199</v>
      </c>
      <c r="AB329" s="18">
        <f t="shared" si="25"/>
        <v>54.123798633070308</v>
      </c>
      <c r="AC329" s="18">
        <f>$CP$15*Table2912[[#This Row],[DMD '[mg/g']]]+$CS$15*Table2912[[#This Row],[CH4 '[ml/g']]]+$CR$15*Table2912[[#This Row],[CH4 '[% GP']]]+$CQ$15*Table2912[[#This Row],[CH4 '[g/g DDM']]]</f>
        <v>18.5231834757599</v>
      </c>
      <c r="AD329" s="18">
        <f>_xlfn.RANK.AVG(Table2912[[#This Row],[Index]],Table2912[Index])</f>
        <v>190</v>
      </c>
      <c r="AE32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6.6732740219719746</v>
      </c>
      <c r="AF329" s="18">
        <f>Table2912[[#This Row],[CH4 '[ml/g']]]/Table2912[[#This Row],[APB]]</f>
        <v>6.811040469755536</v>
      </c>
      <c r="AG329" s="18">
        <f>Table2912[[#This Row],[Propionate '[%']]]/Table2912[[#This Row],[Acetate '[%']]]</f>
        <v>0.27312242172091716</v>
      </c>
      <c r="AH329" s="51"/>
      <c r="AI329" s="18"/>
      <c r="AJ329" s="18"/>
      <c r="AK329" s="18">
        <f>(Table2912[[#This Row],[DMD '[mg/g']]]-$AK$15)/$AK$15*100</f>
        <v>71.28206629458721</v>
      </c>
      <c r="AL329" s="18">
        <f>(Table2912[[#This Row],[CH4 '[ml/g']]]-AL$15)/AL$15*100</f>
        <v>15.559084601861798</v>
      </c>
      <c r="AM329" s="18">
        <f>(Table2912[[#This Row],[CH4 '[% GP']]]-AM$15)/AM$15*100</f>
        <v>17.459703433000286</v>
      </c>
      <c r="AN329" s="18">
        <f>(Table2912[[#This Row],[CH4 '[g/g DDM']]]-AN$15)/AN$15*100</f>
        <v>5.6784997516104569</v>
      </c>
      <c r="AO329" s="18"/>
      <c r="AP329" s="18"/>
      <c r="AR329">
        <f>_xlfn.NORM.DIST(Table2912[[#This Row],[GP '[ml/g']]],O$6,O$2,FALSE)</f>
        <v>7.4295116030848752E-3</v>
      </c>
      <c r="AS329">
        <f>_xlfn.NORM.DIST(Table2912[[#This Row],[SCFA '[mmol/g']]],P$6,P$2,FALSE)</f>
        <v>0.26901997014612511</v>
      </c>
      <c r="AT329">
        <f>_xlfn.NORM.DIST(Table2912[[#This Row],[Acetate '[%']]],Q$6,Q$2,FALSE)</f>
        <v>7.014531607106151</v>
      </c>
      <c r="AU329">
        <f>_xlfn.NORM.DIST(Table2912[[#This Row],[Propionate '[%']]],R$6,R$2,FALSE)</f>
        <v>16.672139112056421</v>
      </c>
      <c r="AV329">
        <f>_xlfn.NORM.DIST(Table2912[[#This Row],[Butyrate '[%']]],S$6,S$2,FALSE)</f>
        <v>22.27306746391573</v>
      </c>
      <c r="AW329">
        <f>_xlfn.NORM.DIST(Table2912[[#This Row],[Valerate '[%']]],T$6,T$2,FALSE)</f>
        <v>58.849030040595935</v>
      </c>
      <c r="AX329">
        <f>_xlfn.NORM.DIST(Table2912[[#This Row],[Caproate '[%']]],U$6,U$2,FALSE)</f>
        <v>384.12876085200543</v>
      </c>
      <c r="AY329">
        <f>_xlfn.NORM.DIST(Table2912[[#This Row],[Isobutyrate '[%']]],V$6,V$2,FALSE)</f>
        <v>21.947238519469234</v>
      </c>
      <c r="AZ329">
        <f>_xlfn.NORM.DIST(Table2912[[#This Row],[Isovalerate '[%']]],W$6,W$2,FALSE)</f>
        <v>11.697240992363666</v>
      </c>
      <c r="BA329">
        <f>_xlfn.NORM.DIST(Table2912[[#This Row],[CH4 '[g/mmol SCFA']]],X$6,X$2,FALSE)</f>
        <v>0.29696920102493185</v>
      </c>
      <c r="BB329">
        <f>_xlfn.NORM.DIST(Table2912[[#This Row],[DMD '[mg/g']]],Y$6,Y$2,FALSE)</f>
        <v>2.6157733016044364E-3</v>
      </c>
      <c r="BC329">
        <f>_xlfn.NORM.DIST(Table2912[[#This Row],[CH4 '[ml/g']]],Z$6,Z$2,FALSE)</f>
        <v>3.1619213461378678E-2</v>
      </c>
      <c r="BD329">
        <f>_xlfn.NORM.DIST(Table2912[[#This Row],[CH4 '[% GP']]],AA$6,AA$2,FALSE)</f>
        <v>0.10314318066406634</v>
      </c>
      <c r="BE329">
        <f>_xlfn.NORM.DIST(Table2912[[#This Row],[CH4 '[g/g DDM']]],AB$6,AB$2,FALSE)</f>
        <v>3.2786220996128393E-2</v>
      </c>
      <c r="BG329">
        <f>IF(Table2912[[#This Row],[GP '[ml/g']]]&lt;O$10,_xlfn.NORM.DIST(Table2912[[#This Row],[GP '[ml/g']]],O$6,O$2,FALSE),-100)</f>
        <v>-100</v>
      </c>
      <c r="BH329">
        <f>IF(Table2912[[#This Row],[SCFA '[mmol/g']]]&lt;P$10,_xlfn.NORM.DIST(Table2912[[#This Row],[SCFA '[mmol/g']]],P$6,P$2,FALSE),-100)</f>
        <v>-100</v>
      </c>
      <c r="BI329">
        <f>IF(Table2912[[#This Row],[Acetate '[%']]]&lt;Q$10,_xlfn.NORM.DIST(Table2912[[#This Row],[Acetate '[%']]],Q$6,Q$2,FALSE),-100)</f>
        <v>7.014531607106151</v>
      </c>
      <c r="BJ329">
        <f>IF(Table2912[[#This Row],[Propionate '[%']]]&lt;R$10,_xlfn.NORM.DIST(Table2912[[#This Row],[Propionate '[%']]],R$6,R$2,FALSE),-100)</f>
        <v>-100</v>
      </c>
      <c r="BK329">
        <f>IF(Table2912[[#This Row],[Butyrate '[%']]]&lt;S$10,_xlfn.NORM.DIST(Table2912[[#This Row],[Butyrate '[%']]],S$6,S$2,FALSE),-100)</f>
        <v>-100</v>
      </c>
      <c r="BL329">
        <f>IF(Table2912[[#This Row],[Valerate '[%']]]&lt;T$10,_xlfn.NORM.DIST(Table2912[[#This Row],[Valerate '[%']]],T$6,T$2,FALSE),-100)</f>
        <v>-100</v>
      </c>
      <c r="BM329">
        <f>IF(Table2912[[#This Row],[Caproate '[%']]]&lt;U$10,_xlfn.NORM.DIST(Table2912[[#This Row],[Caproate '[%']]],U$6,U$2,FALSE),-100)</f>
        <v>-100</v>
      </c>
      <c r="BN329">
        <f>IF(Table2912[[#This Row],[Isobutyrate '[%']]]&lt;V$10,_xlfn.NORM.DIST(Table2912[[#This Row],[Isobutyrate '[%']]],V$6,V$2,FALSE),-100)</f>
        <v>-100</v>
      </c>
      <c r="BO329">
        <f>IF(Table2912[[#This Row],[Isovalerate '[%']]]&lt;W$10,_xlfn.NORM.DIST(Table2912[[#This Row],[Isovalerate '[%']]],W$6,W$2,FALSE),-100)</f>
        <v>-100</v>
      </c>
      <c r="BP329">
        <f>IF(Table2912[[#This Row],[CH4 '[g/mmol SCFA']]]&lt;X$10,_xlfn.NORM.DIST(Table2912[[#This Row],[CH4 '[g/mmol SCFA']]],X$6,X$2,FALSE),-100)</f>
        <v>-100</v>
      </c>
      <c r="BQ329">
        <f>IF(Table2912[[#This Row],[DMD '[mg/g']]]&gt;Y$10,_xlfn.NORM.DIST(Table2912[[#This Row],[DMD '[mg/g']]],Y$6,Y$2,FALSE),-100)</f>
        <v>-100</v>
      </c>
      <c r="BR329">
        <f>IF(Table2912[[#This Row],[CH4 '[ml/g']]]&lt;Z$10,_xlfn.NORM.DIST(Table2912[[#This Row],[CH4 '[ml/g']]],Z$6,Z$2,FALSE),-100)</f>
        <v>-100</v>
      </c>
      <c r="BS329">
        <f>IF(Table2912[[#This Row],[CH4 '[% GP']]]&lt;AA$10,_xlfn.NORM.DIST(Table2912[[#This Row],[CH4 '[% GP']]],AA$6,AA$2,FALSE),-100)</f>
        <v>-100</v>
      </c>
      <c r="BT329">
        <f>IF(Table2912[[#This Row],[CH4 '[g/g DDM']]]&lt;AB$10,_xlfn.NORM.DIST(Table2912[[#This Row],[CH4 '[g/g DDM']]],AB$6,AB$2,FALSE),-100)</f>
        <v>-100</v>
      </c>
    </row>
    <row r="330" spans="1:72" x14ac:dyDescent="0.25">
      <c r="A330" s="12" t="s">
        <v>86</v>
      </c>
      <c r="B330" s="13">
        <v>1090</v>
      </c>
      <c r="C330" s="104" t="s">
        <v>364</v>
      </c>
      <c r="D330" s="104" t="s">
        <v>365</v>
      </c>
      <c r="E330" s="104" t="s">
        <v>366</v>
      </c>
      <c r="F330" s="104" t="s">
        <v>367</v>
      </c>
      <c r="G330" s="32" t="s">
        <v>143</v>
      </c>
      <c r="H330" s="32" t="s">
        <v>144</v>
      </c>
      <c r="I330" s="32" t="s">
        <v>52</v>
      </c>
      <c r="J330" s="70">
        <v>1</v>
      </c>
      <c r="K330" s="70"/>
      <c r="L330" s="70"/>
      <c r="M330" t="s">
        <v>367</v>
      </c>
      <c r="N330" t="s">
        <v>171</v>
      </c>
      <c r="O330" s="18">
        <v>277.8307861220901</v>
      </c>
      <c r="P330" s="18">
        <v>6.6131103327724077</v>
      </c>
      <c r="Q330" s="97">
        <v>0.68428736214169239</v>
      </c>
      <c r="R330" s="97">
        <v>0.17169069692287564</v>
      </c>
      <c r="S330" s="97">
        <v>7.9787985453508931E-2</v>
      </c>
      <c r="T330" s="97">
        <v>1.8506419044446325E-2</v>
      </c>
      <c r="U330" s="97">
        <v>6.3162267030261905E-4</v>
      </c>
      <c r="V330" s="97">
        <v>1.6539205866653743E-2</v>
      </c>
      <c r="W330" s="97">
        <v>2.8556707900520392E-2</v>
      </c>
      <c r="X330" s="51">
        <f t="shared" si="23"/>
        <v>7.7035153106121692</v>
      </c>
      <c r="Y330" s="18">
        <v>840.52840066615363</v>
      </c>
      <c r="Z330" s="18">
        <v>50.944196699279779</v>
      </c>
      <c r="AA330" s="18">
        <f t="shared" si="24"/>
        <v>18.336411673576318</v>
      </c>
      <c r="AB330" s="18">
        <f t="shared" si="25"/>
        <v>60.609726761052201</v>
      </c>
      <c r="AC330" s="18">
        <f>$CP$15*Table2912[[#This Row],[DMD '[mg/g']]]+$CS$15*Table2912[[#This Row],[CH4 '[ml/g']]]+$CR$15*Table2912[[#This Row],[CH4 '[% GP']]]+$CQ$15*Table2912[[#This Row],[CH4 '[g/g DDM']]]</f>
        <v>16.046654025387596</v>
      </c>
      <c r="AD330" s="18">
        <f>_xlfn.RANK.AVG(Table2912[[#This Row],[Index]],Table2912[Index])</f>
        <v>254</v>
      </c>
      <c r="AE33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6.1883240980600593</v>
      </c>
      <c r="AF330" s="18">
        <f>Table2912[[#This Row],[CH4 '[ml/g']]]/Table2912[[#This Row],[APB]]</f>
        <v>8.232309085952684</v>
      </c>
      <c r="AG330" s="18">
        <f>Table2912[[#This Row],[Propionate '[%']]]/Table2912[[#This Row],[Acetate '[%']]]</f>
        <v>0.25090438085180417</v>
      </c>
      <c r="AH330" s="51"/>
      <c r="AI330" s="18"/>
      <c r="AJ330" s="18"/>
      <c r="AK330" s="18">
        <f>(Table2912[[#This Row],[DMD '[mg/g']]]-$AK$15)/$AK$15*100</f>
        <v>71.435254413808167</v>
      </c>
      <c r="AL330" s="18">
        <f>(Table2912[[#This Row],[CH4 '[ml/g']]]-AL$15)/AL$15*100</f>
        <v>29.522850075248375</v>
      </c>
      <c r="AM330" s="18">
        <f>(Table2912[[#This Row],[CH4 '[% GP']]]-AM$15)/AM$15*100</f>
        <v>18.129066800668131</v>
      </c>
      <c r="AN330" s="18">
        <f>(Table2912[[#This Row],[CH4 '[g/g DDM']]]-AN$15)/AN$15*100</f>
        <v>18.342488077867657</v>
      </c>
      <c r="AO330" s="18"/>
      <c r="AP330" s="18"/>
      <c r="AR330">
        <f>_xlfn.NORM.DIST(Table2912[[#This Row],[GP '[ml/g']]],O$6,O$2,FALSE)</f>
        <v>6.851623217914357E-3</v>
      </c>
      <c r="AS330">
        <f>_xlfn.NORM.DIST(Table2912[[#This Row],[SCFA '[mmol/g']]],P$6,P$2,FALSE)</f>
        <v>0.33208217434413723</v>
      </c>
      <c r="AT330">
        <f>_xlfn.NORM.DIST(Table2912[[#This Row],[Acetate '[%']]],Q$6,Q$2,FALSE)</f>
        <v>12.987137137700158</v>
      </c>
      <c r="AU330">
        <f>_xlfn.NORM.DIST(Table2912[[#This Row],[Propionate '[%']]],R$6,R$2,FALSE)</f>
        <v>16.790616696459715</v>
      </c>
      <c r="AV330">
        <f>_xlfn.NORM.DIST(Table2912[[#This Row],[Butyrate '[%']]],S$6,S$2,FALSE)</f>
        <v>17.277000528795398</v>
      </c>
      <c r="AW330">
        <f>_xlfn.NORM.DIST(Table2912[[#This Row],[Valerate '[%']]],T$6,T$2,FALSE)</f>
        <v>76.356501953145482</v>
      </c>
      <c r="AX330">
        <f>_xlfn.NORM.DIST(Table2912[[#This Row],[Caproate '[%']]],U$6,U$2,FALSE)</f>
        <v>315.02875002855433</v>
      </c>
      <c r="AY330">
        <f>_xlfn.NORM.DIST(Table2912[[#This Row],[Isobutyrate '[%']]],V$6,V$2,FALSE)</f>
        <v>86.787445764311343</v>
      </c>
      <c r="AZ330">
        <f>_xlfn.NORM.DIST(Table2912[[#This Row],[Isovalerate '[%']]],W$6,W$2,FALSE)</f>
        <v>45.301141872272062</v>
      </c>
      <c r="BA330">
        <f>_xlfn.NORM.DIST(Table2912[[#This Row],[CH4 '[g/mmol SCFA']]],X$6,X$2,FALSE)</f>
        <v>0.16972462145846096</v>
      </c>
      <c r="BB330">
        <f>_xlfn.NORM.DIST(Table2912[[#This Row],[DMD '[mg/g']]],Y$6,Y$2,FALSE)</f>
        <v>2.6090477523585897E-3</v>
      </c>
      <c r="BC330">
        <f>_xlfn.NORM.DIST(Table2912[[#This Row],[CH4 '[ml/g']]],Z$6,Z$2,FALSE)</f>
        <v>2.4296286655417099E-2</v>
      </c>
      <c r="BD330">
        <f>_xlfn.NORM.DIST(Table2912[[#This Row],[CH4 '[% GP']]],AA$6,AA$2,FALSE)</f>
        <v>0.100470165895828</v>
      </c>
      <c r="BE330">
        <f>_xlfn.NORM.DIST(Table2912[[#This Row],[CH4 '[g/g DDM']]],AB$6,AB$2,FALSE)</f>
        <v>2.7481831589325066E-2</v>
      </c>
      <c r="BG330">
        <f>IF(Table2912[[#This Row],[GP '[ml/g']]]&lt;O$10,_xlfn.NORM.DIST(Table2912[[#This Row],[GP '[ml/g']]],O$6,O$2,FALSE),-100)</f>
        <v>-100</v>
      </c>
      <c r="BH330">
        <f>IF(Table2912[[#This Row],[SCFA '[mmol/g']]]&lt;P$10,_xlfn.NORM.DIST(Table2912[[#This Row],[SCFA '[mmol/g']]],P$6,P$2,FALSE),-100)</f>
        <v>-100</v>
      </c>
      <c r="BI330">
        <f>IF(Table2912[[#This Row],[Acetate '[%']]]&lt;Q$10,_xlfn.NORM.DIST(Table2912[[#This Row],[Acetate '[%']]],Q$6,Q$2,FALSE),-100)</f>
        <v>-100</v>
      </c>
      <c r="BJ330">
        <f>IF(Table2912[[#This Row],[Propionate '[%']]]&lt;R$10,_xlfn.NORM.DIST(Table2912[[#This Row],[Propionate '[%']]],R$6,R$2,FALSE),-100)</f>
        <v>-100</v>
      </c>
      <c r="BK330">
        <f>IF(Table2912[[#This Row],[Butyrate '[%']]]&lt;S$10,_xlfn.NORM.DIST(Table2912[[#This Row],[Butyrate '[%']]],S$6,S$2,FALSE),-100)</f>
        <v>-100</v>
      </c>
      <c r="BL330">
        <f>IF(Table2912[[#This Row],[Valerate '[%']]]&lt;T$10,_xlfn.NORM.DIST(Table2912[[#This Row],[Valerate '[%']]],T$6,T$2,FALSE),-100)</f>
        <v>-100</v>
      </c>
      <c r="BM330">
        <f>IF(Table2912[[#This Row],[Caproate '[%']]]&lt;U$10,_xlfn.NORM.DIST(Table2912[[#This Row],[Caproate '[%']]],U$6,U$2,FALSE),-100)</f>
        <v>-100</v>
      </c>
      <c r="BN330">
        <f>IF(Table2912[[#This Row],[Isobutyrate '[%']]]&lt;V$10,_xlfn.NORM.DIST(Table2912[[#This Row],[Isobutyrate '[%']]],V$6,V$2,FALSE),-100)</f>
        <v>-100</v>
      </c>
      <c r="BO330">
        <f>IF(Table2912[[#This Row],[Isovalerate '[%']]]&lt;W$10,_xlfn.NORM.DIST(Table2912[[#This Row],[Isovalerate '[%']]],W$6,W$2,FALSE),-100)</f>
        <v>-100</v>
      </c>
      <c r="BP330">
        <f>IF(Table2912[[#This Row],[CH4 '[g/mmol SCFA']]]&lt;X$10,_xlfn.NORM.DIST(Table2912[[#This Row],[CH4 '[g/mmol SCFA']]],X$6,X$2,FALSE),-100)</f>
        <v>-100</v>
      </c>
      <c r="BQ330">
        <f>IF(Table2912[[#This Row],[DMD '[mg/g']]]&gt;Y$10,_xlfn.NORM.DIST(Table2912[[#This Row],[DMD '[mg/g']]],Y$6,Y$2,FALSE),-100)</f>
        <v>-100</v>
      </c>
      <c r="BR330">
        <f>IF(Table2912[[#This Row],[CH4 '[ml/g']]]&lt;Z$10,_xlfn.NORM.DIST(Table2912[[#This Row],[CH4 '[ml/g']]],Z$6,Z$2,FALSE),-100)</f>
        <v>-100</v>
      </c>
      <c r="BS330">
        <f>IF(Table2912[[#This Row],[CH4 '[% GP']]]&lt;AA$10,_xlfn.NORM.DIST(Table2912[[#This Row],[CH4 '[% GP']]],AA$6,AA$2,FALSE),-100)</f>
        <v>-100</v>
      </c>
      <c r="BT330">
        <f>IF(Table2912[[#This Row],[CH4 '[g/g DDM']]]&lt;AB$10,_xlfn.NORM.DIST(Table2912[[#This Row],[CH4 '[g/g DDM']]],AB$6,AB$2,FALSE),-100)</f>
        <v>-100</v>
      </c>
    </row>
    <row r="331" spans="1:72" x14ac:dyDescent="0.25">
      <c r="A331" s="12" t="s">
        <v>200</v>
      </c>
      <c r="B331" s="13">
        <v>1208</v>
      </c>
      <c r="C331" s="113" t="s">
        <v>390</v>
      </c>
      <c r="D331" s="113" t="s">
        <v>391</v>
      </c>
      <c r="E331" s="113" t="s">
        <v>392</v>
      </c>
      <c r="F331" s="113" t="s">
        <v>393</v>
      </c>
      <c r="G331" s="32" t="s">
        <v>73</v>
      </c>
      <c r="H331" s="32" t="s">
        <v>74</v>
      </c>
      <c r="I331" s="104" t="s">
        <v>44</v>
      </c>
      <c r="J331" s="70">
        <v>3</v>
      </c>
      <c r="K331" s="70"/>
      <c r="L331" s="70"/>
      <c r="M331" t="s">
        <v>394</v>
      </c>
      <c r="N331" t="s">
        <v>237</v>
      </c>
      <c r="O331" s="18">
        <v>347.38862328463921</v>
      </c>
      <c r="P331" s="18">
        <v>8.3317987163341325</v>
      </c>
      <c r="Q331" s="97">
        <v>0.66406902328719564</v>
      </c>
      <c r="R331" s="97">
        <v>0.17499158910570972</v>
      </c>
      <c r="S331" s="97">
        <v>0.11307539282707496</v>
      </c>
      <c r="T331" s="97">
        <v>1.3048668287429283E-2</v>
      </c>
      <c r="U331" s="97">
        <v>2.483954771422295E-3</v>
      </c>
      <c r="V331" s="97">
        <v>1.1750302688029301E-2</v>
      </c>
      <c r="W331" s="97">
        <v>2.0581069033138746E-2</v>
      </c>
      <c r="X331" s="51">
        <f t="shared" si="23"/>
        <v>7.3045517554303387</v>
      </c>
      <c r="Y331" s="18">
        <v>841.11840686733967</v>
      </c>
      <c r="Z331" s="18">
        <v>60.860054939290734</v>
      </c>
      <c r="AA331" s="18">
        <f t="shared" si="24"/>
        <v>17.519299959752548</v>
      </c>
      <c r="AB331" s="18">
        <f t="shared" si="25"/>
        <v>72.356108774218654</v>
      </c>
      <c r="AC331" s="18">
        <f>$CP$15*Table2912[[#This Row],[DMD '[mg/g']]]+$CS$15*Table2912[[#This Row],[CH4 '[ml/g']]]+$CR$15*Table2912[[#This Row],[CH4 '[% GP']]]+$CQ$15*Table2912[[#This Row],[CH4 '[g/g DDM']]]</f>
        <v>11.804164136774709</v>
      </c>
      <c r="AD331" s="18">
        <f>_xlfn.RANK.AVG(Table2912[[#This Row],[Index]],Table2912[Index])</f>
        <v>325</v>
      </c>
      <c r="AE33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7.9330055460673403</v>
      </c>
      <c r="AF331" s="18">
        <f>Table2912[[#This Row],[CH4 '[ml/g']]]/Table2912[[#This Row],[APB]]</f>
        <v>7.6717524758899387</v>
      </c>
      <c r="AG331" s="18">
        <f>Table2912[[#This Row],[Propionate '[%']]]/Table2912[[#This Row],[Acetate '[%']]]</f>
        <v>0.26351415736799033</v>
      </c>
      <c r="AH331" s="51"/>
      <c r="AI331" s="18"/>
      <c r="AJ331" s="18"/>
      <c r="AK331" s="18">
        <f>(Table2912[[#This Row],[DMD '[mg/g']]]-$AK$15)/$AK$15*100</f>
        <v>71.555592837977883</v>
      </c>
      <c r="AL331" s="18">
        <f>(Table2912[[#This Row],[CH4 '[ml/g']]]-AL$15)/AL$15*100</f>
        <v>54.733380486978511</v>
      </c>
      <c r="AM331" s="18">
        <f>(Table2912[[#This Row],[CH4 '[% GP']]]-AM$15)/AM$15*100</f>
        <v>12.86497009820407</v>
      </c>
      <c r="AN331" s="18">
        <f>(Table2912[[#This Row],[CH4 '[g/g DDM']]]-AN$15)/AN$15*100</f>
        <v>41.277685902328159</v>
      </c>
      <c r="AO331" s="18"/>
      <c r="AP331" s="18"/>
      <c r="AR331">
        <f>_xlfn.NORM.DIST(Table2912[[#This Row],[GP '[ml/g']]],O$6,O$2,FALSE)</f>
        <v>1.6951845941438385E-3</v>
      </c>
      <c r="AS331">
        <f>_xlfn.NORM.DIST(Table2912[[#This Row],[SCFA '[mmol/g']]],P$6,P$2,FALSE)</f>
        <v>0.1085805829772143</v>
      </c>
      <c r="AT331">
        <f>_xlfn.NORM.DIST(Table2912[[#This Row],[Acetate '[%']]],Q$6,Q$2,FALSE)</f>
        <v>13.333569961086235</v>
      </c>
      <c r="AU331">
        <f>_xlfn.NORM.DIST(Table2912[[#This Row],[Propionate '[%']]],R$6,R$2,FALSE)</f>
        <v>16.646550548266674</v>
      </c>
      <c r="AV331">
        <f>_xlfn.NORM.DIST(Table2912[[#This Row],[Butyrate '[%']]],S$6,S$2,FALSE)</f>
        <v>11.705112166818893</v>
      </c>
      <c r="AW331">
        <f>_xlfn.NORM.DIST(Table2912[[#This Row],[Valerate '[%']]],T$6,T$2,FALSE)</f>
        <v>51.879988823229283</v>
      </c>
      <c r="AX331">
        <f>_xlfn.NORM.DIST(Table2912[[#This Row],[Caproate '[%']]],U$6,U$2,FALSE)</f>
        <v>204.30062281423244</v>
      </c>
      <c r="AY331">
        <f>_xlfn.NORM.DIST(Table2912[[#This Row],[Isobutyrate '[%']]],V$6,V$2,FALSE)</f>
        <v>65.143440185211432</v>
      </c>
      <c r="AZ331">
        <f>_xlfn.NORM.DIST(Table2912[[#This Row],[Isovalerate '[%']]],W$6,W$2,FALSE)</f>
        <v>32.114775279641904</v>
      </c>
      <c r="BA331">
        <f>_xlfn.NORM.DIST(Table2912[[#This Row],[CH4 '[g/mmol SCFA']]],X$6,X$2,FALSE)</f>
        <v>0.22250948676080867</v>
      </c>
      <c r="BB331">
        <f>_xlfn.NORM.DIST(Table2912[[#This Row],[DMD '[mg/g']]],Y$6,Y$2,FALSE)</f>
        <v>2.6037215251133857E-3</v>
      </c>
      <c r="BC331">
        <f>_xlfn.NORM.DIST(Table2912[[#This Row],[CH4 '[ml/g']]],Z$6,Z$2,FALSE)</f>
        <v>8.8095847117366337E-3</v>
      </c>
      <c r="BD331">
        <f>_xlfn.NORM.DIST(Table2912[[#This Row],[CH4 '[% GP']]],AA$6,AA$2,FALSE)</f>
        <v>0.11947771168835604</v>
      </c>
      <c r="BE331">
        <f>_xlfn.NORM.DIST(Table2912[[#This Row],[CH4 '[g/g DDM']]],AB$6,AB$2,FALSE)</f>
        <v>9.6577426504261665E-3</v>
      </c>
      <c r="BG331">
        <f>IF(Table2912[[#This Row],[GP '[ml/g']]]&lt;O$10,_xlfn.NORM.DIST(Table2912[[#This Row],[GP '[ml/g']]],O$6,O$2,FALSE),-100)</f>
        <v>-100</v>
      </c>
      <c r="BH331">
        <f>IF(Table2912[[#This Row],[SCFA '[mmol/g']]]&lt;P$10,_xlfn.NORM.DIST(Table2912[[#This Row],[SCFA '[mmol/g']]],P$6,P$2,FALSE),-100)</f>
        <v>-100</v>
      </c>
      <c r="BI331">
        <f>IF(Table2912[[#This Row],[Acetate '[%']]]&lt;Q$10,_xlfn.NORM.DIST(Table2912[[#This Row],[Acetate '[%']]],Q$6,Q$2,FALSE),-100)</f>
        <v>-100</v>
      </c>
      <c r="BJ331">
        <f>IF(Table2912[[#This Row],[Propionate '[%']]]&lt;R$10,_xlfn.NORM.DIST(Table2912[[#This Row],[Propionate '[%']]],R$6,R$2,FALSE),-100)</f>
        <v>-100</v>
      </c>
      <c r="BK331">
        <f>IF(Table2912[[#This Row],[Butyrate '[%']]]&lt;S$10,_xlfn.NORM.DIST(Table2912[[#This Row],[Butyrate '[%']]],S$6,S$2,FALSE),-100)</f>
        <v>-100</v>
      </c>
      <c r="BL331">
        <f>IF(Table2912[[#This Row],[Valerate '[%']]]&lt;T$10,_xlfn.NORM.DIST(Table2912[[#This Row],[Valerate '[%']]],T$6,T$2,FALSE),-100)</f>
        <v>-100</v>
      </c>
      <c r="BM331">
        <f>IF(Table2912[[#This Row],[Caproate '[%']]]&lt;U$10,_xlfn.NORM.DIST(Table2912[[#This Row],[Caproate '[%']]],U$6,U$2,FALSE),-100)</f>
        <v>-100</v>
      </c>
      <c r="BN331">
        <f>IF(Table2912[[#This Row],[Isobutyrate '[%']]]&lt;V$10,_xlfn.NORM.DIST(Table2912[[#This Row],[Isobutyrate '[%']]],V$6,V$2,FALSE),-100)</f>
        <v>-100</v>
      </c>
      <c r="BO331">
        <f>IF(Table2912[[#This Row],[Isovalerate '[%']]]&lt;W$10,_xlfn.NORM.DIST(Table2912[[#This Row],[Isovalerate '[%']]],W$6,W$2,FALSE),-100)</f>
        <v>-100</v>
      </c>
      <c r="BP331">
        <f>IF(Table2912[[#This Row],[CH4 '[g/mmol SCFA']]]&lt;X$10,_xlfn.NORM.DIST(Table2912[[#This Row],[CH4 '[g/mmol SCFA']]],X$6,X$2,FALSE),-100)</f>
        <v>-100</v>
      </c>
      <c r="BQ331">
        <f>IF(Table2912[[#This Row],[DMD '[mg/g']]]&gt;Y$10,_xlfn.NORM.DIST(Table2912[[#This Row],[DMD '[mg/g']]],Y$6,Y$2,FALSE),-100)</f>
        <v>-100</v>
      </c>
      <c r="BR331">
        <f>IF(Table2912[[#This Row],[CH4 '[ml/g']]]&lt;Z$10,_xlfn.NORM.DIST(Table2912[[#This Row],[CH4 '[ml/g']]],Z$6,Z$2,FALSE),-100)</f>
        <v>-100</v>
      </c>
      <c r="BS331">
        <f>IF(Table2912[[#This Row],[CH4 '[% GP']]]&lt;AA$10,_xlfn.NORM.DIST(Table2912[[#This Row],[CH4 '[% GP']]],AA$6,AA$2,FALSE),-100)</f>
        <v>-100</v>
      </c>
      <c r="BT331">
        <f>IF(Table2912[[#This Row],[CH4 '[g/g DDM']]]&lt;AB$10,_xlfn.NORM.DIST(Table2912[[#This Row],[CH4 '[g/g DDM']]],AB$6,AB$2,FALSE),-100)</f>
        <v>-100</v>
      </c>
    </row>
    <row r="332" spans="1:72" x14ac:dyDescent="0.25">
      <c r="A332" s="12" t="s">
        <v>70</v>
      </c>
      <c r="B332" s="13">
        <v>990</v>
      </c>
      <c r="C332" s="96" t="s">
        <v>257</v>
      </c>
      <c r="D332" s="96"/>
      <c r="E332" s="96"/>
      <c r="F332" s="96" t="s">
        <v>258</v>
      </c>
      <c r="G332" s="15" t="s">
        <v>73</v>
      </c>
      <c r="H332" s="15" t="s">
        <v>74</v>
      </c>
      <c r="I332" t="s">
        <v>75</v>
      </c>
      <c r="J332" s="100">
        <v>3</v>
      </c>
      <c r="K332" s="100"/>
      <c r="L332" s="100"/>
      <c r="M332" t="s">
        <v>258</v>
      </c>
      <c r="N332" t="s">
        <v>85</v>
      </c>
      <c r="O332" s="18">
        <v>294.66224846894181</v>
      </c>
      <c r="P332" s="18">
        <v>7.1807536785958952</v>
      </c>
      <c r="Q332" s="97">
        <v>0.66831761894401853</v>
      </c>
      <c r="R332" s="97">
        <v>0.16993377622994019</v>
      </c>
      <c r="S332" s="97">
        <v>9.2125674095287283E-2</v>
      </c>
      <c r="T332" s="97">
        <v>1.8103949605158393E-2</v>
      </c>
      <c r="U332" s="97">
        <v>1.4260472761666691E-3</v>
      </c>
      <c r="V332" s="97">
        <v>1.7036704628678456E-2</v>
      </c>
      <c r="W332" s="97">
        <v>3.3056229220750639E-2</v>
      </c>
      <c r="X332" s="51">
        <f t="shared" si="23"/>
        <v>6.9387747204240036</v>
      </c>
      <c r="Y332" s="18">
        <v>841.37969563469278</v>
      </c>
      <c r="Z332" s="18">
        <v>49.825632098632866</v>
      </c>
      <c r="AA332" s="18">
        <f t="shared" si="24"/>
        <v>16.909404702341643</v>
      </c>
      <c r="AB332" s="18">
        <f t="shared" si="25"/>
        <v>59.2189618517559</v>
      </c>
      <c r="AC332" s="18">
        <f>$CP$15*Table2912[[#This Row],[DMD '[mg/g']]]+$CS$15*Table2912[[#This Row],[CH4 '[ml/g']]]+$CR$15*Table2912[[#This Row],[CH4 '[% GP']]]+$CQ$15*Table2912[[#This Row],[CH4 '[g/g DDM']]]</f>
        <v>17.088946426058634</v>
      </c>
      <c r="AD332" s="18">
        <f>_xlfn.RANK.AVG(Table2912[[#This Row],[Index]],Table2912[Index])</f>
        <v>232</v>
      </c>
      <c r="AE33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6.6808085626364058</v>
      </c>
      <c r="AF332" s="18">
        <f>Table2912[[#This Row],[CH4 '[ml/g']]]/Table2912[[#This Row],[APB]]</f>
        <v>7.4580242243867687</v>
      </c>
      <c r="AG332" s="18">
        <f>Table2912[[#This Row],[Propionate '[%']]]/Table2912[[#This Row],[Acetate '[%']]]</f>
        <v>0.25427098046351915</v>
      </c>
      <c r="AH332" s="51"/>
      <c r="AI332" s="18"/>
      <c r="AJ332" s="18"/>
      <c r="AK332" s="18">
        <f>(Table2912[[#This Row],[DMD '[mg/g']]]-$AK$15)/$AK$15*100</f>
        <v>71.608885631262623</v>
      </c>
      <c r="AL332" s="18">
        <f>(Table2912[[#This Row],[CH4 '[ml/g']]]-AL$15)/AL$15*100</f>
        <v>26.678960398779722</v>
      </c>
      <c r="AM332" s="18">
        <f>(Table2912[[#This Row],[CH4 '[% GP']]]-AM$15)/AM$15*100</f>
        <v>8.9358285144161229</v>
      </c>
      <c r="AN332" s="18">
        <f>(Table2912[[#This Row],[CH4 '[g/g DDM']]]-AN$15)/AN$15*100</f>
        <v>15.626973778547676</v>
      </c>
      <c r="AO332" s="18"/>
      <c r="AP332" s="18"/>
      <c r="AR332">
        <f>_xlfn.NORM.DIST(Table2912[[#This Row],[GP '[ml/g']]],O$6,O$2,FALSE)</f>
        <v>5.7116217556966997E-3</v>
      </c>
      <c r="AS332">
        <f>_xlfn.NORM.DIST(Table2912[[#This Row],[SCFA '[mmol/g']]],P$6,P$2,FALSE)</f>
        <v>0.2881371377420136</v>
      </c>
      <c r="AT332">
        <f>_xlfn.NORM.DIST(Table2912[[#This Row],[Acetate '[%']]],Q$6,Q$2,FALSE)</f>
        <v>13.827949098356891</v>
      </c>
      <c r="AU332">
        <f>_xlfn.NORM.DIST(Table2912[[#This Row],[Propionate '[%']]],R$6,R$2,FALSE)</f>
        <v>16.735561553786557</v>
      </c>
      <c r="AV332">
        <f>_xlfn.NORM.DIST(Table2912[[#This Row],[Butyrate '[%']]],S$6,S$2,FALSE)</f>
        <v>23.005741234358801</v>
      </c>
      <c r="AW332">
        <f>_xlfn.NORM.DIST(Table2912[[#This Row],[Valerate '[%']]],T$6,T$2,FALSE)</f>
        <v>77.107501420833344</v>
      </c>
      <c r="AX332">
        <f>_xlfn.NORM.DIST(Table2912[[#This Row],[Caproate '[%']]],U$6,U$2,FALSE)</f>
        <v>405.08822423027419</v>
      </c>
      <c r="AY332">
        <f>_xlfn.NORM.DIST(Table2912[[#This Row],[Isobutyrate '[%']]],V$6,V$2,FALSE)</f>
        <v>83.604986854544407</v>
      </c>
      <c r="AZ332">
        <f>_xlfn.NORM.DIST(Table2912[[#This Row],[Isovalerate '[%']]],W$6,W$2,FALSE)</f>
        <v>38.223795988036642</v>
      </c>
      <c r="BA332">
        <f>_xlfn.NORM.DIST(Table2912[[#This Row],[CH4 '[g/mmol SCFA']]],X$6,X$2,FALSE)</f>
        <v>0.26388362302865431</v>
      </c>
      <c r="BB332">
        <f>_xlfn.NORM.DIST(Table2912[[#This Row],[DMD '[mg/g']]],Y$6,Y$2,FALSE)</f>
        <v>2.6013507821496954E-3</v>
      </c>
      <c r="BC332">
        <f>_xlfn.NORM.DIST(Table2912[[#This Row],[CH4 '[ml/g']]],Z$6,Z$2,FALSE)</f>
        <v>2.6081628159233299E-2</v>
      </c>
      <c r="BD332">
        <f>_xlfn.NORM.DIST(Table2912[[#This Row],[CH4 '[% GP']]],AA$6,AA$2,FALSE)</f>
        <v>0.12939068500453355</v>
      </c>
      <c r="BE332">
        <f>_xlfn.NORM.DIST(Table2912[[#This Row],[CH4 '[g/g DDM']]],AB$6,AB$2,FALSE)</f>
        <v>2.9235814317106399E-2</v>
      </c>
      <c r="BG332">
        <f>IF(Table2912[[#This Row],[GP '[ml/g']]]&lt;O$10,_xlfn.NORM.DIST(Table2912[[#This Row],[GP '[ml/g']]],O$6,O$2,FALSE),-100)</f>
        <v>-100</v>
      </c>
      <c r="BH332">
        <f>IF(Table2912[[#This Row],[SCFA '[mmol/g']]]&lt;P$10,_xlfn.NORM.DIST(Table2912[[#This Row],[SCFA '[mmol/g']]],P$6,P$2,FALSE),-100)</f>
        <v>-100</v>
      </c>
      <c r="BI332">
        <f>IF(Table2912[[#This Row],[Acetate '[%']]]&lt;Q$10,_xlfn.NORM.DIST(Table2912[[#This Row],[Acetate '[%']]],Q$6,Q$2,FALSE),-100)</f>
        <v>-100</v>
      </c>
      <c r="BJ332">
        <f>IF(Table2912[[#This Row],[Propionate '[%']]]&lt;R$10,_xlfn.NORM.DIST(Table2912[[#This Row],[Propionate '[%']]],R$6,R$2,FALSE),-100)</f>
        <v>-100</v>
      </c>
      <c r="BK332">
        <f>IF(Table2912[[#This Row],[Butyrate '[%']]]&lt;S$10,_xlfn.NORM.DIST(Table2912[[#This Row],[Butyrate '[%']]],S$6,S$2,FALSE),-100)</f>
        <v>-100</v>
      </c>
      <c r="BL332">
        <f>IF(Table2912[[#This Row],[Valerate '[%']]]&lt;T$10,_xlfn.NORM.DIST(Table2912[[#This Row],[Valerate '[%']]],T$6,T$2,FALSE),-100)</f>
        <v>-100</v>
      </c>
      <c r="BM332">
        <f>IF(Table2912[[#This Row],[Caproate '[%']]]&lt;U$10,_xlfn.NORM.DIST(Table2912[[#This Row],[Caproate '[%']]],U$6,U$2,FALSE),-100)</f>
        <v>-100</v>
      </c>
      <c r="BN332">
        <f>IF(Table2912[[#This Row],[Isobutyrate '[%']]]&lt;V$10,_xlfn.NORM.DIST(Table2912[[#This Row],[Isobutyrate '[%']]],V$6,V$2,FALSE),-100)</f>
        <v>-100</v>
      </c>
      <c r="BO332">
        <f>IF(Table2912[[#This Row],[Isovalerate '[%']]]&lt;W$10,_xlfn.NORM.DIST(Table2912[[#This Row],[Isovalerate '[%']]],W$6,W$2,FALSE),-100)</f>
        <v>-100</v>
      </c>
      <c r="BP332">
        <f>IF(Table2912[[#This Row],[CH4 '[g/mmol SCFA']]]&lt;X$10,_xlfn.NORM.DIST(Table2912[[#This Row],[CH4 '[g/mmol SCFA']]],X$6,X$2,FALSE),-100)</f>
        <v>-100</v>
      </c>
      <c r="BQ332">
        <f>IF(Table2912[[#This Row],[DMD '[mg/g']]]&gt;Y$10,_xlfn.NORM.DIST(Table2912[[#This Row],[DMD '[mg/g']]],Y$6,Y$2,FALSE),-100)</f>
        <v>-100</v>
      </c>
      <c r="BR332">
        <f>IF(Table2912[[#This Row],[CH4 '[ml/g']]]&lt;Z$10,_xlfn.NORM.DIST(Table2912[[#This Row],[CH4 '[ml/g']]],Z$6,Z$2,FALSE),-100)</f>
        <v>-100</v>
      </c>
      <c r="BS332">
        <f>IF(Table2912[[#This Row],[CH4 '[% GP']]]&lt;AA$10,_xlfn.NORM.DIST(Table2912[[#This Row],[CH4 '[% GP']]],AA$6,AA$2,FALSE),-100)</f>
        <v>-100</v>
      </c>
      <c r="BT332">
        <f>IF(Table2912[[#This Row],[CH4 '[g/g DDM']]]&lt;AB$10,_xlfn.NORM.DIST(Table2912[[#This Row],[CH4 '[g/g DDM']]],AB$6,AB$2,FALSE),-100)</f>
        <v>-100</v>
      </c>
    </row>
    <row r="333" spans="1:72" x14ac:dyDescent="0.25">
      <c r="A333" s="12" t="s">
        <v>86</v>
      </c>
      <c r="B333" s="13">
        <v>1083</v>
      </c>
      <c r="C333" s="104" t="s">
        <v>422</v>
      </c>
      <c r="D333" s="104" t="s">
        <v>164</v>
      </c>
      <c r="E333" s="104" t="s">
        <v>423</v>
      </c>
      <c r="F333" s="104" t="s">
        <v>424</v>
      </c>
      <c r="G333" s="32" t="s">
        <v>143</v>
      </c>
      <c r="H333" s="32" t="s">
        <v>144</v>
      </c>
      <c r="I333" s="32" t="s">
        <v>52</v>
      </c>
      <c r="J333" s="100">
        <v>1</v>
      </c>
      <c r="K333" s="100"/>
      <c r="L333" s="100"/>
      <c r="M333" t="s">
        <v>424</v>
      </c>
      <c r="N333" t="s">
        <v>99</v>
      </c>
      <c r="O333" s="18">
        <v>265.67598777559476</v>
      </c>
      <c r="P333" s="18">
        <v>5.9230516275766973</v>
      </c>
      <c r="Q333" s="97">
        <v>0.66959511913956882</v>
      </c>
      <c r="R333" s="97">
        <v>0.21119953943492414</v>
      </c>
      <c r="S333" s="97">
        <v>8.8097611209035573E-2</v>
      </c>
      <c r="T333" s="97">
        <v>1.0069140047210256E-2</v>
      </c>
      <c r="U333" s="97">
        <v>-3.3242765167715228E-4</v>
      </c>
      <c r="V333" s="97">
        <v>8.0168162977190174E-3</v>
      </c>
      <c r="W333" s="97">
        <v>1.3354201523219362E-2</v>
      </c>
      <c r="X333" s="51">
        <f t="shared" si="23"/>
        <v>6.8726006680038116</v>
      </c>
      <c r="Y333" s="18">
        <v>841.69468668059244</v>
      </c>
      <c r="Z333" s="18">
        <v>40.706768572304675</v>
      </c>
      <c r="AA333" s="18">
        <f t="shared" si="24"/>
        <v>15.321959998390202</v>
      </c>
      <c r="AB333" s="18">
        <f t="shared" si="25"/>
        <v>48.362867458318817</v>
      </c>
      <c r="AC333" s="18">
        <f>$CP$15*Table2912[[#This Row],[DMD '[mg/g']]]+$CS$15*Table2912[[#This Row],[CH4 '[ml/g']]]+$CR$15*Table2912[[#This Row],[CH4 '[% GP']]]+$CQ$15*Table2912[[#This Row],[CH4 '[g/g DDM']]]</f>
        <v>21.78680690340947</v>
      </c>
      <c r="AD333" s="18">
        <f>_xlfn.RANK.AVG(Table2912[[#This Row],[Index]],Table2912[Index])</f>
        <v>138</v>
      </c>
      <c r="AE33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5.7387989354878091</v>
      </c>
      <c r="AF333" s="18">
        <f>Table2912[[#This Row],[CH4 '[ml/g']]]/Table2912[[#This Row],[APB]]</f>
        <v>7.0932557543670978</v>
      </c>
      <c r="AG333" s="18">
        <f>Table2912[[#This Row],[Propionate '[%']]]/Table2912[[#This Row],[Acetate '[%']]]</f>
        <v>0.31541379767868682</v>
      </c>
      <c r="AH333" s="51"/>
      <c r="AI333" s="18"/>
      <c r="AJ333" s="18"/>
      <c r="AK333" s="18">
        <f>(Table2912[[#This Row],[DMD '[mg/g']]]-$AK$15)/$AK$15*100</f>
        <v>71.673131610397988</v>
      </c>
      <c r="AL333" s="18">
        <f>(Table2912[[#This Row],[CH4 '[ml/g']]]-AL$15)/AL$15*100</f>
        <v>3.4947457109082225</v>
      </c>
      <c r="AM333" s="18">
        <f>(Table2912[[#This Row],[CH4 '[% GP']]]-AM$15)/AM$15*100</f>
        <v>-1.2910012936033544</v>
      </c>
      <c r="AN333" s="18">
        <f>(Table2912[[#This Row],[CH4 '[g/g DDM']]]-AN$15)/AN$15*100</f>
        <v>-5.5699081409581188</v>
      </c>
      <c r="AO333" s="18"/>
      <c r="AP333" s="18"/>
      <c r="AR333">
        <f>_xlfn.NORM.DIST(Table2912[[#This Row],[GP '[ml/g']]],O$6,O$2,FALSE)</f>
        <v>7.3446873855227456E-3</v>
      </c>
      <c r="AS333">
        <f>_xlfn.NORM.DIST(Table2912[[#This Row],[SCFA '[mmol/g']]],P$6,P$2,FALSE)</f>
        <v>0.29179764314583184</v>
      </c>
      <c r="AT333">
        <f>_xlfn.NORM.DIST(Table2912[[#This Row],[Acetate '[%']]],Q$6,Q$2,FALSE)</f>
        <v>13.919284837674885</v>
      </c>
      <c r="AU333">
        <f>_xlfn.NORM.DIST(Table2912[[#This Row],[Propionate '[%']]],R$6,R$2,FALSE)</f>
        <v>4.2656552783605592</v>
      </c>
      <c r="AV333">
        <f>_xlfn.NORM.DIST(Table2912[[#This Row],[Butyrate '[%']]],S$6,S$2,FALSE)</f>
        <v>22.154073592236408</v>
      </c>
      <c r="AW333">
        <f>_xlfn.NORM.DIST(Table2912[[#This Row],[Valerate '[%']]],T$6,T$2,FALSE)</f>
        <v>26.176716868416111</v>
      </c>
      <c r="AX333">
        <f>_xlfn.NORM.DIST(Table2912[[#This Row],[Caproate '[%']]],U$6,U$2,FALSE)</f>
        <v>96.129047623817584</v>
      </c>
      <c r="AY333">
        <f>_xlfn.NORM.DIST(Table2912[[#This Row],[Isobutyrate '[%']]],V$6,V$2,FALSE)</f>
        <v>23.113495110817468</v>
      </c>
      <c r="AZ333">
        <f>_xlfn.NORM.DIST(Table2912[[#This Row],[Isovalerate '[%']]],W$6,W$2,FALSE)</f>
        <v>11.533301744644799</v>
      </c>
      <c r="BA333">
        <f>_xlfn.NORM.DIST(Table2912[[#This Row],[CH4 '[g/mmol SCFA']]],X$6,X$2,FALSE)</f>
        <v>0.26999895532679274</v>
      </c>
      <c r="BB333">
        <f>_xlfn.NORM.DIST(Table2912[[#This Row],[DMD '[mg/g']]],Y$6,Y$2,FALSE)</f>
        <v>2.5984830528583748E-3</v>
      </c>
      <c r="BC333">
        <f>_xlfn.NORM.DIST(Table2912[[#This Row],[CH4 '[ml/g']]],Z$6,Z$2,FALSE)</f>
        <v>3.3449595304466388E-2</v>
      </c>
      <c r="BD333">
        <f>_xlfn.NORM.DIST(Table2912[[#This Row],[CH4 '[% GP']]],AA$6,AA$2,FALSE)</f>
        <v>0.1305059123016086</v>
      </c>
      <c r="BE333">
        <f>_xlfn.NORM.DIST(Table2912[[#This Row],[CH4 '[g/g DDM']]],AB$6,AB$2,FALSE)</f>
        <v>3.0191063110172237E-2</v>
      </c>
      <c r="BG333">
        <f>IF(Table2912[[#This Row],[GP '[ml/g']]]&lt;O$10,_xlfn.NORM.DIST(Table2912[[#This Row],[GP '[ml/g']]],O$6,O$2,FALSE),-100)</f>
        <v>-100</v>
      </c>
      <c r="BH333">
        <f>IF(Table2912[[#This Row],[SCFA '[mmol/g']]]&lt;P$10,_xlfn.NORM.DIST(Table2912[[#This Row],[SCFA '[mmol/g']]],P$6,P$2,FALSE),-100)</f>
        <v>-100</v>
      </c>
      <c r="BI333">
        <f>IF(Table2912[[#This Row],[Acetate '[%']]]&lt;Q$10,_xlfn.NORM.DIST(Table2912[[#This Row],[Acetate '[%']]],Q$6,Q$2,FALSE),-100)</f>
        <v>-100</v>
      </c>
      <c r="BJ333">
        <f>IF(Table2912[[#This Row],[Propionate '[%']]]&lt;R$10,_xlfn.NORM.DIST(Table2912[[#This Row],[Propionate '[%']]],R$6,R$2,FALSE),-100)</f>
        <v>-100</v>
      </c>
      <c r="BK333">
        <f>IF(Table2912[[#This Row],[Butyrate '[%']]]&lt;S$10,_xlfn.NORM.DIST(Table2912[[#This Row],[Butyrate '[%']]],S$6,S$2,FALSE),-100)</f>
        <v>-100</v>
      </c>
      <c r="BL333">
        <f>IF(Table2912[[#This Row],[Valerate '[%']]]&lt;T$10,_xlfn.NORM.DIST(Table2912[[#This Row],[Valerate '[%']]],T$6,T$2,FALSE),-100)</f>
        <v>26.176716868416111</v>
      </c>
      <c r="BM333">
        <f>IF(Table2912[[#This Row],[Caproate '[%']]]&lt;U$10,_xlfn.NORM.DIST(Table2912[[#This Row],[Caproate '[%']]],U$6,U$2,FALSE),-100)</f>
        <v>96.129047623817584</v>
      </c>
      <c r="BN333">
        <f>IF(Table2912[[#This Row],[Isobutyrate '[%']]]&lt;V$10,_xlfn.NORM.DIST(Table2912[[#This Row],[Isobutyrate '[%']]],V$6,V$2,FALSE),-100)</f>
        <v>23.113495110817468</v>
      </c>
      <c r="BO333">
        <f>IF(Table2912[[#This Row],[Isovalerate '[%']]]&lt;W$10,_xlfn.NORM.DIST(Table2912[[#This Row],[Isovalerate '[%']]],W$6,W$2,FALSE),-100)</f>
        <v>11.533301744644799</v>
      </c>
      <c r="BP333">
        <f>IF(Table2912[[#This Row],[CH4 '[g/mmol SCFA']]]&lt;X$10,_xlfn.NORM.DIST(Table2912[[#This Row],[CH4 '[g/mmol SCFA']]],X$6,X$2,FALSE),-100)</f>
        <v>-100</v>
      </c>
      <c r="BQ333">
        <f>IF(Table2912[[#This Row],[DMD '[mg/g']]]&gt;Y$10,_xlfn.NORM.DIST(Table2912[[#This Row],[DMD '[mg/g']]],Y$6,Y$2,FALSE),-100)</f>
        <v>-100</v>
      </c>
      <c r="BR333">
        <f>IF(Table2912[[#This Row],[CH4 '[ml/g']]]&lt;Z$10,_xlfn.NORM.DIST(Table2912[[#This Row],[CH4 '[ml/g']]],Z$6,Z$2,FALSE),-100)</f>
        <v>-100</v>
      </c>
      <c r="BS333">
        <f>IF(Table2912[[#This Row],[CH4 '[% GP']]]&lt;AA$10,_xlfn.NORM.DIST(Table2912[[#This Row],[CH4 '[% GP']]],AA$6,AA$2,FALSE),-100)</f>
        <v>-100</v>
      </c>
      <c r="BT333">
        <f>IF(Table2912[[#This Row],[CH4 '[g/g DDM']]]&lt;AB$10,_xlfn.NORM.DIST(Table2912[[#This Row],[CH4 '[g/g DDM']]],AB$6,AB$2,FALSE),-100)</f>
        <v>-100</v>
      </c>
    </row>
    <row r="334" spans="1:72" x14ac:dyDescent="0.25">
      <c r="A334" s="12" t="s">
        <v>70</v>
      </c>
      <c r="B334" s="13">
        <v>1002</v>
      </c>
      <c r="C334" s="96" t="s">
        <v>382</v>
      </c>
      <c r="D334" s="96"/>
      <c r="E334" s="96"/>
      <c r="F334" s="96" t="s">
        <v>383</v>
      </c>
      <c r="G334" s="15" t="s">
        <v>73</v>
      </c>
      <c r="H334" s="15" t="s">
        <v>74</v>
      </c>
      <c r="I334" t="s">
        <v>75</v>
      </c>
      <c r="J334" s="100">
        <v>3</v>
      </c>
      <c r="K334" s="100"/>
      <c r="L334" s="100"/>
      <c r="M334" t="s">
        <v>383</v>
      </c>
      <c r="N334" t="s">
        <v>85</v>
      </c>
      <c r="O334" s="18">
        <v>298.59178263750869</v>
      </c>
      <c r="P334" s="18">
        <v>7.4042764711685951</v>
      </c>
      <c r="Q334" s="97">
        <v>0.6691598246211512</v>
      </c>
      <c r="R334" s="97">
        <v>0.17572142881498037</v>
      </c>
      <c r="S334" s="97">
        <v>9.6390062490512074E-2</v>
      </c>
      <c r="T334" s="97">
        <v>1.7789045146765107E-2</v>
      </c>
      <c r="U334" s="97">
        <v>8.403871427806488E-4</v>
      </c>
      <c r="V334" s="97">
        <v>1.3720715153054936E-2</v>
      </c>
      <c r="W334" s="97">
        <v>2.6378536630755907E-2</v>
      </c>
      <c r="X334" s="51">
        <f t="shared" si="23"/>
        <v>6.3523508635900221</v>
      </c>
      <c r="Y334" s="18">
        <v>843.88224888700302</v>
      </c>
      <c r="Z334" s="18">
        <v>47.034562035887106</v>
      </c>
      <c r="AA334" s="18">
        <f t="shared" si="24"/>
        <v>15.752128749298908</v>
      </c>
      <c r="AB334" s="18">
        <f t="shared" si="25"/>
        <v>55.735930099159013</v>
      </c>
      <c r="AC334" s="18">
        <f>$CP$15*Table2912[[#This Row],[DMD '[mg/g']]]+$CS$15*Table2912[[#This Row],[CH4 '[ml/g']]]+$CR$15*Table2912[[#This Row],[CH4 '[% GP']]]+$CQ$15*Table2912[[#This Row],[CH4 '[g/g DDM']]]</f>
        <v>18.998897862286263</v>
      </c>
      <c r="AD334" s="18">
        <f>_xlfn.RANK.AVG(Table2912[[#This Row],[Index]],Table2912[Index])</f>
        <v>181</v>
      </c>
      <c r="AE33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6.9694330575015488</v>
      </c>
      <c r="AF334" s="18">
        <f>Table2912[[#This Row],[CH4 '[ml/g']]]/Table2912[[#This Row],[APB]]</f>
        <v>6.7486927053932257</v>
      </c>
      <c r="AG334" s="18">
        <f>Table2912[[#This Row],[Propionate '[%']]]/Table2912[[#This Row],[Acetate '[%']]]</f>
        <v>0.26260008797519502</v>
      </c>
      <c r="AH334" s="51"/>
      <c r="AI334" s="18"/>
      <c r="AJ334" s="18"/>
      <c r="AK334" s="18">
        <f>(Table2912[[#This Row],[DMD '[mg/g']]]-$AK$15)/$AK$15*100</f>
        <v>72.1193096135503</v>
      </c>
      <c r="AL334" s="18">
        <f>(Table2912[[#This Row],[CH4 '[ml/g']]]-AL$15)/AL$15*100</f>
        <v>19.582816525504278</v>
      </c>
      <c r="AM334" s="18">
        <f>(Table2912[[#This Row],[CH4 '[% GP']]]-AM$15)/AM$15*100</f>
        <v>1.4802842783104824</v>
      </c>
      <c r="AN334" s="18">
        <f>(Table2912[[#This Row],[CH4 '[g/g DDM']]]-AN$15)/AN$15*100</f>
        <v>8.8262395452198792</v>
      </c>
      <c r="AO334" s="18"/>
      <c r="AP334" s="18"/>
      <c r="AR334">
        <f>_xlfn.NORM.DIST(Table2912[[#This Row],[GP '[ml/g']]],O$6,O$2,FALSE)</f>
        <v>5.3961051952844258E-3</v>
      </c>
      <c r="AS334">
        <f>_xlfn.NORM.DIST(Table2912[[#This Row],[SCFA '[mmol/g']]],P$6,P$2,FALSE)</f>
        <v>0.2562183892613662</v>
      </c>
      <c r="AT334">
        <f>_xlfn.NORM.DIST(Table2912[[#This Row],[Acetate '[%']]],Q$6,Q$2,FALSE)</f>
        <v>13.891243107011123</v>
      </c>
      <c r="AU334">
        <f>_xlfn.NORM.DIST(Table2912[[#This Row],[Propionate '[%']]],R$6,R$2,FALSE)</f>
        <v>16.57162780261913</v>
      </c>
      <c r="AV334">
        <f>_xlfn.NORM.DIST(Table2912[[#This Row],[Butyrate '[%']]],S$6,S$2,FALSE)</f>
        <v>22.573059257513464</v>
      </c>
      <c r="AW334">
        <f>_xlfn.NORM.DIST(Table2912[[#This Row],[Valerate '[%']]],T$6,T$2,FALSE)</f>
        <v>77.370641839627908</v>
      </c>
      <c r="AX334">
        <f>_xlfn.NORM.DIST(Table2912[[#This Row],[Caproate '[%']]],U$6,U$2,FALSE)</f>
        <v>358.64729969609544</v>
      </c>
      <c r="AY334">
        <f>_xlfn.NORM.DIST(Table2912[[#This Row],[Isobutyrate '[%']]],V$6,V$2,FALSE)</f>
        <v>84.474099155636736</v>
      </c>
      <c r="AZ334">
        <f>_xlfn.NORM.DIST(Table2912[[#This Row],[Isovalerate '[%']]],W$6,W$2,FALSE)</f>
        <v>44.75744285271039</v>
      </c>
      <c r="BA334">
        <f>_xlfn.NORM.DIST(Table2912[[#This Row],[CH4 '[g/mmol SCFA']]],X$6,X$2,FALSE)</f>
        <v>0.29700692637525677</v>
      </c>
      <c r="BB334">
        <f>_xlfn.NORM.DIST(Table2912[[#This Row],[DMD '[mg/g']]],Y$6,Y$2,FALSE)</f>
        <v>2.5782770678117804E-3</v>
      </c>
      <c r="BC334">
        <f>_xlfn.NORM.DIST(Table2912[[#This Row],[CH4 '[ml/g']]],Z$6,Z$2,FALSE)</f>
        <v>2.9954383414882307E-2</v>
      </c>
      <c r="BD334">
        <f>_xlfn.NORM.DIST(Table2912[[#This Row],[CH4 '[% GP']]],AA$6,AA$2,FALSE)</f>
        <v>0.13395134799373287</v>
      </c>
      <c r="BE334">
        <f>_xlfn.NORM.DIST(Table2912[[#This Row],[CH4 '[g/g DDM']]],AB$6,AB$2,FALSE)</f>
        <v>3.2226291117656965E-2</v>
      </c>
      <c r="BG334">
        <f>IF(Table2912[[#This Row],[GP '[ml/g']]]&lt;O$10,_xlfn.NORM.DIST(Table2912[[#This Row],[GP '[ml/g']]],O$6,O$2,FALSE),-100)</f>
        <v>-100</v>
      </c>
      <c r="BH334">
        <f>IF(Table2912[[#This Row],[SCFA '[mmol/g']]]&lt;P$10,_xlfn.NORM.DIST(Table2912[[#This Row],[SCFA '[mmol/g']]],P$6,P$2,FALSE),-100)</f>
        <v>-100</v>
      </c>
      <c r="BI334">
        <f>IF(Table2912[[#This Row],[Acetate '[%']]]&lt;Q$10,_xlfn.NORM.DIST(Table2912[[#This Row],[Acetate '[%']]],Q$6,Q$2,FALSE),-100)</f>
        <v>-100</v>
      </c>
      <c r="BJ334">
        <f>IF(Table2912[[#This Row],[Propionate '[%']]]&lt;R$10,_xlfn.NORM.DIST(Table2912[[#This Row],[Propionate '[%']]],R$6,R$2,FALSE),-100)</f>
        <v>-100</v>
      </c>
      <c r="BK334">
        <f>IF(Table2912[[#This Row],[Butyrate '[%']]]&lt;S$10,_xlfn.NORM.DIST(Table2912[[#This Row],[Butyrate '[%']]],S$6,S$2,FALSE),-100)</f>
        <v>-100</v>
      </c>
      <c r="BL334">
        <f>IF(Table2912[[#This Row],[Valerate '[%']]]&lt;T$10,_xlfn.NORM.DIST(Table2912[[#This Row],[Valerate '[%']]],T$6,T$2,FALSE),-100)</f>
        <v>-100</v>
      </c>
      <c r="BM334">
        <f>IF(Table2912[[#This Row],[Caproate '[%']]]&lt;U$10,_xlfn.NORM.DIST(Table2912[[#This Row],[Caproate '[%']]],U$6,U$2,FALSE),-100)</f>
        <v>-100</v>
      </c>
      <c r="BN334">
        <f>IF(Table2912[[#This Row],[Isobutyrate '[%']]]&lt;V$10,_xlfn.NORM.DIST(Table2912[[#This Row],[Isobutyrate '[%']]],V$6,V$2,FALSE),-100)</f>
        <v>-100</v>
      </c>
      <c r="BO334">
        <f>IF(Table2912[[#This Row],[Isovalerate '[%']]]&lt;W$10,_xlfn.NORM.DIST(Table2912[[#This Row],[Isovalerate '[%']]],W$6,W$2,FALSE),-100)</f>
        <v>-100</v>
      </c>
      <c r="BP334">
        <f>IF(Table2912[[#This Row],[CH4 '[g/mmol SCFA']]]&lt;X$10,_xlfn.NORM.DIST(Table2912[[#This Row],[CH4 '[g/mmol SCFA']]],X$6,X$2,FALSE),-100)</f>
        <v>-100</v>
      </c>
      <c r="BQ334">
        <f>IF(Table2912[[#This Row],[DMD '[mg/g']]]&gt;Y$10,_xlfn.NORM.DIST(Table2912[[#This Row],[DMD '[mg/g']]],Y$6,Y$2,FALSE),-100)</f>
        <v>-100</v>
      </c>
      <c r="BR334">
        <f>IF(Table2912[[#This Row],[CH4 '[ml/g']]]&lt;Z$10,_xlfn.NORM.DIST(Table2912[[#This Row],[CH4 '[ml/g']]],Z$6,Z$2,FALSE),-100)</f>
        <v>-100</v>
      </c>
      <c r="BS334">
        <f>IF(Table2912[[#This Row],[CH4 '[% GP']]]&lt;AA$10,_xlfn.NORM.DIST(Table2912[[#This Row],[CH4 '[% GP']]],AA$6,AA$2,FALSE),-100)</f>
        <v>-100</v>
      </c>
      <c r="BT334">
        <f>IF(Table2912[[#This Row],[CH4 '[g/g DDM']]]&lt;AB$10,_xlfn.NORM.DIST(Table2912[[#This Row],[CH4 '[g/g DDM']]],AB$6,AB$2,FALSE),-100)</f>
        <v>-100</v>
      </c>
    </row>
    <row r="335" spans="1:72" x14ac:dyDescent="0.25">
      <c r="A335" s="12" t="s">
        <v>200</v>
      </c>
      <c r="B335" s="13">
        <v>1216</v>
      </c>
      <c r="C335" s="113" t="s">
        <v>420</v>
      </c>
      <c r="D335" s="113" t="s">
        <v>391</v>
      </c>
      <c r="E335" s="113" t="s">
        <v>392</v>
      </c>
      <c r="F335" s="113" t="s">
        <v>393</v>
      </c>
      <c r="G335" s="15" t="s">
        <v>143</v>
      </c>
      <c r="H335" s="15" t="s">
        <v>144</v>
      </c>
      <c r="I335" t="s">
        <v>52</v>
      </c>
      <c r="J335" s="70">
        <v>3</v>
      </c>
      <c r="K335" s="70"/>
      <c r="L335" s="70"/>
      <c r="M335" t="s">
        <v>421</v>
      </c>
      <c r="N335" t="s">
        <v>237</v>
      </c>
      <c r="O335" s="18">
        <v>338.88258673693548</v>
      </c>
      <c r="P335" s="18">
        <v>9.2342866895385196</v>
      </c>
      <c r="Q335" s="97">
        <v>0.67029728525901922</v>
      </c>
      <c r="R335" s="97">
        <v>0.18084572961066087</v>
      </c>
      <c r="S335" s="97">
        <v>9.7279520476138859E-2</v>
      </c>
      <c r="T335" s="97">
        <v>1.2770697674063431E-2</v>
      </c>
      <c r="U335" s="97">
        <v>1.7174443991208252E-3</v>
      </c>
      <c r="V335" s="97">
        <v>1.346324121516165E-2</v>
      </c>
      <c r="W335" s="97">
        <v>2.3626081365835119E-2</v>
      </c>
      <c r="X335" s="51">
        <f t="shared" si="23"/>
        <v>6.4792335178315463</v>
      </c>
      <c r="Y335" s="18">
        <v>844.37335037851619</v>
      </c>
      <c r="Z335" s="18">
        <v>59.831099832123684</v>
      </c>
      <c r="AA335" s="18">
        <f t="shared" si="24"/>
        <v>17.655406968009483</v>
      </c>
      <c r="AB335" s="18">
        <f t="shared" si="25"/>
        <v>70.858583830603564</v>
      </c>
      <c r="AC335" s="18">
        <f>$CP$15*Table2912[[#This Row],[DMD '[mg/g']]]+$CS$15*Table2912[[#This Row],[CH4 '[ml/g']]]+$CR$15*Table2912[[#This Row],[CH4 '[% GP']]]+$CQ$15*Table2912[[#This Row],[CH4 '[g/g DDM']]]</f>
        <v>12.65245663293021</v>
      </c>
      <c r="AD335" s="18">
        <f>_xlfn.RANK.AVG(Table2912[[#This Row],[Index]],Table2912[Index])</f>
        <v>309</v>
      </c>
      <c r="AE33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8.7580055942022721</v>
      </c>
      <c r="AF335" s="18">
        <f>Table2912[[#This Row],[CH4 '[ml/g']]]/Table2912[[#This Row],[APB]]</f>
        <v>6.8315895883568949</v>
      </c>
      <c r="AG335" s="18">
        <f>Table2912[[#This Row],[Propionate '[%']]]/Table2912[[#This Row],[Acetate '[%']]]</f>
        <v>0.26979928695485866</v>
      </c>
      <c r="AH335" s="51"/>
      <c r="AI335" s="18"/>
      <c r="AJ335" s="18"/>
      <c r="AK335" s="18">
        <f>(Table2912[[#This Row],[DMD '[mg/g']]]-$AK$15)/$AK$15*100</f>
        <v>72.219475305838429</v>
      </c>
      <c r="AL335" s="18">
        <f>(Table2912[[#This Row],[CH4 '[ml/g']]]-AL$15)/AL$15*100</f>
        <v>52.117318075268273</v>
      </c>
      <c r="AM335" s="18">
        <f>(Table2912[[#This Row],[CH4 '[% GP']]]-AM$15)/AM$15*100</f>
        <v>13.741815260531665</v>
      </c>
      <c r="AN335" s="18">
        <f>(Table2912[[#This Row],[CH4 '[g/g DDM']]]-AN$15)/AN$15*100</f>
        <v>38.353719119162257</v>
      </c>
      <c r="AO335" s="18"/>
      <c r="AP335" s="18"/>
      <c r="AR335">
        <f>_xlfn.NORM.DIST(Table2912[[#This Row],[GP '[ml/g']]],O$6,O$2,FALSE)</f>
        <v>2.2031030963797298E-3</v>
      </c>
      <c r="AS335">
        <f>_xlfn.NORM.DIST(Table2912[[#This Row],[SCFA '[mmol/g']]],P$6,P$2,FALSE)</f>
        <v>2.6513694440809435E-2</v>
      </c>
      <c r="AT335">
        <f>_xlfn.NORM.DIST(Table2912[[#This Row],[Acetate '[%']]],Q$6,Q$2,FALSE)</f>
        <v>13.957745399872501</v>
      </c>
      <c r="AU335">
        <f>_xlfn.NORM.DIST(Table2912[[#This Row],[Propionate '[%']]],R$6,R$2,FALSE)</f>
        <v>15.63401870495102</v>
      </c>
      <c r="AV335">
        <f>_xlfn.NORM.DIST(Table2912[[#This Row],[Butyrate '[%']]],S$6,S$2,FALSE)</f>
        <v>22.312758037463322</v>
      </c>
      <c r="AW335">
        <f>_xlfn.NORM.DIST(Table2912[[#This Row],[Valerate '[%']]],T$6,T$2,FALSE)</f>
        <v>49.365220697768756</v>
      </c>
      <c r="AX335">
        <f>_xlfn.NORM.DIST(Table2912[[#This Row],[Caproate '[%']]],U$6,U$2,FALSE)</f>
        <v>376.8117083332005</v>
      </c>
      <c r="AY335">
        <f>_xlfn.NORM.DIST(Table2912[[#This Row],[Isobutyrate '[%']]],V$6,V$2,FALSE)</f>
        <v>82.578757243336682</v>
      </c>
      <c r="AZ335">
        <f>_xlfn.NORM.DIST(Table2912[[#This Row],[Isovalerate '[%']]],W$6,W$2,FALSE)</f>
        <v>40.366701851412643</v>
      </c>
      <c r="BA335">
        <f>_xlfn.NORM.DIST(Table2912[[#This Row],[CH4 '[g/mmol SCFA']]],X$6,X$2,FALSE)</f>
        <v>0.29423332505764382</v>
      </c>
      <c r="BB335">
        <f>_xlfn.NORM.DIST(Table2912[[#This Row],[DMD '[mg/g']]],Y$6,Y$2,FALSE)</f>
        <v>2.573672075001161E-3</v>
      </c>
      <c r="BC335">
        <f>_xlfn.NORM.DIST(Table2912[[#This Row],[CH4 '[ml/g']]],Z$6,Z$2,FALSE)</f>
        <v>1.010835994202553E-2</v>
      </c>
      <c r="BD335">
        <f>_xlfn.NORM.DIST(Table2912[[#This Row],[CH4 '[% GP']]],AA$6,AA$2,FALSE)</f>
        <v>0.11669375435259499</v>
      </c>
      <c r="BE335">
        <f>_xlfn.NORM.DIST(Table2912[[#This Row],[CH4 '[g/g DDM']]],AB$6,AB$2,FALSE)</f>
        <v>1.1624574559076747E-2</v>
      </c>
      <c r="BG335">
        <f>IF(Table2912[[#This Row],[GP '[ml/g']]]&lt;O$10,_xlfn.NORM.DIST(Table2912[[#This Row],[GP '[ml/g']]],O$6,O$2,FALSE),-100)</f>
        <v>-100</v>
      </c>
      <c r="BH335">
        <f>IF(Table2912[[#This Row],[SCFA '[mmol/g']]]&lt;P$10,_xlfn.NORM.DIST(Table2912[[#This Row],[SCFA '[mmol/g']]],P$6,P$2,FALSE),-100)</f>
        <v>-100</v>
      </c>
      <c r="BI335">
        <f>IF(Table2912[[#This Row],[Acetate '[%']]]&lt;Q$10,_xlfn.NORM.DIST(Table2912[[#This Row],[Acetate '[%']]],Q$6,Q$2,FALSE),-100)</f>
        <v>-100</v>
      </c>
      <c r="BJ335">
        <f>IF(Table2912[[#This Row],[Propionate '[%']]]&lt;R$10,_xlfn.NORM.DIST(Table2912[[#This Row],[Propionate '[%']]],R$6,R$2,FALSE),-100)</f>
        <v>-100</v>
      </c>
      <c r="BK335">
        <f>IF(Table2912[[#This Row],[Butyrate '[%']]]&lt;S$10,_xlfn.NORM.DIST(Table2912[[#This Row],[Butyrate '[%']]],S$6,S$2,FALSE),-100)</f>
        <v>-100</v>
      </c>
      <c r="BL335">
        <f>IF(Table2912[[#This Row],[Valerate '[%']]]&lt;T$10,_xlfn.NORM.DIST(Table2912[[#This Row],[Valerate '[%']]],T$6,T$2,FALSE),-100)</f>
        <v>-100</v>
      </c>
      <c r="BM335">
        <f>IF(Table2912[[#This Row],[Caproate '[%']]]&lt;U$10,_xlfn.NORM.DIST(Table2912[[#This Row],[Caproate '[%']]],U$6,U$2,FALSE),-100)</f>
        <v>-100</v>
      </c>
      <c r="BN335">
        <f>IF(Table2912[[#This Row],[Isobutyrate '[%']]]&lt;V$10,_xlfn.NORM.DIST(Table2912[[#This Row],[Isobutyrate '[%']]],V$6,V$2,FALSE),-100)</f>
        <v>-100</v>
      </c>
      <c r="BO335">
        <f>IF(Table2912[[#This Row],[Isovalerate '[%']]]&lt;W$10,_xlfn.NORM.DIST(Table2912[[#This Row],[Isovalerate '[%']]],W$6,W$2,FALSE),-100)</f>
        <v>-100</v>
      </c>
      <c r="BP335">
        <f>IF(Table2912[[#This Row],[CH4 '[g/mmol SCFA']]]&lt;X$10,_xlfn.NORM.DIST(Table2912[[#This Row],[CH4 '[g/mmol SCFA']]],X$6,X$2,FALSE),-100)</f>
        <v>-100</v>
      </c>
      <c r="BQ335">
        <f>IF(Table2912[[#This Row],[DMD '[mg/g']]]&gt;Y$10,_xlfn.NORM.DIST(Table2912[[#This Row],[DMD '[mg/g']]],Y$6,Y$2,FALSE),-100)</f>
        <v>-100</v>
      </c>
      <c r="BR335">
        <f>IF(Table2912[[#This Row],[CH4 '[ml/g']]]&lt;Z$10,_xlfn.NORM.DIST(Table2912[[#This Row],[CH4 '[ml/g']]],Z$6,Z$2,FALSE),-100)</f>
        <v>-100</v>
      </c>
      <c r="BS335">
        <f>IF(Table2912[[#This Row],[CH4 '[% GP']]]&lt;AA$10,_xlfn.NORM.DIST(Table2912[[#This Row],[CH4 '[% GP']]],AA$6,AA$2,FALSE),-100)</f>
        <v>-100</v>
      </c>
      <c r="BT335">
        <f>IF(Table2912[[#This Row],[CH4 '[g/g DDM']]]&lt;AB$10,_xlfn.NORM.DIST(Table2912[[#This Row],[CH4 '[g/g DDM']]],AB$6,AB$2,FALSE),-100)</f>
        <v>-100</v>
      </c>
    </row>
    <row r="336" spans="1:72" x14ac:dyDescent="0.25">
      <c r="A336" s="12" t="s">
        <v>86</v>
      </c>
      <c r="B336" s="13">
        <v>1081</v>
      </c>
      <c r="C336" s="104" t="s">
        <v>292</v>
      </c>
      <c r="D336" s="104" t="s">
        <v>293</v>
      </c>
      <c r="E336" s="104" t="s">
        <v>294</v>
      </c>
      <c r="F336" s="104" t="s">
        <v>295</v>
      </c>
      <c r="G336" s="32" t="s">
        <v>143</v>
      </c>
      <c r="H336" s="32" t="s">
        <v>144</v>
      </c>
      <c r="I336" s="32" t="s">
        <v>52</v>
      </c>
      <c r="J336" s="100">
        <v>3</v>
      </c>
      <c r="K336" s="100"/>
      <c r="L336" s="100"/>
      <c r="M336" t="s">
        <v>295</v>
      </c>
      <c r="N336" t="s">
        <v>99</v>
      </c>
      <c r="O336" s="18">
        <v>346.54557551563397</v>
      </c>
      <c r="P336" s="18">
        <v>7.7638073622642931</v>
      </c>
      <c r="Q336" s="97">
        <v>0.68438844129414478</v>
      </c>
      <c r="R336" s="97">
        <v>0.17300891096293705</v>
      </c>
      <c r="S336" s="97">
        <v>9.6272404724560806E-2</v>
      </c>
      <c r="T336" s="97">
        <v>1.4211501243435343E-2</v>
      </c>
      <c r="U336" s="97">
        <v>1.1267729682671707E-3</v>
      </c>
      <c r="V336" s="97">
        <v>1.1549315758850414E-2</v>
      </c>
      <c r="W336" s="97">
        <v>1.9442653047804508E-2</v>
      </c>
      <c r="X336" s="51">
        <f t="shared" si="23"/>
        <v>9.2283513526264045</v>
      </c>
      <c r="Y336" s="18">
        <v>844.48722541767222</v>
      </c>
      <c r="Z336" s="18">
        <v>71.647142173082528</v>
      </c>
      <c r="AA336" s="18">
        <f t="shared" si="24"/>
        <v>20.67466654753186</v>
      </c>
      <c r="AB336" s="18">
        <f t="shared" si="25"/>
        <v>84.841001754226411</v>
      </c>
      <c r="AC336" s="18">
        <f>$CP$15*Table2912[[#This Row],[DMD '[mg/g']]]+$CS$15*Table2912[[#This Row],[CH4 '[ml/g']]]+$CR$15*Table2912[[#This Row],[CH4 '[% GP']]]+$CQ$15*Table2912[[#This Row],[CH4 '[g/g DDM']]]</f>
        <v>6.3785616374312468</v>
      </c>
      <c r="AD336" s="18">
        <f>_xlfn.RANK.AVG(Table2912[[#This Row],[Index]],Table2912[Index])</f>
        <v>392</v>
      </c>
      <c r="AE33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7.4041082804228768</v>
      </c>
      <c r="AF336" s="18">
        <f>Table2912[[#This Row],[CH4 '[ml/g']]]/Table2912[[#This Row],[APB]]</f>
        <v>9.6766740111734943</v>
      </c>
      <c r="AG336" s="18">
        <f>Table2912[[#This Row],[Propionate '[%']]]/Table2912[[#This Row],[Acetate '[%']]]</f>
        <v>0.25279344378725294</v>
      </c>
      <c r="AH336" s="51"/>
      <c r="AI336" s="18"/>
      <c r="AJ336" s="18"/>
      <c r="AK336" s="18">
        <f>(Table2912[[#This Row],[DMD '[mg/g']]]-$AK$15)/$AK$15*100</f>
        <v>72.24270140538917</v>
      </c>
      <c r="AL336" s="18">
        <f>(Table2912[[#This Row],[CH4 '[ml/g']]]-AL$15)/AL$15*100</f>
        <v>82.158963243312229</v>
      </c>
      <c r="AM336" s="18">
        <f>(Table2912[[#This Row],[CH4 '[% GP']]]-AM$15)/AM$15*100</f>
        <v>33.192857422282657</v>
      </c>
      <c r="AN336" s="18">
        <f>(Table2912[[#This Row],[CH4 '[g/g DDM']]]-AN$15)/AN$15*100</f>
        <v>65.654850717224804</v>
      </c>
      <c r="AO336" s="18"/>
      <c r="AP336" s="18"/>
      <c r="AR336">
        <f>_xlfn.NORM.DIST(Table2912[[#This Row],[GP '[ml/g']]],O$6,O$2,FALSE)</f>
        <v>1.741770045106049E-3</v>
      </c>
      <c r="AS336">
        <f>_xlfn.NORM.DIST(Table2912[[#This Row],[SCFA '[mmol/g']]],P$6,P$2,FALSE)</f>
        <v>0.19721023984385699</v>
      </c>
      <c r="AT336">
        <f>_xlfn.NORM.DIST(Table2912[[#This Row],[Acetate '[%']]],Q$6,Q$2,FALSE)</f>
        <v>12.968952948732783</v>
      </c>
      <c r="AU336">
        <f>_xlfn.NORM.DIST(Table2912[[#This Row],[Propionate '[%']]],R$6,R$2,FALSE)</f>
        <v>16.771715938193537</v>
      </c>
      <c r="AV336">
        <f>_xlfn.NORM.DIST(Table2912[[#This Row],[Butyrate '[%']]],S$6,S$2,FALSE)</f>
        <v>22.603255357461787</v>
      </c>
      <c r="AW336">
        <f>_xlfn.NORM.DIST(Table2912[[#This Row],[Valerate '[%']]],T$6,T$2,FALSE)</f>
        <v>61.883909743644196</v>
      </c>
      <c r="AX336">
        <f>_xlfn.NORM.DIST(Table2912[[#This Row],[Caproate '[%']]],U$6,U$2,FALSE)</f>
        <v>398.00560707608702</v>
      </c>
      <c r="AY336">
        <f>_xlfn.NORM.DIST(Table2912[[#This Row],[Isobutyrate '[%']]],V$6,V$2,FALSE)</f>
        <v>62.736360815448911</v>
      </c>
      <c r="AZ336">
        <f>_xlfn.NORM.DIST(Table2912[[#This Row],[Isovalerate '[%']]],W$6,W$2,FALSE)</f>
        <v>28.586618249720388</v>
      </c>
      <c r="BA336">
        <f>_xlfn.NORM.DIST(Table2912[[#This Row],[CH4 '[g/mmol SCFA']]],X$6,X$2,FALSE)</f>
        <v>2.6683989692837272E-2</v>
      </c>
      <c r="BB336">
        <f>_xlfn.NORM.DIST(Table2912[[#This Row],[DMD '[mg/g']]],Y$6,Y$2,FALSE)</f>
        <v>2.5726007246824724E-3</v>
      </c>
      <c r="BC336">
        <f>_xlfn.NORM.DIST(Table2912[[#This Row],[CH4 '[ml/g']]],Z$6,Z$2,FALSE)</f>
        <v>1.3291964832394365E-3</v>
      </c>
      <c r="BD336">
        <f>_xlfn.NORM.DIST(Table2912[[#This Row],[CH4 '[% GP']]],AA$6,AA$2,FALSE)</f>
        <v>4.0179964785116908E-2</v>
      </c>
      <c r="BE336">
        <f>_xlfn.NORM.DIST(Table2912[[#This Row],[CH4 '[g/g DDM']]],AB$6,AB$2,FALSE)</f>
        <v>1.1394027448302785E-3</v>
      </c>
      <c r="BG336">
        <f>IF(Table2912[[#This Row],[GP '[ml/g']]]&lt;O$10,_xlfn.NORM.DIST(Table2912[[#This Row],[GP '[ml/g']]],O$6,O$2,FALSE),-100)</f>
        <v>-100</v>
      </c>
      <c r="BH336">
        <f>IF(Table2912[[#This Row],[SCFA '[mmol/g']]]&lt;P$10,_xlfn.NORM.DIST(Table2912[[#This Row],[SCFA '[mmol/g']]],P$6,P$2,FALSE),-100)</f>
        <v>-100</v>
      </c>
      <c r="BI336">
        <f>IF(Table2912[[#This Row],[Acetate '[%']]]&lt;Q$10,_xlfn.NORM.DIST(Table2912[[#This Row],[Acetate '[%']]],Q$6,Q$2,FALSE),-100)</f>
        <v>-100</v>
      </c>
      <c r="BJ336">
        <f>IF(Table2912[[#This Row],[Propionate '[%']]]&lt;R$10,_xlfn.NORM.DIST(Table2912[[#This Row],[Propionate '[%']]],R$6,R$2,FALSE),-100)</f>
        <v>-100</v>
      </c>
      <c r="BK336">
        <f>IF(Table2912[[#This Row],[Butyrate '[%']]]&lt;S$10,_xlfn.NORM.DIST(Table2912[[#This Row],[Butyrate '[%']]],S$6,S$2,FALSE),-100)</f>
        <v>-100</v>
      </c>
      <c r="BL336">
        <f>IF(Table2912[[#This Row],[Valerate '[%']]]&lt;T$10,_xlfn.NORM.DIST(Table2912[[#This Row],[Valerate '[%']]],T$6,T$2,FALSE),-100)</f>
        <v>-100</v>
      </c>
      <c r="BM336">
        <f>IF(Table2912[[#This Row],[Caproate '[%']]]&lt;U$10,_xlfn.NORM.DIST(Table2912[[#This Row],[Caproate '[%']]],U$6,U$2,FALSE),-100)</f>
        <v>-100</v>
      </c>
      <c r="BN336">
        <f>IF(Table2912[[#This Row],[Isobutyrate '[%']]]&lt;V$10,_xlfn.NORM.DIST(Table2912[[#This Row],[Isobutyrate '[%']]],V$6,V$2,FALSE),-100)</f>
        <v>-100</v>
      </c>
      <c r="BO336">
        <f>IF(Table2912[[#This Row],[Isovalerate '[%']]]&lt;W$10,_xlfn.NORM.DIST(Table2912[[#This Row],[Isovalerate '[%']]],W$6,W$2,FALSE),-100)</f>
        <v>-100</v>
      </c>
      <c r="BP336">
        <f>IF(Table2912[[#This Row],[CH4 '[g/mmol SCFA']]]&lt;X$10,_xlfn.NORM.DIST(Table2912[[#This Row],[CH4 '[g/mmol SCFA']]],X$6,X$2,FALSE),-100)</f>
        <v>-100</v>
      </c>
      <c r="BQ336">
        <f>IF(Table2912[[#This Row],[DMD '[mg/g']]]&gt;Y$10,_xlfn.NORM.DIST(Table2912[[#This Row],[DMD '[mg/g']]],Y$6,Y$2,FALSE),-100)</f>
        <v>-100</v>
      </c>
      <c r="BR336">
        <f>IF(Table2912[[#This Row],[CH4 '[ml/g']]]&lt;Z$10,_xlfn.NORM.DIST(Table2912[[#This Row],[CH4 '[ml/g']]],Z$6,Z$2,FALSE),-100)</f>
        <v>-100</v>
      </c>
      <c r="BS336">
        <f>IF(Table2912[[#This Row],[CH4 '[% GP']]]&lt;AA$10,_xlfn.NORM.DIST(Table2912[[#This Row],[CH4 '[% GP']]],AA$6,AA$2,FALSE),-100)</f>
        <v>-100</v>
      </c>
      <c r="BT336">
        <f>IF(Table2912[[#This Row],[CH4 '[g/g DDM']]]&lt;AB$10,_xlfn.NORM.DIST(Table2912[[#This Row],[CH4 '[g/g DDM']]],AB$6,AB$2,FALSE),-100)</f>
        <v>-100</v>
      </c>
    </row>
    <row r="337" spans="1:72" x14ac:dyDescent="0.25">
      <c r="A337" s="12" t="s">
        <v>200</v>
      </c>
      <c r="B337" s="13">
        <v>1210</v>
      </c>
      <c r="C337" s="113" t="s">
        <v>414</v>
      </c>
      <c r="D337" s="113" t="s">
        <v>391</v>
      </c>
      <c r="E337" s="113" t="s">
        <v>392</v>
      </c>
      <c r="F337" s="113" t="s">
        <v>393</v>
      </c>
      <c r="G337" s="32" t="s">
        <v>73</v>
      </c>
      <c r="H337" s="32" t="s">
        <v>74</v>
      </c>
      <c r="I337" s="104" t="s">
        <v>48</v>
      </c>
      <c r="J337" s="70">
        <v>3</v>
      </c>
      <c r="K337" s="70"/>
      <c r="L337" s="70"/>
      <c r="M337" t="s">
        <v>415</v>
      </c>
      <c r="N337" t="s">
        <v>237</v>
      </c>
      <c r="O337" s="18">
        <v>336.46682037768971</v>
      </c>
      <c r="P337" s="18">
        <v>8.607986748691987</v>
      </c>
      <c r="Q337" s="97">
        <v>0.66574579235381304</v>
      </c>
      <c r="R337" s="97">
        <v>0.18571146241810402</v>
      </c>
      <c r="S337" s="97">
        <v>9.9667990064044823E-2</v>
      </c>
      <c r="T337" s="97">
        <v>1.250298780278843E-2</v>
      </c>
      <c r="U337" s="97">
        <v>1.7533444211965525E-3</v>
      </c>
      <c r="V337" s="97">
        <v>1.2496072202471325E-2</v>
      </c>
      <c r="W337" s="97">
        <v>2.2122350737581838E-2</v>
      </c>
      <c r="X337" s="51">
        <f t="shared" si="23"/>
        <v>7.116000874378642</v>
      </c>
      <c r="Y337" s="18">
        <v>845.40976350288202</v>
      </c>
      <c r="Z337" s="18">
        <v>61.254441230331942</v>
      </c>
      <c r="AA337" s="18">
        <f t="shared" si="24"/>
        <v>18.20519513976825</v>
      </c>
      <c r="AB337" s="18">
        <f t="shared" si="25"/>
        <v>72.45532743379907</v>
      </c>
      <c r="AC337" s="18">
        <f>$CP$15*Table2912[[#This Row],[DMD '[mg/g']]]+$CS$15*Table2912[[#This Row],[CH4 '[ml/g']]]+$CR$15*Table2912[[#This Row],[CH4 '[% GP']]]+$CQ$15*Table2912[[#This Row],[CH4 '[g/g DDM']]]</f>
        <v>11.972823415891312</v>
      </c>
      <c r="AD337" s="18">
        <f>_xlfn.RANK.AVG(Table2912[[#This Row],[Index]],Table2912[Index])</f>
        <v>323</v>
      </c>
      <c r="AE33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8.1872735038943816</v>
      </c>
      <c r="AF337" s="18">
        <f>Table2912[[#This Row],[CH4 '[ml/g']]]/Table2912[[#This Row],[APB]]</f>
        <v>7.4816654410281371</v>
      </c>
      <c r="AG337" s="18">
        <f>Table2912[[#This Row],[Propionate '[%']]]/Table2912[[#This Row],[Acetate '[%']]]</f>
        <v>0.27895251393403775</v>
      </c>
      <c r="AH337" s="51"/>
      <c r="AI337" s="18"/>
      <c r="AJ337" s="18"/>
      <c r="AK337" s="18">
        <f>(Table2912[[#This Row],[DMD '[mg/g']]]-$AK$15)/$AK$15*100</f>
        <v>72.430863460614219</v>
      </c>
      <c r="AL337" s="18">
        <f>(Table2912[[#This Row],[CH4 '[ml/g']]]-AL$15)/AL$15*100</f>
        <v>55.736086187645419</v>
      </c>
      <c r="AM337" s="18">
        <f>(Table2912[[#This Row],[CH4 '[% GP']]]-AM$15)/AM$15*100</f>
        <v>17.283727649066165</v>
      </c>
      <c r="AN337" s="18">
        <f>(Table2912[[#This Row],[CH4 '[g/g DDM']]]-AN$15)/AN$15*100</f>
        <v>41.471413603573012</v>
      </c>
      <c r="AO337" s="18"/>
      <c r="AP337" s="18"/>
      <c r="AR337">
        <f>_xlfn.NORM.DIST(Table2912[[#This Row],[GP '[ml/g']]],O$6,O$2,FALSE)</f>
        <v>2.3623580675447872E-3</v>
      </c>
      <c r="AS337">
        <f>_xlfn.NORM.DIST(Table2912[[#This Row],[SCFA '[mmol/g']]],P$6,P$2,FALSE)</f>
        <v>7.4904148207934368E-2</v>
      </c>
      <c r="AT337">
        <f>_xlfn.NORM.DIST(Table2912[[#This Row],[Acetate '[%']]],Q$6,Q$2,FALSE)</f>
        <v>13.56264043591834</v>
      </c>
      <c r="AU337">
        <f>_xlfn.NORM.DIST(Table2912[[#This Row],[Propionate '[%']]],R$6,R$2,FALSE)</f>
        <v>14.169480483656562</v>
      </c>
      <c r="AV337">
        <f>_xlfn.NORM.DIST(Table2912[[#This Row],[Butyrate '[%']]],S$6,S$2,FALSE)</f>
        <v>21.348204093903728</v>
      </c>
      <c r="AW337">
        <f>_xlfn.NORM.DIST(Table2912[[#This Row],[Valerate '[%']]],T$6,T$2,FALSE)</f>
        <v>46.929393047916172</v>
      </c>
      <c r="AX337">
        <f>_xlfn.NORM.DIST(Table2912[[#This Row],[Caproate '[%']]],U$6,U$2,FALSE)</f>
        <v>371.1917771411712</v>
      </c>
      <c r="AY337">
        <f>_xlfn.NORM.DIST(Table2912[[#This Row],[Isobutyrate '[%']]],V$6,V$2,FALSE)</f>
        <v>73.571998320146477</v>
      </c>
      <c r="AZ337">
        <f>_xlfn.NORM.DIST(Table2912[[#This Row],[Isovalerate '[%']]],W$6,W$2,FALSE)</f>
        <v>36.601831270633738</v>
      </c>
      <c r="BA337">
        <f>_xlfn.NORM.DIST(Table2912[[#This Row],[CH4 '[g/mmol SCFA']]],X$6,X$2,FALSE)</f>
        <v>0.24522215109868109</v>
      </c>
      <c r="BB337">
        <f>_xlfn.NORM.DIST(Table2912[[#This Row],[DMD '[mg/g']]],Y$6,Y$2,FALSE)</f>
        <v>2.5638723107871209E-3</v>
      </c>
      <c r="BC337">
        <f>_xlfn.NORM.DIST(Table2912[[#This Row],[CH4 '[ml/g']]],Z$6,Z$2,FALSE)</f>
        <v>8.340721586528755E-3</v>
      </c>
      <c r="BD337">
        <f>_xlfn.NORM.DIST(Table2912[[#This Row],[CH4 '[% GP']]],AA$6,AA$2,FALSE)</f>
        <v>0.10383642434798059</v>
      </c>
      <c r="BE337">
        <f>_xlfn.NORM.DIST(Table2912[[#This Row],[CH4 '[g/g DDM']]],AB$6,AB$2,FALSE)</f>
        <v>9.5347368488972843E-3</v>
      </c>
      <c r="BG337">
        <f>IF(Table2912[[#This Row],[GP '[ml/g']]]&lt;O$10,_xlfn.NORM.DIST(Table2912[[#This Row],[GP '[ml/g']]],O$6,O$2,FALSE),-100)</f>
        <v>-100</v>
      </c>
      <c r="BH337">
        <f>IF(Table2912[[#This Row],[SCFA '[mmol/g']]]&lt;P$10,_xlfn.NORM.DIST(Table2912[[#This Row],[SCFA '[mmol/g']]],P$6,P$2,FALSE),-100)</f>
        <v>-100</v>
      </c>
      <c r="BI337">
        <f>IF(Table2912[[#This Row],[Acetate '[%']]]&lt;Q$10,_xlfn.NORM.DIST(Table2912[[#This Row],[Acetate '[%']]],Q$6,Q$2,FALSE),-100)</f>
        <v>-100</v>
      </c>
      <c r="BJ337">
        <f>IF(Table2912[[#This Row],[Propionate '[%']]]&lt;R$10,_xlfn.NORM.DIST(Table2912[[#This Row],[Propionate '[%']]],R$6,R$2,FALSE),-100)</f>
        <v>-100</v>
      </c>
      <c r="BK337">
        <f>IF(Table2912[[#This Row],[Butyrate '[%']]]&lt;S$10,_xlfn.NORM.DIST(Table2912[[#This Row],[Butyrate '[%']]],S$6,S$2,FALSE),-100)</f>
        <v>-100</v>
      </c>
      <c r="BL337">
        <f>IF(Table2912[[#This Row],[Valerate '[%']]]&lt;T$10,_xlfn.NORM.DIST(Table2912[[#This Row],[Valerate '[%']]],T$6,T$2,FALSE),-100)</f>
        <v>46.929393047916172</v>
      </c>
      <c r="BM337">
        <f>IF(Table2912[[#This Row],[Caproate '[%']]]&lt;U$10,_xlfn.NORM.DIST(Table2912[[#This Row],[Caproate '[%']]],U$6,U$2,FALSE),-100)</f>
        <v>-100</v>
      </c>
      <c r="BN337">
        <f>IF(Table2912[[#This Row],[Isobutyrate '[%']]]&lt;V$10,_xlfn.NORM.DIST(Table2912[[#This Row],[Isobutyrate '[%']]],V$6,V$2,FALSE),-100)</f>
        <v>-100</v>
      </c>
      <c r="BO337">
        <f>IF(Table2912[[#This Row],[Isovalerate '[%']]]&lt;W$10,_xlfn.NORM.DIST(Table2912[[#This Row],[Isovalerate '[%']]],W$6,W$2,FALSE),-100)</f>
        <v>-100</v>
      </c>
      <c r="BP337">
        <f>IF(Table2912[[#This Row],[CH4 '[g/mmol SCFA']]]&lt;X$10,_xlfn.NORM.DIST(Table2912[[#This Row],[CH4 '[g/mmol SCFA']]],X$6,X$2,FALSE),-100)</f>
        <v>-100</v>
      </c>
      <c r="BQ337">
        <f>IF(Table2912[[#This Row],[DMD '[mg/g']]]&gt;Y$10,_xlfn.NORM.DIST(Table2912[[#This Row],[DMD '[mg/g']]],Y$6,Y$2,FALSE),-100)</f>
        <v>-100</v>
      </c>
      <c r="BR337">
        <f>IF(Table2912[[#This Row],[CH4 '[ml/g']]]&lt;Z$10,_xlfn.NORM.DIST(Table2912[[#This Row],[CH4 '[ml/g']]],Z$6,Z$2,FALSE),-100)</f>
        <v>-100</v>
      </c>
      <c r="BS337">
        <f>IF(Table2912[[#This Row],[CH4 '[% GP']]]&lt;AA$10,_xlfn.NORM.DIST(Table2912[[#This Row],[CH4 '[% GP']]],AA$6,AA$2,FALSE),-100)</f>
        <v>-100</v>
      </c>
      <c r="BT337">
        <f>IF(Table2912[[#This Row],[CH4 '[g/g DDM']]]&lt;AB$10,_xlfn.NORM.DIST(Table2912[[#This Row],[CH4 '[g/g DDM']]],AB$6,AB$2,FALSE),-100)</f>
        <v>-100</v>
      </c>
    </row>
    <row r="338" spans="1:72" x14ac:dyDescent="0.25">
      <c r="A338" s="12" t="s">
        <v>86</v>
      </c>
      <c r="B338" s="13">
        <v>1087</v>
      </c>
      <c r="C338" s="104" t="s">
        <v>338</v>
      </c>
      <c r="D338" s="104" t="s">
        <v>164</v>
      </c>
      <c r="E338" s="104" t="s">
        <v>339</v>
      </c>
      <c r="F338" s="104" t="s">
        <v>340</v>
      </c>
      <c r="G338" s="32" t="s">
        <v>143</v>
      </c>
      <c r="H338" s="32" t="s">
        <v>144</v>
      </c>
      <c r="I338" s="32" t="s">
        <v>52</v>
      </c>
      <c r="J338" s="100">
        <v>3</v>
      </c>
      <c r="K338" s="100"/>
      <c r="L338" s="100"/>
      <c r="M338" s="118" t="s">
        <v>341</v>
      </c>
      <c r="N338" t="s">
        <v>145</v>
      </c>
      <c r="O338" s="18">
        <v>296.68031305114562</v>
      </c>
      <c r="P338" s="18">
        <v>6.1137161746136099</v>
      </c>
      <c r="Q338" s="97">
        <v>0.63624258775997489</v>
      </c>
      <c r="R338" s="97">
        <v>0.20895871691786913</v>
      </c>
      <c r="S338" s="97">
        <v>9.0916285037965547E-2</v>
      </c>
      <c r="T338" s="97">
        <v>1.8935652788343537E-2</v>
      </c>
      <c r="U338" s="97">
        <v>4.4623855507530869E-4</v>
      </c>
      <c r="V338" s="97">
        <v>1.4927934922247331E-2</v>
      </c>
      <c r="W338" s="97">
        <v>2.9572584018524327E-2</v>
      </c>
      <c r="X338" s="51">
        <f t="shared" si="23"/>
        <v>7.5246509951074101</v>
      </c>
      <c r="Y338" s="18">
        <v>846.93001680181169</v>
      </c>
      <c r="Z338" s="18">
        <v>46.003580497110569</v>
      </c>
      <c r="AA338" s="18">
        <f t="shared" si="24"/>
        <v>15.506111620281279</v>
      </c>
      <c r="AB338" s="18">
        <f t="shared" si="25"/>
        <v>54.318042322823665</v>
      </c>
      <c r="AC338" s="18">
        <f>$CP$15*Table2912[[#This Row],[DMD '[mg/g']]]+$CS$15*Table2912[[#This Row],[CH4 '[ml/g']]]+$CR$15*Table2912[[#This Row],[CH4 '[% GP']]]+$CQ$15*Table2912[[#This Row],[CH4 '[g/g DDM']]]</f>
        <v>19.879458536800293</v>
      </c>
      <c r="AD338" s="18">
        <f>_xlfn.RANK.AVG(Table2912[[#This Row],[Index]],Table2912[Index])</f>
        <v>164</v>
      </c>
      <c r="AE33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5.723157249585852</v>
      </c>
      <c r="AF338" s="18">
        <f>Table2912[[#This Row],[CH4 '[ml/g']]]/Table2912[[#This Row],[APB]]</f>
        <v>8.0381472133129925</v>
      </c>
      <c r="AG338" s="18">
        <f>Table2912[[#This Row],[Propionate '[%']]]/Table2912[[#This Row],[Acetate '[%']]]</f>
        <v>0.32842617098857213</v>
      </c>
      <c r="AH338" s="51"/>
      <c r="AI338" s="18"/>
      <c r="AJ338" s="18"/>
      <c r="AK338" s="18">
        <f>(Table2912[[#This Row],[DMD '[mg/g']]]-$AK$15)/$AK$15*100</f>
        <v>72.740936280127372</v>
      </c>
      <c r="AL338" s="18">
        <f>(Table2912[[#This Row],[CH4 '[ml/g']]]-AL$15)/AL$15*100</f>
        <v>16.961602021611828</v>
      </c>
      <c r="AM338" s="18">
        <f>(Table2912[[#This Row],[CH4 '[% GP']]]-AM$15)/AM$15*100</f>
        <v>-0.10463726387497778</v>
      </c>
      <c r="AN338" s="18">
        <f>(Table2912[[#This Row],[CH4 '[g/g DDM']]]-AN$15)/AN$15*100</f>
        <v>6.0577669545375175</v>
      </c>
      <c r="AO338" s="18"/>
      <c r="AP338" s="18"/>
      <c r="AR338">
        <f>_xlfn.NORM.DIST(Table2912[[#This Row],[GP '[ml/g']]],O$6,O$2,FALSE)</f>
        <v>5.5511076880368146E-3</v>
      </c>
      <c r="AS338">
        <f>_xlfn.NORM.DIST(Table2912[[#This Row],[SCFA '[mmol/g']]],P$6,P$2,FALSE)</f>
        <v>0.31259607824994312</v>
      </c>
      <c r="AT338">
        <f>_xlfn.NORM.DIST(Table2912[[#This Row],[Acetate '[%']]],Q$6,Q$2,FALSE)</f>
        <v>6.0505063358641626</v>
      </c>
      <c r="AU338">
        <f>_xlfn.NORM.DIST(Table2912[[#This Row],[Propionate '[%']]],R$6,R$2,FALSE)</f>
        <v>4.9643383281643159</v>
      </c>
      <c r="AV338">
        <f>_xlfn.NORM.DIST(Table2912[[#This Row],[Butyrate '[%']]],S$6,S$2,FALSE)</f>
        <v>22.876221815514644</v>
      </c>
      <c r="AW338">
        <f>_xlfn.NORM.DIST(Table2912[[#This Row],[Valerate '[%']]],T$6,T$2,FALSE)</f>
        <v>75.057683479408936</v>
      </c>
      <c r="AX338">
        <f>_xlfn.NORM.DIST(Table2912[[#This Row],[Caproate '[%']]],U$6,U$2,FALSE)</f>
        <v>270.2917896890159</v>
      </c>
      <c r="AY338">
        <f>_xlfn.NORM.DIST(Table2912[[#This Row],[Isobutyrate '[%']]],V$6,V$2,FALSE)</f>
        <v>89.809390258515961</v>
      </c>
      <c r="AZ338">
        <f>_xlfn.NORM.DIST(Table2912[[#This Row],[Isovalerate '[%']]],W$6,W$2,FALSE)</f>
        <v>44.608531028260785</v>
      </c>
      <c r="BA338">
        <f>_xlfn.NORM.DIST(Table2912[[#This Row],[CH4 '[g/mmol SCFA']]],X$6,X$2,FALSE)</f>
        <v>0.19374038371158325</v>
      </c>
      <c r="BB338">
        <f>_xlfn.NORM.DIST(Table2912[[#This Row],[DMD '[mg/g']]],Y$6,Y$2,FALSE)</f>
        <v>2.5493003722985488E-3</v>
      </c>
      <c r="BC338">
        <f>_xlfn.NORM.DIST(Table2912[[#This Row],[CH4 '[ml/g']]],Z$6,Z$2,FALSE)</f>
        <v>3.1090969104319105E-2</v>
      </c>
      <c r="BD338">
        <f>_xlfn.NORM.DIST(Table2912[[#This Row],[CH4 '[% GP']]],AA$6,AA$2,FALSE)</f>
        <v>0.13231121764299453</v>
      </c>
      <c r="BE338">
        <f>_xlfn.NORM.DIST(Table2912[[#This Row],[CH4 '[g/g DDM']]],AB$6,AB$2,FALSE)</f>
        <v>3.27488109847884E-2</v>
      </c>
      <c r="BG338">
        <f>IF(Table2912[[#This Row],[GP '[ml/g']]]&lt;O$10,_xlfn.NORM.DIST(Table2912[[#This Row],[GP '[ml/g']]],O$6,O$2,FALSE),-100)</f>
        <v>-100</v>
      </c>
      <c r="BH338">
        <f>IF(Table2912[[#This Row],[SCFA '[mmol/g']]]&lt;P$10,_xlfn.NORM.DIST(Table2912[[#This Row],[SCFA '[mmol/g']]],P$6,P$2,FALSE),-100)</f>
        <v>-100</v>
      </c>
      <c r="BI338">
        <f>IF(Table2912[[#This Row],[Acetate '[%']]]&lt;Q$10,_xlfn.NORM.DIST(Table2912[[#This Row],[Acetate '[%']]],Q$6,Q$2,FALSE),-100)</f>
        <v>6.0505063358641626</v>
      </c>
      <c r="BJ338">
        <f>IF(Table2912[[#This Row],[Propionate '[%']]]&lt;R$10,_xlfn.NORM.DIST(Table2912[[#This Row],[Propionate '[%']]],R$6,R$2,FALSE),-100)</f>
        <v>-100</v>
      </c>
      <c r="BK338">
        <f>IF(Table2912[[#This Row],[Butyrate '[%']]]&lt;S$10,_xlfn.NORM.DIST(Table2912[[#This Row],[Butyrate '[%']]],S$6,S$2,FALSE),-100)</f>
        <v>-100</v>
      </c>
      <c r="BL338">
        <f>IF(Table2912[[#This Row],[Valerate '[%']]]&lt;T$10,_xlfn.NORM.DIST(Table2912[[#This Row],[Valerate '[%']]],T$6,T$2,FALSE),-100)</f>
        <v>-100</v>
      </c>
      <c r="BM338">
        <f>IF(Table2912[[#This Row],[Caproate '[%']]]&lt;U$10,_xlfn.NORM.DIST(Table2912[[#This Row],[Caproate '[%']]],U$6,U$2,FALSE),-100)</f>
        <v>-100</v>
      </c>
      <c r="BN338">
        <f>IF(Table2912[[#This Row],[Isobutyrate '[%']]]&lt;V$10,_xlfn.NORM.DIST(Table2912[[#This Row],[Isobutyrate '[%']]],V$6,V$2,FALSE),-100)</f>
        <v>-100</v>
      </c>
      <c r="BO338">
        <f>IF(Table2912[[#This Row],[Isovalerate '[%']]]&lt;W$10,_xlfn.NORM.DIST(Table2912[[#This Row],[Isovalerate '[%']]],W$6,W$2,FALSE),-100)</f>
        <v>-100</v>
      </c>
      <c r="BP338">
        <f>IF(Table2912[[#This Row],[CH4 '[g/mmol SCFA']]]&lt;X$10,_xlfn.NORM.DIST(Table2912[[#This Row],[CH4 '[g/mmol SCFA']]],X$6,X$2,FALSE),-100)</f>
        <v>-100</v>
      </c>
      <c r="BQ338">
        <f>IF(Table2912[[#This Row],[DMD '[mg/g']]]&gt;Y$10,_xlfn.NORM.DIST(Table2912[[#This Row],[DMD '[mg/g']]],Y$6,Y$2,FALSE),-100)</f>
        <v>-100</v>
      </c>
      <c r="BR338">
        <f>IF(Table2912[[#This Row],[CH4 '[ml/g']]]&lt;Z$10,_xlfn.NORM.DIST(Table2912[[#This Row],[CH4 '[ml/g']]],Z$6,Z$2,FALSE),-100)</f>
        <v>-100</v>
      </c>
      <c r="BS338">
        <f>IF(Table2912[[#This Row],[CH4 '[% GP']]]&lt;AA$10,_xlfn.NORM.DIST(Table2912[[#This Row],[CH4 '[% GP']]],AA$6,AA$2,FALSE),-100)</f>
        <v>-100</v>
      </c>
      <c r="BT338">
        <f>IF(Table2912[[#This Row],[CH4 '[g/g DDM']]]&lt;AB$10,_xlfn.NORM.DIST(Table2912[[#This Row],[CH4 '[g/g DDM']]],AB$6,AB$2,FALSE),-100)</f>
        <v>-100</v>
      </c>
    </row>
    <row r="339" spans="1:72" x14ac:dyDescent="0.25">
      <c r="A339" s="12" t="s">
        <v>200</v>
      </c>
      <c r="B339" s="13">
        <v>1146</v>
      </c>
      <c r="C339" s="117" t="s">
        <v>425</v>
      </c>
      <c r="D339" s="117" t="s">
        <v>212</v>
      </c>
      <c r="E339" s="117" t="s">
        <v>213</v>
      </c>
      <c r="F339" s="117" t="s">
        <v>214</v>
      </c>
      <c r="G339" t="s">
        <v>73</v>
      </c>
      <c r="H339" t="s">
        <v>74</v>
      </c>
      <c r="I339" t="s">
        <v>75</v>
      </c>
      <c r="J339" s="70">
        <v>3</v>
      </c>
      <c r="K339" s="70"/>
      <c r="L339" s="70"/>
      <c r="M339" t="s">
        <v>426</v>
      </c>
      <c r="N339" t="s">
        <v>171</v>
      </c>
      <c r="O339" s="18">
        <v>306.46790615316564</v>
      </c>
      <c r="P339" s="18">
        <v>6.5872532224815412</v>
      </c>
      <c r="Q339" s="97">
        <v>0.6984229921128241</v>
      </c>
      <c r="R339" s="97">
        <v>0.16005934384310547</v>
      </c>
      <c r="S339" s="97">
        <v>8.908580096424995E-2</v>
      </c>
      <c r="T339" s="97">
        <v>1.3801782280380146E-2</v>
      </c>
      <c r="U339" s="97">
        <v>1.2035540723679592E-3</v>
      </c>
      <c r="V339" s="97">
        <v>1.3299595690000013E-2</v>
      </c>
      <c r="W339" s="97">
        <v>2.4126931037072356E-2</v>
      </c>
      <c r="X339" s="51">
        <f t="shared" si="23"/>
        <v>7.7018647450766604</v>
      </c>
      <c r="Y339" s="18">
        <v>847.05403675676416</v>
      </c>
      <c r="Z339" s="18">
        <v>50.734133361123206</v>
      </c>
      <c r="AA339" s="18">
        <f t="shared" si="24"/>
        <v>16.554468622162169</v>
      </c>
      <c r="AB339" s="18">
        <f t="shared" si="25"/>
        <v>59.894801464350692</v>
      </c>
      <c r="AC339" s="18">
        <f>$CP$15*Table2912[[#This Row],[DMD '[mg/g']]]+$CS$15*Table2912[[#This Row],[CH4 '[ml/g']]]+$CR$15*Table2912[[#This Row],[CH4 '[% GP']]]+$CQ$15*Table2912[[#This Row],[CH4 '[g/g DDM']]]</f>
        <v>17.438736523271295</v>
      </c>
      <c r="AD339" s="18">
        <f>_xlfn.RANK.AVG(Table2912[[#This Row],[Index]],Table2912[Index])</f>
        <v>217</v>
      </c>
      <c r="AE33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6.2418712634482825</v>
      </c>
      <c r="AF339" s="18">
        <f>Table2912[[#This Row],[CH4 '[ml/g']]]/Table2912[[#This Row],[APB]]</f>
        <v>8.1280326395414075</v>
      </c>
      <c r="AG339" s="18">
        <f>Table2912[[#This Row],[Propionate '[%']]]/Table2912[[#This Row],[Acetate '[%']]]</f>
        <v>0.22917250097810252</v>
      </c>
      <c r="AH339" s="51"/>
      <c r="AI339" s="18"/>
      <c r="AJ339" s="18"/>
      <c r="AK339" s="18">
        <f>(Table2912[[#This Row],[DMD '[mg/g']]]-$AK$15)/$AK$15*100</f>
        <v>72.766231549761116</v>
      </c>
      <c r="AL339" s="18">
        <f>(Table2912[[#This Row],[CH4 '[ml/g']]]-AL$15)/AL$15*100</f>
        <v>28.98877545994004</v>
      </c>
      <c r="AM339" s="18">
        <f>(Table2912[[#This Row],[CH4 '[% GP']]]-AM$15)/AM$15*100</f>
        <v>6.6492160260027484</v>
      </c>
      <c r="AN339" s="18">
        <f>(Table2912[[#This Row],[CH4 '[g/g DDM']]]-AN$15)/AN$15*100</f>
        <v>16.946572885327438</v>
      </c>
      <c r="AO339" s="18"/>
      <c r="AP339" s="18"/>
      <c r="AR339">
        <f>_xlfn.NORM.DIST(Table2912[[#This Row],[GP '[ml/g']]],O$6,O$2,FALSE)</f>
        <v>4.7371530974245546E-3</v>
      </c>
      <c r="AS339">
        <f>_xlfn.NORM.DIST(Table2912[[#This Row],[SCFA '[mmol/g']]],P$6,P$2,FALSE)</f>
        <v>0.33245696615541886</v>
      </c>
      <c r="AT339">
        <f>_xlfn.NORM.DIST(Table2912[[#This Row],[Acetate '[%']]],Q$6,Q$2,FALSE)</f>
        <v>9.4440538682429107</v>
      </c>
      <c r="AU339">
        <f>_xlfn.NORM.DIST(Table2912[[#This Row],[Propionate '[%']]],R$6,R$2,FALSE)</f>
        <v>14.840307070533916</v>
      </c>
      <c r="AV339">
        <f>_xlfn.NORM.DIST(Table2912[[#This Row],[Butyrate '[%']]],S$6,S$2,FALSE)</f>
        <v>22.472246328886456</v>
      </c>
      <c r="AW339">
        <f>_xlfn.NORM.DIST(Table2912[[#This Row],[Valerate '[%']]],T$6,T$2,FALSE)</f>
        <v>58.494855135286357</v>
      </c>
      <c r="AX339">
        <f>_xlfn.NORM.DIST(Table2912[[#This Row],[Caproate '[%']]],U$6,U$2,FALSE)</f>
        <v>403.37952908511789</v>
      </c>
      <c r="AY339">
        <f>_xlfn.NORM.DIST(Table2912[[#This Row],[Isobutyrate '[%']]],V$6,V$2,FALSE)</f>
        <v>81.253160548009859</v>
      </c>
      <c r="AZ339">
        <f>_xlfn.NORM.DIST(Table2912[[#This Row],[Isovalerate '[%']]],W$6,W$2,FALSE)</f>
        <v>41.434153047422399</v>
      </c>
      <c r="BA339">
        <f>_xlfn.NORM.DIST(Table2912[[#This Row],[CH4 '[g/mmol SCFA']]],X$6,X$2,FALSE)</f>
        <v>0.16994583758728074</v>
      </c>
      <c r="BB339">
        <f>_xlfn.NORM.DIST(Table2912[[#This Row],[DMD '[mg/g']]],Y$6,Y$2,FALSE)</f>
        <v>2.5481013947096232E-3</v>
      </c>
      <c r="BC339">
        <f>_xlfn.NORM.DIST(Table2912[[#This Row],[CH4 '[ml/g']]],Z$6,Z$2,FALSE)</f>
        <v>2.4638564350430815E-2</v>
      </c>
      <c r="BD339">
        <f>_xlfn.NORM.DIST(Table2912[[#This Row],[CH4 '[% GP']]],AA$6,AA$2,FALSE)</f>
        <v>0.13291335059173268</v>
      </c>
      <c r="BE339">
        <f>_xlfn.NORM.DIST(Table2912[[#This Row],[CH4 '[g/g DDM']]],AB$6,AB$2,FALSE)</f>
        <v>2.8416428047851529E-2</v>
      </c>
      <c r="BG339">
        <f>IF(Table2912[[#This Row],[GP '[ml/g']]]&lt;O$10,_xlfn.NORM.DIST(Table2912[[#This Row],[GP '[ml/g']]],O$6,O$2,FALSE),-100)</f>
        <v>-100</v>
      </c>
      <c r="BH339">
        <f>IF(Table2912[[#This Row],[SCFA '[mmol/g']]]&lt;P$10,_xlfn.NORM.DIST(Table2912[[#This Row],[SCFA '[mmol/g']]],P$6,P$2,FALSE),-100)</f>
        <v>-100</v>
      </c>
      <c r="BI339">
        <f>IF(Table2912[[#This Row],[Acetate '[%']]]&lt;Q$10,_xlfn.NORM.DIST(Table2912[[#This Row],[Acetate '[%']]],Q$6,Q$2,FALSE),-100)</f>
        <v>-100</v>
      </c>
      <c r="BJ339">
        <f>IF(Table2912[[#This Row],[Propionate '[%']]]&lt;R$10,_xlfn.NORM.DIST(Table2912[[#This Row],[Propionate '[%']]],R$6,R$2,FALSE),-100)</f>
        <v>-100</v>
      </c>
      <c r="BK339">
        <f>IF(Table2912[[#This Row],[Butyrate '[%']]]&lt;S$10,_xlfn.NORM.DIST(Table2912[[#This Row],[Butyrate '[%']]],S$6,S$2,FALSE),-100)</f>
        <v>-100</v>
      </c>
      <c r="BL339">
        <f>IF(Table2912[[#This Row],[Valerate '[%']]]&lt;T$10,_xlfn.NORM.DIST(Table2912[[#This Row],[Valerate '[%']]],T$6,T$2,FALSE),-100)</f>
        <v>-100</v>
      </c>
      <c r="BM339">
        <f>IF(Table2912[[#This Row],[Caproate '[%']]]&lt;U$10,_xlfn.NORM.DIST(Table2912[[#This Row],[Caproate '[%']]],U$6,U$2,FALSE),-100)</f>
        <v>-100</v>
      </c>
      <c r="BN339">
        <f>IF(Table2912[[#This Row],[Isobutyrate '[%']]]&lt;V$10,_xlfn.NORM.DIST(Table2912[[#This Row],[Isobutyrate '[%']]],V$6,V$2,FALSE),-100)</f>
        <v>-100</v>
      </c>
      <c r="BO339">
        <f>IF(Table2912[[#This Row],[Isovalerate '[%']]]&lt;W$10,_xlfn.NORM.DIST(Table2912[[#This Row],[Isovalerate '[%']]],W$6,W$2,FALSE),-100)</f>
        <v>-100</v>
      </c>
      <c r="BP339">
        <f>IF(Table2912[[#This Row],[CH4 '[g/mmol SCFA']]]&lt;X$10,_xlfn.NORM.DIST(Table2912[[#This Row],[CH4 '[g/mmol SCFA']]],X$6,X$2,FALSE),-100)</f>
        <v>-100</v>
      </c>
      <c r="BQ339">
        <f>IF(Table2912[[#This Row],[DMD '[mg/g']]]&gt;Y$10,_xlfn.NORM.DIST(Table2912[[#This Row],[DMD '[mg/g']]],Y$6,Y$2,FALSE),-100)</f>
        <v>-100</v>
      </c>
      <c r="BR339">
        <f>IF(Table2912[[#This Row],[CH4 '[ml/g']]]&lt;Z$10,_xlfn.NORM.DIST(Table2912[[#This Row],[CH4 '[ml/g']]],Z$6,Z$2,FALSE),-100)</f>
        <v>-100</v>
      </c>
      <c r="BS339">
        <f>IF(Table2912[[#This Row],[CH4 '[% GP']]]&lt;AA$10,_xlfn.NORM.DIST(Table2912[[#This Row],[CH4 '[% GP']]],AA$6,AA$2,FALSE),-100)</f>
        <v>-100</v>
      </c>
      <c r="BT339">
        <f>IF(Table2912[[#This Row],[CH4 '[g/g DDM']]]&lt;AB$10,_xlfn.NORM.DIST(Table2912[[#This Row],[CH4 '[g/g DDM']]],AB$6,AB$2,FALSE),-100)</f>
        <v>-100</v>
      </c>
    </row>
    <row r="340" spans="1:72" x14ac:dyDescent="0.25">
      <c r="A340" s="12" t="s">
        <v>200</v>
      </c>
      <c r="B340" s="13">
        <v>1202</v>
      </c>
      <c r="C340" s="113" t="s">
        <v>427</v>
      </c>
      <c r="D340" s="113" t="s">
        <v>262</v>
      </c>
      <c r="E340" s="113" t="s">
        <v>411</v>
      </c>
      <c r="F340" s="113" t="s">
        <v>412</v>
      </c>
      <c r="G340" t="s">
        <v>73</v>
      </c>
      <c r="H340" t="s">
        <v>74</v>
      </c>
      <c r="I340" t="s">
        <v>75</v>
      </c>
      <c r="J340" s="70">
        <v>1</v>
      </c>
      <c r="K340" s="70"/>
      <c r="L340" s="70"/>
      <c r="M340" t="s">
        <v>428</v>
      </c>
      <c r="N340" t="s">
        <v>245</v>
      </c>
      <c r="O340" s="18">
        <v>245.89413580246878</v>
      </c>
      <c r="P340" s="18">
        <v>7.0270061728395072</v>
      </c>
      <c r="Q340" s="97">
        <v>0.6169979136927638</v>
      </c>
      <c r="R340" s="97">
        <v>0.18629311832342468</v>
      </c>
      <c r="S340" s="97">
        <v>0.11308412680983232</v>
      </c>
      <c r="T340" s="97">
        <v>2.0204238497858792E-2</v>
      </c>
      <c r="U340" s="97">
        <v>3.937316663790805E-3</v>
      </c>
      <c r="V340" s="97">
        <v>2.108268364993961E-2</v>
      </c>
      <c r="W340" s="97">
        <v>3.8400602362390006E-2</v>
      </c>
      <c r="X340" s="51">
        <f t="shared" si="23"/>
        <v>6.3722117165429095</v>
      </c>
      <c r="Y340" s="18">
        <v>847.44268077601384</v>
      </c>
      <c r="Z340" s="18">
        <v>44.77757106678726</v>
      </c>
      <c r="AA340" s="18">
        <f t="shared" si="24"/>
        <v>18.210101237533333</v>
      </c>
      <c r="AB340" s="18">
        <f t="shared" si="25"/>
        <v>52.838465754148565</v>
      </c>
      <c r="AC340" s="18">
        <f>$CP$15*Table2912[[#This Row],[DMD '[mg/g']]]+$CS$15*Table2912[[#This Row],[CH4 '[ml/g']]]+$CR$15*Table2912[[#This Row],[CH4 '[% GP']]]+$CQ$15*Table2912[[#This Row],[CH4 '[g/g DDM']]]</f>
        <v>19.677110122964947</v>
      </c>
      <c r="AD340" s="18">
        <f>_xlfn.RANK.AVG(Table2912[[#This Row],[Index]],Table2912[Index])</f>
        <v>167</v>
      </c>
      <c r="AE34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6.4393738977072319</v>
      </c>
      <c r="AF340" s="18">
        <f>Table2912[[#This Row],[CH4 '[ml/g']]]/Table2912[[#This Row],[APB]]</f>
        <v>6.95371503163227</v>
      </c>
      <c r="AG340" s="18">
        <f>Table2912[[#This Row],[Propionate '[%']]]/Table2912[[#This Row],[Acetate '[%']]]</f>
        <v>0.30193476215900134</v>
      </c>
      <c r="AH340" s="51"/>
      <c r="AI340" s="18"/>
      <c r="AJ340" s="18"/>
      <c r="AK340" s="18">
        <f>(Table2912[[#This Row],[DMD '[mg/g']]]-$AK$15)/$AK$15*100</f>
        <v>72.845499884137055</v>
      </c>
      <c r="AL340" s="18">
        <f>(Table2912[[#This Row],[CH4 '[ml/g']]]-AL$15)/AL$15*100</f>
        <v>13.84453970788117</v>
      </c>
      <c r="AM340" s="18">
        <f>(Table2912[[#This Row],[CH4 '[% GP']]]-AM$15)/AM$15*100</f>
        <v>17.315334310224262</v>
      </c>
      <c r="AN340" s="18">
        <f>(Table2912[[#This Row],[CH4 '[g/g DDM']]]-AN$15)/AN$15*100</f>
        <v>3.1688449646888106</v>
      </c>
      <c r="AO340" s="18"/>
      <c r="AP340" s="18"/>
      <c r="AR340">
        <f>_xlfn.NORM.DIST(Table2912[[#This Row],[GP '[ml/g']]],O$6,O$2,FALSE)</f>
        <v>7.3597856638940255E-3</v>
      </c>
      <c r="AS340">
        <f>_xlfn.NORM.DIST(Table2912[[#This Row],[SCFA '[mmol/g']]],P$6,P$2,FALSE)</f>
        <v>0.30613229832630678</v>
      </c>
      <c r="AT340">
        <f>_xlfn.NORM.DIST(Table2912[[#This Row],[Acetate '[%']]],Q$6,Q$2,FALSE)</f>
        <v>2.0011976026079821</v>
      </c>
      <c r="AU340">
        <f>_xlfn.NORM.DIST(Table2912[[#This Row],[Propionate '[%']]],R$6,R$2,FALSE)</f>
        <v>13.964605791388072</v>
      </c>
      <c r="AV340">
        <f>_xlfn.NORM.DIST(Table2912[[#This Row],[Butyrate '[%']]],S$6,S$2,FALSE)</f>
        <v>11.698246600501422</v>
      </c>
      <c r="AW340">
        <f>_xlfn.NORM.DIST(Table2912[[#This Row],[Valerate '[%']]],T$6,T$2,FALSE)</f>
        <v>68.512825720013055</v>
      </c>
      <c r="AX340">
        <f>_xlfn.NORM.DIST(Table2912[[#This Row],[Caproate '[%']]],U$6,U$2,FALSE)</f>
        <v>11.949037192852234</v>
      </c>
      <c r="AY340">
        <f>_xlfn.NORM.DIST(Table2912[[#This Row],[Isobutyrate '[%']]],V$6,V$2,FALSE)</f>
        <v>38.584239106404056</v>
      </c>
      <c r="AZ340">
        <f>_xlfn.NORM.DIST(Table2912[[#This Row],[Isovalerate '[%']]],W$6,W$2,FALSE)</f>
        <v>22.210737592695125</v>
      </c>
      <c r="BA340">
        <f>_xlfn.NORM.DIST(Table2912[[#This Row],[CH4 '[g/mmol SCFA']]],X$6,X$2,FALSE)</f>
        <v>0.29674627522796027</v>
      </c>
      <c r="BB340">
        <f>_xlfn.NORM.DIST(Table2912[[#This Row],[DMD '[mg/g']]],Y$6,Y$2,FALSE)</f>
        <v>2.5443342412157315E-3</v>
      </c>
      <c r="BC340">
        <f>_xlfn.NORM.DIST(Table2912[[#This Row],[CH4 '[ml/g']]],Z$6,Z$2,FALSE)</f>
        <v>3.218320442726693E-2</v>
      </c>
      <c r="BD340">
        <f>_xlfn.NORM.DIST(Table2912[[#This Row],[CH4 '[% GP']]],AA$6,AA$2,FALSE)</f>
        <v>0.10371221996556107</v>
      </c>
      <c r="BE340">
        <f>_xlfn.NORM.DIST(Table2912[[#This Row],[CH4 '[g/g DDM']]],AB$6,AB$2,FALSE)</f>
        <v>3.2822520768156047E-2</v>
      </c>
      <c r="BG340">
        <f>IF(Table2912[[#This Row],[GP '[ml/g']]]&lt;O$10,_xlfn.NORM.DIST(Table2912[[#This Row],[GP '[ml/g']]],O$6,O$2,FALSE),-100)</f>
        <v>-100</v>
      </c>
      <c r="BH340">
        <f>IF(Table2912[[#This Row],[SCFA '[mmol/g']]]&lt;P$10,_xlfn.NORM.DIST(Table2912[[#This Row],[SCFA '[mmol/g']]],P$6,P$2,FALSE),-100)</f>
        <v>-100</v>
      </c>
      <c r="BI340">
        <f>IF(Table2912[[#This Row],[Acetate '[%']]]&lt;Q$10,_xlfn.NORM.DIST(Table2912[[#This Row],[Acetate '[%']]],Q$6,Q$2,FALSE),-100)</f>
        <v>2.0011976026079821</v>
      </c>
      <c r="BJ340">
        <f>IF(Table2912[[#This Row],[Propionate '[%']]]&lt;R$10,_xlfn.NORM.DIST(Table2912[[#This Row],[Propionate '[%']]],R$6,R$2,FALSE),-100)</f>
        <v>-100</v>
      </c>
      <c r="BK340">
        <f>IF(Table2912[[#This Row],[Butyrate '[%']]]&lt;S$10,_xlfn.NORM.DIST(Table2912[[#This Row],[Butyrate '[%']]],S$6,S$2,FALSE),-100)</f>
        <v>-100</v>
      </c>
      <c r="BL340">
        <f>IF(Table2912[[#This Row],[Valerate '[%']]]&lt;T$10,_xlfn.NORM.DIST(Table2912[[#This Row],[Valerate '[%']]],T$6,T$2,FALSE),-100)</f>
        <v>-100</v>
      </c>
      <c r="BM340">
        <f>IF(Table2912[[#This Row],[Caproate '[%']]]&lt;U$10,_xlfn.NORM.DIST(Table2912[[#This Row],[Caproate '[%']]],U$6,U$2,FALSE),-100)</f>
        <v>-100</v>
      </c>
      <c r="BN340">
        <f>IF(Table2912[[#This Row],[Isobutyrate '[%']]]&lt;V$10,_xlfn.NORM.DIST(Table2912[[#This Row],[Isobutyrate '[%']]],V$6,V$2,FALSE),-100)</f>
        <v>-100</v>
      </c>
      <c r="BO340">
        <f>IF(Table2912[[#This Row],[Isovalerate '[%']]]&lt;W$10,_xlfn.NORM.DIST(Table2912[[#This Row],[Isovalerate '[%']]],W$6,W$2,FALSE),-100)</f>
        <v>-100</v>
      </c>
      <c r="BP340">
        <f>IF(Table2912[[#This Row],[CH4 '[g/mmol SCFA']]]&lt;X$10,_xlfn.NORM.DIST(Table2912[[#This Row],[CH4 '[g/mmol SCFA']]],X$6,X$2,FALSE),-100)</f>
        <v>-100</v>
      </c>
      <c r="BQ340">
        <f>IF(Table2912[[#This Row],[DMD '[mg/g']]]&gt;Y$10,_xlfn.NORM.DIST(Table2912[[#This Row],[DMD '[mg/g']]],Y$6,Y$2,FALSE),-100)</f>
        <v>-100</v>
      </c>
      <c r="BR340">
        <f>IF(Table2912[[#This Row],[CH4 '[ml/g']]]&lt;Z$10,_xlfn.NORM.DIST(Table2912[[#This Row],[CH4 '[ml/g']]],Z$6,Z$2,FALSE),-100)</f>
        <v>-100</v>
      </c>
      <c r="BS340">
        <f>IF(Table2912[[#This Row],[CH4 '[% GP']]]&lt;AA$10,_xlfn.NORM.DIST(Table2912[[#This Row],[CH4 '[% GP']]],AA$6,AA$2,FALSE),-100)</f>
        <v>-100</v>
      </c>
      <c r="BT340">
        <f>IF(Table2912[[#This Row],[CH4 '[g/g DDM']]]&lt;AB$10,_xlfn.NORM.DIST(Table2912[[#This Row],[CH4 '[g/g DDM']]],AB$6,AB$2,FALSE),-100)</f>
        <v>-100</v>
      </c>
    </row>
    <row r="341" spans="1:72" x14ac:dyDescent="0.25">
      <c r="A341" s="12" t="s">
        <v>200</v>
      </c>
      <c r="B341" s="13">
        <v>1215</v>
      </c>
      <c r="C341" s="113" t="s">
        <v>429</v>
      </c>
      <c r="D341" s="113" t="s">
        <v>391</v>
      </c>
      <c r="E341" s="113" t="s">
        <v>392</v>
      </c>
      <c r="F341" s="113" t="s">
        <v>393</v>
      </c>
      <c r="G341" t="s">
        <v>143</v>
      </c>
      <c r="H341" t="s">
        <v>144</v>
      </c>
      <c r="I341" t="s">
        <v>52</v>
      </c>
      <c r="J341" s="70">
        <v>1</v>
      </c>
      <c r="K341" s="70"/>
      <c r="L341" s="70"/>
      <c r="M341" t="s">
        <v>430</v>
      </c>
      <c r="N341" t="s">
        <v>352</v>
      </c>
      <c r="O341" s="18">
        <v>336.8655074365704</v>
      </c>
      <c r="P341" s="18">
        <v>8.9254746107433789</v>
      </c>
      <c r="Q341" s="97">
        <v>0.65857014360094235</v>
      </c>
      <c r="R341" s="97">
        <v>0.18591302687196368</v>
      </c>
      <c r="S341" s="97">
        <v>0.10397277741907909</v>
      </c>
      <c r="T341" s="97">
        <v>1.3285676594108623E-2</v>
      </c>
      <c r="U341" s="97">
        <v>1.8883515948628425E-3</v>
      </c>
      <c r="V341" s="97">
        <v>1.3420858309625756E-2</v>
      </c>
      <c r="W341" s="97">
        <v>2.294916560941776E-2</v>
      </c>
      <c r="X341" s="51">
        <f t="shared" si="23"/>
        <v>6.1590653190270155</v>
      </c>
      <c r="Y341" s="18">
        <v>847.59474786767191</v>
      </c>
      <c r="Z341" s="18">
        <v>54.972581130885693</v>
      </c>
      <c r="AA341" s="18">
        <f t="shared" si="24"/>
        <v>16.31885126773826</v>
      </c>
      <c r="AB341" s="18">
        <f t="shared" si="25"/>
        <v>64.857151686206663</v>
      </c>
      <c r="AC341" s="18">
        <f>$CP$15*Table2912[[#This Row],[DMD '[mg/g']]]+$CS$15*Table2912[[#This Row],[CH4 '[ml/g']]]+$CR$15*Table2912[[#This Row],[CH4 '[% GP']]]+$CQ$15*Table2912[[#This Row],[CH4 '[g/g DDM']]]</f>
        <v>15.658279801004646</v>
      </c>
      <c r="AD341" s="18">
        <f>_xlfn.RANK.AVG(Table2912[[#This Row],[Index]],Table2912[Index])</f>
        <v>259</v>
      </c>
      <c r="AE34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8.4654194823184579</v>
      </c>
      <c r="AF341" s="18">
        <f>Table2912[[#This Row],[CH4 '[ml/g']]]/Table2912[[#This Row],[APB]]</f>
        <v>6.4937811109899233</v>
      </c>
      <c r="AG341" s="18">
        <f>Table2912[[#This Row],[Propionate '[%']]]/Table2912[[#This Row],[Acetate '[%']]]</f>
        <v>0.2822979885717638</v>
      </c>
      <c r="AH341" s="51"/>
      <c r="AI341" s="18"/>
      <c r="AJ341" s="18"/>
      <c r="AK341" s="18">
        <f>(Table2912[[#This Row],[DMD '[mg/g']]]-$AK$15)/$AK$15*100</f>
        <v>72.87651568387173</v>
      </c>
      <c r="AL341" s="18">
        <f>(Table2912[[#This Row],[CH4 '[ml/g']]]-AL$15)/AL$15*100</f>
        <v>39.764798453791244</v>
      </c>
      <c r="AM341" s="18">
        <f>(Table2912[[#This Row],[CH4 '[% GP']]]-AM$15)/AM$15*100</f>
        <v>5.131293179612487</v>
      </c>
      <c r="AN341" s="18">
        <f>(Table2912[[#This Row],[CH4 '[g/g DDM']]]-AN$15)/AN$15*100</f>
        <v>26.635725160891983</v>
      </c>
      <c r="AO341" s="18"/>
      <c r="AP341" s="18"/>
      <c r="AR341">
        <f>_xlfn.NORM.DIST(Table2912[[#This Row],[GP '[ml/g']]],O$6,O$2,FALSE)</f>
        <v>2.3356337321337756E-3</v>
      </c>
      <c r="AS341">
        <f>_xlfn.NORM.DIST(Table2912[[#This Row],[SCFA '[mmol/g']]],P$6,P$2,FALSE)</f>
        <v>4.5779892637936082E-2</v>
      </c>
      <c r="AT341">
        <f>_xlfn.NORM.DIST(Table2912[[#This Row],[Acetate '[%']]],Q$6,Q$2,FALSE)</f>
        <v>12.305332483644733</v>
      </c>
      <c r="AU341">
        <f>_xlfn.NORM.DIST(Table2912[[#This Row],[Propionate '[%']]],R$6,R$2,FALSE)</f>
        <v>14.099102742048473</v>
      </c>
      <c r="AV341">
        <f>_xlfn.NORM.DIST(Table2912[[#This Row],[Butyrate '[%']]],S$6,S$2,FALSE)</f>
        <v>18.789751371689501</v>
      </c>
      <c r="AW341">
        <f>_xlfn.NORM.DIST(Table2912[[#This Row],[Valerate '[%']]],T$6,T$2,FALSE)</f>
        <v>54.000933091820215</v>
      </c>
      <c r="AX341">
        <f>_xlfn.NORM.DIST(Table2912[[#This Row],[Caproate '[%']]],U$6,U$2,FALSE)</f>
        <v>346.61200308760863</v>
      </c>
      <c r="AY341">
        <f>_xlfn.NORM.DIST(Table2912[[#This Row],[Isobutyrate '[%']]],V$6,V$2,FALSE)</f>
        <v>82.244170333229647</v>
      </c>
      <c r="AZ341">
        <f>_xlfn.NORM.DIST(Table2912[[#This Row],[Isovalerate '[%']]],W$6,W$2,FALSE)</f>
        <v>38.766659382839855</v>
      </c>
      <c r="BA341">
        <f>_xlfn.NORM.DIST(Table2912[[#This Row],[CH4 '[g/mmol SCFA']]],X$6,X$2,FALSE)</f>
        <v>0.29614580577163729</v>
      </c>
      <c r="BB341">
        <f>_xlfn.NORM.DIST(Table2912[[#This Row],[DMD '[mg/g']]],Y$6,Y$2,FALSE)</f>
        <v>2.5428561751735441E-3</v>
      </c>
      <c r="BC341">
        <f>_xlfn.NORM.DIST(Table2912[[#This Row],[CH4 '[ml/g']]],Z$6,Z$2,FALSE)</f>
        <v>1.7493525952338385E-2</v>
      </c>
      <c r="BD341">
        <f>_xlfn.NORM.DIST(Table2912[[#This Row],[CH4 '[% GP']]],AA$6,AA$2,FALSE)</f>
        <v>0.1342354254326884</v>
      </c>
      <c r="BE341">
        <f>_xlfn.NORM.DIST(Table2912[[#This Row],[CH4 '[g/g DDM']]],AB$6,AB$2,FALSE)</f>
        <v>2.0975967103326575E-2</v>
      </c>
      <c r="BG341">
        <f>IF(Table2912[[#This Row],[GP '[ml/g']]]&lt;O$10,_xlfn.NORM.DIST(Table2912[[#This Row],[GP '[ml/g']]],O$6,O$2,FALSE),-100)</f>
        <v>-100</v>
      </c>
      <c r="BH341">
        <f>IF(Table2912[[#This Row],[SCFA '[mmol/g']]]&lt;P$10,_xlfn.NORM.DIST(Table2912[[#This Row],[SCFA '[mmol/g']]],P$6,P$2,FALSE),-100)</f>
        <v>-100</v>
      </c>
      <c r="BI341">
        <f>IF(Table2912[[#This Row],[Acetate '[%']]]&lt;Q$10,_xlfn.NORM.DIST(Table2912[[#This Row],[Acetate '[%']]],Q$6,Q$2,FALSE),-100)</f>
        <v>-100</v>
      </c>
      <c r="BJ341">
        <f>IF(Table2912[[#This Row],[Propionate '[%']]]&lt;R$10,_xlfn.NORM.DIST(Table2912[[#This Row],[Propionate '[%']]],R$6,R$2,FALSE),-100)</f>
        <v>-100</v>
      </c>
      <c r="BK341">
        <f>IF(Table2912[[#This Row],[Butyrate '[%']]]&lt;S$10,_xlfn.NORM.DIST(Table2912[[#This Row],[Butyrate '[%']]],S$6,S$2,FALSE),-100)</f>
        <v>-100</v>
      </c>
      <c r="BL341">
        <f>IF(Table2912[[#This Row],[Valerate '[%']]]&lt;T$10,_xlfn.NORM.DIST(Table2912[[#This Row],[Valerate '[%']]],T$6,T$2,FALSE),-100)</f>
        <v>-100</v>
      </c>
      <c r="BM341">
        <f>IF(Table2912[[#This Row],[Caproate '[%']]]&lt;U$10,_xlfn.NORM.DIST(Table2912[[#This Row],[Caproate '[%']]],U$6,U$2,FALSE),-100)</f>
        <v>-100</v>
      </c>
      <c r="BN341">
        <f>IF(Table2912[[#This Row],[Isobutyrate '[%']]]&lt;V$10,_xlfn.NORM.DIST(Table2912[[#This Row],[Isobutyrate '[%']]],V$6,V$2,FALSE),-100)</f>
        <v>-100</v>
      </c>
      <c r="BO341">
        <f>IF(Table2912[[#This Row],[Isovalerate '[%']]]&lt;W$10,_xlfn.NORM.DIST(Table2912[[#This Row],[Isovalerate '[%']]],W$6,W$2,FALSE),-100)</f>
        <v>-100</v>
      </c>
      <c r="BP341">
        <f>IF(Table2912[[#This Row],[CH4 '[g/mmol SCFA']]]&lt;X$10,_xlfn.NORM.DIST(Table2912[[#This Row],[CH4 '[g/mmol SCFA']]],X$6,X$2,FALSE),-100)</f>
        <v>-100</v>
      </c>
      <c r="BQ341">
        <f>IF(Table2912[[#This Row],[DMD '[mg/g']]]&gt;Y$10,_xlfn.NORM.DIST(Table2912[[#This Row],[DMD '[mg/g']]],Y$6,Y$2,FALSE),-100)</f>
        <v>-100</v>
      </c>
      <c r="BR341">
        <f>IF(Table2912[[#This Row],[CH4 '[ml/g']]]&lt;Z$10,_xlfn.NORM.DIST(Table2912[[#This Row],[CH4 '[ml/g']]],Z$6,Z$2,FALSE),-100)</f>
        <v>-100</v>
      </c>
      <c r="BS341">
        <f>IF(Table2912[[#This Row],[CH4 '[% GP']]]&lt;AA$10,_xlfn.NORM.DIST(Table2912[[#This Row],[CH4 '[% GP']]],AA$6,AA$2,FALSE),-100)</f>
        <v>-100</v>
      </c>
      <c r="BT341">
        <f>IF(Table2912[[#This Row],[CH4 '[g/g DDM']]]&lt;AB$10,_xlfn.NORM.DIST(Table2912[[#This Row],[CH4 '[g/g DDM']]],AB$6,AB$2,FALSE),-100)</f>
        <v>-100</v>
      </c>
    </row>
    <row r="342" spans="1:72" x14ac:dyDescent="0.25">
      <c r="A342" s="12" t="s">
        <v>200</v>
      </c>
      <c r="B342" s="13">
        <v>1150</v>
      </c>
      <c r="C342" s="117" t="s">
        <v>431</v>
      </c>
      <c r="D342" s="117" t="s">
        <v>432</v>
      </c>
      <c r="E342" s="117" t="s">
        <v>433</v>
      </c>
      <c r="F342" s="117" t="s">
        <v>434</v>
      </c>
      <c r="G342" t="s">
        <v>73</v>
      </c>
      <c r="H342" t="s">
        <v>74</v>
      </c>
      <c r="I342" t="s">
        <v>75</v>
      </c>
      <c r="J342" s="100">
        <v>3</v>
      </c>
      <c r="K342" s="100"/>
      <c r="L342" s="100"/>
      <c r="M342" t="s">
        <v>435</v>
      </c>
      <c r="N342" t="s">
        <v>245</v>
      </c>
      <c r="O342" s="18">
        <v>313.61814595660741</v>
      </c>
      <c r="P342" s="18">
        <v>7.6186722492827954</v>
      </c>
      <c r="Q342" s="97">
        <v>0.65765158058719131</v>
      </c>
      <c r="R342" s="97">
        <v>0.18367274908552594</v>
      </c>
      <c r="S342" s="97">
        <v>8.6873835442525915E-2</v>
      </c>
      <c r="T342" s="97">
        <v>1.8732968886093094E-2</v>
      </c>
      <c r="U342" s="97">
        <v>1.3995172442303528E-3</v>
      </c>
      <c r="V342" s="97">
        <v>1.7641786153224811E-2</v>
      </c>
      <c r="W342" s="97">
        <v>3.4027562601208816E-2</v>
      </c>
      <c r="X342" s="51">
        <f t="shared" si="23"/>
        <v>7.6548537481310586</v>
      </c>
      <c r="Y342" s="18">
        <v>848.11353127810708</v>
      </c>
      <c r="Z342" s="18">
        <v>58.319821823204492</v>
      </c>
      <c r="AA342" s="18">
        <f t="shared" si="24"/>
        <v>18.59580594270642</v>
      </c>
      <c r="AB342" s="18">
        <f t="shared" si="25"/>
        <v>68.764168560447942</v>
      </c>
      <c r="AC342" s="18">
        <f>$CP$15*Table2912[[#This Row],[DMD '[mg/g']]]+$CS$15*Table2912[[#This Row],[CH4 '[ml/g']]]+$CR$15*Table2912[[#This Row],[CH4 '[% GP']]]+$CQ$15*Table2912[[#This Row],[CH4 '[g/g DDM']]]</f>
        <v>13.527384232062317</v>
      </c>
      <c r="AD342" s="18">
        <f>_xlfn.RANK.AVG(Table2912[[#This Row],[Index]],Table2912[Index])</f>
        <v>293</v>
      </c>
      <c r="AE34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7.0716376023987131</v>
      </c>
      <c r="AF342" s="18">
        <f>Table2912[[#This Row],[CH4 '[ml/g']]]/Table2912[[#This Row],[APB]]</f>
        <v>8.2470037496579707</v>
      </c>
      <c r="AG342" s="18">
        <f>Table2912[[#This Row],[Propionate '[%']]]/Table2912[[#This Row],[Acetate '[%']]]</f>
        <v>0.27928580194627034</v>
      </c>
      <c r="AH342" s="51"/>
      <c r="AI342" s="18"/>
      <c r="AJ342" s="18"/>
      <c r="AK342" s="18">
        <f>(Table2912[[#This Row],[DMD '[mg/g']]]-$AK$15)/$AK$15*100</f>
        <v>72.982327415971596</v>
      </c>
      <c r="AL342" s="18">
        <f>(Table2912[[#This Row],[CH4 '[ml/g']]]-AL$15)/AL$15*100</f>
        <v>48.274975911611627</v>
      </c>
      <c r="AM342" s="18">
        <f>(Table2912[[#This Row],[CH4 '[% GP']]]-AM$15)/AM$15*100</f>
        <v>19.80016818578466</v>
      </c>
      <c r="AN342" s="18">
        <f>(Table2912[[#This Row],[CH4 '[g/g DDM']]]-AN$15)/AN$15*100</f>
        <v>34.264304310947523</v>
      </c>
      <c r="AO342" s="18"/>
      <c r="AP342" s="18"/>
      <c r="AR342">
        <f>_xlfn.NORM.DIST(Table2912[[#This Row],[GP '[ml/g']]],O$6,O$2,FALSE)</f>
        <v>4.1301504215705874E-3</v>
      </c>
      <c r="AS342">
        <f>_xlfn.NORM.DIST(Table2912[[#This Row],[SCFA '[mmol/g']]],P$6,P$2,FALSE)</f>
        <v>0.22157488011850229</v>
      </c>
      <c r="AT342">
        <f>_xlfn.NORM.DIST(Table2912[[#This Row],[Acetate '[%']]],Q$6,Q$2,FALSE)</f>
        <v>12.097311300893203</v>
      </c>
      <c r="AU342">
        <f>_xlfn.NORM.DIST(Table2912[[#This Row],[Propionate '[%']]],R$6,R$2,FALSE)</f>
        <v>14.841200340198521</v>
      </c>
      <c r="AV342">
        <f>_xlfn.NORM.DIST(Table2912[[#This Row],[Butyrate '[%']]],S$6,S$2,FALSE)</f>
        <v>21.66833005641071</v>
      </c>
      <c r="AW342">
        <f>_xlfn.NORM.DIST(Table2912[[#This Row],[Valerate '[%']]],T$6,T$2,FALSE)</f>
        <v>75.7336212346666</v>
      </c>
      <c r="AX342">
        <f>_xlfn.NORM.DIST(Table2912[[#This Row],[Caproate '[%']]],U$6,U$2,FALSE)</f>
        <v>405.98054336910269</v>
      </c>
      <c r="AY342">
        <f>_xlfn.NORM.DIST(Table2912[[#This Row],[Isobutyrate '[%']]],V$6,V$2,FALSE)</f>
        <v>78.541637175738018</v>
      </c>
      <c r="AZ342">
        <f>_xlfn.NORM.DIST(Table2912[[#This Row],[Isovalerate '[%']]],W$6,W$2,FALSE)</f>
        <v>35.599492129473795</v>
      </c>
      <c r="BA342">
        <f>_xlfn.NORM.DIST(Table2912[[#This Row],[CH4 '[g/mmol SCFA']]],X$6,X$2,FALSE)</f>
        <v>0.17625689361495023</v>
      </c>
      <c r="BB342">
        <f>_xlfn.NORM.DIST(Table2912[[#This Row],[DMD '[mg/g']]],Y$6,Y$2,FALSE)</f>
        <v>2.5377965532134301E-3</v>
      </c>
      <c r="BC342">
        <f>_xlfn.NORM.DIST(Table2912[[#This Row],[CH4 '[ml/g']]],Z$6,Z$2,FALSE)</f>
        <v>1.2204553868906027E-2</v>
      </c>
      <c r="BD342">
        <f>_xlfn.NORM.DIST(Table2912[[#This Row],[CH4 '[% GP']]],AA$6,AA$2,FALSE)</f>
        <v>9.3591083179582341E-2</v>
      </c>
      <c r="BE342">
        <f>_xlfn.NORM.DIST(Table2912[[#This Row],[CH4 '[g/g DDM']]],AB$6,AB$2,FALSE)</f>
        <v>1.4685452914592981E-2</v>
      </c>
      <c r="BG342">
        <f>IF(Table2912[[#This Row],[GP '[ml/g']]]&lt;O$10,_xlfn.NORM.DIST(Table2912[[#This Row],[GP '[ml/g']]],O$6,O$2,FALSE),-100)</f>
        <v>-100</v>
      </c>
      <c r="BH342">
        <f>IF(Table2912[[#This Row],[SCFA '[mmol/g']]]&lt;P$10,_xlfn.NORM.DIST(Table2912[[#This Row],[SCFA '[mmol/g']]],P$6,P$2,FALSE),-100)</f>
        <v>-100</v>
      </c>
      <c r="BI342">
        <f>IF(Table2912[[#This Row],[Acetate '[%']]]&lt;Q$10,_xlfn.NORM.DIST(Table2912[[#This Row],[Acetate '[%']]],Q$6,Q$2,FALSE),-100)</f>
        <v>-100</v>
      </c>
      <c r="BJ342">
        <f>IF(Table2912[[#This Row],[Propionate '[%']]]&lt;R$10,_xlfn.NORM.DIST(Table2912[[#This Row],[Propionate '[%']]],R$6,R$2,FALSE),-100)</f>
        <v>-100</v>
      </c>
      <c r="BK342">
        <f>IF(Table2912[[#This Row],[Butyrate '[%']]]&lt;S$10,_xlfn.NORM.DIST(Table2912[[#This Row],[Butyrate '[%']]],S$6,S$2,FALSE),-100)</f>
        <v>-100</v>
      </c>
      <c r="BL342">
        <f>IF(Table2912[[#This Row],[Valerate '[%']]]&lt;T$10,_xlfn.NORM.DIST(Table2912[[#This Row],[Valerate '[%']]],T$6,T$2,FALSE),-100)</f>
        <v>-100</v>
      </c>
      <c r="BM342">
        <f>IF(Table2912[[#This Row],[Caproate '[%']]]&lt;U$10,_xlfn.NORM.DIST(Table2912[[#This Row],[Caproate '[%']]],U$6,U$2,FALSE),-100)</f>
        <v>-100</v>
      </c>
      <c r="BN342">
        <f>IF(Table2912[[#This Row],[Isobutyrate '[%']]]&lt;V$10,_xlfn.NORM.DIST(Table2912[[#This Row],[Isobutyrate '[%']]],V$6,V$2,FALSE),-100)</f>
        <v>-100</v>
      </c>
      <c r="BO342">
        <f>IF(Table2912[[#This Row],[Isovalerate '[%']]]&lt;W$10,_xlfn.NORM.DIST(Table2912[[#This Row],[Isovalerate '[%']]],W$6,W$2,FALSE),-100)</f>
        <v>-100</v>
      </c>
      <c r="BP342">
        <f>IF(Table2912[[#This Row],[CH4 '[g/mmol SCFA']]]&lt;X$10,_xlfn.NORM.DIST(Table2912[[#This Row],[CH4 '[g/mmol SCFA']]],X$6,X$2,FALSE),-100)</f>
        <v>-100</v>
      </c>
      <c r="BQ342">
        <f>IF(Table2912[[#This Row],[DMD '[mg/g']]]&gt;Y$10,_xlfn.NORM.DIST(Table2912[[#This Row],[DMD '[mg/g']]],Y$6,Y$2,FALSE),-100)</f>
        <v>-100</v>
      </c>
      <c r="BR342">
        <f>IF(Table2912[[#This Row],[CH4 '[ml/g']]]&lt;Z$10,_xlfn.NORM.DIST(Table2912[[#This Row],[CH4 '[ml/g']]],Z$6,Z$2,FALSE),-100)</f>
        <v>-100</v>
      </c>
      <c r="BS342">
        <f>IF(Table2912[[#This Row],[CH4 '[% GP']]]&lt;AA$10,_xlfn.NORM.DIST(Table2912[[#This Row],[CH4 '[% GP']]],AA$6,AA$2,FALSE),-100)</f>
        <v>-100</v>
      </c>
      <c r="BT342">
        <f>IF(Table2912[[#This Row],[CH4 '[g/g DDM']]]&lt;AB$10,_xlfn.NORM.DIST(Table2912[[#This Row],[CH4 '[g/g DDM']]],AB$6,AB$2,FALSE),-100)</f>
        <v>-100</v>
      </c>
    </row>
    <row r="343" spans="1:72" x14ac:dyDescent="0.25">
      <c r="A343" s="12" t="s">
        <v>86</v>
      </c>
      <c r="B343" s="13">
        <v>1082</v>
      </c>
      <c r="C343" s="104" t="s">
        <v>331</v>
      </c>
      <c r="D343" s="104" t="s">
        <v>164</v>
      </c>
      <c r="E343" s="104" t="s">
        <v>332</v>
      </c>
      <c r="F343" s="104" t="s">
        <v>333</v>
      </c>
      <c r="G343" s="32" t="s">
        <v>143</v>
      </c>
      <c r="H343" s="32" t="s">
        <v>144</v>
      </c>
      <c r="I343" s="32" t="s">
        <v>52</v>
      </c>
      <c r="J343" s="100">
        <v>3</v>
      </c>
      <c r="K343" s="100"/>
      <c r="L343" s="100"/>
      <c r="M343" t="s">
        <v>333</v>
      </c>
      <c r="N343" t="s">
        <v>124</v>
      </c>
      <c r="O343" s="18">
        <v>317.40109793587987</v>
      </c>
      <c r="P343" s="18">
        <v>7.1892497394319852</v>
      </c>
      <c r="Q343" s="97">
        <v>0.67515711779983123</v>
      </c>
      <c r="R343" s="97">
        <v>0.19735604398280598</v>
      </c>
      <c r="S343" s="97">
        <v>8.9128781517672784E-2</v>
      </c>
      <c r="T343" s="97">
        <v>1.3601355000290367E-2</v>
      </c>
      <c r="U343" s="97">
        <v>5.3777120869614883E-4</v>
      </c>
      <c r="V343" s="97">
        <v>9.3023014074894456E-3</v>
      </c>
      <c r="W343" s="97">
        <v>1.491662908321377E-2</v>
      </c>
      <c r="X343" s="51">
        <f t="shared" si="23"/>
        <v>7.3077122131863304</v>
      </c>
      <c r="Y343" s="18">
        <v>848.26986343518479</v>
      </c>
      <c r="Z343" s="18">
        <v>52.536968124493761</v>
      </c>
      <c r="AA343" s="18">
        <f t="shared" si="24"/>
        <v>16.552232637552837</v>
      </c>
      <c r="AB343" s="18">
        <f t="shared" si="25"/>
        <v>61.934262183661836</v>
      </c>
      <c r="AC343" s="18">
        <f>$CP$15*Table2912[[#This Row],[DMD '[mg/g']]]+$CS$15*Table2912[[#This Row],[CH4 '[ml/g']]]+$CR$15*Table2912[[#This Row],[CH4 '[% GP']]]+$CQ$15*Table2912[[#This Row],[CH4 '[g/g DDM']]]</f>
        <v>16.767672987819488</v>
      </c>
      <c r="AD343" s="18">
        <f>_xlfn.RANK.AVG(Table2912[[#This Row],[Index]],Table2912[Index])</f>
        <v>238</v>
      </c>
      <c r="AE34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6.9134840902986205</v>
      </c>
      <c r="AF343" s="18">
        <f>Table2912[[#This Row],[CH4 '[ml/g']]]/Table2912[[#This Row],[APB]]</f>
        <v>7.5992028676563397</v>
      </c>
      <c r="AG343" s="18">
        <f>Table2912[[#This Row],[Propionate '[%']]]/Table2912[[#This Row],[Acetate '[%']]]</f>
        <v>0.29231128396593098</v>
      </c>
      <c r="AH343" s="51"/>
      <c r="AI343" s="18"/>
      <c r="AJ343" s="18"/>
      <c r="AK343" s="18">
        <f>(Table2912[[#This Row],[DMD '[mg/g']]]-$AK$15)/$AK$15*100</f>
        <v>73.014213123938674</v>
      </c>
      <c r="AL343" s="18">
        <f>(Table2912[[#This Row],[CH4 '[ml/g']]]-AL$15)/AL$15*100</f>
        <v>33.572384818722831</v>
      </c>
      <c r="AM343" s="18">
        <f>(Table2912[[#This Row],[CH4 '[% GP']]]-AM$15)/AM$15*100</f>
        <v>6.6348110933483602</v>
      </c>
      <c r="AN343" s="18">
        <f>(Table2912[[#This Row],[CH4 '[g/g DDM']]]-AN$15)/AN$15*100</f>
        <v>20.928687122731539</v>
      </c>
      <c r="AO343" s="18"/>
      <c r="AP343" s="18"/>
      <c r="AR343">
        <f>_xlfn.NORM.DIST(Table2912[[#This Row],[GP '[ml/g']]],O$6,O$2,FALSE)</f>
        <v>3.8133086646687298E-3</v>
      </c>
      <c r="AS343">
        <f>_xlfn.NORM.DIST(Table2912[[#This Row],[SCFA '[mmol/g']]],P$6,P$2,FALSE)</f>
        <v>0.28703650179966378</v>
      </c>
      <c r="AT343">
        <f>_xlfn.NORM.DIST(Table2912[[#This Row],[Acetate '[%']]],Q$6,Q$2,FALSE)</f>
        <v>13.991139442369873</v>
      </c>
      <c r="AU343">
        <f>_xlfn.NORM.DIST(Table2912[[#This Row],[Propionate '[%']]],R$6,R$2,FALSE)</f>
        <v>9.4442954743466032</v>
      </c>
      <c r="AV343">
        <f>_xlfn.NORM.DIST(Table2912[[#This Row],[Butyrate '[%']]],S$6,S$2,FALSE)</f>
        <v>22.484527720792148</v>
      </c>
      <c r="AW343">
        <f>_xlfn.NORM.DIST(Table2912[[#This Row],[Valerate '[%']]],T$6,T$2,FALSE)</f>
        <v>56.774432348018401</v>
      </c>
      <c r="AX343">
        <f>_xlfn.NORM.DIST(Table2912[[#This Row],[Caproate '[%']]],U$6,U$2,FALSE)</f>
        <v>292.83043494769839</v>
      </c>
      <c r="AY343">
        <f>_xlfn.NORM.DIST(Table2912[[#This Row],[Isobutyrate '[%']]],V$6,V$2,FALSE)</f>
        <v>35.785562709783683</v>
      </c>
      <c r="AZ343">
        <f>_xlfn.NORM.DIST(Table2912[[#This Row],[Isovalerate '[%']]],W$6,W$2,FALSE)</f>
        <v>15.241548314232812</v>
      </c>
      <c r="BA343">
        <f>_xlfn.NORM.DIST(Table2912[[#This Row],[CH4 '[g/mmol SCFA']]],X$6,X$2,FALSE)</f>
        <v>0.22210987917347497</v>
      </c>
      <c r="BB343">
        <f>_xlfn.NORM.DIST(Table2912[[#This Row],[DMD '[mg/g']]],Y$6,Y$2,FALSE)</f>
        <v>2.5362666915079652E-3</v>
      </c>
      <c r="BC343">
        <f>_xlfn.NORM.DIST(Table2912[[#This Row],[CH4 '[ml/g']]],Z$6,Z$2,FALSE)</f>
        <v>2.1630924889438179E-2</v>
      </c>
      <c r="BD343">
        <f>_xlfn.NORM.DIST(Table2912[[#This Row],[CH4 '[% GP']]],AA$6,AA$2,FALSE)</f>
        <v>0.13292979052779524</v>
      </c>
      <c r="BE343">
        <f>_xlfn.NORM.DIST(Table2912[[#This Row],[CH4 '[g/g DDM']]],AB$6,AB$2,FALSE)</f>
        <v>2.5595273082099215E-2</v>
      </c>
      <c r="BG343">
        <f>IF(Table2912[[#This Row],[GP '[ml/g']]]&lt;O$10,_xlfn.NORM.DIST(Table2912[[#This Row],[GP '[ml/g']]],O$6,O$2,FALSE),-100)</f>
        <v>-100</v>
      </c>
      <c r="BH343">
        <f>IF(Table2912[[#This Row],[SCFA '[mmol/g']]]&lt;P$10,_xlfn.NORM.DIST(Table2912[[#This Row],[SCFA '[mmol/g']]],P$6,P$2,FALSE),-100)</f>
        <v>-100</v>
      </c>
      <c r="BI343">
        <f>IF(Table2912[[#This Row],[Acetate '[%']]]&lt;Q$10,_xlfn.NORM.DIST(Table2912[[#This Row],[Acetate '[%']]],Q$6,Q$2,FALSE),-100)</f>
        <v>-100</v>
      </c>
      <c r="BJ343">
        <f>IF(Table2912[[#This Row],[Propionate '[%']]]&lt;R$10,_xlfn.NORM.DIST(Table2912[[#This Row],[Propionate '[%']]],R$6,R$2,FALSE),-100)</f>
        <v>-100</v>
      </c>
      <c r="BK343">
        <f>IF(Table2912[[#This Row],[Butyrate '[%']]]&lt;S$10,_xlfn.NORM.DIST(Table2912[[#This Row],[Butyrate '[%']]],S$6,S$2,FALSE),-100)</f>
        <v>-100</v>
      </c>
      <c r="BL343">
        <f>IF(Table2912[[#This Row],[Valerate '[%']]]&lt;T$10,_xlfn.NORM.DIST(Table2912[[#This Row],[Valerate '[%']]],T$6,T$2,FALSE),-100)</f>
        <v>-100</v>
      </c>
      <c r="BM343">
        <f>IF(Table2912[[#This Row],[Caproate '[%']]]&lt;U$10,_xlfn.NORM.DIST(Table2912[[#This Row],[Caproate '[%']]],U$6,U$2,FALSE),-100)</f>
        <v>-100</v>
      </c>
      <c r="BN343">
        <f>IF(Table2912[[#This Row],[Isobutyrate '[%']]]&lt;V$10,_xlfn.NORM.DIST(Table2912[[#This Row],[Isobutyrate '[%']]],V$6,V$2,FALSE),-100)</f>
        <v>35.785562709783683</v>
      </c>
      <c r="BO343">
        <f>IF(Table2912[[#This Row],[Isovalerate '[%']]]&lt;W$10,_xlfn.NORM.DIST(Table2912[[#This Row],[Isovalerate '[%']]],W$6,W$2,FALSE),-100)</f>
        <v>15.241548314232812</v>
      </c>
      <c r="BP343">
        <f>IF(Table2912[[#This Row],[CH4 '[g/mmol SCFA']]]&lt;X$10,_xlfn.NORM.DIST(Table2912[[#This Row],[CH4 '[g/mmol SCFA']]],X$6,X$2,FALSE),-100)</f>
        <v>-100</v>
      </c>
      <c r="BQ343">
        <f>IF(Table2912[[#This Row],[DMD '[mg/g']]]&gt;Y$10,_xlfn.NORM.DIST(Table2912[[#This Row],[DMD '[mg/g']]],Y$6,Y$2,FALSE),-100)</f>
        <v>-100</v>
      </c>
      <c r="BR343">
        <f>IF(Table2912[[#This Row],[CH4 '[ml/g']]]&lt;Z$10,_xlfn.NORM.DIST(Table2912[[#This Row],[CH4 '[ml/g']]],Z$6,Z$2,FALSE),-100)</f>
        <v>-100</v>
      </c>
      <c r="BS343">
        <f>IF(Table2912[[#This Row],[CH4 '[% GP']]]&lt;AA$10,_xlfn.NORM.DIST(Table2912[[#This Row],[CH4 '[% GP']]],AA$6,AA$2,FALSE),-100)</f>
        <v>-100</v>
      </c>
      <c r="BT343">
        <f>IF(Table2912[[#This Row],[CH4 '[g/g DDM']]]&lt;AB$10,_xlfn.NORM.DIST(Table2912[[#This Row],[CH4 '[g/g DDM']]],AB$6,AB$2,FALSE),-100)</f>
        <v>-100</v>
      </c>
    </row>
    <row r="344" spans="1:72" x14ac:dyDescent="0.25">
      <c r="A344" s="12" t="s">
        <v>70</v>
      </c>
      <c r="B344" s="13">
        <v>997</v>
      </c>
      <c r="C344" s="96" t="s">
        <v>334</v>
      </c>
      <c r="D344" s="96"/>
      <c r="E344" s="96"/>
      <c r="F344" s="96" t="s">
        <v>335</v>
      </c>
      <c r="G344" t="s">
        <v>73</v>
      </c>
      <c r="H344" t="s">
        <v>74</v>
      </c>
      <c r="I344" t="s">
        <v>75</v>
      </c>
      <c r="J344" s="100">
        <v>3</v>
      </c>
      <c r="K344" s="100"/>
      <c r="L344" s="100"/>
      <c r="M344" t="s">
        <v>335</v>
      </c>
      <c r="N344" t="s">
        <v>76</v>
      </c>
      <c r="O344" s="18">
        <v>259.48486055776857</v>
      </c>
      <c r="P344" s="18">
        <v>7.4242539901635798</v>
      </c>
      <c r="Q344" s="97">
        <v>0.69316919053600912</v>
      </c>
      <c r="R344" s="97">
        <v>0.13414017498549954</v>
      </c>
      <c r="S344" s="97">
        <v>0.11265498418730407</v>
      </c>
      <c r="T344" s="97">
        <v>1.4271740708431584E-2</v>
      </c>
      <c r="U344" s="97">
        <v>1.7589111707024105E-3</v>
      </c>
      <c r="V344" s="97">
        <v>1.4823525993402847E-2</v>
      </c>
      <c r="W344" s="97">
        <v>2.9181472418650461E-2</v>
      </c>
      <c r="X344" s="51">
        <f t="shared" si="23"/>
        <v>6.058051787189072</v>
      </c>
      <c r="Y344" s="18">
        <v>848.41648280020763</v>
      </c>
      <c r="Z344" s="18">
        <v>44.976515153656074</v>
      </c>
      <c r="AA344" s="18">
        <f t="shared" si="24"/>
        <v>17.333001646792816</v>
      </c>
      <c r="AB344" s="18">
        <f t="shared" si="25"/>
        <v>53.012307122099521</v>
      </c>
      <c r="AC344" s="18">
        <f>$CP$15*Table2912[[#This Row],[DMD '[mg/g']]]+$CS$15*Table2912[[#This Row],[CH4 '[ml/g']]]+$CR$15*Table2912[[#This Row],[CH4 '[% GP']]]+$CQ$15*Table2912[[#This Row],[CH4 '[g/g DDM']]]</f>
        <v>19.956748825386583</v>
      </c>
      <c r="AD344" s="18">
        <f>_xlfn.RANK.AVG(Table2912[[#This Row],[Index]],Table2912[Index])</f>
        <v>161</v>
      </c>
      <c r="AE34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6.9785340739371673</v>
      </c>
      <c r="AF344" s="18">
        <f>Table2912[[#This Row],[CH4 '[ml/g']]]/Table2912[[#This Row],[APB]]</f>
        <v>6.4449803751235546</v>
      </c>
      <c r="AG344" s="18">
        <f>Table2912[[#This Row],[Propionate '[%']]]/Table2912[[#This Row],[Acetate '[%']]]</f>
        <v>0.1935172203510265</v>
      </c>
      <c r="AH344" s="51"/>
      <c r="AI344" s="18"/>
      <c r="AJ344" s="18"/>
      <c r="AK344" s="18">
        <f>(Table2912[[#This Row],[DMD '[mg/g']]]-$AK$15)/$AK$15*100</f>
        <v>73.044117798337254</v>
      </c>
      <c r="AL344" s="18">
        <f>(Table2912[[#This Row],[CH4 '[ml/g']]]-AL$15)/AL$15*100</f>
        <v>14.350344231387002</v>
      </c>
      <c r="AM344" s="18">
        <f>(Table2912[[#This Row],[CH4 '[% GP']]]-AM$15)/AM$15*100</f>
        <v>11.66477639355544</v>
      </c>
      <c r="AN344" s="18">
        <f>(Table2912[[#This Row],[CH4 '[g/g DDM']]]-AN$15)/AN$15*100</f>
        <v>3.5082759622130624</v>
      </c>
      <c r="AO344" s="18"/>
      <c r="AP344" s="18"/>
      <c r="AR344">
        <f>_xlfn.NORM.DIST(Table2912[[#This Row],[GP '[ml/g']]],O$6,O$2,FALSE)</f>
        <v>7.4589102344098795E-3</v>
      </c>
      <c r="AS344">
        <f>_xlfn.NORM.DIST(Table2912[[#This Row],[SCFA '[mmol/g']]],P$6,P$2,FALSE)</f>
        <v>0.25311523027512117</v>
      </c>
      <c r="AT344">
        <f>_xlfn.NORM.DIST(Table2912[[#This Row],[Acetate '[%']]],Q$6,Q$2,FALSE)</f>
        <v>10.942273768117435</v>
      </c>
      <c r="AU344">
        <f>_xlfn.NORM.DIST(Table2912[[#This Row],[Propionate '[%']]],R$6,R$2,FALSE)</f>
        <v>4.7594262618631342</v>
      </c>
      <c r="AV344">
        <f>_xlfn.NORM.DIST(Table2912[[#This Row],[Butyrate '[%']]],S$6,S$2,FALSE)</f>
        <v>12.036775029903678</v>
      </c>
      <c r="AW344">
        <f>_xlfn.NORM.DIST(Table2912[[#This Row],[Valerate '[%']]],T$6,T$2,FALSE)</f>
        <v>62.36524751886985</v>
      </c>
      <c r="AX344">
        <f>_xlfn.NORM.DIST(Table2912[[#This Row],[Caproate '[%']]],U$6,U$2,FALSE)</f>
        <v>370.28340917995627</v>
      </c>
      <c r="AY344">
        <f>_xlfn.NORM.DIST(Table2912[[#This Row],[Isobutyrate '[%']]],V$6,V$2,FALSE)</f>
        <v>89.598003288639248</v>
      </c>
      <c r="AZ344">
        <f>_xlfn.NORM.DIST(Table2912[[#This Row],[Isovalerate '[%']]],W$6,W$2,FALSE)</f>
        <v>44.945075377984985</v>
      </c>
      <c r="BA344">
        <f>_xlfn.NORM.DIST(Table2912[[#This Row],[CH4 '[g/mmol SCFA']]],X$6,X$2,FALSE)</f>
        <v>0.29326414210480573</v>
      </c>
      <c r="BB344">
        <f>_xlfn.NORM.DIST(Table2912[[#This Row],[DMD '[mg/g']]],Y$6,Y$2,FALSE)</f>
        <v>2.5348297091371181E-3</v>
      </c>
      <c r="BC344">
        <f>_xlfn.NORM.DIST(Table2912[[#This Row],[CH4 '[ml/g']]],Z$6,Z$2,FALSE)</f>
        <v>3.2026466219343783E-2</v>
      </c>
      <c r="BD344">
        <f>_xlfn.NORM.DIST(Table2912[[#This Row],[CH4 '[% GP']]],AA$6,AA$2,FALSE)</f>
        <v>0.1229744210810861</v>
      </c>
      <c r="BE344">
        <f>_xlfn.NORM.DIST(Table2912[[#This Row],[CH4 '[g/g DDM']]],AB$6,AB$2,FALSE)</f>
        <v>3.2839116151570653E-2</v>
      </c>
      <c r="BG344">
        <f>IF(Table2912[[#This Row],[GP '[ml/g']]]&lt;O$10,_xlfn.NORM.DIST(Table2912[[#This Row],[GP '[ml/g']]],O$6,O$2,FALSE),-100)</f>
        <v>-100</v>
      </c>
      <c r="BH344">
        <f>IF(Table2912[[#This Row],[SCFA '[mmol/g']]]&lt;P$10,_xlfn.NORM.DIST(Table2912[[#This Row],[SCFA '[mmol/g']]],P$6,P$2,FALSE),-100)</f>
        <v>-100</v>
      </c>
      <c r="BI344">
        <f>IF(Table2912[[#This Row],[Acetate '[%']]]&lt;Q$10,_xlfn.NORM.DIST(Table2912[[#This Row],[Acetate '[%']]],Q$6,Q$2,FALSE),-100)</f>
        <v>-100</v>
      </c>
      <c r="BJ344">
        <f>IF(Table2912[[#This Row],[Propionate '[%']]]&lt;R$10,_xlfn.NORM.DIST(Table2912[[#This Row],[Propionate '[%']]],R$6,R$2,FALSE),-100)</f>
        <v>4.7594262618631342</v>
      </c>
      <c r="BK344">
        <f>IF(Table2912[[#This Row],[Butyrate '[%']]]&lt;S$10,_xlfn.NORM.DIST(Table2912[[#This Row],[Butyrate '[%']]],S$6,S$2,FALSE),-100)</f>
        <v>-100</v>
      </c>
      <c r="BL344">
        <f>IF(Table2912[[#This Row],[Valerate '[%']]]&lt;T$10,_xlfn.NORM.DIST(Table2912[[#This Row],[Valerate '[%']]],T$6,T$2,FALSE),-100)</f>
        <v>-100</v>
      </c>
      <c r="BM344">
        <f>IF(Table2912[[#This Row],[Caproate '[%']]]&lt;U$10,_xlfn.NORM.DIST(Table2912[[#This Row],[Caproate '[%']]],U$6,U$2,FALSE),-100)</f>
        <v>-100</v>
      </c>
      <c r="BN344">
        <f>IF(Table2912[[#This Row],[Isobutyrate '[%']]]&lt;V$10,_xlfn.NORM.DIST(Table2912[[#This Row],[Isobutyrate '[%']]],V$6,V$2,FALSE),-100)</f>
        <v>-100</v>
      </c>
      <c r="BO344">
        <f>IF(Table2912[[#This Row],[Isovalerate '[%']]]&lt;W$10,_xlfn.NORM.DIST(Table2912[[#This Row],[Isovalerate '[%']]],W$6,W$2,FALSE),-100)</f>
        <v>-100</v>
      </c>
      <c r="BP344">
        <f>IF(Table2912[[#This Row],[CH4 '[g/mmol SCFA']]]&lt;X$10,_xlfn.NORM.DIST(Table2912[[#This Row],[CH4 '[g/mmol SCFA']]],X$6,X$2,FALSE),-100)</f>
        <v>-100</v>
      </c>
      <c r="BQ344">
        <f>IF(Table2912[[#This Row],[DMD '[mg/g']]]&gt;Y$10,_xlfn.NORM.DIST(Table2912[[#This Row],[DMD '[mg/g']]],Y$6,Y$2,FALSE),-100)</f>
        <v>-100</v>
      </c>
      <c r="BR344">
        <f>IF(Table2912[[#This Row],[CH4 '[ml/g']]]&lt;Z$10,_xlfn.NORM.DIST(Table2912[[#This Row],[CH4 '[ml/g']]],Z$6,Z$2,FALSE),-100)</f>
        <v>-100</v>
      </c>
      <c r="BS344">
        <f>IF(Table2912[[#This Row],[CH4 '[% GP']]]&lt;AA$10,_xlfn.NORM.DIST(Table2912[[#This Row],[CH4 '[% GP']]],AA$6,AA$2,FALSE),-100)</f>
        <v>-100</v>
      </c>
      <c r="BT344">
        <f>IF(Table2912[[#This Row],[CH4 '[g/g DDM']]]&lt;AB$10,_xlfn.NORM.DIST(Table2912[[#This Row],[CH4 '[g/g DDM']]],AB$6,AB$2,FALSE),-100)</f>
        <v>-100</v>
      </c>
    </row>
    <row r="345" spans="1:72" x14ac:dyDescent="0.25">
      <c r="A345" s="12" t="s">
        <v>70</v>
      </c>
      <c r="B345" s="13">
        <v>988</v>
      </c>
      <c r="C345" s="96" t="s">
        <v>436</v>
      </c>
      <c r="D345" s="96"/>
      <c r="E345" s="96"/>
      <c r="F345" s="96" t="s">
        <v>437</v>
      </c>
      <c r="G345" t="s">
        <v>73</v>
      </c>
      <c r="H345" t="s">
        <v>74</v>
      </c>
      <c r="I345" t="s">
        <v>75</v>
      </c>
      <c r="J345" s="100">
        <v>2</v>
      </c>
      <c r="K345" s="100"/>
      <c r="L345" s="100"/>
      <c r="M345" t="s">
        <v>437</v>
      </c>
      <c r="N345" t="s">
        <v>85</v>
      </c>
      <c r="O345" s="18">
        <v>305.29755291005284</v>
      </c>
      <c r="P345" s="18">
        <v>7.5280021575311427</v>
      </c>
      <c r="Q345" s="97">
        <v>0.66303993448230636</v>
      </c>
      <c r="R345" s="97">
        <v>0.14737746749684125</v>
      </c>
      <c r="S345" s="97">
        <v>0.12465486233253607</v>
      </c>
      <c r="T345" s="97">
        <v>1.7049731577732444E-2</v>
      </c>
      <c r="U345" s="97">
        <v>1.8781658362342303E-3</v>
      </c>
      <c r="V345" s="97">
        <v>1.5489267746515902E-2</v>
      </c>
      <c r="W345" s="97">
        <v>3.0510570527833798E-2</v>
      </c>
      <c r="X345" s="51">
        <f t="shared" si="23"/>
        <v>6.5271715089492464</v>
      </c>
      <c r="Y345" s="18">
        <v>848.95103554523848</v>
      </c>
      <c r="Z345" s="18">
        <v>49.136561201945732</v>
      </c>
      <c r="AA345" s="18">
        <f t="shared" si="24"/>
        <v>16.094646266759437</v>
      </c>
      <c r="AB345" s="18">
        <f t="shared" si="25"/>
        <v>57.879146316592681</v>
      </c>
      <c r="AC345" s="18">
        <f>$CP$15*Table2912[[#This Row],[DMD '[mg/g']]]+$CS$15*Table2912[[#This Row],[CH4 '[ml/g']]]+$CR$15*Table2912[[#This Row],[CH4 '[% GP']]]+$CQ$15*Table2912[[#This Row],[CH4 '[g/g DDM']]]</f>
        <v>18.515387290563496</v>
      </c>
      <c r="AD345" s="18">
        <f>_xlfn.RANK.AVG(Table2912[[#This Row],[Index]],Table2912[Index])</f>
        <v>191</v>
      </c>
      <c r="AE34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7.0392260231858863</v>
      </c>
      <c r="AF345" s="18">
        <f>Table2912[[#This Row],[CH4 '[ml/g']]]/Table2912[[#This Row],[APB]]</f>
        <v>6.9803925943135141</v>
      </c>
      <c r="AG345" s="18">
        <f>Table2912[[#This Row],[Propionate '[%']]]/Table2912[[#This Row],[Acetate '[%']]]</f>
        <v>0.2222754012726425</v>
      </c>
      <c r="AH345" s="51"/>
      <c r="AI345" s="18"/>
      <c r="AJ345" s="18"/>
      <c r="AK345" s="18">
        <f>(Table2912[[#This Row],[DMD '[mg/g']]]-$AK$15)/$AK$15*100</f>
        <v>73.153145864217393</v>
      </c>
      <c r="AL345" s="18">
        <f>(Table2912[[#This Row],[CH4 '[ml/g']]]-AL$15)/AL$15*100</f>
        <v>24.927035111397842</v>
      </c>
      <c r="AM345" s="18">
        <f>(Table2912[[#This Row],[CH4 '[% GP']]]-AM$15)/AM$15*100</f>
        <v>3.6868923879440874</v>
      </c>
      <c r="AN345" s="18">
        <f>(Table2912[[#This Row],[CH4 '[g/g DDM']]]-AN$15)/AN$15*100</f>
        <v>13.010939810572689</v>
      </c>
      <c r="AO345" s="18"/>
      <c r="AP345" s="18"/>
      <c r="AR345">
        <f>_xlfn.NORM.DIST(Table2912[[#This Row],[GP '[ml/g']]],O$6,O$2,FALSE)</f>
        <v>4.8363919090346087E-3</v>
      </c>
      <c r="AS345">
        <f>_xlfn.NORM.DIST(Table2912[[#This Row],[SCFA '[mmol/g']]],P$6,P$2,FALSE)</f>
        <v>0.2365355662989764</v>
      </c>
      <c r="AT345">
        <f>_xlfn.NORM.DIST(Table2912[[#This Row],[Acetate '[%']]],Q$6,Q$2,FALSE)</f>
        <v>13.172210395006434</v>
      </c>
      <c r="AU345">
        <f>_xlfn.NORM.DIST(Table2912[[#This Row],[Propionate '[%']]],R$6,R$2,FALSE)</f>
        <v>9.8711309269318583</v>
      </c>
      <c r="AV345">
        <f>_xlfn.NORM.DIST(Table2912[[#This Row],[Butyrate '[%']]],S$6,S$2,FALSE)</f>
        <v>4.3012740691628837</v>
      </c>
      <c r="AW345">
        <f>_xlfn.NORM.DIST(Table2912[[#This Row],[Valerate '[%']]],T$6,T$2,FALSE)</f>
        <v>76.856410765473171</v>
      </c>
      <c r="AX345">
        <f>_xlfn.NORM.DIST(Table2912[[#This Row],[Caproate '[%']]],U$6,U$2,FALSE)</f>
        <v>348.63878687535578</v>
      </c>
      <c r="AY345">
        <f>_xlfn.NORM.DIST(Table2912[[#This Row],[Isobutyrate '[%']]],V$6,V$2,FALSE)</f>
        <v>90.090589455413138</v>
      </c>
      <c r="AZ345">
        <f>_xlfn.NORM.DIST(Table2912[[#This Row],[Isovalerate '[%']]],W$6,W$2,FALSE)</f>
        <v>43.458930162468128</v>
      </c>
      <c r="BA345">
        <f>_xlfn.NORM.DIST(Table2912[[#This Row],[CH4 '[g/mmol SCFA']]],X$6,X$2,FALSE)</f>
        <v>0.29251019489111602</v>
      </c>
      <c r="BB345">
        <f>_xlfn.NORM.DIST(Table2912[[#This Row],[DMD '[mg/g']]],Y$6,Y$2,FALSE)</f>
        <v>2.5295729675866891E-3</v>
      </c>
      <c r="BC345">
        <f>_xlfn.NORM.DIST(Table2912[[#This Row],[CH4 '[ml/g']]],Z$6,Z$2,FALSE)</f>
        <v>2.712672491580374E-2</v>
      </c>
      <c r="BD345">
        <f>_xlfn.NORM.DIST(Table2912[[#This Row],[CH4 '[% GP']]],AA$6,AA$2,FALSE)</f>
        <v>0.1347115077615855</v>
      </c>
      <c r="BE345">
        <f>_xlfn.NORM.DIST(Table2912[[#This Row],[CH4 '[g/g DDM']]],AB$6,AB$2,FALSE)</f>
        <v>3.0648780481042966E-2</v>
      </c>
      <c r="BG345">
        <f>IF(Table2912[[#This Row],[GP '[ml/g']]]&lt;O$10,_xlfn.NORM.DIST(Table2912[[#This Row],[GP '[ml/g']]],O$6,O$2,FALSE),-100)</f>
        <v>-100</v>
      </c>
      <c r="BH345">
        <f>IF(Table2912[[#This Row],[SCFA '[mmol/g']]]&lt;P$10,_xlfn.NORM.DIST(Table2912[[#This Row],[SCFA '[mmol/g']]],P$6,P$2,FALSE),-100)</f>
        <v>-100</v>
      </c>
      <c r="BI345">
        <f>IF(Table2912[[#This Row],[Acetate '[%']]]&lt;Q$10,_xlfn.NORM.DIST(Table2912[[#This Row],[Acetate '[%']]],Q$6,Q$2,FALSE),-100)</f>
        <v>-100</v>
      </c>
      <c r="BJ345">
        <f>IF(Table2912[[#This Row],[Propionate '[%']]]&lt;R$10,_xlfn.NORM.DIST(Table2912[[#This Row],[Propionate '[%']]],R$6,R$2,FALSE),-100)</f>
        <v>9.8711309269318583</v>
      </c>
      <c r="BK345">
        <f>IF(Table2912[[#This Row],[Butyrate '[%']]]&lt;S$10,_xlfn.NORM.DIST(Table2912[[#This Row],[Butyrate '[%']]],S$6,S$2,FALSE),-100)</f>
        <v>-100</v>
      </c>
      <c r="BL345">
        <f>IF(Table2912[[#This Row],[Valerate '[%']]]&lt;T$10,_xlfn.NORM.DIST(Table2912[[#This Row],[Valerate '[%']]],T$6,T$2,FALSE),-100)</f>
        <v>-100</v>
      </c>
      <c r="BM345">
        <f>IF(Table2912[[#This Row],[Caproate '[%']]]&lt;U$10,_xlfn.NORM.DIST(Table2912[[#This Row],[Caproate '[%']]],U$6,U$2,FALSE),-100)</f>
        <v>-100</v>
      </c>
      <c r="BN345">
        <f>IF(Table2912[[#This Row],[Isobutyrate '[%']]]&lt;V$10,_xlfn.NORM.DIST(Table2912[[#This Row],[Isobutyrate '[%']]],V$6,V$2,FALSE),-100)</f>
        <v>-100</v>
      </c>
      <c r="BO345">
        <f>IF(Table2912[[#This Row],[Isovalerate '[%']]]&lt;W$10,_xlfn.NORM.DIST(Table2912[[#This Row],[Isovalerate '[%']]],W$6,W$2,FALSE),-100)</f>
        <v>-100</v>
      </c>
      <c r="BP345">
        <f>IF(Table2912[[#This Row],[CH4 '[g/mmol SCFA']]]&lt;X$10,_xlfn.NORM.DIST(Table2912[[#This Row],[CH4 '[g/mmol SCFA']]],X$6,X$2,FALSE),-100)</f>
        <v>-100</v>
      </c>
      <c r="BQ345">
        <f>IF(Table2912[[#This Row],[DMD '[mg/g']]]&gt;Y$10,_xlfn.NORM.DIST(Table2912[[#This Row],[DMD '[mg/g']]],Y$6,Y$2,FALSE),-100)</f>
        <v>-100</v>
      </c>
      <c r="BR345">
        <f>IF(Table2912[[#This Row],[CH4 '[ml/g']]]&lt;Z$10,_xlfn.NORM.DIST(Table2912[[#This Row],[CH4 '[ml/g']]],Z$6,Z$2,FALSE),-100)</f>
        <v>-100</v>
      </c>
      <c r="BS345">
        <f>IF(Table2912[[#This Row],[CH4 '[% GP']]]&lt;AA$10,_xlfn.NORM.DIST(Table2912[[#This Row],[CH4 '[% GP']]],AA$6,AA$2,FALSE),-100)</f>
        <v>-100</v>
      </c>
      <c r="BT345">
        <f>IF(Table2912[[#This Row],[CH4 '[g/g DDM']]]&lt;AB$10,_xlfn.NORM.DIST(Table2912[[#This Row],[CH4 '[g/g DDM']]],AB$6,AB$2,FALSE),-100)</f>
        <v>-100</v>
      </c>
    </row>
    <row r="346" spans="1:72" x14ac:dyDescent="0.25">
      <c r="A346" s="12" t="s">
        <v>200</v>
      </c>
      <c r="B346" s="13">
        <v>1150</v>
      </c>
      <c r="C346" s="117" t="s">
        <v>431</v>
      </c>
      <c r="D346" s="117" t="s">
        <v>432</v>
      </c>
      <c r="E346" s="117" t="s">
        <v>433</v>
      </c>
      <c r="F346" s="117" t="s">
        <v>434</v>
      </c>
      <c r="G346" s="15" t="s">
        <v>73</v>
      </c>
      <c r="H346" s="15" t="s">
        <v>74</v>
      </c>
      <c r="I346" t="s">
        <v>75</v>
      </c>
      <c r="J346" s="100">
        <v>2</v>
      </c>
      <c r="K346" s="100"/>
      <c r="L346" s="100"/>
      <c r="M346" t="s">
        <v>435</v>
      </c>
      <c r="N346" t="s">
        <v>237</v>
      </c>
      <c r="O346" s="18">
        <v>308.03687472332911</v>
      </c>
      <c r="P346" s="18">
        <v>8.4018370960602056</v>
      </c>
      <c r="Q346" s="97">
        <v>0.669600036425677</v>
      </c>
      <c r="R346" s="97">
        <v>0.18623714972222</v>
      </c>
      <c r="S346" s="97">
        <v>8.0172599411464485E-2</v>
      </c>
      <c r="T346" s="97">
        <v>1.6194243268535063E-2</v>
      </c>
      <c r="U346" s="97">
        <v>9.4280807516335737E-4</v>
      </c>
      <c r="V346" s="97">
        <v>1.6316939787459534E-2</v>
      </c>
      <c r="W346" s="97">
        <v>3.0536223309480529E-2</v>
      </c>
      <c r="X346" s="51">
        <f t="shared" si="23"/>
        <v>6.7692214099307773</v>
      </c>
      <c r="Y346" s="18">
        <v>849.04825143868959</v>
      </c>
      <c r="Z346" s="18">
        <v>56.873895553401368</v>
      </c>
      <c r="AA346" s="18">
        <f t="shared" si="24"/>
        <v>18.463340015536794</v>
      </c>
      <c r="AB346" s="18">
        <f t="shared" si="25"/>
        <v>66.985469267535819</v>
      </c>
      <c r="AC346" s="18">
        <f>$CP$15*Table2912[[#This Row],[DMD '[mg/g']]]+$CS$15*Table2912[[#This Row],[CH4 '[ml/g']]]+$CR$15*Table2912[[#This Row],[CH4 '[% GP']]]+$CQ$15*Table2912[[#This Row],[CH4 '[g/g DDM']]]</f>
        <v>14.334417625787182</v>
      </c>
      <c r="AD346" s="18">
        <f>_xlfn.RANK.AVG(Table2912[[#This Row],[Index]],Table2912[Index])</f>
        <v>284</v>
      </c>
      <c r="AE34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7.864201738588001</v>
      </c>
      <c r="AF346" s="18">
        <f>Table2912[[#This Row],[CH4 '[ml/g']]]/Table2912[[#This Row],[APB]]</f>
        <v>7.2319985478415436</v>
      </c>
      <c r="AG346" s="18">
        <f>Table2912[[#This Row],[Propionate '[%']]]/Table2912[[#This Row],[Acetate '[%']]]</f>
        <v>0.27813192889945665</v>
      </c>
      <c r="AH346" s="51"/>
      <c r="AI346" s="18"/>
      <c r="AJ346" s="18"/>
      <c r="AK346" s="18">
        <f>(Table2912[[#This Row],[DMD '[mg/g']]]-$AK$15)/$AK$15*100</f>
        <v>73.172974142968769</v>
      </c>
      <c r="AL346" s="18">
        <f>(Table2912[[#This Row],[CH4 '[ml/g']]]-AL$15)/AL$15*100</f>
        <v>44.598786991231201</v>
      </c>
      <c r="AM346" s="18">
        <f>(Table2912[[#This Row],[CH4 '[% GP']]]-AM$15)/AM$15*100</f>
        <v>18.946780039946788</v>
      </c>
      <c r="AN346" s="18">
        <f>(Table2912[[#This Row],[CH4 '[g/g DDM']]]-AN$15)/AN$15*100</f>
        <v>30.791335348466919</v>
      </c>
      <c r="AO346" s="18"/>
      <c r="AP346" s="18"/>
      <c r="AR346">
        <f>_xlfn.NORM.DIST(Table2912[[#This Row],[GP '[ml/g']]],O$6,O$2,FALSE)</f>
        <v>4.603822224639632E-3</v>
      </c>
      <c r="AS346">
        <f>_xlfn.NORM.DIST(Table2912[[#This Row],[SCFA '[mmol/g']]],P$6,P$2,FALSE)</f>
        <v>9.9321412626035166E-2</v>
      </c>
      <c r="AT346">
        <f>_xlfn.NORM.DIST(Table2912[[#This Row],[Acetate '[%']]],Q$6,Q$2,FALSE)</f>
        <v>13.919583308424533</v>
      </c>
      <c r="AU346">
        <f>_xlfn.NORM.DIST(Table2912[[#This Row],[Propionate '[%']]],R$6,R$2,FALSE)</f>
        <v>13.98455436859069</v>
      </c>
      <c r="AV346">
        <f>_xlfn.NORM.DIST(Table2912[[#This Row],[Butyrate '[%']]],S$6,S$2,FALSE)</f>
        <v>17.565972340733271</v>
      </c>
      <c r="AW346">
        <f>_xlfn.NORM.DIST(Table2912[[#This Row],[Valerate '[%']]],T$6,T$2,FALSE)</f>
        <v>74.332490435656666</v>
      </c>
      <c r="AX346">
        <f>_xlfn.NORM.DIST(Table2912[[#This Row],[Caproate '[%']]],U$6,U$2,FALSE)</f>
        <v>375.9212750623754</v>
      </c>
      <c r="AY346">
        <f>_xlfn.NORM.DIST(Table2912[[#This Row],[Isobutyrate '[%']]],V$6,V$2,FALSE)</f>
        <v>87.888357585580707</v>
      </c>
      <c r="AZ346">
        <f>_xlfn.NORM.DIST(Table2912[[#This Row],[Isovalerate '[%']]],W$6,W$2,FALSE)</f>
        <v>43.420949594415539</v>
      </c>
      <c r="BA346">
        <f>_xlfn.NORM.DIST(Table2912[[#This Row],[CH4 '[g/mmol SCFA']]],X$6,X$2,FALSE)</f>
        <v>0.27847769862485672</v>
      </c>
      <c r="BB346">
        <f>_xlfn.NORM.DIST(Table2912[[#This Row],[DMD '[mg/g']]],Y$6,Y$2,FALSE)</f>
        <v>2.528613979071467E-3</v>
      </c>
      <c r="BC346">
        <f>_xlfn.NORM.DIST(Table2912[[#This Row],[CH4 '[ml/g']]],Z$6,Z$2,FALSE)</f>
        <v>1.4397085848694674E-2</v>
      </c>
      <c r="BD346">
        <f>_xlfn.NORM.DIST(Table2912[[#This Row],[CH4 '[% GP']]],AA$6,AA$2,FALSE)</f>
        <v>9.7136157358426692E-2</v>
      </c>
      <c r="BE346">
        <f>_xlfn.NORM.DIST(Table2912[[#This Row],[CH4 '[g/g DDM']]],AB$6,AB$2,FALSE)</f>
        <v>1.7496510010171863E-2</v>
      </c>
      <c r="BG346">
        <f>IF(Table2912[[#This Row],[GP '[ml/g']]]&lt;O$10,_xlfn.NORM.DIST(Table2912[[#This Row],[GP '[ml/g']]],O$6,O$2,FALSE),-100)</f>
        <v>-100</v>
      </c>
      <c r="BH346">
        <f>IF(Table2912[[#This Row],[SCFA '[mmol/g']]]&lt;P$10,_xlfn.NORM.DIST(Table2912[[#This Row],[SCFA '[mmol/g']]],P$6,P$2,FALSE),-100)</f>
        <v>-100</v>
      </c>
      <c r="BI346">
        <f>IF(Table2912[[#This Row],[Acetate '[%']]]&lt;Q$10,_xlfn.NORM.DIST(Table2912[[#This Row],[Acetate '[%']]],Q$6,Q$2,FALSE),-100)</f>
        <v>-100</v>
      </c>
      <c r="BJ346">
        <f>IF(Table2912[[#This Row],[Propionate '[%']]]&lt;R$10,_xlfn.NORM.DIST(Table2912[[#This Row],[Propionate '[%']]],R$6,R$2,FALSE),-100)</f>
        <v>-100</v>
      </c>
      <c r="BK346">
        <f>IF(Table2912[[#This Row],[Butyrate '[%']]]&lt;S$10,_xlfn.NORM.DIST(Table2912[[#This Row],[Butyrate '[%']]],S$6,S$2,FALSE),-100)</f>
        <v>-100</v>
      </c>
      <c r="BL346">
        <f>IF(Table2912[[#This Row],[Valerate '[%']]]&lt;T$10,_xlfn.NORM.DIST(Table2912[[#This Row],[Valerate '[%']]],T$6,T$2,FALSE),-100)</f>
        <v>-100</v>
      </c>
      <c r="BM346">
        <f>IF(Table2912[[#This Row],[Caproate '[%']]]&lt;U$10,_xlfn.NORM.DIST(Table2912[[#This Row],[Caproate '[%']]],U$6,U$2,FALSE),-100)</f>
        <v>-100</v>
      </c>
      <c r="BN346">
        <f>IF(Table2912[[#This Row],[Isobutyrate '[%']]]&lt;V$10,_xlfn.NORM.DIST(Table2912[[#This Row],[Isobutyrate '[%']]],V$6,V$2,FALSE),-100)</f>
        <v>-100</v>
      </c>
      <c r="BO346">
        <f>IF(Table2912[[#This Row],[Isovalerate '[%']]]&lt;W$10,_xlfn.NORM.DIST(Table2912[[#This Row],[Isovalerate '[%']]],W$6,W$2,FALSE),-100)</f>
        <v>-100</v>
      </c>
      <c r="BP346">
        <f>IF(Table2912[[#This Row],[CH4 '[g/mmol SCFA']]]&lt;X$10,_xlfn.NORM.DIST(Table2912[[#This Row],[CH4 '[g/mmol SCFA']]],X$6,X$2,FALSE),-100)</f>
        <v>-100</v>
      </c>
      <c r="BQ346">
        <f>IF(Table2912[[#This Row],[DMD '[mg/g']]]&gt;Y$10,_xlfn.NORM.DIST(Table2912[[#This Row],[DMD '[mg/g']]],Y$6,Y$2,FALSE),-100)</f>
        <v>-100</v>
      </c>
      <c r="BR346">
        <f>IF(Table2912[[#This Row],[CH4 '[ml/g']]]&lt;Z$10,_xlfn.NORM.DIST(Table2912[[#This Row],[CH4 '[ml/g']]],Z$6,Z$2,FALSE),-100)</f>
        <v>-100</v>
      </c>
      <c r="BS346">
        <f>IF(Table2912[[#This Row],[CH4 '[% GP']]]&lt;AA$10,_xlfn.NORM.DIST(Table2912[[#This Row],[CH4 '[% GP']]],AA$6,AA$2,FALSE),-100)</f>
        <v>-100</v>
      </c>
      <c r="BT346">
        <f>IF(Table2912[[#This Row],[CH4 '[g/g DDM']]]&lt;AB$10,_xlfn.NORM.DIST(Table2912[[#This Row],[CH4 '[g/g DDM']]],AB$6,AB$2,FALSE),-100)</f>
        <v>-100</v>
      </c>
    </row>
    <row r="347" spans="1:72" x14ac:dyDescent="0.25">
      <c r="A347" s="12" t="s">
        <v>86</v>
      </c>
      <c r="B347" s="13">
        <v>1077</v>
      </c>
      <c r="C347" s="104" t="s">
        <v>376</v>
      </c>
      <c r="D347" s="104" t="s">
        <v>377</v>
      </c>
      <c r="E347" s="104" t="s">
        <v>378</v>
      </c>
      <c r="F347" s="104" t="s">
        <v>379</v>
      </c>
      <c r="G347" s="32" t="s">
        <v>73</v>
      </c>
      <c r="H347" s="32" t="s">
        <v>74</v>
      </c>
      <c r="I347" s="105" t="s">
        <v>44</v>
      </c>
      <c r="J347" s="107">
        <v>1</v>
      </c>
      <c r="K347" s="107"/>
      <c r="L347" s="107"/>
      <c r="M347" s="118" t="s">
        <v>379</v>
      </c>
      <c r="N347" t="s">
        <v>145</v>
      </c>
      <c r="O347" s="18">
        <v>229.77637519175977</v>
      </c>
      <c r="P347" s="18">
        <v>5.061253015551209</v>
      </c>
      <c r="Q347" s="97">
        <v>0.66519916120697753</v>
      </c>
      <c r="R347" s="97">
        <v>0.16354236165514019</v>
      </c>
      <c r="S347" s="97">
        <v>8.4775378523133521E-2</v>
      </c>
      <c r="T347" s="97">
        <v>1.9355279142056786E-2</v>
      </c>
      <c r="U347" s="97">
        <v>4.9054076251522265E-4</v>
      </c>
      <c r="V347" s="97">
        <v>2.1661195770729152E-2</v>
      </c>
      <c r="W347" s="97">
        <v>4.4976082939447562E-2</v>
      </c>
      <c r="X347" s="51">
        <f t="shared" si="23"/>
        <v>5.904508053021595</v>
      </c>
      <c r="Y347" s="18">
        <v>849.14756926709106</v>
      </c>
      <c r="Z347" s="18">
        <v>29.884209188701945</v>
      </c>
      <c r="AA347" s="18">
        <f t="shared" si="24"/>
        <v>13.005779712453942</v>
      </c>
      <c r="AB347" s="18">
        <f t="shared" si="25"/>
        <v>35.193186991626611</v>
      </c>
      <c r="AC347" s="18">
        <f>$CP$15*Table2912[[#This Row],[DMD '[mg/g']]]+$CS$15*Table2912[[#This Row],[CH4 '[ml/g']]]+$CR$15*Table2912[[#This Row],[CH4 '[% GP']]]+$CQ$15*Table2912[[#This Row],[CH4 '[g/g DDM']]]</f>
        <v>28.12314104260431</v>
      </c>
      <c r="AD347" s="18">
        <f>_xlfn.RANK.AVG(Table2912[[#This Row],[Index]],Table2912[Index])</f>
        <v>61</v>
      </c>
      <c r="AE34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4.6235401718930991</v>
      </c>
      <c r="AF347" s="18">
        <f>Table2912[[#This Row],[CH4 '[ml/g']]]/Table2912[[#This Row],[APB]]</f>
        <v>6.463490761985943</v>
      </c>
      <c r="AG347" s="18">
        <f>Table2912[[#This Row],[Propionate '[%']]]/Table2912[[#This Row],[Acetate '[%']]]</f>
        <v>0.2458547322254572</v>
      </c>
      <c r="AH347" s="51"/>
      <c r="AI347" s="18"/>
      <c r="AJ347" s="18"/>
      <c r="AK347" s="18">
        <f>(Table2912[[#This Row],[DMD '[mg/g']]]-$AK$15)/$AK$15*100</f>
        <v>73.193231135077951</v>
      </c>
      <c r="AL347" s="18">
        <f>(Table2912[[#This Row],[CH4 '[ml/g']]]-AL$15)/AL$15*100</f>
        <v>-24.021023057562051</v>
      </c>
      <c r="AM347" s="18">
        <f>(Table2912[[#This Row],[CH4 '[% GP']]]-AM$15)/AM$15*100</f>
        <v>-16.212580313016307</v>
      </c>
      <c r="AN347" s="18">
        <f>(Table2912[[#This Row],[CH4 '[g/g DDM']]]-AN$15)/AN$15*100</f>
        <v>-31.284143081551214</v>
      </c>
      <c r="AO347" s="18"/>
      <c r="AP347" s="18"/>
      <c r="AR347">
        <f>_xlfn.NORM.DIST(Table2912[[#This Row],[GP '[ml/g']]],O$6,O$2,FALSE)</f>
        <v>6.659213972115113E-3</v>
      </c>
      <c r="AS347">
        <f>_xlfn.NORM.DIST(Table2912[[#This Row],[SCFA '[mmol/g']]],P$6,P$2,FALSE)</f>
        <v>0.15592373825172659</v>
      </c>
      <c r="AT347">
        <f>_xlfn.NORM.DIST(Table2912[[#This Row],[Acetate '[%']]],Q$6,Q$2,FALSE)</f>
        <v>13.492685023477959</v>
      </c>
      <c r="AU347">
        <f>_xlfn.NORM.DIST(Table2912[[#This Row],[Propionate '[%']]],R$6,R$2,FALSE)</f>
        <v>15.791300068375447</v>
      </c>
      <c r="AV347">
        <f>_xlfn.NORM.DIST(Table2912[[#This Row],[Butyrate '[%']]],S$6,S$2,FALSE)</f>
        <v>20.619149614680332</v>
      </c>
      <c r="AW347">
        <f>_xlfn.NORM.DIST(Table2912[[#This Row],[Valerate '[%']]],T$6,T$2,FALSE)</f>
        <v>73.316196827204791</v>
      </c>
      <c r="AX347">
        <f>_xlfn.NORM.DIST(Table2912[[#This Row],[Caproate '[%']]],U$6,U$2,FALSE)</f>
        <v>281.28129616586148</v>
      </c>
      <c r="AY347">
        <f>_xlfn.NORM.DIST(Table2912[[#This Row],[Isobutyrate '[%']]],V$6,V$2,FALSE)</f>
        <v>32.264298085523826</v>
      </c>
      <c r="AZ347">
        <f>_xlfn.NORM.DIST(Table2912[[#This Row],[Isovalerate '[%']]],W$6,W$2,FALSE)</f>
        <v>6.8513156081040947</v>
      </c>
      <c r="BA347">
        <f>_xlfn.NORM.DIST(Table2912[[#This Row],[CH4 '[g/mmol SCFA']]],X$6,X$2,FALSE)</f>
        <v>0.28581636321217757</v>
      </c>
      <c r="BB347">
        <f>_xlfn.NORM.DIST(Table2912[[#This Row],[DMD '[mg/g']]],Y$6,Y$2,FALSE)</f>
        <v>2.5276333133927623E-3</v>
      </c>
      <c r="BC347">
        <f>_xlfn.NORM.DIST(Table2912[[#This Row],[CH4 '[ml/g']]],Z$6,Z$2,FALSE)</f>
        <v>2.0992460007988909E-2</v>
      </c>
      <c r="BD347">
        <f>_xlfn.NORM.DIST(Table2912[[#This Row],[CH4 '[% GP']]],AA$6,AA$2,FALSE)</f>
        <v>7.8919936603132249E-2</v>
      </c>
      <c r="BE347">
        <f>_xlfn.NORM.DIST(Table2912[[#This Row],[CH4 '[g/g DDM']]],AB$6,AB$2,FALSE)</f>
        <v>1.0737287726390609E-2</v>
      </c>
      <c r="BG347">
        <f>IF(Table2912[[#This Row],[GP '[ml/g']]]&lt;O$10,_xlfn.NORM.DIST(Table2912[[#This Row],[GP '[ml/g']]],O$6,O$2,FALSE),-100)</f>
        <v>-100</v>
      </c>
      <c r="BH347">
        <f>IF(Table2912[[#This Row],[SCFA '[mmol/g']]]&lt;P$10,_xlfn.NORM.DIST(Table2912[[#This Row],[SCFA '[mmol/g']]],P$6,P$2,FALSE),-100)</f>
        <v>0.15592373825172659</v>
      </c>
      <c r="BI347">
        <f>IF(Table2912[[#This Row],[Acetate '[%']]]&lt;Q$10,_xlfn.NORM.DIST(Table2912[[#This Row],[Acetate '[%']]],Q$6,Q$2,FALSE),-100)</f>
        <v>-100</v>
      </c>
      <c r="BJ347">
        <f>IF(Table2912[[#This Row],[Propionate '[%']]]&lt;R$10,_xlfn.NORM.DIST(Table2912[[#This Row],[Propionate '[%']]],R$6,R$2,FALSE),-100)</f>
        <v>-100</v>
      </c>
      <c r="BK347">
        <f>IF(Table2912[[#This Row],[Butyrate '[%']]]&lt;S$10,_xlfn.NORM.DIST(Table2912[[#This Row],[Butyrate '[%']]],S$6,S$2,FALSE),-100)</f>
        <v>-100</v>
      </c>
      <c r="BL347">
        <f>IF(Table2912[[#This Row],[Valerate '[%']]]&lt;T$10,_xlfn.NORM.DIST(Table2912[[#This Row],[Valerate '[%']]],T$6,T$2,FALSE),-100)</f>
        <v>-100</v>
      </c>
      <c r="BM347">
        <f>IF(Table2912[[#This Row],[Caproate '[%']]]&lt;U$10,_xlfn.NORM.DIST(Table2912[[#This Row],[Caproate '[%']]],U$6,U$2,FALSE),-100)</f>
        <v>-100</v>
      </c>
      <c r="BN347">
        <f>IF(Table2912[[#This Row],[Isobutyrate '[%']]]&lt;V$10,_xlfn.NORM.DIST(Table2912[[#This Row],[Isobutyrate '[%']]],V$6,V$2,FALSE),-100)</f>
        <v>-100</v>
      </c>
      <c r="BO347">
        <f>IF(Table2912[[#This Row],[Isovalerate '[%']]]&lt;W$10,_xlfn.NORM.DIST(Table2912[[#This Row],[Isovalerate '[%']]],W$6,W$2,FALSE),-100)</f>
        <v>-100</v>
      </c>
      <c r="BP347">
        <f>IF(Table2912[[#This Row],[CH4 '[g/mmol SCFA']]]&lt;X$10,_xlfn.NORM.DIST(Table2912[[#This Row],[CH4 '[g/mmol SCFA']]],X$6,X$2,FALSE),-100)</f>
        <v>-100</v>
      </c>
      <c r="BQ347">
        <f>IF(Table2912[[#This Row],[DMD '[mg/g']]]&gt;Y$10,_xlfn.NORM.DIST(Table2912[[#This Row],[DMD '[mg/g']]],Y$6,Y$2,FALSE),-100)</f>
        <v>-100</v>
      </c>
      <c r="BR347">
        <f>IF(Table2912[[#This Row],[CH4 '[ml/g']]]&lt;Z$10,_xlfn.NORM.DIST(Table2912[[#This Row],[CH4 '[ml/g']]],Z$6,Z$2,FALSE),-100)</f>
        <v>-100</v>
      </c>
      <c r="BS347">
        <f>IF(Table2912[[#This Row],[CH4 '[% GP']]]&lt;AA$10,_xlfn.NORM.DIST(Table2912[[#This Row],[CH4 '[% GP']]],AA$6,AA$2,FALSE),-100)</f>
        <v>-100</v>
      </c>
      <c r="BT347">
        <f>IF(Table2912[[#This Row],[CH4 '[g/g DDM']]]&lt;AB$10,_xlfn.NORM.DIST(Table2912[[#This Row],[CH4 '[g/g DDM']]],AB$6,AB$2,FALSE),-100)</f>
        <v>-100</v>
      </c>
    </row>
    <row r="348" spans="1:72" x14ac:dyDescent="0.25">
      <c r="A348" s="12" t="s">
        <v>200</v>
      </c>
      <c r="B348" s="13">
        <v>1257</v>
      </c>
      <c r="C348" s="113" t="s">
        <v>438</v>
      </c>
      <c r="D348" s="113" t="s">
        <v>439</v>
      </c>
      <c r="E348" s="113" t="s">
        <v>440</v>
      </c>
      <c r="F348" s="114" t="s">
        <v>441</v>
      </c>
      <c r="G348" t="s">
        <v>442</v>
      </c>
      <c r="H348" t="s">
        <v>317</v>
      </c>
      <c r="I348" s="115" t="s">
        <v>48</v>
      </c>
      <c r="J348" s="100">
        <v>3</v>
      </c>
      <c r="K348" s="100"/>
      <c r="L348" s="100"/>
      <c r="M348" t="s">
        <v>443</v>
      </c>
      <c r="N348" t="s">
        <v>208</v>
      </c>
      <c r="O348" s="18">
        <v>208.29882457307548</v>
      </c>
      <c r="P348" s="18">
        <v>5.0994886044903645</v>
      </c>
      <c r="Q348" s="97">
        <v>0.70460961555092716</v>
      </c>
      <c r="R348" s="97">
        <v>0.16401159718350133</v>
      </c>
      <c r="S348" s="97">
        <v>9.0740218577784956E-2</v>
      </c>
      <c r="T348" s="97">
        <v>1.018404237302214E-2</v>
      </c>
      <c r="U348" s="97">
        <v>4.4162628823268807E-4</v>
      </c>
      <c r="V348" s="97">
        <v>1.1121520922066197E-2</v>
      </c>
      <c r="W348" s="97">
        <v>1.889137910446563E-2</v>
      </c>
      <c r="X348" s="51">
        <f t="shared" si="23"/>
        <v>6.5059065985657556</v>
      </c>
      <c r="Y348" s="18">
        <v>849.61253962662909</v>
      </c>
      <c r="Z348" s="18">
        <v>33.176796561264737</v>
      </c>
      <c r="AA348" s="18">
        <f t="shared" si="24"/>
        <v>15.927500613247886</v>
      </c>
      <c r="AB348" s="18">
        <f t="shared" si="25"/>
        <v>39.049325444095516</v>
      </c>
      <c r="AC348" s="18">
        <f>$CP$15*Table2912[[#This Row],[DMD '[mg/g']]]+$CS$15*Table2912[[#This Row],[CH4 '[ml/g']]]+$CR$15*Table2912[[#This Row],[CH4 '[% GP']]]+$CQ$15*Table2912[[#This Row],[CH4 '[g/g DDM']]]</f>
        <v>25.808260504338655</v>
      </c>
      <c r="AD348" s="18">
        <f>_xlfn.RANK.AVG(Table2912[[#This Row],[Index]],Table2912[Index])</f>
        <v>83</v>
      </c>
      <c r="AE34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4.8922526865641975</v>
      </c>
      <c r="AF348" s="18">
        <f>Table2912[[#This Row],[CH4 '[ml/g']]]/Table2912[[#This Row],[APB]]</f>
        <v>6.7814969272498109</v>
      </c>
      <c r="AG348" s="18">
        <f>Table2912[[#This Row],[Propionate '[%']]]/Table2912[[#This Row],[Acetate '[%']]]</f>
        <v>0.23276945639645055</v>
      </c>
      <c r="AH348" s="51"/>
      <c r="AI348" s="18"/>
      <c r="AJ348" s="18"/>
      <c r="AK348" s="18">
        <f>(Table2912[[#This Row],[DMD '[mg/g']]]-$AK$15)/$AK$15*100</f>
        <v>73.288067088055982</v>
      </c>
      <c r="AL348" s="18">
        <f>(Table2912[[#This Row],[CH4 '[ml/g']]]-AL$15)/AL$15*100</f>
        <v>-15.6497986935093</v>
      </c>
      <c r="AM348" s="18">
        <f>(Table2912[[#This Row],[CH4 '[% GP']]]-AM$15)/AM$15*100</f>
        <v>2.6100862810240271</v>
      </c>
      <c r="AN348" s="18">
        <f>(Table2912[[#This Row],[CH4 '[g/g DDM']]]-AN$15)/AN$15*100</f>
        <v>-23.754905726019107</v>
      </c>
      <c r="AO348" s="18"/>
      <c r="AP348" s="18"/>
      <c r="AR348">
        <f>_xlfn.NORM.DIST(Table2912[[#This Row],[GP '[ml/g']]],O$6,O$2,FALSE)</f>
        <v>5.057055585115303E-3</v>
      </c>
      <c r="AS348">
        <f>_xlfn.NORM.DIST(Table2912[[#This Row],[SCFA '[mmol/g']]],P$6,P$2,FALSE)</f>
        <v>0.1620856159513126</v>
      </c>
      <c r="AT348">
        <f>_xlfn.NORM.DIST(Table2912[[#This Row],[Acetate '[%']]],Q$6,Q$2,FALSE)</f>
        <v>7.6007257559586154</v>
      </c>
      <c r="AU348">
        <f>_xlfn.NORM.DIST(Table2912[[#This Row],[Propionate '[%']]],R$6,R$2,FALSE)</f>
        <v>15.897857277151237</v>
      </c>
      <c r="AV348">
        <f>_xlfn.NORM.DIST(Table2912[[#This Row],[Butyrate '[%']]],S$6,S$2,FALSE)</f>
        <v>22.848138344318837</v>
      </c>
      <c r="AW348">
        <f>_xlfn.NORM.DIST(Table2912[[#This Row],[Valerate '[%']]],T$6,T$2,FALSE)</f>
        <v>27.043442531144134</v>
      </c>
      <c r="AX348">
        <f>_xlfn.NORM.DIST(Table2912[[#This Row],[Caproate '[%']]],U$6,U$2,FALSE)</f>
        <v>269.14106379826319</v>
      </c>
      <c r="AY348">
        <f>_xlfn.NORM.DIST(Table2912[[#This Row],[Isobutyrate '[%']]],V$6,V$2,FALSE)</f>
        <v>57.508589663178974</v>
      </c>
      <c r="AZ348">
        <f>_xlfn.NORM.DIST(Table2912[[#This Row],[Isovalerate '[%']]],W$6,W$2,FALSE)</f>
        <v>26.85746275483935</v>
      </c>
      <c r="BA348">
        <f>_xlfn.NORM.DIST(Table2912[[#This Row],[CH4 '[g/mmol SCFA']]],X$6,X$2,FALSE)</f>
        <v>0.29331953986029774</v>
      </c>
      <c r="BB348">
        <f>_xlfn.NORM.DIST(Table2912[[#This Row],[DMD '[mg/g']]],Y$6,Y$2,FALSE)</f>
        <v>2.5230295607217442E-3</v>
      </c>
      <c r="BC348">
        <f>_xlfn.NORM.DIST(Table2912[[#This Row],[CH4 '[ml/g']]],Z$6,Z$2,FALSE)</f>
        <v>2.6399415941355538E-2</v>
      </c>
      <c r="BD348">
        <f>_xlfn.NORM.DIST(Table2912[[#This Row],[CH4 '[% GP']]],AA$6,AA$2,FALSE)</f>
        <v>0.13456472606651512</v>
      </c>
      <c r="BE348">
        <f>_xlfn.NORM.DIST(Table2912[[#This Row],[CH4 '[g/g DDM']]],AB$6,AB$2,FALSE)</f>
        <v>1.6415099150319853E-2</v>
      </c>
      <c r="BG348">
        <f>IF(Table2912[[#This Row],[GP '[ml/g']]]&lt;O$10,_xlfn.NORM.DIST(Table2912[[#This Row],[GP '[ml/g']]],O$6,O$2,FALSE),-100)</f>
        <v>-100</v>
      </c>
      <c r="BH348">
        <f>IF(Table2912[[#This Row],[SCFA '[mmol/g']]]&lt;P$10,_xlfn.NORM.DIST(Table2912[[#This Row],[SCFA '[mmol/g']]],P$6,P$2,FALSE),-100)</f>
        <v>0.1620856159513126</v>
      </c>
      <c r="BI348">
        <f>IF(Table2912[[#This Row],[Acetate '[%']]]&lt;Q$10,_xlfn.NORM.DIST(Table2912[[#This Row],[Acetate '[%']]],Q$6,Q$2,FALSE),-100)</f>
        <v>-100</v>
      </c>
      <c r="BJ348">
        <f>IF(Table2912[[#This Row],[Propionate '[%']]]&lt;R$10,_xlfn.NORM.DIST(Table2912[[#This Row],[Propionate '[%']]],R$6,R$2,FALSE),-100)</f>
        <v>-100</v>
      </c>
      <c r="BK348">
        <f>IF(Table2912[[#This Row],[Butyrate '[%']]]&lt;S$10,_xlfn.NORM.DIST(Table2912[[#This Row],[Butyrate '[%']]],S$6,S$2,FALSE),-100)</f>
        <v>-100</v>
      </c>
      <c r="BL348">
        <f>IF(Table2912[[#This Row],[Valerate '[%']]]&lt;T$10,_xlfn.NORM.DIST(Table2912[[#This Row],[Valerate '[%']]],T$6,T$2,FALSE),-100)</f>
        <v>27.043442531144134</v>
      </c>
      <c r="BM348">
        <f>IF(Table2912[[#This Row],[Caproate '[%']]]&lt;U$10,_xlfn.NORM.DIST(Table2912[[#This Row],[Caproate '[%']]],U$6,U$2,FALSE),-100)</f>
        <v>-100</v>
      </c>
      <c r="BN348">
        <f>IF(Table2912[[#This Row],[Isobutyrate '[%']]]&lt;V$10,_xlfn.NORM.DIST(Table2912[[#This Row],[Isobutyrate '[%']]],V$6,V$2,FALSE),-100)</f>
        <v>-100</v>
      </c>
      <c r="BO348">
        <f>IF(Table2912[[#This Row],[Isovalerate '[%']]]&lt;W$10,_xlfn.NORM.DIST(Table2912[[#This Row],[Isovalerate '[%']]],W$6,W$2,FALSE),-100)</f>
        <v>26.85746275483935</v>
      </c>
      <c r="BP348">
        <f>IF(Table2912[[#This Row],[CH4 '[g/mmol SCFA']]]&lt;X$10,_xlfn.NORM.DIST(Table2912[[#This Row],[CH4 '[g/mmol SCFA']]],X$6,X$2,FALSE),-100)</f>
        <v>-100</v>
      </c>
      <c r="BQ348">
        <f>IF(Table2912[[#This Row],[DMD '[mg/g']]]&gt;Y$10,_xlfn.NORM.DIST(Table2912[[#This Row],[DMD '[mg/g']]],Y$6,Y$2,FALSE),-100)</f>
        <v>-100</v>
      </c>
      <c r="BR348">
        <f>IF(Table2912[[#This Row],[CH4 '[ml/g']]]&lt;Z$10,_xlfn.NORM.DIST(Table2912[[#This Row],[CH4 '[ml/g']]],Z$6,Z$2,FALSE),-100)</f>
        <v>-100</v>
      </c>
      <c r="BS348">
        <f>IF(Table2912[[#This Row],[CH4 '[% GP']]]&lt;AA$10,_xlfn.NORM.DIST(Table2912[[#This Row],[CH4 '[% GP']]],AA$6,AA$2,FALSE),-100)</f>
        <v>-100</v>
      </c>
      <c r="BT348">
        <f>IF(Table2912[[#This Row],[CH4 '[g/g DDM']]]&lt;AB$10,_xlfn.NORM.DIST(Table2912[[#This Row],[CH4 '[g/g DDM']]],AB$6,AB$2,FALSE),-100)</f>
        <v>-100</v>
      </c>
    </row>
    <row r="349" spans="1:72" x14ac:dyDescent="0.25">
      <c r="A349" s="12" t="s">
        <v>86</v>
      </c>
      <c r="B349" s="13">
        <v>1062</v>
      </c>
      <c r="C349" s="104" t="s">
        <v>444</v>
      </c>
      <c r="D349" s="104" t="s">
        <v>134</v>
      </c>
      <c r="E349" s="104" t="s">
        <v>445</v>
      </c>
      <c r="F349" s="104" t="s">
        <v>446</v>
      </c>
      <c r="G349" s="23" t="s">
        <v>73</v>
      </c>
      <c r="H349" s="23" t="s">
        <v>74</v>
      </c>
      <c r="I349" s="105" t="s">
        <v>44</v>
      </c>
      <c r="J349" s="70">
        <v>3</v>
      </c>
      <c r="K349" s="70"/>
      <c r="L349" s="70"/>
      <c r="M349" t="s">
        <v>446</v>
      </c>
      <c r="N349" t="s">
        <v>98</v>
      </c>
      <c r="O349" s="18">
        <v>245.04925044091743</v>
      </c>
      <c r="P349" s="18">
        <v>6.8307029817238991</v>
      </c>
      <c r="Q349" s="97">
        <v>0.64806733548383377</v>
      </c>
      <c r="R349" s="97">
        <v>0.16312299498272781</v>
      </c>
      <c r="S349" s="97">
        <v>0.10140356364676045</v>
      </c>
      <c r="T349" s="97">
        <v>2.3592022071477911E-2</v>
      </c>
      <c r="U349" s="97">
        <v>2.2222971574233771E-3</v>
      </c>
      <c r="V349" s="97">
        <v>2.2294938267105928E-2</v>
      </c>
      <c r="W349" s="97">
        <v>3.9296848390670658E-2</v>
      </c>
      <c r="X349" s="51">
        <f t="shared" si="23"/>
        <v>7.8380372908771703</v>
      </c>
      <c r="Y349" s="18">
        <v>850.07105616335343</v>
      </c>
      <c r="Z349" s="18">
        <v>53.539304693657797</v>
      </c>
      <c r="AA349" s="18">
        <f t="shared" si="24"/>
        <v>21.848385415309149</v>
      </c>
      <c r="AB349" s="18">
        <f t="shared" si="25"/>
        <v>62.982152263009695</v>
      </c>
      <c r="AC349" s="18">
        <f>$CP$15*Table2912[[#This Row],[DMD '[mg/g']]]+$CS$15*Table2912[[#This Row],[CH4 '[ml/g']]]+$CR$15*Table2912[[#This Row],[CH4 '[% GP']]]+$CQ$15*Table2912[[#This Row],[CH4 '[g/g DDM']]]</f>
        <v>14.938656481048412</v>
      </c>
      <c r="AD349" s="18">
        <f>_xlfn.RANK.AVG(Table2912[[#This Row],[Index]],Table2912[Index])</f>
        <v>270</v>
      </c>
      <c r="AE34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6.2336578336228925</v>
      </c>
      <c r="AF349" s="18">
        <f>Table2912[[#This Row],[CH4 '[ml/g']]]/Table2912[[#This Row],[APB]]</f>
        <v>8.5887461459432863</v>
      </c>
      <c r="AG349" s="18">
        <f>Table2912[[#This Row],[Propionate '[%']]]/Table2912[[#This Row],[Acetate '[%']]]</f>
        <v>0.25170686138801229</v>
      </c>
      <c r="AH349" s="51"/>
      <c r="AI349" s="18"/>
      <c r="AJ349" s="18"/>
      <c r="AK349" s="18">
        <f>(Table2912[[#This Row],[DMD '[mg/g']]]-$AK$15)/$AK$15*100</f>
        <v>73.381586711026472</v>
      </c>
      <c r="AL349" s="18">
        <f>(Table2912[[#This Row],[CH4 '[ml/g']]]-AL$15)/AL$15*100</f>
        <v>36.120771044913106</v>
      </c>
      <c r="AM349" s="18">
        <f>(Table2912[[#This Row],[CH4 '[% GP']]]-AM$15)/AM$15*100</f>
        <v>40.754332208359259</v>
      </c>
      <c r="AN349" s="18">
        <f>(Table2912[[#This Row],[CH4 '[g/g DDM']]]-AN$15)/AN$15*100</f>
        <v>22.97472702175693</v>
      </c>
      <c r="AO349" s="18"/>
      <c r="AP349" s="18"/>
      <c r="AR349">
        <f>_xlfn.NORM.DIST(Table2912[[#This Row],[GP '[ml/g']]],O$6,O$2,FALSE)</f>
        <v>7.3379197279903009E-3</v>
      </c>
      <c r="AS349">
        <f>_xlfn.NORM.DIST(Table2912[[#This Row],[SCFA '[mmol/g']]],P$6,P$2,FALSE)</f>
        <v>0.3229393912745625</v>
      </c>
      <c r="AT349">
        <f>_xlfn.NORM.DIST(Table2912[[#This Row],[Acetate '[%']]],Q$6,Q$2,FALSE)</f>
        <v>9.5149928343396528</v>
      </c>
      <c r="AU349">
        <f>_xlfn.NORM.DIST(Table2912[[#This Row],[Propionate '[%']]],R$6,R$2,FALSE)</f>
        <v>15.69149177800514</v>
      </c>
      <c r="AV349">
        <f>_xlfn.NORM.DIST(Table2912[[#This Row],[Butyrate '[%']]],S$6,S$2,FALSE)</f>
        <v>20.42848120048626</v>
      </c>
      <c r="AW349">
        <f>_xlfn.NORM.DIST(Table2912[[#This Row],[Valerate '[%']]],T$6,T$2,FALSE)</f>
        <v>39.905748885463474</v>
      </c>
      <c r="AX349">
        <f>_xlfn.NORM.DIST(Table2912[[#This Row],[Caproate '[%']]],U$6,U$2,FALSE)</f>
        <v>269.69017078945444</v>
      </c>
      <c r="AY349">
        <f>_xlfn.NORM.DIST(Table2912[[#This Row],[Isobutyrate '[%']]],V$6,V$2,FALSE)</f>
        <v>26.007428670564877</v>
      </c>
      <c r="AZ349">
        <f>_xlfn.NORM.DIST(Table2912[[#This Row],[Isovalerate '[%']]],W$6,W$2,FALSE)</f>
        <v>19.555761739067918</v>
      </c>
      <c r="BA349">
        <f>_xlfn.NORM.DIST(Table2912[[#This Row],[CH4 '[g/mmol SCFA']]],X$6,X$2,FALSE)</f>
        <v>0.15185556220558713</v>
      </c>
      <c r="BB349">
        <f>_xlfn.NORM.DIST(Table2912[[#This Row],[DMD '[mg/g']]],Y$6,Y$2,FALSE)</f>
        <v>2.5184694316208469E-3</v>
      </c>
      <c r="BC349">
        <f>_xlfn.NORM.DIST(Table2912[[#This Row],[CH4 '[ml/g']]],Z$6,Z$2,FALSE)</f>
        <v>1.9922009140197393E-2</v>
      </c>
      <c r="BD349">
        <f>_xlfn.NORM.DIST(Table2912[[#This Row],[CH4 '[% GP']]],AA$6,AA$2,FALSE)</f>
        <v>2.005142812652231E-2</v>
      </c>
      <c r="BE349">
        <f>_xlfn.NORM.DIST(Table2912[[#This Row],[CH4 '[g/g DDM']]],AB$6,AB$2,FALSE)</f>
        <v>2.3991865184944429E-2</v>
      </c>
      <c r="BG349">
        <f>IF(Table2912[[#This Row],[GP '[ml/g']]]&lt;O$10,_xlfn.NORM.DIST(Table2912[[#This Row],[GP '[ml/g']]],O$6,O$2,FALSE),-100)</f>
        <v>-100</v>
      </c>
      <c r="BH349">
        <f>IF(Table2912[[#This Row],[SCFA '[mmol/g']]]&lt;P$10,_xlfn.NORM.DIST(Table2912[[#This Row],[SCFA '[mmol/g']]],P$6,P$2,FALSE),-100)</f>
        <v>-100</v>
      </c>
      <c r="BI349">
        <f>IF(Table2912[[#This Row],[Acetate '[%']]]&lt;Q$10,_xlfn.NORM.DIST(Table2912[[#This Row],[Acetate '[%']]],Q$6,Q$2,FALSE),-100)</f>
        <v>-100</v>
      </c>
      <c r="BJ349">
        <f>IF(Table2912[[#This Row],[Propionate '[%']]]&lt;R$10,_xlfn.NORM.DIST(Table2912[[#This Row],[Propionate '[%']]],R$6,R$2,FALSE),-100)</f>
        <v>-100</v>
      </c>
      <c r="BK349">
        <f>IF(Table2912[[#This Row],[Butyrate '[%']]]&lt;S$10,_xlfn.NORM.DIST(Table2912[[#This Row],[Butyrate '[%']]],S$6,S$2,FALSE),-100)</f>
        <v>-100</v>
      </c>
      <c r="BL349">
        <f>IF(Table2912[[#This Row],[Valerate '[%']]]&lt;T$10,_xlfn.NORM.DIST(Table2912[[#This Row],[Valerate '[%']]],T$6,T$2,FALSE),-100)</f>
        <v>-100</v>
      </c>
      <c r="BM349">
        <f>IF(Table2912[[#This Row],[Caproate '[%']]]&lt;U$10,_xlfn.NORM.DIST(Table2912[[#This Row],[Caproate '[%']]],U$6,U$2,FALSE),-100)</f>
        <v>-100</v>
      </c>
      <c r="BN349">
        <f>IF(Table2912[[#This Row],[Isobutyrate '[%']]]&lt;V$10,_xlfn.NORM.DIST(Table2912[[#This Row],[Isobutyrate '[%']]],V$6,V$2,FALSE),-100)</f>
        <v>-100</v>
      </c>
      <c r="BO349">
        <f>IF(Table2912[[#This Row],[Isovalerate '[%']]]&lt;W$10,_xlfn.NORM.DIST(Table2912[[#This Row],[Isovalerate '[%']]],W$6,W$2,FALSE),-100)</f>
        <v>-100</v>
      </c>
      <c r="BP349">
        <f>IF(Table2912[[#This Row],[CH4 '[g/mmol SCFA']]]&lt;X$10,_xlfn.NORM.DIST(Table2912[[#This Row],[CH4 '[g/mmol SCFA']]],X$6,X$2,FALSE),-100)</f>
        <v>-100</v>
      </c>
      <c r="BQ349">
        <f>IF(Table2912[[#This Row],[DMD '[mg/g']]]&gt;Y$10,_xlfn.NORM.DIST(Table2912[[#This Row],[DMD '[mg/g']]],Y$6,Y$2,FALSE),-100)</f>
        <v>-100</v>
      </c>
      <c r="BR349">
        <f>IF(Table2912[[#This Row],[CH4 '[ml/g']]]&lt;Z$10,_xlfn.NORM.DIST(Table2912[[#This Row],[CH4 '[ml/g']]],Z$6,Z$2,FALSE),-100)</f>
        <v>-100</v>
      </c>
      <c r="BS349">
        <f>IF(Table2912[[#This Row],[CH4 '[% GP']]]&lt;AA$10,_xlfn.NORM.DIST(Table2912[[#This Row],[CH4 '[% GP']]],AA$6,AA$2,FALSE),-100)</f>
        <v>-100</v>
      </c>
      <c r="BT349">
        <f>IF(Table2912[[#This Row],[CH4 '[g/g DDM']]]&lt;AB$10,_xlfn.NORM.DIST(Table2912[[#This Row],[CH4 '[g/g DDM']]],AB$6,AB$2,FALSE),-100)</f>
        <v>-100</v>
      </c>
    </row>
    <row r="350" spans="1:72" x14ac:dyDescent="0.25">
      <c r="A350" s="12" t="s">
        <v>70</v>
      </c>
      <c r="B350" s="13">
        <v>1038</v>
      </c>
      <c r="C350" s="102" t="s">
        <v>372</v>
      </c>
      <c r="D350" t="s">
        <v>373</v>
      </c>
      <c r="E350" t="s">
        <v>374</v>
      </c>
      <c r="F350" t="s">
        <v>375</v>
      </c>
      <c r="G350" t="s">
        <v>143</v>
      </c>
      <c r="H350" t="s">
        <v>144</v>
      </c>
      <c r="I350" t="s">
        <v>52</v>
      </c>
      <c r="J350" s="70">
        <v>2</v>
      </c>
      <c r="K350" s="70"/>
      <c r="L350" s="70"/>
      <c r="M350" t="s">
        <v>375</v>
      </c>
      <c r="N350" t="s">
        <v>85</v>
      </c>
      <c r="O350" s="18">
        <v>289.8081027667987</v>
      </c>
      <c r="P350" s="18">
        <v>7.6537923842618092</v>
      </c>
      <c r="Q350" s="97">
        <v>0.67688497282397453</v>
      </c>
      <c r="R350" s="97">
        <v>0.18607698296123404</v>
      </c>
      <c r="S350" s="97">
        <v>7.574588459338745E-2</v>
      </c>
      <c r="T350" s="97">
        <v>1.8749566221393683E-2</v>
      </c>
      <c r="U350" s="97">
        <v>6.3408791105271155E-4</v>
      </c>
      <c r="V350" s="97">
        <v>1.5392275946589215E-2</v>
      </c>
      <c r="W350" s="97">
        <v>2.6516229542368493E-2</v>
      </c>
      <c r="X350" s="51">
        <f t="shared" si="23"/>
        <v>5.7498733534179127</v>
      </c>
      <c r="Y350" s="18">
        <v>851.18638314550321</v>
      </c>
      <c r="Z350" s="18">
        <v>44.008336882859929</v>
      </c>
      <c r="AA350" s="18">
        <f t="shared" si="24"/>
        <v>15.185336939413435</v>
      </c>
      <c r="AB350" s="18">
        <f t="shared" si="25"/>
        <v>51.702350688729325</v>
      </c>
      <c r="AC350" s="18">
        <f>$CP$15*Table2912[[#This Row],[DMD '[mg/g']]]+$CS$15*Table2912[[#This Row],[CH4 '[ml/g']]]+$CR$15*Table2912[[#This Row],[CH4 '[% GP']]]+$CQ$15*Table2912[[#This Row],[CH4 '[g/g DDM']]]</f>
        <v>21.335729031656555</v>
      </c>
      <c r="AD350" s="18">
        <f>_xlfn.RANK.AVG(Table2912[[#This Row],[Index]],Table2912[Index])</f>
        <v>141</v>
      </c>
      <c r="AE35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7.1846749197365485</v>
      </c>
      <c r="AF350" s="18">
        <f>Table2912[[#This Row],[CH4 '[ml/g']]]/Table2912[[#This Row],[APB]]</f>
        <v>6.1253066247948835</v>
      </c>
      <c r="AG350" s="18">
        <f>Table2912[[#This Row],[Propionate '[%']]]/Table2912[[#This Row],[Acetate '[%']]]</f>
        <v>0.27490192637150446</v>
      </c>
      <c r="AH350" s="51"/>
      <c r="AI350" s="18"/>
      <c r="AJ350" s="18"/>
      <c r="AK350" s="18">
        <f>(Table2912[[#This Row],[DMD '[mg/g']]]-$AK$15)/$AK$15*100</f>
        <v>73.609070237803067</v>
      </c>
      <c r="AL350" s="18">
        <f>(Table2912[[#This Row],[CH4 '[ml/g']]]-AL$15)/AL$15*100</f>
        <v>11.888803621478532</v>
      </c>
      <c r="AM350" s="18">
        <f>(Table2912[[#This Row],[CH4 '[% GP']]]-AM$15)/AM$15*100</f>
        <v>-2.1711710207935124</v>
      </c>
      <c r="AN350" s="18">
        <f>(Table2912[[#This Row],[CH4 '[g/g DDM']]]-AN$15)/AN$15*100</f>
        <v>0.95054287409334182</v>
      </c>
      <c r="AO350" s="18"/>
      <c r="AP350" s="18"/>
      <c r="AR350">
        <f>_xlfn.NORM.DIST(Table2912[[#This Row],[GP '[ml/g']]],O$6,O$2,FALSE)</f>
        <v>6.0812197522723431E-3</v>
      </c>
      <c r="AS350">
        <f>_xlfn.NORM.DIST(Table2912[[#This Row],[SCFA '[mmol/g']]],P$6,P$2,FALSE)</f>
        <v>0.21570590869927056</v>
      </c>
      <c r="AT350">
        <f>_xlfn.NORM.DIST(Table2912[[#This Row],[Acetate '[%']]],Q$6,Q$2,FALSE)</f>
        <v>13.904854774314417</v>
      </c>
      <c r="AU350">
        <f>_xlfn.NORM.DIST(Table2912[[#This Row],[Propionate '[%']]],R$6,R$2,FALSE)</f>
        <v>14.041368769491903</v>
      </c>
      <c r="AV350">
        <f>_xlfn.NORM.DIST(Table2912[[#This Row],[Butyrate '[%']]],S$6,S$2,FALSE)</f>
        <v>14.08676269732444</v>
      </c>
      <c r="AW350">
        <f>_xlfn.NORM.DIST(Table2912[[#This Row],[Valerate '[%']]],T$6,T$2,FALSE)</f>
        <v>75.682440704962957</v>
      </c>
      <c r="AX350">
        <f>_xlfn.NORM.DIST(Table2912[[#This Row],[Caproate '[%']]],U$6,U$2,FALSE)</f>
        <v>315.59500427149686</v>
      </c>
      <c r="AY350">
        <f>_xlfn.NORM.DIST(Table2912[[#This Row],[Isobutyrate '[%']]],V$6,V$2,FALSE)</f>
        <v>90.145555104223561</v>
      </c>
      <c r="AZ350">
        <f>_xlfn.NORM.DIST(Table2912[[#This Row],[Isovalerate '[%']]],W$6,W$2,FALSE)</f>
        <v>44.873289972624654</v>
      </c>
      <c r="BA350">
        <f>_xlfn.NORM.DIST(Table2912[[#This Row],[CH4 '[g/mmol SCFA']]],X$6,X$2,FALSE)</f>
        <v>0.27484307418489434</v>
      </c>
      <c r="BB350">
        <f>_xlfn.NORM.DIST(Table2912[[#This Row],[DMD '[mg/g']]],Y$6,Y$2,FALSE)</f>
        <v>2.5072938632197859E-3</v>
      </c>
      <c r="BC350">
        <f>_xlfn.NORM.DIST(Table2912[[#This Row],[CH4 '[ml/g']]],Z$6,Z$2,FALSE)</f>
        <v>3.2710463578737296E-2</v>
      </c>
      <c r="BD350">
        <f>_xlfn.NORM.DIST(Table2912[[#This Row],[CH4 '[% GP']]],AA$6,AA$2,FALSE)</f>
        <v>0.12886009396037501</v>
      </c>
      <c r="BE350">
        <f>_xlfn.NORM.DIST(Table2912[[#This Row],[CH4 '[g/g DDM']]],AB$6,AB$2,FALSE)</f>
        <v>3.2549606561662559E-2</v>
      </c>
      <c r="BG350">
        <f>IF(Table2912[[#This Row],[GP '[ml/g']]]&lt;O$10,_xlfn.NORM.DIST(Table2912[[#This Row],[GP '[ml/g']]],O$6,O$2,FALSE),-100)</f>
        <v>-100</v>
      </c>
      <c r="BH350">
        <f>IF(Table2912[[#This Row],[SCFA '[mmol/g']]]&lt;P$10,_xlfn.NORM.DIST(Table2912[[#This Row],[SCFA '[mmol/g']]],P$6,P$2,FALSE),-100)</f>
        <v>-100</v>
      </c>
      <c r="BI350">
        <f>IF(Table2912[[#This Row],[Acetate '[%']]]&lt;Q$10,_xlfn.NORM.DIST(Table2912[[#This Row],[Acetate '[%']]],Q$6,Q$2,FALSE),-100)</f>
        <v>-100</v>
      </c>
      <c r="BJ350">
        <f>IF(Table2912[[#This Row],[Propionate '[%']]]&lt;R$10,_xlfn.NORM.DIST(Table2912[[#This Row],[Propionate '[%']]],R$6,R$2,FALSE),-100)</f>
        <v>-100</v>
      </c>
      <c r="BK350">
        <f>IF(Table2912[[#This Row],[Butyrate '[%']]]&lt;S$10,_xlfn.NORM.DIST(Table2912[[#This Row],[Butyrate '[%']]],S$6,S$2,FALSE),-100)</f>
        <v>-100</v>
      </c>
      <c r="BL350">
        <f>IF(Table2912[[#This Row],[Valerate '[%']]]&lt;T$10,_xlfn.NORM.DIST(Table2912[[#This Row],[Valerate '[%']]],T$6,T$2,FALSE),-100)</f>
        <v>-100</v>
      </c>
      <c r="BM350">
        <f>IF(Table2912[[#This Row],[Caproate '[%']]]&lt;U$10,_xlfn.NORM.DIST(Table2912[[#This Row],[Caproate '[%']]],U$6,U$2,FALSE),-100)</f>
        <v>-100</v>
      </c>
      <c r="BN350">
        <f>IF(Table2912[[#This Row],[Isobutyrate '[%']]]&lt;V$10,_xlfn.NORM.DIST(Table2912[[#This Row],[Isobutyrate '[%']]],V$6,V$2,FALSE),-100)</f>
        <v>-100</v>
      </c>
      <c r="BO350">
        <f>IF(Table2912[[#This Row],[Isovalerate '[%']]]&lt;W$10,_xlfn.NORM.DIST(Table2912[[#This Row],[Isovalerate '[%']]],W$6,W$2,FALSE),-100)</f>
        <v>-100</v>
      </c>
      <c r="BP350">
        <f>IF(Table2912[[#This Row],[CH4 '[g/mmol SCFA']]]&lt;X$10,_xlfn.NORM.DIST(Table2912[[#This Row],[CH4 '[g/mmol SCFA']]],X$6,X$2,FALSE),-100)</f>
        <v>-100</v>
      </c>
      <c r="BQ350">
        <f>IF(Table2912[[#This Row],[DMD '[mg/g']]]&gt;Y$10,_xlfn.NORM.DIST(Table2912[[#This Row],[DMD '[mg/g']]],Y$6,Y$2,FALSE),-100)</f>
        <v>-100</v>
      </c>
      <c r="BR350">
        <f>IF(Table2912[[#This Row],[CH4 '[ml/g']]]&lt;Z$10,_xlfn.NORM.DIST(Table2912[[#This Row],[CH4 '[ml/g']]],Z$6,Z$2,FALSE),-100)</f>
        <v>-100</v>
      </c>
      <c r="BS350">
        <f>IF(Table2912[[#This Row],[CH4 '[% GP']]]&lt;AA$10,_xlfn.NORM.DIST(Table2912[[#This Row],[CH4 '[% GP']]],AA$6,AA$2,FALSE),-100)</f>
        <v>-100</v>
      </c>
      <c r="BT350">
        <f>IF(Table2912[[#This Row],[CH4 '[g/g DDM']]]&lt;AB$10,_xlfn.NORM.DIST(Table2912[[#This Row],[CH4 '[g/g DDM']]],AB$6,AB$2,FALSE),-100)</f>
        <v>-100</v>
      </c>
    </row>
    <row r="351" spans="1:72" x14ac:dyDescent="0.25">
      <c r="A351" s="12" t="s">
        <v>200</v>
      </c>
      <c r="B351" s="13">
        <v>1203</v>
      </c>
      <c r="C351" s="113" t="s">
        <v>410</v>
      </c>
      <c r="D351" s="113" t="s">
        <v>262</v>
      </c>
      <c r="E351" s="113" t="s">
        <v>411</v>
      </c>
      <c r="F351" s="113" t="s">
        <v>412</v>
      </c>
      <c r="G351" t="s">
        <v>73</v>
      </c>
      <c r="H351" t="s">
        <v>74</v>
      </c>
      <c r="I351" t="s">
        <v>75</v>
      </c>
      <c r="J351" s="70">
        <v>2</v>
      </c>
      <c r="K351" s="70"/>
      <c r="L351" s="70"/>
      <c r="M351" t="s">
        <v>413</v>
      </c>
      <c r="N351" t="s">
        <v>171</v>
      </c>
      <c r="O351" s="18">
        <v>280.4443342151676</v>
      </c>
      <c r="P351" s="18">
        <v>6.5990607282232538</v>
      </c>
      <c r="Q351" s="97">
        <v>0.65594841169170226</v>
      </c>
      <c r="R351" s="97">
        <v>0.17113464558902397</v>
      </c>
      <c r="S351" s="97">
        <v>9.6737804315668877E-2</v>
      </c>
      <c r="T351" s="97">
        <v>1.9326675417668089E-2</v>
      </c>
      <c r="U351" s="97">
        <v>3.2704017680013978E-3</v>
      </c>
      <c r="V351" s="97">
        <v>1.8942536799768525E-2</v>
      </c>
      <c r="W351" s="97">
        <v>3.4639524418166867E-2</v>
      </c>
      <c r="X351" s="51">
        <f t="shared" si="23"/>
        <v>7.8633814201048358</v>
      </c>
      <c r="Y351" s="18">
        <v>851.5871262723482</v>
      </c>
      <c r="Z351" s="18">
        <v>51.890931520454224</v>
      </c>
      <c r="AA351" s="18">
        <f t="shared" si="24"/>
        <v>18.503112806922147</v>
      </c>
      <c r="AB351" s="18">
        <f t="shared" si="25"/>
        <v>60.934377610422978</v>
      </c>
      <c r="AC351" s="18">
        <f>$CP$15*Table2912[[#This Row],[DMD '[mg/g']]]+$CS$15*Table2912[[#This Row],[CH4 '[ml/g']]]+$CR$15*Table2912[[#This Row],[CH4 '[% GP']]]+$CQ$15*Table2912[[#This Row],[CH4 '[g/g DDM']]]</f>
        <v>16.86049296675067</v>
      </c>
      <c r="AD351" s="18">
        <f>_xlfn.RANK.AVG(Table2912[[#This Row],[Index]],Table2912[Index])</f>
        <v>237</v>
      </c>
      <c r="AE35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6.0963499676741408</v>
      </c>
      <c r="AF351" s="18">
        <f>Table2912[[#This Row],[CH4 '[ml/g']]]/Table2912[[#This Row],[APB]]</f>
        <v>8.5118032586064736</v>
      </c>
      <c r="AG351" s="18">
        <f>Table2912[[#This Row],[Propionate '[%']]]/Table2912[[#This Row],[Acetate '[%']]]</f>
        <v>0.26089650121671121</v>
      </c>
      <c r="AH351" s="51"/>
      <c r="AI351" s="18"/>
      <c r="AJ351" s="18"/>
      <c r="AK351" s="18">
        <f>(Table2912[[#This Row],[DMD '[mg/g']]]-$AK$15)/$AK$15*100</f>
        <v>73.690806321736474</v>
      </c>
      <c r="AL351" s="18">
        <f>(Table2912[[#This Row],[CH4 '[ml/g']]]-AL$15)/AL$15*100</f>
        <v>31.929871880456822</v>
      </c>
      <c r="AM351" s="18">
        <f>(Table2912[[#This Row],[CH4 '[% GP']]]-AM$15)/AM$15*100</f>
        <v>19.203009165582088</v>
      </c>
      <c r="AN351" s="18">
        <f>(Table2912[[#This Row],[CH4 '[g/g DDM']]]-AN$15)/AN$15*100</f>
        <v>18.976379555758619</v>
      </c>
      <c r="AO351" s="18"/>
      <c r="AP351" s="18"/>
      <c r="AR351">
        <f>_xlfn.NORM.DIST(Table2912[[#This Row],[GP '[ml/g']]],O$6,O$2,FALSE)</f>
        <v>6.7043672584269883E-3</v>
      </c>
      <c r="AS351">
        <f>_xlfn.NORM.DIST(Table2912[[#This Row],[SCFA '[mmol/g']]],P$6,P$2,FALSE)</f>
        <v>0.33230494125083665</v>
      </c>
      <c r="AT351">
        <f>_xlfn.NORM.DIST(Table2912[[#This Row],[Acetate '[%']]],Q$6,Q$2,FALSE)</f>
        <v>11.688559880612583</v>
      </c>
      <c r="AU351">
        <f>_xlfn.NORM.DIST(Table2912[[#This Row],[Propionate '[%']]],R$6,R$2,FALSE)</f>
        <v>16.783096046222241</v>
      </c>
      <c r="AV351">
        <f>_xlfn.NORM.DIST(Table2912[[#This Row],[Butyrate '[%']]],S$6,S$2,FALSE)</f>
        <v>22.477986858841437</v>
      </c>
      <c r="AW351">
        <f>_xlfn.NORM.DIST(Table2912[[#This Row],[Valerate '[%']]],T$6,T$2,FALSE)</f>
        <v>73.449068489719423</v>
      </c>
      <c r="AX351">
        <f>_xlfn.NORM.DIST(Table2912[[#This Row],[Caproate '[%']]],U$6,U$2,FALSE)</f>
        <v>57.754950883821962</v>
      </c>
      <c r="AY351">
        <f>_xlfn.NORM.DIST(Table2912[[#This Row],[Isobutyrate '[%']]],V$6,V$2,FALSE)</f>
        <v>64.458514614645935</v>
      </c>
      <c r="AZ351">
        <f>_xlfn.NORM.DIST(Table2912[[#This Row],[Isovalerate '[%']]],W$6,W$2,FALSE)</f>
        <v>33.82626351705828</v>
      </c>
      <c r="BA351">
        <f>_xlfn.NORM.DIST(Table2912[[#This Row],[CH4 '[g/mmol SCFA']]],X$6,X$2,FALSE)</f>
        <v>0.14853858911434462</v>
      </c>
      <c r="BB351">
        <f>_xlfn.NORM.DIST(Table2912[[#This Row],[DMD '[mg/g']]],Y$6,Y$2,FALSE)</f>
        <v>2.5032499128577503E-3</v>
      </c>
      <c r="BC351">
        <f>_xlfn.NORM.DIST(Table2912[[#This Row],[CH4 '[ml/g']]],Z$6,Z$2,FALSE)</f>
        <v>2.2723787930978002E-2</v>
      </c>
      <c r="BD351">
        <f>_xlfn.NORM.DIST(Table2912[[#This Row],[CH4 '[% GP']]],AA$6,AA$2,FALSE)</f>
        <v>9.6078065253046491E-2</v>
      </c>
      <c r="BE351">
        <f>_xlfn.NORM.DIST(Table2912[[#This Row],[CH4 '[g/g DDM']]],AB$6,AB$2,FALSE)</f>
        <v>2.7036680553524563E-2</v>
      </c>
      <c r="BG351">
        <f>IF(Table2912[[#This Row],[GP '[ml/g']]]&lt;O$10,_xlfn.NORM.DIST(Table2912[[#This Row],[GP '[ml/g']]],O$6,O$2,FALSE),-100)</f>
        <v>-100</v>
      </c>
      <c r="BH351">
        <f>IF(Table2912[[#This Row],[SCFA '[mmol/g']]]&lt;P$10,_xlfn.NORM.DIST(Table2912[[#This Row],[SCFA '[mmol/g']]],P$6,P$2,FALSE),-100)</f>
        <v>-100</v>
      </c>
      <c r="BI351">
        <f>IF(Table2912[[#This Row],[Acetate '[%']]]&lt;Q$10,_xlfn.NORM.DIST(Table2912[[#This Row],[Acetate '[%']]],Q$6,Q$2,FALSE),-100)</f>
        <v>-100</v>
      </c>
      <c r="BJ351">
        <f>IF(Table2912[[#This Row],[Propionate '[%']]]&lt;R$10,_xlfn.NORM.DIST(Table2912[[#This Row],[Propionate '[%']]],R$6,R$2,FALSE),-100)</f>
        <v>-100</v>
      </c>
      <c r="BK351">
        <f>IF(Table2912[[#This Row],[Butyrate '[%']]]&lt;S$10,_xlfn.NORM.DIST(Table2912[[#This Row],[Butyrate '[%']]],S$6,S$2,FALSE),-100)</f>
        <v>-100</v>
      </c>
      <c r="BL351">
        <f>IF(Table2912[[#This Row],[Valerate '[%']]]&lt;T$10,_xlfn.NORM.DIST(Table2912[[#This Row],[Valerate '[%']]],T$6,T$2,FALSE),-100)</f>
        <v>-100</v>
      </c>
      <c r="BM351">
        <f>IF(Table2912[[#This Row],[Caproate '[%']]]&lt;U$10,_xlfn.NORM.DIST(Table2912[[#This Row],[Caproate '[%']]],U$6,U$2,FALSE),-100)</f>
        <v>-100</v>
      </c>
      <c r="BN351">
        <f>IF(Table2912[[#This Row],[Isobutyrate '[%']]]&lt;V$10,_xlfn.NORM.DIST(Table2912[[#This Row],[Isobutyrate '[%']]],V$6,V$2,FALSE),-100)</f>
        <v>-100</v>
      </c>
      <c r="BO351">
        <f>IF(Table2912[[#This Row],[Isovalerate '[%']]]&lt;W$10,_xlfn.NORM.DIST(Table2912[[#This Row],[Isovalerate '[%']]],W$6,W$2,FALSE),-100)</f>
        <v>-100</v>
      </c>
      <c r="BP351">
        <f>IF(Table2912[[#This Row],[CH4 '[g/mmol SCFA']]]&lt;X$10,_xlfn.NORM.DIST(Table2912[[#This Row],[CH4 '[g/mmol SCFA']]],X$6,X$2,FALSE),-100)</f>
        <v>-100</v>
      </c>
      <c r="BQ351">
        <f>IF(Table2912[[#This Row],[DMD '[mg/g']]]&gt;Y$10,_xlfn.NORM.DIST(Table2912[[#This Row],[DMD '[mg/g']]],Y$6,Y$2,FALSE),-100)</f>
        <v>-100</v>
      </c>
      <c r="BR351">
        <f>IF(Table2912[[#This Row],[CH4 '[ml/g']]]&lt;Z$10,_xlfn.NORM.DIST(Table2912[[#This Row],[CH4 '[ml/g']]],Z$6,Z$2,FALSE),-100)</f>
        <v>-100</v>
      </c>
      <c r="BS351">
        <f>IF(Table2912[[#This Row],[CH4 '[% GP']]]&lt;AA$10,_xlfn.NORM.DIST(Table2912[[#This Row],[CH4 '[% GP']]],AA$6,AA$2,FALSE),-100)</f>
        <v>-100</v>
      </c>
      <c r="BT351">
        <f>IF(Table2912[[#This Row],[CH4 '[g/g DDM']]]&lt;AB$10,_xlfn.NORM.DIST(Table2912[[#This Row],[CH4 '[g/g DDM']]],AB$6,AB$2,FALSE),-100)</f>
        <v>-100</v>
      </c>
    </row>
    <row r="352" spans="1:72" x14ac:dyDescent="0.25">
      <c r="A352" s="12" t="s">
        <v>200</v>
      </c>
      <c r="B352" s="13">
        <v>1196</v>
      </c>
      <c r="C352" s="113" t="s">
        <v>345</v>
      </c>
      <c r="D352" s="113" t="s">
        <v>346</v>
      </c>
      <c r="E352" s="113" t="s">
        <v>347</v>
      </c>
      <c r="F352" s="113" t="s">
        <v>348</v>
      </c>
      <c r="G352" s="99" t="s">
        <v>349</v>
      </c>
      <c r="H352" s="99" t="s">
        <v>350</v>
      </c>
      <c r="I352" s="99" t="s">
        <v>48</v>
      </c>
      <c r="J352" s="70">
        <v>1</v>
      </c>
      <c r="K352" s="70"/>
      <c r="L352" s="70"/>
      <c r="M352" t="s">
        <v>351</v>
      </c>
      <c r="N352" t="s">
        <v>363</v>
      </c>
      <c r="O352" s="18">
        <v>228.90189594356272</v>
      </c>
      <c r="P352" s="18">
        <v>6.026957413368117</v>
      </c>
      <c r="Q352" s="97">
        <v>0.7127095819635525</v>
      </c>
      <c r="R352" s="97">
        <v>0.16361957910481173</v>
      </c>
      <c r="S352" s="97">
        <v>9.8432206141756504E-2</v>
      </c>
      <c r="T352" s="97">
        <v>8.0649798526580656E-3</v>
      </c>
      <c r="U352" s="97">
        <v>7.2334329273288285E-4</v>
      </c>
      <c r="V352" s="97">
        <v>7.1852957152952115E-3</v>
      </c>
      <c r="W352" s="97">
        <v>9.2650139291929404E-3</v>
      </c>
      <c r="X352" s="51">
        <f t="shared" si="23"/>
        <v>4.7287911360947099</v>
      </c>
      <c r="Y352" s="18">
        <v>851.70064270461876</v>
      </c>
      <c r="Z352" s="18">
        <v>28.500222793955452</v>
      </c>
      <c r="AA352" s="18">
        <f t="shared" si="24"/>
        <v>12.450846104386295</v>
      </c>
      <c r="AB352" s="18">
        <f t="shared" si="25"/>
        <v>33.462723127050303</v>
      </c>
      <c r="AC352" s="18">
        <f>$CP$15*Table2912[[#This Row],[DMD '[mg/g']]]+$CS$15*Table2912[[#This Row],[CH4 '[ml/g']]]+$CR$15*Table2912[[#This Row],[CH4 '[% GP']]]+$CQ$15*Table2912[[#This Row],[CH4 '[g/g DDM']]]</f>
        <v>29.137756680204159</v>
      </c>
      <c r="AD352" s="18">
        <f>_xlfn.RANK.AVG(Table2912[[#This Row],[Index]],Table2912[Index])</f>
        <v>55</v>
      </c>
      <c r="AE35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5.8748452483718783</v>
      </c>
      <c r="AF352" s="18">
        <f>Table2912[[#This Row],[CH4 '[ml/g']]]/Table2912[[#This Row],[APB]]</f>
        <v>4.8512295369573941</v>
      </c>
      <c r="AG352" s="18">
        <f>Table2912[[#This Row],[Propionate '[%']]]/Table2912[[#This Row],[Acetate '[%']]]</f>
        <v>0.22957398531675574</v>
      </c>
      <c r="AH352" s="51"/>
      <c r="AI352" s="18"/>
      <c r="AJ352" s="18"/>
      <c r="AK352" s="18">
        <f>(Table2912[[#This Row],[DMD '[mg/g']]]-$AK$15)/$AK$15*100</f>
        <v>73.713959279365298</v>
      </c>
      <c r="AL352" s="18">
        <f>(Table2912[[#This Row],[CH4 '[ml/g']]]-AL$15)/AL$15*100</f>
        <v>-27.539733213521146</v>
      </c>
      <c r="AM352" s="18">
        <f>(Table2912[[#This Row],[CH4 '[% GP']]]-AM$15)/AM$15*100</f>
        <v>-19.787641258655146</v>
      </c>
      <c r="AN352" s="18">
        <f>(Table2912[[#This Row],[CH4 '[g/g DDM']]]-AN$15)/AN$15*100</f>
        <v>-34.662930781257508</v>
      </c>
      <c r="AO352" s="18"/>
      <c r="AP352" s="18"/>
      <c r="AR352">
        <f>_xlfn.NORM.DIST(Table2912[[#This Row],[GP '[ml/g']]],O$6,O$2,FALSE)</f>
        <v>6.605895541994671E-3</v>
      </c>
      <c r="AS352">
        <f>_xlfn.NORM.DIST(Table2912[[#This Row],[SCFA '[mmol/g']]],P$6,P$2,FALSE)</f>
        <v>0.30390581354527219</v>
      </c>
      <c r="AT352">
        <f>_xlfn.NORM.DIST(Table2912[[#This Row],[Acetate '[%']]],Q$6,Q$2,FALSE)</f>
        <v>5.3250233028385097</v>
      </c>
      <c r="AU352">
        <f>_xlfn.NORM.DIST(Table2912[[#This Row],[Propionate '[%']]],R$6,R$2,FALSE)</f>
        <v>15.809209781516278</v>
      </c>
      <c r="AV352">
        <f>_xlfn.NORM.DIST(Table2912[[#This Row],[Butyrate '[%']]],S$6,S$2,FALSE)</f>
        <v>21.893841269492402</v>
      </c>
      <c r="AW352">
        <f>_xlfn.NORM.DIST(Table2912[[#This Row],[Valerate '[%']]],T$6,T$2,FALSE)</f>
        <v>13.691586819961291</v>
      </c>
      <c r="AX352">
        <f>_xlfn.NORM.DIST(Table2912[[#This Row],[Caproate '[%']]],U$6,U$2,FALSE)</f>
        <v>335.36555967865849</v>
      </c>
      <c r="AY352">
        <f>_xlfn.NORM.DIST(Table2912[[#This Row],[Isobutyrate '[%']]],V$6,V$2,FALSE)</f>
        <v>16.654927203238707</v>
      </c>
      <c r="AZ352">
        <f>_xlfn.NORM.DIST(Table2912[[#This Row],[Isovalerate '[%']]],W$6,W$2,FALSE)</f>
        <v>4.7862777769169416</v>
      </c>
      <c r="BA352">
        <f>_xlfn.NORM.DIST(Table2912[[#This Row],[CH4 '[g/mmol SCFA']]],X$6,X$2,FALSE)</f>
        <v>0.15203308744612515</v>
      </c>
      <c r="BB352">
        <f>_xlfn.NORM.DIST(Table2912[[#This Row],[DMD '[mg/g']]],Y$6,Y$2,FALSE)</f>
        <v>2.502101687868115E-3</v>
      </c>
      <c r="BC352">
        <f>_xlfn.NORM.DIST(Table2912[[#This Row],[CH4 '[ml/g']]],Z$6,Z$2,FALSE)</f>
        <v>1.8634308903481195E-2</v>
      </c>
      <c r="BD352">
        <f>_xlfn.NORM.DIST(Table2912[[#This Row],[CH4 '[% GP']]],AA$6,AA$2,FALSE)</f>
        <v>6.3884841395103045E-2</v>
      </c>
      <c r="BE352">
        <f>_xlfn.NORM.DIST(Table2912[[#This Row],[CH4 '[g/g DDM']]],AB$6,AB$2,FALSE)</f>
        <v>8.5887806513448694E-3</v>
      </c>
      <c r="BG352">
        <f>IF(Table2912[[#This Row],[GP '[ml/g']]]&lt;O$10,_xlfn.NORM.DIST(Table2912[[#This Row],[GP '[ml/g']]],O$6,O$2,FALSE),-100)</f>
        <v>-100</v>
      </c>
      <c r="BH352">
        <f>IF(Table2912[[#This Row],[SCFA '[mmol/g']]]&lt;P$10,_xlfn.NORM.DIST(Table2912[[#This Row],[SCFA '[mmol/g']]],P$6,P$2,FALSE),-100)</f>
        <v>-100</v>
      </c>
      <c r="BI352">
        <f>IF(Table2912[[#This Row],[Acetate '[%']]]&lt;Q$10,_xlfn.NORM.DIST(Table2912[[#This Row],[Acetate '[%']]],Q$6,Q$2,FALSE),-100)</f>
        <v>-100</v>
      </c>
      <c r="BJ352">
        <f>IF(Table2912[[#This Row],[Propionate '[%']]]&lt;R$10,_xlfn.NORM.DIST(Table2912[[#This Row],[Propionate '[%']]],R$6,R$2,FALSE),-100)</f>
        <v>-100</v>
      </c>
      <c r="BK352">
        <f>IF(Table2912[[#This Row],[Butyrate '[%']]]&lt;S$10,_xlfn.NORM.DIST(Table2912[[#This Row],[Butyrate '[%']]],S$6,S$2,FALSE),-100)</f>
        <v>-100</v>
      </c>
      <c r="BL352">
        <f>IF(Table2912[[#This Row],[Valerate '[%']]]&lt;T$10,_xlfn.NORM.DIST(Table2912[[#This Row],[Valerate '[%']]],T$6,T$2,FALSE),-100)</f>
        <v>13.691586819961291</v>
      </c>
      <c r="BM352">
        <f>IF(Table2912[[#This Row],[Caproate '[%']]]&lt;U$10,_xlfn.NORM.DIST(Table2912[[#This Row],[Caproate '[%']]],U$6,U$2,FALSE),-100)</f>
        <v>-100</v>
      </c>
      <c r="BN352">
        <f>IF(Table2912[[#This Row],[Isobutyrate '[%']]]&lt;V$10,_xlfn.NORM.DIST(Table2912[[#This Row],[Isobutyrate '[%']]],V$6,V$2,FALSE),-100)</f>
        <v>16.654927203238707</v>
      </c>
      <c r="BO352">
        <f>IF(Table2912[[#This Row],[Isovalerate '[%']]]&lt;W$10,_xlfn.NORM.DIST(Table2912[[#This Row],[Isovalerate '[%']]],W$6,W$2,FALSE),-100)</f>
        <v>4.7862777769169416</v>
      </c>
      <c r="BP352">
        <f>IF(Table2912[[#This Row],[CH4 '[g/mmol SCFA']]]&lt;X$10,_xlfn.NORM.DIST(Table2912[[#This Row],[CH4 '[g/mmol SCFA']]],X$6,X$2,FALSE),-100)</f>
        <v>0.15203308744612515</v>
      </c>
      <c r="BQ352">
        <f>IF(Table2912[[#This Row],[DMD '[mg/g']]]&gt;Y$10,_xlfn.NORM.DIST(Table2912[[#This Row],[DMD '[mg/g']]],Y$6,Y$2,FALSE),-100)</f>
        <v>-100</v>
      </c>
      <c r="BR352">
        <f>IF(Table2912[[#This Row],[CH4 '[ml/g']]]&lt;Z$10,_xlfn.NORM.DIST(Table2912[[#This Row],[CH4 '[ml/g']]],Z$6,Z$2,FALSE),-100)</f>
        <v>1.8634308903481195E-2</v>
      </c>
      <c r="BS352">
        <f>IF(Table2912[[#This Row],[CH4 '[% GP']]]&lt;AA$10,_xlfn.NORM.DIST(Table2912[[#This Row],[CH4 '[% GP']]],AA$6,AA$2,FALSE),-100)</f>
        <v>-100</v>
      </c>
      <c r="BT352">
        <f>IF(Table2912[[#This Row],[CH4 '[g/g DDM']]]&lt;AB$10,_xlfn.NORM.DIST(Table2912[[#This Row],[CH4 '[g/g DDM']]],AB$6,AB$2,FALSE),-100)</f>
        <v>8.5887806513448694E-3</v>
      </c>
    </row>
    <row r="353" spans="1:72" x14ac:dyDescent="0.25">
      <c r="A353" s="12" t="s">
        <v>70</v>
      </c>
      <c r="B353" s="13">
        <v>989</v>
      </c>
      <c r="C353" s="96" t="s">
        <v>447</v>
      </c>
      <c r="D353" s="96"/>
      <c r="E353" s="96"/>
      <c r="F353" s="96" t="s">
        <v>448</v>
      </c>
      <c r="G353" s="15" t="s">
        <v>73</v>
      </c>
      <c r="H353" s="15" t="s">
        <v>74</v>
      </c>
      <c r="I353" t="s">
        <v>75</v>
      </c>
      <c r="J353" s="100">
        <v>1</v>
      </c>
      <c r="K353" s="100"/>
      <c r="L353" s="100"/>
      <c r="M353" t="s">
        <v>448</v>
      </c>
      <c r="N353" t="s">
        <v>180</v>
      </c>
      <c r="O353" s="18">
        <v>273.43119488536189</v>
      </c>
      <c r="P353" s="18">
        <v>7.0545189172762193</v>
      </c>
      <c r="Q353" s="97">
        <v>0.68247107019911946</v>
      </c>
      <c r="R353" s="97">
        <v>0.16030535640012106</v>
      </c>
      <c r="S353" s="97">
        <v>0.10106257914764918</v>
      </c>
      <c r="T353" s="97">
        <v>1.5766219261092056E-2</v>
      </c>
      <c r="U353" s="97">
        <v>9.5504367714390316E-4</v>
      </c>
      <c r="V353" s="97">
        <v>1.3316146096625636E-2</v>
      </c>
      <c r="W353" s="97">
        <v>2.612358521824884E-2</v>
      </c>
      <c r="X353" s="51">
        <f t="shared" si="23"/>
        <v>5.1038499199268239</v>
      </c>
      <c r="Y353" s="18">
        <v>853.23696396073547</v>
      </c>
      <c r="Z353" s="18">
        <v>36.005205811062496</v>
      </c>
      <c r="AA353" s="18">
        <f t="shared" si="24"/>
        <v>13.167921760411408</v>
      </c>
      <c r="AB353" s="18">
        <f t="shared" si="25"/>
        <v>42.198366141951851</v>
      </c>
      <c r="AC353" s="18">
        <f>$CP$15*Table2912[[#This Row],[DMD '[mg/g']]]+$CS$15*Table2912[[#This Row],[CH4 '[ml/g']]]+$CR$15*Table2912[[#This Row],[CH4 '[% GP']]]+$CQ$15*Table2912[[#This Row],[CH4 '[g/g DDM']]]</f>
        <v>25.72036074137565</v>
      </c>
      <c r="AD353" s="18">
        <f>_xlfn.RANK.AVG(Table2912[[#This Row],[Index]],Table2912[Index])</f>
        <v>85</v>
      </c>
      <c r="AE35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6.658330120904612</v>
      </c>
      <c r="AF353" s="18">
        <f>Table2912[[#This Row],[CH4 '[ml/g']]]/Table2912[[#This Row],[APB]]</f>
        <v>5.4075429059937878</v>
      </c>
      <c r="AG353" s="18">
        <f>Table2912[[#This Row],[Propionate '[%']]]/Table2912[[#This Row],[Acetate '[%']]]</f>
        <v>0.23488959957430866</v>
      </c>
      <c r="AH353" s="51"/>
      <c r="AI353" s="18"/>
      <c r="AJ353" s="18"/>
      <c r="AK353" s="18">
        <f>(Table2912[[#This Row],[DMD '[mg/g']]]-$AK$15)/$AK$15*100</f>
        <v>74.027309340106811</v>
      </c>
      <c r="AL353" s="18">
        <f>(Table2912[[#This Row],[CH4 '[ml/g']]]-AL$15)/AL$15*100</f>
        <v>-8.4587219674299199</v>
      </c>
      <c r="AM353" s="18">
        <f>(Table2912[[#This Row],[CH4 '[% GP']]]-AM$15)/AM$15*100</f>
        <v>-15.168009043820485</v>
      </c>
      <c r="AN353" s="18">
        <f>(Table2912[[#This Row],[CH4 '[g/g DDM']]]-AN$15)/AN$15*100</f>
        <v>-17.606300029247379</v>
      </c>
      <c r="AO353" s="18"/>
      <c r="AP353" s="18"/>
      <c r="AR353">
        <f>_xlfn.NORM.DIST(Table2912[[#This Row],[GP '[ml/g']]],O$6,O$2,FALSE)</f>
        <v>7.0684141408337451E-3</v>
      </c>
      <c r="AS353">
        <f>_xlfn.NORM.DIST(Table2912[[#This Row],[SCFA '[mmol/g']]],P$6,P$2,FALSE)</f>
        <v>0.30319756053585539</v>
      </c>
      <c r="AT353">
        <f>_xlfn.NORM.DIST(Table2912[[#This Row],[Acetate '[%']]],Q$6,Q$2,FALSE)</f>
        <v>13.289630734767329</v>
      </c>
      <c r="AU353">
        <f>_xlfn.NORM.DIST(Table2912[[#This Row],[Propionate '[%']]],R$6,R$2,FALSE)</f>
        <v>14.916073600699066</v>
      </c>
      <c r="AV353">
        <f>_xlfn.NORM.DIST(Table2912[[#This Row],[Butyrate '[%']]],S$6,S$2,FALSE)</f>
        <v>20.622328297483193</v>
      </c>
      <c r="AW353">
        <f>_xlfn.NORM.DIST(Table2912[[#This Row],[Valerate '[%']]],T$6,T$2,FALSE)</f>
        <v>72.349142988018571</v>
      </c>
      <c r="AX353">
        <f>_xlfn.NORM.DIST(Table2912[[#This Row],[Caproate '[%']]],U$6,U$2,FALSE)</f>
        <v>377.76397766643646</v>
      </c>
      <c r="AY353">
        <f>_xlfn.NORM.DIST(Table2912[[#This Row],[Isobutyrate '[%']]],V$6,V$2,FALSE)</f>
        <v>81.391312552440922</v>
      </c>
      <c r="AZ353">
        <f>_xlfn.NORM.DIST(Table2912[[#This Row],[Isovalerate '[%']]],W$6,W$2,FALSE)</f>
        <v>44.514827444754424</v>
      </c>
      <c r="BA353">
        <f>_xlfn.NORM.DIST(Table2912[[#This Row],[CH4 '[g/mmol SCFA']]],X$6,X$2,FALSE)</f>
        <v>0.20213076797722046</v>
      </c>
      <c r="BB353">
        <f>_xlfn.NORM.DIST(Table2912[[#This Row],[DMD '[mg/g']]],Y$6,Y$2,FALSE)</f>
        <v>2.4864450462730395E-3</v>
      </c>
      <c r="BC353">
        <f>_xlfn.NORM.DIST(Table2912[[#This Row],[CH4 '[ml/g']]],Z$6,Z$2,FALSE)</f>
        <v>3.0239564357429111E-2</v>
      </c>
      <c r="BD353">
        <f>_xlfn.NORM.DIST(Table2912[[#This Row],[CH4 '[% GP']]],AA$6,AA$2,FALSE)</f>
        <v>8.3392479371437081E-2</v>
      </c>
      <c r="BE353">
        <f>_xlfn.NORM.DIST(Table2912[[#This Row],[CH4 '[g/g DDM']]],AB$6,AB$2,FALSE)</f>
        <v>2.1542955248805187E-2</v>
      </c>
      <c r="BG353">
        <f>IF(Table2912[[#This Row],[GP '[ml/g']]]&lt;O$10,_xlfn.NORM.DIST(Table2912[[#This Row],[GP '[ml/g']]],O$6,O$2,FALSE),-100)</f>
        <v>-100</v>
      </c>
      <c r="BH353">
        <f>IF(Table2912[[#This Row],[SCFA '[mmol/g']]]&lt;P$10,_xlfn.NORM.DIST(Table2912[[#This Row],[SCFA '[mmol/g']]],P$6,P$2,FALSE),-100)</f>
        <v>-100</v>
      </c>
      <c r="BI353">
        <f>IF(Table2912[[#This Row],[Acetate '[%']]]&lt;Q$10,_xlfn.NORM.DIST(Table2912[[#This Row],[Acetate '[%']]],Q$6,Q$2,FALSE),-100)</f>
        <v>-100</v>
      </c>
      <c r="BJ353">
        <f>IF(Table2912[[#This Row],[Propionate '[%']]]&lt;R$10,_xlfn.NORM.DIST(Table2912[[#This Row],[Propionate '[%']]],R$6,R$2,FALSE),-100)</f>
        <v>-100</v>
      </c>
      <c r="BK353">
        <f>IF(Table2912[[#This Row],[Butyrate '[%']]]&lt;S$10,_xlfn.NORM.DIST(Table2912[[#This Row],[Butyrate '[%']]],S$6,S$2,FALSE),-100)</f>
        <v>-100</v>
      </c>
      <c r="BL353">
        <f>IF(Table2912[[#This Row],[Valerate '[%']]]&lt;T$10,_xlfn.NORM.DIST(Table2912[[#This Row],[Valerate '[%']]],T$6,T$2,FALSE),-100)</f>
        <v>-100</v>
      </c>
      <c r="BM353">
        <f>IF(Table2912[[#This Row],[Caproate '[%']]]&lt;U$10,_xlfn.NORM.DIST(Table2912[[#This Row],[Caproate '[%']]],U$6,U$2,FALSE),-100)</f>
        <v>-100</v>
      </c>
      <c r="BN353">
        <f>IF(Table2912[[#This Row],[Isobutyrate '[%']]]&lt;V$10,_xlfn.NORM.DIST(Table2912[[#This Row],[Isobutyrate '[%']]],V$6,V$2,FALSE),-100)</f>
        <v>-100</v>
      </c>
      <c r="BO353">
        <f>IF(Table2912[[#This Row],[Isovalerate '[%']]]&lt;W$10,_xlfn.NORM.DIST(Table2912[[#This Row],[Isovalerate '[%']]],W$6,W$2,FALSE),-100)</f>
        <v>-100</v>
      </c>
      <c r="BP353">
        <f>IF(Table2912[[#This Row],[CH4 '[g/mmol SCFA']]]&lt;X$10,_xlfn.NORM.DIST(Table2912[[#This Row],[CH4 '[g/mmol SCFA']]],X$6,X$2,FALSE),-100)</f>
        <v>-100</v>
      </c>
      <c r="BQ353">
        <f>IF(Table2912[[#This Row],[DMD '[mg/g']]]&gt;Y$10,_xlfn.NORM.DIST(Table2912[[#This Row],[DMD '[mg/g']]],Y$6,Y$2,FALSE),-100)</f>
        <v>-100</v>
      </c>
      <c r="BR353">
        <f>IF(Table2912[[#This Row],[CH4 '[ml/g']]]&lt;Z$10,_xlfn.NORM.DIST(Table2912[[#This Row],[CH4 '[ml/g']]],Z$6,Z$2,FALSE),-100)</f>
        <v>-100</v>
      </c>
      <c r="BS353">
        <f>IF(Table2912[[#This Row],[CH4 '[% GP']]]&lt;AA$10,_xlfn.NORM.DIST(Table2912[[#This Row],[CH4 '[% GP']]],AA$6,AA$2,FALSE),-100)</f>
        <v>-100</v>
      </c>
      <c r="BT353">
        <f>IF(Table2912[[#This Row],[CH4 '[g/g DDM']]]&lt;AB$10,_xlfn.NORM.DIST(Table2912[[#This Row],[CH4 '[g/g DDM']]],AB$6,AB$2,FALSE),-100)</f>
        <v>-100</v>
      </c>
    </row>
    <row r="354" spans="1:72" x14ac:dyDescent="0.25">
      <c r="A354" s="12" t="s">
        <v>86</v>
      </c>
      <c r="B354" s="13">
        <v>1062</v>
      </c>
      <c r="C354" s="104" t="s">
        <v>444</v>
      </c>
      <c r="D354" s="104" t="s">
        <v>134</v>
      </c>
      <c r="E354" s="104" t="s">
        <v>445</v>
      </c>
      <c r="F354" s="104" t="s">
        <v>446</v>
      </c>
      <c r="G354" s="32" t="s">
        <v>73</v>
      </c>
      <c r="H354" s="32" t="s">
        <v>74</v>
      </c>
      <c r="I354" s="105" t="s">
        <v>44</v>
      </c>
      <c r="J354" s="70">
        <v>1</v>
      </c>
      <c r="K354" s="70"/>
      <c r="L354" s="70"/>
      <c r="M354" t="s">
        <v>446</v>
      </c>
      <c r="N354" t="s">
        <v>124</v>
      </c>
      <c r="O354" s="18">
        <v>251.15382423843909</v>
      </c>
      <c r="P354" s="18">
        <v>6.6513924110077953</v>
      </c>
      <c r="Q354" s="97">
        <v>0.64708571259498893</v>
      </c>
      <c r="R354" s="97">
        <v>0.16285427573439742</v>
      </c>
      <c r="S354" s="97">
        <v>0.10655100141159263</v>
      </c>
      <c r="T354" s="97">
        <v>2.3368547605869736E-2</v>
      </c>
      <c r="U354" s="97">
        <v>2.3721352316513709E-3</v>
      </c>
      <c r="V354" s="97">
        <v>2.0224845415125363E-2</v>
      </c>
      <c r="W354" s="97">
        <v>3.7543482006374487E-2</v>
      </c>
      <c r="X354" s="51">
        <f t="shared" si="23"/>
        <v>6.7030410855477429</v>
      </c>
      <c r="Y354" s="18">
        <v>855.13916283147046</v>
      </c>
      <c r="Z354" s="18">
        <v>44.584556607085709</v>
      </c>
      <c r="AA354" s="18">
        <f t="shared" si="24"/>
        <v>17.751892387972664</v>
      </c>
      <c r="AB354" s="18">
        <f t="shared" si="25"/>
        <v>52.137194207619714</v>
      </c>
      <c r="AC354" s="18">
        <f>$CP$15*Table2912[[#This Row],[DMD '[mg/g']]]+$CS$15*Table2912[[#This Row],[CH4 '[ml/g']]]+$CR$15*Table2912[[#This Row],[CH4 '[% GP']]]+$CQ$15*Table2912[[#This Row],[CH4 '[g/g DDM']]]</f>
        <v>20.732056710816586</v>
      </c>
      <c r="AD354" s="18">
        <f>_xlfn.RANK.AVG(Table2912[[#This Row],[Index]],Table2912[Index])</f>
        <v>148</v>
      </c>
      <c r="AE35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6.0959412139201712</v>
      </c>
      <c r="AF354" s="18">
        <f>Table2912[[#This Row],[CH4 '[ml/g']]]/Table2912[[#This Row],[APB]]</f>
        <v>7.3138101307926364</v>
      </c>
      <c r="AG354" s="18">
        <f>Table2912[[#This Row],[Propionate '[%']]]/Table2912[[#This Row],[Acetate '[%']]]</f>
        <v>0.25167342218283212</v>
      </c>
      <c r="AH354" s="51"/>
      <c r="AI354" s="18"/>
      <c r="AJ354" s="18"/>
      <c r="AK354" s="18">
        <f>(Table2912[[#This Row],[DMD '[mg/g']]]-$AK$15)/$AK$15*100</f>
        <v>74.415284270033823</v>
      </c>
      <c r="AL354" s="18">
        <f>(Table2912[[#This Row],[CH4 '[ml/g']]]-AL$15)/AL$15*100</f>
        <v>13.353810939031382</v>
      </c>
      <c r="AM354" s="18">
        <f>(Table2912[[#This Row],[CH4 '[% GP']]]-AM$15)/AM$15*100</f>
        <v>14.363405396214848</v>
      </c>
      <c r="AN354" s="18">
        <f>(Table2912[[#This Row],[CH4 '[g/g DDM']]]-AN$15)/AN$15*100</f>
        <v>1.7995891691360775</v>
      </c>
      <c r="AO354" s="18"/>
      <c r="AP354" s="18"/>
      <c r="AR354">
        <f>_xlfn.NORM.DIST(Table2912[[#This Row],[GP '[ml/g']]],O$6,O$2,FALSE)</f>
        <v>7.4551885934363155E-3</v>
      </c>
      <c r="AS354">
        <f>_xlfn.NORM.DIST(Table2912[[#This Row],[SCFA '[mmol/g']]],P$6,P$2,FALSE)</f>
        <v>0.33124503772395497</v>
      </c>
      <c r="AT354">
        <f>_xlfn.NORM.DIST(Table2912[[#This Row],[Acetate '[%']]],Q$6,Q$2,FALSE)</f>
        <v>9.2245199425105735</v>
      </c>
      <c r="AU354">
        <f>_xlfn.NORM.DIST(Table2912[[#This Row],[Propionate '[%']]],R$6,R$2,FALSE)</f>
        <v>15.625309842664562</v>
      </c>
      <c r="AV354">
        <f>_xlfn.NORM.DIST(Table2912[[#This Row],[Butyrate '[%']]],S$6,S$2,FALSE)</f>
        <v>16.899544291167576</v>
      </c>
      <c r="AW354">
        <f>_xlfn.NORM.DIST(Table2912[[#This Row],[Valerate '[%']]],T$6,T$2,FALSE)</f>
        <v>41.90820225460768</v>
      </c>
      <c r="AX354">
        <f>_xlfn.NORM.DIST(Table2912[[#This Row],[Caproate '[%']]],U$6,U$2,FALSE)</f>
        <v>232.05521983899263</v>
      </c>
      <c r="AY354">
        <f>_xlfn.NORM.DIST(Table2912[[#This Row],[Isobutyrate '[%']]],V$6,V$2,FALSE)</f>
        <v>48.746446100396433</v>
      </c>
      <c r="AZ354">
        <f>_xlfn.NORM.DIST(Table2912[[#This Row],[Isovalerate '[%']]],W$6,W$2,FALSE)</f>
        <v>24.843097580481444</v>
      </c>
      <c r="BA354">
        <f>_xlfn.NORM.DIST(Table2912[[#This Row],[CH4 '[g/mmol SCFA']]],X$6,X$2,FALSE)</f>
        <v>0.28316047125077309</v>
      </c>
      <c r="BB354">
        <f>_xlfn.NORM.DIST(Table2912[[#This Row],[DMD '[mg/g']]],Y$6,Y$2,FALSE)</f>
        <v>2.4667643691271652E-3</v>
      </c>
      <c r="BC354">
        <f>_xlfn.NORM.DIST(Table2912[[#This Row],[CH4 '[ml/g']]],Z$6,Z$2,FALSE)</f>
        <v>3.2327377178759727E-2</v>
      </c>
      <c r="BD354">
        <f>_xlfn.NORM.DIST(Table2912[[#This Row],[CH4 '[% GP']]],AA$6,AA$2,FALSE)</f>
        <v>0.11461286106751886</v>
      </c>
      <c r="BE354">
        <f>_xlfn.NORM.DIST(Table2912[[#This Row],[CH4 '[g/g DDM']]],AB$6,AB$2,FALSE)</f>
        <v>3.268757389209382E-2</v>
      </c>
      <c r="BG354">
        <f>IF(Table2912[[#This Row],[GP '[ml/g']]]&lt;O$10,_xlfn.NORM.DIST(Table2912[[#This Row],[GP '[ml/g']]],O$6,O$2,FALSE),-100)</f>
        <v>-100</v>
      </c>
      <c r="BH354">
        <f>IF(Table2912[[#This Row],[SCFA '[mmol/g']]]&lt;P$10,_xlfn.NORM.DIST(Table2912[[#This Row],[SCFA '[mmol/g']]],P$6,P$2,FALSE),-100)</f>
        <v>-100</v>
      </c>
      <c r="BI354">
        <f>IF(Table2912[[#This Row],[Acetate '[%']]]&lt;Q$10,_xlfn.NORM.DIST(Table2912[[#This Row],[Acetate '[%']]],Q$6,Q$2,FALSE),-100)</f>
        <v>-100</v>
      </c>
      <c r="BJ354">
        <f>IF(Table2912[[#This Row],[Propionate '[%']]]&lt;R$10,_xlfn.NORM.DIST(Table2912[[#This Row],[Propionate '[%']]],R$6,R$2,FALSE),-100)</f>
        <v>-100</v>
      </c>
      <c r="BK354">
        <f>IF(Table2912[[#This Row],[Butyrate '[%']]]&lt;S$10,_xlfn.NORM.DIST(Table2912[[#This Row],[Butyrate '[%']]],S$6,S$2,FALSE),-100)</f>
        <v>-100</v>
      </c>
      <c r="BL354">
        <f>IF(Table2912[[#This Row],[Valerate '[%']]]&lt;T$10,_xlfn.NORM.DIST(Table2912[[#This Row],[Valerate '[%']]],T$6,T$2,FALSE),-100)</f>
        <v>-100</v>
      </c>
      <c r="BM354">
        <f>IF(Table2912[[#This Row],[Caproate '[%']]]&lt;U$10,_xlfn.NORM.DIST(Table2912[[#This Row],[Caproate '[%']]],U$6,U$2,FALSE),-100)</f>
        <v>-100</v>
      </c>
      <c r="BN354">
        <f>IF(Table2912[[#This Row],[Isobutyrate '[%']]]&lt;V$10,_xlfn.NORM.DIST(Table2912[[#This Row],[Isobutyrate '[%']]],V$6,V$2,FALSE),-100)</f>
        <v>-100</v>
      </c>
      <c r="BO354">
        <f>IF(Table2912[[#This Row],[Isovalerate '[%']]]&lt;W$10,_xlfn.NORM.DIST(Table2912[[#This Row],[Isovalerate '[%']]],W$6,W$2,FALSE),-100)</f>
        <v>-100</v>
      </c>
      <c r="BP354">
        <f>IF(Table2912[[#This Row],[CH4 '[g/mmol SCFA']]]&lt;X$10,_xlfn.NORM.DIST(Table2912[[#This Row],[CH4 '[g/mmol SCFA']]],X$6,X$2,FALSE),-100)</f>
        <v>-100</v>
      </c>
      <c r="BQ354">
        <f>IF(Table2912[[#This Row],[DMD '[mg/g']]]&gt;Y$10,_xlfn.NORM.DIST(Table2912[[#This Row],[DMD '[mg/g']]],Y$6,Y$2,FALSE),-100)</f>
        <v>-100</v>
      </c>
      <c r="BR354">
        <f>IF(Table2912[[#This Row],[CH4 '[ml/g']]]&lt;Z$10,_xlfn.NORM.DIST(Table2912[[#This Row],[CH4 '[ml/g']]],Z$6,Z$2,FALSE),-100)</f>
        <v>-100</v>
      </c>
      <c r="BS354">
        <f>IF(Table2912[[#This Row],[CH4 '[% GP']]]&lt;AA$10,_xlfn.NORM.DIST(Table2912[[#This Row],[CH4 '[% GP']]],AA$6,AA$2,FALSE),-100)</f>
        <v>-100</v>
      </c>
      <c r="BT354">
        <f>IF(Table2912[[#This Row],[CH4 '[g/g DDM']]]&lt;AB$10,_xlfn.NORM.DIST(Table2912[[#This Row],[CH4 '[g/g DDM']]],AB$6,AB$2,FALSE),-100)</f>
        <v>-100</v>
      </c>
    </row>
    <row r="355" spans="1:72" x14ac:dyDescent="0.25">
      <c r="A355" s="12" t="s">
        <v>200</v>
      </c>
      <c r="B355" s="13">
        <v>1202</v>
      </c>
      <c r="C355" s="113" t="s">
        <v>427</v>
      </c>
      <c r="D355" s="113" t="s">
        <v>262</v>
      </c>
      <c r="E355" s="113" t="s">
        <v>411</v>
      </c>
      <c r="F355" s="113" t="s">
        <v>412</v>
      </c>
      <c r="G355" t="s">
        <v>73</v>
      </c>
      <c r="H355" t="s">
        <v>74</v>
      </c>
      <c r="I355" t="s">
        <v>75</v>
      </c>
      <c r="J355" s="70">
        <v>3</v>
      </c>
      <c r="K355" s="70"/>
      <c r="L355" s="70"/>
      <c r="M355" t="s">
        <v>428</v>
      </c>
      <c r="N355" t="s">
        <v>237</v>
      </c>
      <c r="O355" s="18">
        <v>263.30970575318395</v>
      </c>
      <c r="P355" s="18">
        <v>7.6028727872787272</v>
      </c>
      <c r="Q355" s="97">
        <v>0.65071224344933787</v>
      </c>
      <c r="R355" s="97">
        <v>0.17858004513535283</v>
      </c>
      <c r="S355" s="97">
        <v>9.8031944960207465E-2</v>
      </c>
      <c r="T355" s="97">
        <v>1.7233581030647392E-2</v>
      </c>
      <c r="U355" s="97">
        <v>3.1028454974549187E-3</v>
      </c>
      <c r="V355" s="97">
        <v>1.8552739688703222E-2</v>
      </c>
      <c r="W355" s="97">
        <v>3.3786600238296355E-2</v>
      </c>
      <c r="X355" s="51">
        <f t="shared" si="23"/>
        <v>7.3849675210033725</v>
      </c>
      <c r="Y355" s="18">
        <v>855.68861233949485</v>
      </c>
      <c r="Z355" s="18">
        <v>56.146968600373782</v>
      </c>
      <c r="AA355" s="18">
        <f t="shared" si="24"/>
        <v>21.323546900699405</v>
      </c>
      <c r="AB355" s="18">
        <f t="shared" si="25"/>
        <v>65.616122256044989</v>
      </c>
      <c r="AC355" s="18">
        <f>$CP$15*Table2912[[#This Row],[DMD '[mg/g']]]+$CS$15*Table2912[[#This Row],[CH4 '[ml/g']]]+$CR$15*Table2912[[#This Row],[CH4 '[% GP']]]+$CQ$15*Table2912[[#This Row],[CH4 '[g/g DDM']]]</f>
        <v>14.610272307350442</v>
      </c>
      <c r="AD355" s="18">
        <f>_xlfn.RANK.AVG(Table2912[[#This Row],[Index]],Table2912[Index])</f>
        <v>278</v>
      </c>
      <c r="AE35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7.0503281802026088</v>
      </c>
      <c r="AF355" s="18">
        <f>Table2912[[#This Row],[CH4 '[ml/g']]]/Table2912[[#This Row],[APB]]</f>
        <v>7.9637383062585689</v>
      </c>
      <c r="AG355" s="18">
        <f>Table2912[[#This Row],[Propionate '[%']]]/Table2912[[#This Row],[Acetate '[%']]]</f>
        <v>0.27443781323173527</v>
      </c>
      <c r="AH355" s="51"/>
      <c r="AI355" s="18"/>
      <c r="AJ355" s="18"/>
      <c r="AK355" s="18">
        <f>(Table2912[[#This Row],[DMD '[mg/g']]]-$AK$15)/$AK$15*100</f>
        <v>74.527350698867224</v>
      </c>
      <c r="AL355" s="18">
        <f>(Table2912[[#This Row],[CH4 '[ml/g']]]-AL$15)/AL$15*100</f>
        <v>42.750614738983671</v>
      </c>
      <c r="AM355" s="18">
        <f>(Table2912[[#This Row],[CH4 '[% GP']]]-AM$15)/AM$15*100</f>
        <v>37.373153542893256</v>
      </c>
      <c r="AN355" s="18">
        <f>(Table2912[[#This Row],[CH4 '[g/g DDM']]]-AN$15)/AN$15*100</f>
        <v>28.117640200150362</v>
      </c>
      <c r="AO355" s="18"/>
      <c r="AP355" s="18"/>
      <c r="AR355">
        <f>_xlfn.NORM.DIST(Table2912[[#This Row],[GP '[ml/g']]],O$6,O$2,FALSE)</f>
        <v>7.3998984486416631E-3</v>
      </c>
      <c r="AS355">
        <f>_xlfn.NORM.DIST(Table2912[[#This Row],[SCFA '[mmol/g']]],P$6,P$2,FALSE)</f>
        <v>0.22420422054520742</v>
      </c>
      <c r="AT355">
        <f>_xlfn.NORM.DIST(Table2912[[#This Row],[Acetate '[%']]],Q$6,Q$2,FALSE)</f>
        <v>10.282841800708015</v>
      </c>
      <c r="AU355">
        <f>_xlfn.NORM.DIST(Table2912[[#This Row],[Propionate '[%']]],R$6,R$2,FALSE)</f>
        <v>16.134143110050225</v>
      </c>
      <c r="AV355">
        <f>_xlfn.NORM.DIST(Table2912[[#This Row],[Butyrate '[%']]],S$6,S$2,FALSE)</f>
        <v>22.049469951223724</v>
      </c>
      <c r="AW355">
        <f>_xlfn.NORM.DIST(Table2912[[#This Row],[Valerate '[%']]],T$6,T$2,FALSE)</f>
        <v>77.13205363758351</v>
      </c>
      <c r="AX355">
        <f>_xlfn.NORM.DIST(Table2912[[#This Row],[Caproate '[%']]],U$6,U$2,FALSE)</f>
        <v>79.783869133440362</v>
      </c>
      <c r="AY355">
        <f>_xlfn.NORM.DIST(Table2912[[#This Row],[Isobutyrate '[%']]],V$6,V$2,FALSE)</f>
        <v>69.013808819387592</v>
      </c>
      <c r="AZ355">
        <f>_xlfn.NORM.DIST(Table2912[[#This Row],[Isovalerate '[%']]],W$6,W$2,FALSE)</f>
        <v>36.274579032964589</v>
      </c>
      <c r="BA355">
        <f>_xlfn.NORM.DIST(Table2912[[#This Row],[CH4 '[g/mmol SCFA']]],X$6,X$2,FALSE)</f>
        <v>0.21219518174251553</v>
      </c>
      <c r="BB355">
        <f>_xlfn.NORM.DIST(Table2912[[#This Row],[DMD '[mg/g']]],Y$6,Y$2,FALSE)</f>
        <v>2.4610201005835193E-3</v>
      </c>
      <c r="BC355">
        <f>_xlfn.NORM.DIST(Table2912[[#This Row],[CH4 '[ml/g']]],Z$6,Z$2,FALSE)</f>
        <v>1.5557086769008093E-2</v>
      </c>
      <c r="BD355">
        <f>_xlfn.NORM.DIST(Table2912[[#This Row],[CH4 '[% GP']]],AA$6,AA$2,FALSE)</f>
        <v>2.7897111748352174E-2</v>
      </c>
      <c r="BE355">
        <f>_xlfn.NORM.DIST(Table2912[[#This Row],[CH4 '[g/g DDM']]],AB$6,AB$2,FALSE)</f>
        <v>1.9731601167514479E-2</v>
      </c>
      <c r="BG355">
        <f>IF(Table2912[[#This Row],[GP '[ml/g']]]&lt;O$10,_xlfn.NORM.DIST(Table2912[[#This Row],[GP '[ml/g']]],O$6,O$2,FALSE),-100)</f>
        <v>-100</v>
      </c>
      <c r="BH355">
        <f>IF(Table2912[[#This Row],[SCFA '[mmol/g']]]&lt;P$10,_xlfn.NORM.DIST(Table2912[[#This Row],[SCFA '[mmol/g']]],P$6,P$2,FALSE),-100)</f>
        <v>-100</v>
      </c>
      <c r="BI355">
        <f>IF(Table2912[[#This Row],[Acetate '[%']]]&lt;Q$10,_xlfn.NORM.DIST(Table2912[[#This Row],[Acetate '[%']]],Q$6,Q$2,FALSE),-100)</f>
        <v>-100</v>
      </c>
      <c r="BJ355">
        <f>IF(Table2912[[#This Row],[Propionate '[%']]]&lt;R$10,_xlfn.NORM.DIST(Table2912[[#This Row],[Propionate '[%']]],R$6,R$2,FALSE),-100)</f>
        <v>-100</v>
      </c>
      <c r="BK355">
        <f>IF(Table2912[[#This Row],[Butyrate '[%']]]&lt;S$10,_xlfn.NORM.DIST(Table2912[[#This Row],[Butyrate '[%']]],S$6,S$2,FALSE),-100)</f>
        <v>-100</v>
      </c>
      <c r="BL355">
        <f>IF(Table2912[[#This Row],[Valerate '[%']]]&lt;T$10,_xlfn.NORM.DIST(Table2912[[#This Row],[Valerate '[%']]],T$6,T$2,FALSE),-100)</f>
        <v>-100</v>
      </c>
      <c r="BM355">
        <f>IF(Table2912[[#This Row],[Caproate '[%']]]&lt;U$10,_xlfn.NORM.DIST(Table2912[[#This Row],[Caproate '[%']]],U$6,U$2,FALSE),-100)</f>
        <v>-100</v>
      </c>
      <c r="BN355">
        <f>IF(Table2912[[#This Row],[Isobutyrate '[%']]]&lt;V$10,_xlfn.NORM.DIST(Table2912[[#This Row],[Isobutyrate '[%']]],V$6,V$2,FALSE),-100)</f>
        <v>-100</v>
      </c>
      <c r="BO355">
        <f>IF(Table2912[[#This Row],[Isovalerate '[%']]]&lt;W$10,_xlfn.NORM.DIST(Table2912[[#This Row],[Isovalerate '[%']]],W$6,W$2,FALSE),-100)</f>
        <v>-100</v>
      </c>
      <c r="BP355">
        <f>IF(Table2912[[#This Row],[CH4 '[g/mmol SCFA']]]&lt;X$10,_xlfn.NORM.DIST(Table2912[[#This Row],[CH4 '[g/mmol SCFA']]],X$6,X$2,FALSE),-100)</f>
        <v>-100</v>
      </c>
      <c r="BQ355">
        <f>IF(Table2912[[#This Row],[DMD '[mg/g']]]&gt;Y$10,_xlfn.NORM.DIST(Table2912[[#This Row],[DMD '[mg/g']]],Y$6,Y$2,FALSE),-100)</f>
        <v>-100</v>
      </c>
      <c r="BR355">
        <f>IF(Table2912[[#This Row],[CH4 '[ml/g']]]&lt;Z$10,_xlfn.NORM.DIST(Table2912[[#This Row],[CH4 '[ml/g']]],Z$6,Z$2,FALSE),-100)</f>
        <v>-100</v>
      </c>
      <c r="BS355">
        <f>IF(Table2912[[#This Row],[CH4 '[% GP']]]&lt;AA$10,_xlfn.NORM.DIST(Table2912[[#This Row],[CH4 '[% GP']]],AA$6,AA$2,FALSE),-100)</f>
        <v>-100</v>
      </c>
      <c r="BT355">
        <f>IF(Table2912[[#This Row],[CH4 '[g/g DDM']]]&lt;AB$10,_xlfn.NORM.DIST(Table2912[[#This Row],[CH4 '[g/g DDM']]],AB$6,AB$2,FALSE),-100)</f>
        <v>-100</v>
      </c>
    </row>
    <row r="356" spans="1:72" x14ac:dyDescent="0.25">
      <c r="A356" s="12" t="s">
        <v>86</v>
      </c>
      <c r="B356" s="13">
        <v>1080</v>
      </c>
      <c r="C356" s="104" t="s">
        <v>386</v>
      </c>
      <c r="D356" s="104" t="s">
        <v>387</v>
      </c>
      <c r="E356" s="104" t="s">
        <v>388</v>
      </c>
      <c r="F356" s="104" t="s">
        <v>389</v>
      </c>
      <c r="G356" s="23" t="s">
        <v>143</v>
      </c>
      <c r="H356" s="23" t="s">
        <v>144</v>
      </c>
      <c r="I356" s="32" t="s">
        <v>52</v>
      </c>
      <c r="J356" s="100">
        <v>1</v>
      </c>
      <c r="K356" s="100"/>
      <c r="L356" s="100"/>
      <c r="M356" t="s">
        <v>389</v>
      </c>
      <c r="N356" t="s">
        <v>145</v>
      </c>
      <c r="O356" s="18">
        <v>308.10200829513258</v>
      </c>
      <c r="P356" s="18">
        <v>6.7211062750163286</v>
      </c>
      <c r="Q356" s="97">
        <v>0.65225650771279364</v>
      </c>
      <c r="R356" s="97">
        <v>0.16448893069285919</v>
      </c>
      <c r="S356" s="97">
        <v>0.10569088340322474</v>
      </c>
      <c r="T356" s="97">
        <v>1.7863716767423383E-2</v>
      </c>
      <c r="U356" s="97">
        <v>1.2703413582649302E-3</v>
      </c>
      <c r="V356" s="97">
        <v>1.9773766595177628E-2</v>
      </c>
      <c r="W356" s="97">
        <v>3.8655853470256574E-2</v>
      </c>
      <c r="X356" s="51">
        <f t="shared" si="23"/>
        <v>8.1371572979921982</v>
      </c>
      <c r="Y356" s="18">
        <v>855.69520264574521</v>
      </c>
      <c r="Z356" s="18">
        <v>54.690698976330282</v>
      </c>
      <c r="AA356" s="18">
        <f t="shared" si="24"/>
        <v>17.75084144337734</v>
      </c>
      <c r="AB356" s="18">
        <f t="shared" si="25"/>
        <v>63.913761357117295</v>
      </c>
      <c r="AC356" s="18">
        <f>$CP$15*Table2912[[#This Row],[DMD '[mg/g']]]+$CS$15*Table2912[[#This Row],[CH4 '[ml/g']]]+$CR$15*Table2912[[#This Row],[CH4 '[% GP']]]+$CQ$15*Table2912[[#This Row],[CH4 '[g/g DDM']]]</f>
        <v>16.328061626946472</v>
      </c>
      <c r="AD356" s="18">
        <f>_xlfn.RANK.AVG(Table2912[[#This Row],[Index]],Table2912[Index])</f>
        <v>245</v>
      </c>
      <c r="AE35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6.1997925508126279</v>
      </c>
      <c r="AF356" s="18">
        <f>Table2912[[#This Row],[CH4 '[ml/g']]]/Table2912[[#This Row],[APB]]</f>
        <v>8.8213756392803475</v>
      </c>
      <c r="AG356" s="18">
        <f>Table2912[[#This Row],[Propionate '[%']]]/Table2912[[#This Row],[Acetate '[%']]]</f>
        <v>0.25218442245928219</v>
      </c>
      <c r="AH356" s="51"/>
      <c r="AI356" s="18"/>
      <c r="AJ356" s="18"/>
      <c r="AK356" s="18">
        <f>(Table2912[[#This Row],[DMD '[mg/g']]]-$AK$15)/$AK$15*100</f>
        <v>74.528694866212192</v>
      </c>
      <c r="AL356" s="18">
        <f>(Table2912[[#This Row],[CH4 '[ml/g']]]-AL$15)/AL$15*100</f>
        <v>39.048128402855205</v>
      </c>
      <c r="AM356" s="18">
        <f>(Table2912[[#This Row],[CH4 '[% GP']]]-AM$15)/AM$15*100</f>
        <v>14.356634872815022</v>
      </c>
      <c r="AN356" s="18">
        <f>(Table2912[[#This Row],[CH4 '[g/g DDM']]]-AN$15)/AN$15*100</f>
        <v>24.793724466627573</v>
      </c>
      <c r="AO356" s="18"/>
      <c r="AP356" s="18"/>
      <c r="AR356">
        <f>_xlfn.NORM.DIST(Table2912[[#This Row],[GP '[ml/g']]],O$6,O$2,FALSE)</f>
        <v>4.5982830201101365E-3</v>
      </c>
      <c r="AS356">
        <f>_xlfn.NORM.DIST(Table2912[[#This Row],[SCFA '[mmol/g']]],P$6,P$2,FALSE)</f>
        <v>0.32886363661361678</v>
      </c>
      <c r="AT356">
        <f>_xlfn.NORM.DIST(Table2912[[#This Row],[Acetate '[%']]],Q$6,Q$2,FALSE)</f>
        <v>10.716561219927881</v>
      </c>
      <c r="AU356">
        <f>_xlfn.NORM.DIST(Table2912[[#This Row],[Propionate '[%']]],R$6,R$2,FALSE)</f>
        <v>16.000586430775282</v>
      </c>
      <c r="AV356">
        <f>_xlfn.NORM.DIST(Table2912[[#This Row],[Butyrate '[%']]],S$6,S$2,FALSE)</f>
        <v>17.551156307125517</v>
      </c>
      <c r="AW356">
        <f>_xlfn.NORM.DIST(Table2912[[#This Row],[Valerate '[%']]],T$6,T$2,FALSE)</f>
        <v>77.334265120455001</v>
      </c>
      <c r="AX356">
        <f>_xlfn.NORM.DIST(Table2912[[#This Row],[Caproate '[%']]],U$6,U$2,FALSE)</f>
        <v>406.08244077443794</v>
      </c>
      <c r="AY356">
        <f>_xlfn.NORM.DIST(Table2912[[#This Row],[Isobutyrate '[%']]],V$6,V$2,FALSE)</f>
        <v>54.298050580146629</v>
      </c>
      <c r="AZ356">
        <f>_xlfn.NORM.DIST(Table2912[[#This Row],[Isovalerate '[%']]],W$6,W$2,FALSE)</f>
        <v>21.442607576853625</v>
      </c>
      <c r="BA356">
        <f>_xlfn.NORM.DIST(Table2912[[#This Row],[CH4 '[g/mmol SCFA']]],X$6,X$2,FALSE)</f>
        <v>0.11437915694665203</v>
      </c>
      <c r="BB356">
        <f>_xlfn.NORM.DIST(Table2912[[#This Row],[DMD '[mg/g']]],Y$6,Y$2,FALSE)</f>
        <v>2.4609510419783768E-3</v>
      </c>
      <c r="BC356">
        <f>_xlfn.NORM.DIST(Table2912[[#This Row],[CH4 '[ml/g']]],Z$6,Z$2,FALSE)</f>
        <v>1.7967085372509572E-2</v>
      </c>
      <c r="BD356">
        <f>_xlfn.NORM.DIST(Table2912[[#This Row],[CH4 '[% GP']]],AA$6,AA$2,FALSE)</f>
        <v>0.11463598114542367</v>
      </c>
      <c r="BE356">
        <f>_xlfn.NORM.DIST(Table2912[[#This Row],[CH4 '[g/g DDM']]],AB$6,AB$2,FALSE)</f>
        <v>2.2509738474465288E-2</v>
      </c>
      <c r="BG356">
        <f>IF(Table2912[[#This Row],[GP '[ml/g']]]&lt;O$10,_xlfn.NORM.DIST(Table2912[[#This Row],[GP '[ml/g']]],O$6,O$2,FALSE),-100)</f>
        <v>-100</v>
      </c>
      <c r="BH356">
        <f>IF(Table2912[[#This Row],[SCFA '[mmol/g']]]&lt;P$10,_xlfn.NORM.DIST(Table2912[[#This Row],[SCFA '[mmol/g']]],P$6,P$2,FALSE),-100)</f>
        <v>-100</v>
      </c>
      <c r="BI356">
        <f>IF(Table2912[[#This Row],[Acetate '[%']]]&lt;Q$10,_xlfn.NORM.DIST(Table2912[[#This Row],[Acetate '[%']]],Q$6,Q$2,FALSE),-100)</f>
        <v>-100</v>
      </c>
      <c r="BJ356">
        <f>IF(Table2912[[#This Row],[Propionate '[%']]]&lt;R$10,_xlfn.NORM.DIST(Table2912[[#This Row],[Propionate '[%']]],R$6,R$2,FALSE),-100)</f>
        <v>-100</v>
      </c>
      <c r="BK356">
        <f>IF(Table2912[[#This Row],[Butyrate '[%']]]&lt;S$10,_xlfn.NORM.DIST(Table2912[[#This Row],[Butyrate '[%']]],S$6,S$2,FALSE),-100)</f>
        <v>-100</v>
      </c>
      <c r="BL356">
        <f>IF(Table2912[[#This Row],[Valerate '[%']]]&lt;T$10,_xlfn.NORM.DIST(Table2912[[#This Row],[Valerate '[%']]],T$6,T$2,FALSE),-100)</f>
        <v>-100</v>
      </c>
      <c r="BM356">
        <f>IF(Table2912[[#This Row],[Caproate '[%']]]&lt;U$10,_xlfn.NORM.DIST(Table2912[[#This Row],[Caproate '[%']]],U$6,U$2,FALSE),-100)</f>
        <v>-100</v>
      </c>
      <c r="BN356">
        <f>IF(Table2912[[#This Row],[Isobutyrate '[%']]]&lt;V$10,_xlfn.NORM.DIST(Table2912[[#This Row],[Isobutyrate '[%']]],V$6,V$2,FALSE),-100)</f>
        <v>-100</v>
      </c>
      <c r="BO356">
        <f>IF(Table2912[[#This Row],[Isovalerate '[%']]]&lt;W$10,_xlfn.NORM.DIST(Table2912[[#This Row],[Isovalerate '[%']]],W$6,W$2,FALSE),-100)</f>
        <v>-100</v>
      </c>
      <c r="BP356">
        <f>IF(Table2912[[#This Row],[CH4 '[g/mmol SCFA']]]&lt;X$10,_xlfn.NORM.DIST(Table2912[[#This Row],[CH4 '[g/mmol SCFA']]],X$6,X$2,FALSE),-100)</f>
        <v>-100</v>
      </c>
      <c r="BQ356">
        <f>IF(Table2912[[#This Row],[DMD '[mg/g']]]&gt;Y$10,_xlfn.NORM.DIST(Table2912[[#This Row],[DMD '[mg/g']]],Y$6,Y$2,FALSE),-100)</f>
        <v>-100</v>
      </c>
      <c r="BR356">
        <f>IF(Table2912[[#This Row],[CH4 '[ml/g']]]&lt;Z$10,_xlfn.NORM.DIST(Table2912[[#This Row],[CH4 '[ml/g']]],Z$6,Z$2,FALSE),-100)</f>
        <v>-100</v>
      </c>
      <c r="BS356">
        <f>IF(Table2912[[#This Row],[CH4 '[% GP']]]&lt;AA$10,_xlfn.NORM.DIST(Table2912[[#This Row],[CH4 '[% GP']]],AA$6,AA$2,FALSE),-100)</f>
        <v>-100</v>
      </c>
      <c r="BT356">
        <f>IF(Table2912[[#This Row],[CH4 '[g/g DDM']]]&lt;AB$10,_xlfn.NORM.DIST(Table2912[[#This Row],[CH4 '[g/g DDM']]],AB$6,AB$2,FALSE),-100)</f>
        <v>-100</v>
      </c>
    </row>
    <row r="357" spans="1:72" x14ac:dyDescent="0.25">
      <c r="A357" s="12" t="s">
        <v>86</v>
      </c>
      <c r="B357" s="13">
        <v>1093</v>
      </c>
      <c r="C357" s="104" t="s">
        <v>449</v>
      </c>
      <c r="D357" s="104" t="s">
        <v>450</v>
      </c>
      <c r="E357" s="104" t="s">
        <v>451</v>
      </c>
      <c r="F357" s="104" t="s">
        <v>452</v>
      </c>
      <c r="G357" s="32" t="s">
        <v>143</v>
      </c>
      <c r="H357" s="32" t="s">
        <v>144</v>
      </c>
      <c r="I357" s="32" t="s">
        <v>52</v>
      </c>
      <c r="J357" s="107">
        <v>3</v>
      </c>
      <c r="K357" s="107"/>
      <c r="L357" s="107"/>
      <c r="M357" t="s">
        <v>452</v>
      </c>
      <c r="N357" t="s">
        <v>99</v>
      </c>
      <c r="O357" s="18">
        <v>265.1178524374177</v>
      </c>
      <c r="P357" s="18">
        <v>6.3102967798491587</v>
      </c>
      <c r="Q357" s="97">
        <v>0.66603157486071918</v>
      </c>
      <c r="R357" s="97">
        <v>0.17399568036044025</v>
      </c>
      <c r="S357" s="97">
        <v>8.7181938491087796E-2</v>
      </c>
      <c r="T357" s="97">
        <v>2.3844819435862682E-2</v>
      </c>
      <c r="U357" s="97">
        <v>1.440238825937693E-3</v>
      </c>
      <c r="V357" s="97">
        <v>1.8312277092782853E-2</v>
      </c>
      <c r="W357" s="97">
        <v>2.9193470933169499E-2</v>
      </c>
      <c r="X357" s="51">
        <f t="shared" si="23"/>
        <v>8.9362478455044485</v>
      </c>
      <c r="Y357" s="18">
        <v>856.65020627362287</v>
      </c>
      <c r="Z357" s="18">
        <v>56.390376003420698</v>
      </c>
      <c r="AA357" s="18">
        <f t="shared" si="24"/>
        <v>21.269927877351037</v>
      </c>
      <c r="AB357" s="18">
        <f t="shared" si="25"/>
        <v>65.826606461364733</v>
      </c>
      <c r="AC357" s="18">
        <f>$CP$15*Table2912[[#This Row],[DMD '[mg/g']]]+$CS$15*Table2912[[#This Row],[CH4 '[ml/g']]]+$CR$15*Table2912[[#This Row],[CH4 '[% GP']]]+$CQ$15*Table2912[[#This Row],[CH4 '[g/g DDM']]]</f>
        <v>14.635648641700641</v>
      </c>
      <c r="AD357" s="18">
        <f>_xlfn.RANK.AVG(Table2912[[#This Row],[Index]],Table2912[Index])</f>
        <v>276</v>
      </c>
      <c r="AE35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5.8509651893289281</v>
      </c>
      <c r="AF357" s="18">
        <f>Table2912[[#This Row],[CH4 '[ml/g']]]/Table2912[[#This Row],[APB]]</f>
        <v>9.6377903779475993</v>
      </c>
      <c r="AG357" s="18">
        <f>Table2912[[#This Row],[Propionate '[%']]]/Table2912[[#This Row],[Acetate '[%']]]</f>
        <v>0.26124238989244059</v>
      </c>
      <c r="AH357" s="51"/>
      <c r="AI357" s="18"/>
      <c r="AJ357" s="18"/>
      <c r="AK357" s="18">
        <f>(Table2912[[#This Row],[DMD '[mg/g']]]-$AK$15)/$AK$15*100</f>
        <v>74.723478635305014</v>
      </c>
      <c r="AL357" s="18">
        <f>(Table2912[[#This Row],[CH4 '[ml/g']]]-AL$15)/AL$15*100</f>
        <v>43.369464826230157</v>
      </c>
      <c r="AM357" s="18">
        <f>(Table2912[[#This Row],[CH4 '[% GP']]]-AM$15)/AM$15*100</f>
        <v>37.027722533617137</v>
      </c>
      <c r="AN357" s="18">
        <f>(Table2912[[#This Row],[CH4 '[g/g DDM']]]-AN$15)/AN$15*100</f>
        <v>28.528617544708169</v>
      </c>
      <c r="AO357" s="18"/>
      <c r="AP357" s="18"/>
      <c r="AR357">
        <f>_xlfn.NORM.DIST(Table2912[[#This Row],[GP '[ml/g']]],O$6,O$2,FALSE)</f>
        <v>7.3589780287105352E-3</v>
      </c>
      <c r="AS357">
        <f>_xlfn.NORM.DIST(Table2912[[#This Row],[SCFA '[mmol/g']]],P$6,P$2,FALSE)</f>
        <v>0.326823700714993</v>
      </c>
      <c r="AT357">
        <f>_xlfn.NORM.DIST(Table2912[[#This Row],[Acetate '[%']]],Q$6,Q$2,FALSE)</f>
        <v>13.597358302994515</v>
      </c>
      <c r="AU357">
        <f>_xlfn.NORM.DIST(Table2912[[#This Row],[Propionate '[%']]],R$6,R$2,FALSE)</f>
        <v>16.723855425735767</v>
      </c>
      <c r="AV357">
        <f>_xlfn.NORM.DIST(Table2912[[#This Row],[Butyrate '[%']]],S$6,S$2,FALSE)</f>
        <v>21.799855868451605</v>
      </c>
      <c r="AW357">
        <f>_xlfn.NORM.DIST(Table2912[[#This Row],[Valerate '[%']]],T$6,T$2,FALSE)</f>
        <v>37.670192587770572</v>
      </c>
      <c r="AX357">
        <f>_xlfn.NORM.DIST(Table2912[[#This Row],[Caproate '[%']]],U$6,U$2,FALSE)</f>
        <v>404.49009284422914</v>
      </c>
      <c r="AY357">
        <f>_xlfn.NORM.DIST(Table2912[[#This Row],[Isobutyrate '[%']]],V$6,V$2,FALSE)</f>
        <v>71.705020302059765</v>
      </c>
      <c r="AZ357">
        <f>_xlfn.NORM.DIST(Table2912[[#This Row],[Isovalerate '[%']]],W$6,W$2,FALSE)</f>
        <v>44.936038534346544</v>
      </c>
      <c r="BA357">
        <f>_xlfn.NORM.DIST(Table2912[[#This Row],[CH4 '[g/mmol SCFA']]],X$6,X$2,FALSE)</f>
        <v>4.203649442752954E-2</v>
      </c>
      <c r="BB357">
        <f>_xlfn.NORM.DIST(Table2912[[#This Row],[DMD '[mg/g']]],Y$6,Y$2,FALSE)</f>
        <v>2.4509040671920994E-3</v>
      </c>
      <c r="BC357">
        <f>_xlfn.NORM.DIST(Table2912[[#This Row],[CH4 '[ml/g']]],Z$6,Z$2,FALSE)</f>
        <v>1.5164908713575228E-2</v>
      </c>
      <c r="BD357">
        <f>_xlfn.NORM.DIST(Table2912[[#This Row],[CH4 '[% GP']]],AA$6,AA$2,FALSE)</f>
        <v>2.8803337433432368E-2</v>
      </c>
      <c r="BE357">
        <f>_xlfn.NORM.DIST(Table2912[[#This Row],[CH4 '[g/g DDM']]],AB$6,AB$2,FALSE)</f>
        <v>1.9386352280961409E-2</v>
      </c>
      <c r="BG357">
        <f>IF(Table2912[[#This Row],[GP '[ml/g']]]&lt;O$10,_xlfn.NORM.DIST(Table2912[[#This Row],[GP '[ml/g']]],O$6,O$2,FALSE),-100)</f>
        <v>-100</v>
      </c>
      <c r="BH357">
        <f>IF(Table2912[[#This Row],[SCFA '[mmol/g']]]&lt;P$10,_xlfn.NORM.DIST(Table2912[[#This Row],[SCFA '[mmol/g']]],P$6,P$2,FALSE),-100)</f>
        <v>-100</v>
      </c>
      <c r="BI357">
        <f>IF(Table2912[[#This Row],[Acetate '[%']]]&lt;Q$10,_xlfn.NORM.DIST(Table2912[[#This Row],[Acetate '[%']]],Q$6,Q$2,FALSE),-100)</f>
        <v>-100</v>
      </c>
      <c r="BJ357">
        <f>IF(Table2912[[#This Row],[Propionate '[%']]]&lt;R$10,_xlfn.NORM.DIST(Table2912[[#This Row],[Propionate '[%']]],R$6,R$2,FALSE),-100)</f>
        <v>-100</v>
      </c>
      <c r="BK357">
        <f>IF(Table2912[[#This Row],[Butyrate '[%']]]&lt;S$10,_xlfn.NORM.DIST(Table2912[[#This Row],[Butyrate '[%']]],S$6,S$2,FALSE),-100)</f>
        <v>-100</v>
      </c>
      <c r="BL357">
        <f>IF(Table2912[[#This Row],[Valerate '[%']]]&lt;T$10,_xlfn.NORM.DIST(Table2912[[#This Row],[Valerate '[%']]],T$6,T$2,FALSE),-100)</f>
        <v>-100</v>
      </c>
      <c r="BM357">
        <f>IF(Table2912[[#This Row],[Caproate '[%']]]&lt;U$10,_xlfn.NORM.DIST(Table2912[[#This Row],[Caproate '[%']]],U$6,U$2,FALSE),-100)</f>
        <v>-100</v>
      </c>
      <c r="BN357">
        <f>IF(Table2912[[#This Row],[Isobutyrate '[%']]]&lt;V$10,_xlfn.NORM.DIST(Table2912[[#This Row],[Isobutyrate '[%']]],V$6,V$2,FALSE),-100)</f>
        <v>-100</v>
      </c>
      <c r="BO357">
        <f>IF(Table2912[[#This Row],[Isovalerate '[%']]]&lt;W$10,_xlfn.NORM.DIST(Table2912[[#This Row],[Isovalerate '[%']]],W$6,W$2,FALSE),-100)</f>
        <v>-100</v>
      </c>
      <c r="BP357">
        <f>IF(Table2912[[#This Row],[CH4 '[g/mmol SCFA']]]&lt;X$10,_xlfn.NORM.DIST(Table2912[[#This Row],[CH4 '[g/mmol SCFA']]],X$6,X$2,FALSE),-100)</f>
        <v>-100</v>
      </c>
      <c r="BQ357">
        <f>IF(Table2912[[#This Row],[DMD '[mg/g']]]&gt;Y$10,_xlfn.NORM.DIST(Table2912[[#This Row],[DMD '[mg/g']]],Y$6,Y$2,FALSE),-100)</f>
        <v>-100</v>
      </c>
      <c r="BR357">
        <f>IF(Table2912[[#This Row],[CH4 '[ml/g']]]&lt;Z$10,_xlfn.NORM.DIST(Table2912[[#This Row],[CH4 '[ml/g']]],Z$6,Z$2,FALSE),-100)</f>
        <v>-100</v>
      </c>
      <c r="BS357">
        <f>IF(Table2912[[#This Row],[CH4 '[% GP']]]&lt;AA$10,_xlfn.NORM.DIST(Table2912[[#This Row],[CH4 '[% GP']]],AA$6,AA$2,FALSE),-100)</f>
        <v>-100</v>
      </c>
      <c r="BT357">
        <f>IF(Table2912[[#This Row],[CH4 '[g/g DDM']]]&lt;AB$10,_xlfn.NORM.DIST(Table2912[[#This Row],[CH4 '[g/g DDM']]],AB$6,AB$2,FALSE),-100)</f>
        <v>-100</v>
      </c>
    </row>
    <row r="358" spans="1:72" x14ac:dyDescent="0.25">
      <c r="A358" s="12" t="s">
        <v>70</v>
      </c>
      <c r="B358" s="13">
        <v>987</v>
      </c>
      <c r="C358" s="96" t="s">
        <v>370</v>
      </c>
      <c r="D358" s="96"/>
      <c r="E358" s="96"/>
      <c r="F358" s="96" t="s">
        <v>371</v>
      </c>
      <c r="G358" t="s">
        <v>73</v>
      </c>
      <c r="H358" t="s">
        <v>74</v>
      </c>
      <c r="I358" t="s">
        <v>75</v>
      </c>
      <c r="J358" s="100">
        <v>1</v>
      </c>
      <c r="K358" s="100"/>
      <c r="L358" s="100"/>
      <c r="M358" t="s">
        <v>371</v>
      </c>
      <c r="N358" t="s">
        <v>85</v>
      </c>
      <c r="O358" s="18">
        <v>293.92583058305837</v>
      </c>
      <c r="P358" s="18">
        <v>7.691431936434201</v>
      </c>
      <c r="Q358" s="97">
        <v>0.66435438864152807</v>
      </c>
      <c r="R358" s="97">
        <v>0.15745384762416781</v>
      </c>
      <c r="S358" s="97">
        <v>0.11724192351564688</v>
      </c>
      <c r="T358" s="97">
        <v>1.6030708544903453E-2</v>
      </c>
      <c r="U358" s="97">
        <v>1.6835263160405916E-3</v>
      </c>
      <c r="V358" s="97">
        <v>1.4834550905482417E-2</v>
      </c>
      <c r="W358" s="97">
        <v>2.8401054452230692E-2</v>
      </c>
      <c r="X358" s="51">
        <f t="shared" si="23"/>
        <v>5.6012008057280163</v>
      </c>
      <c r="Y358" s="18">
        <v>856.6965642886355</v>
      </c>
      <c r="Z358" s="18">
        <v>43.081254759557446</v>
      </c>
      <c r="AA358" s="18">
        <f t="shared" si="24"/>
        <v>14.657185683237673</v>
      </c>
      <c r="AB358" s="18">
        <f t="shared" si="25"/>
        <v>50.287647406792502</v>
      </c>
      <c r="AC358" s="18">
        <f>$CP$15*Table2912[[#This Row],[DMD '[mg/g']]]+$CS$15*Table2912[[#This Row],[CH4 '[ml/g']]]+$CR$15*Table2912[[#This Row],[CH4 '[% GP']]]+$CQ$15*Table2912[[#This Row],[CH4 '[g/g DDM']]]</f>
        <v>22.491398948921926</v>
      </c>
      <c r="AD358" s="18">
        <f>_xlfn.RANK.AVG(Table2912[[#This Row],[Index]],Table2912[Index])</f>
        <v>125</v>
      </c>
      <c r="AE35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7.2226403888558588</v>
      </c>
      <c r="AF358" s="18">
        <f>Table2912[[#This Row],[CH4 '[ml/g']]]/Table2912[[#This Row],[APB]]</f>
        <v>5.9647514537799058</v>
      </c>
      <c r="AG358" s="18">
        <f>Table2912[[#This Row],[Propionate '[%']]]/Table2912[[#This Row],[Acetate '[%']]]</f>
        <v>0.23700279597178467</v>
      </c>
      <c r="AH358" s="51"/>
      <c r="AI358" s="18"/>
      <c r="AJ358" s="18"/>
      <c r="AK358" s="18">
        <f>(Table2912[[#This Row],[DMD '[mg/g']]]-$AK$15)/$AK$15*100</f>
        <v>74.732933875712732</v>
      </c>
      <c r="AL358" s="18">
        <f>(Table2912[[#This Row],[CH4 '[ml/g']]]-AL$15)/AL$15*100</f>
        <v>9.5317477320164823</v>
      </c>
      <c r="AM358" s="18">
        <f>(Table2912[[#This Row],[CH4 '[% GP']]]-AM$15)/AM$15*100</f>
        <v>-5.5736914338550587</v>
      </c>
      <c r="AN358" s="18">
        <f>(Table2912[[#This Row],[CH4 '[g/g DDM']]]-AN$15)/AN$15*100</f>
        <v>-1.8117118863737938</v>
      </c>
      <c r="AO358" s="18"/>
      <c r="AP358" s="18"/>
      <c r="AR358">
        <f>_xlfn.NORM.DIST(Table2912[[#This Row],[GP '[ml/g']]],O$6,O$2,FALSE)</f>
        <v>5.7692869808718666E-3</v>
      </c>
      <c r="AS358">
        <f>_xlfn.NORM.DIST(Table2912[[#This Row],[SCFA '[mmol/g']]],P$6,P$2,FALSE)</f>
        <v>0.20938883044548334</v>
      </c>
      <c r="AT358">
        <f>_xlfn.NORM.DIST(Table2912[[#This Row],[Acetate '[%']]],Q$6,Q$2,FALSE)</f>
        <v>13.375562272925354</v>
      </c>
      <c r="AU358">
        <f>_xlfn.NORM.DIST(Table2912[[#This Row],[Propionate '[%']]],R$6,R$2,FALSE)</f>
        <v>13.968885309210833</v>
      </c>
      <c r="AV358">
        <f>_xlfn.NORM.DIST(Table2912[[#This Row],[Butyrate '[%']]],S$6,S$2,FALSE)</f>
        <v>8.5957536280449194</v>
      </c>
      <c r="AW358">
        <f>_xlfn.NORM.DIST(Table2912[[#This Row],[Valerate '[%']]],T$6,T$2,FALSE)</f>
        <v>73.628281483648067</v>
      </c>
      <c r="AX358">
        <f>_xlfn.NORM.DIST(Table2912[[#This Row],[Caproate '[%']]],U$6,U$2,FALSE)</f>
        <v>381.72900826445641</v>
      </c>
      <c r="AY358">
        <f>_xlfn.NORM.DIST(Table2912[[#This Row],[Isobutyrate '[%']]],V$6,V$2,FALSE)</f>
        <v>89.622657131614076</v>
      </c>
      <c r="AZ358">
        <f>_xlfn.NORM.DIST(Table2912[[#This Row],[Isovalerate '[%']]],W$6,W$2,FALSE)</f>
        <v>45.354553689814921</v>
      </c>
      <c r="BA358">
        <f>_xlfn.NORM.DIST(Table2912[[#This Row],[CH4 '[g/mmol SCFA']]],X$6,X$2,FALSE)</f>
        <v>0.26139432414122526</v>
      </c>
      <c r="BB358">
        <f>_xlfn.NORM.DIST(Table2912[[#This Row],[DMD '[mg/g']]],Y$6,Y$2,FALSE)</f>
        <v>2.4504143709865797E-3</v>
      </c>
      <c r="BC358">
        <f>_xlfn.NORM.DIST(Table2912[[#This Row],[CH4 '[ml/g']]],Z$6,Z$2,FALSE)</f>
        <v>3.3172903232455926E-2</v>
      </c>
      <c r="BD358">
        <f>_xlfn.NORM.DIST(Table2912[[#This Row],[CH4 '[% GP']]],AA$6,AA$2,FALSE)</f>
        <v>0.12025899682230423</v>
      </c>
      <c r="BE358">
        <f>_xlfn.NORM.DIST(Table2912[[#This Row],[CH4 '[g/g DDM']]],AB$6,AB$2,FALSE)</f>
        <v>3.1821200554155667E-2</v>
      </c>
      <c r="BG358">
        <f>IF(Table2912[[#This Row],[GP '[ml/g']]]&lt;O$10,_xlfn.NORM.DIST(Table2912[[#This Row],[GP '[ml/g']]],O$6,O$2,FALSE),-100)</f>
        <v>-100</v>
      </c>
      <c r="BH358">
        <f>IF(Table2912[[#This Row],[SCFA '[mmol/g']]]&lt;P$10,_xlfn.NORM.DIST(Table2912[[#This Row],[SCFA '[mmol/g']]],P$6,P$2,FALSE),-100)</f>
        <v>-100</v>
      </c>
      <c r="BI358">
        <f>IF(Table2912[[#This Row],[Acetate '[%']]]&lt;Q$10,_xlfn.NORM.DIST(Table2912[[#This Row],[Acetate '[%']]],Q$6,Q$2,FALSE),-100)</f>
        <v>-100</v>
      </c>
      <c r="BJ358">
        <f>IF(Table2912[[#This Row],[Propionate '[%']]]&lt;R$10,_xlfn.NORM.DIST(Table2912[[#This Row],[Propionate '[%']]],R$6,R$2,FALSE),-100)</f>
        <v>-100</v>
      </c>
      <c r="BK358">
        <f>IF(Table2912[[#This Row],[Butyrate '[%']]]&lt;S$10,_xlfn.NORM.DIST(Table2912[[#This Row],[Butyrate '[%']]],S$6,S$2,FALSE),-100)</f>
        <v>-100</v>
      </c>
      <c r="BL358">
        <f>IF(Table2912[[#This Row],[Valerate '[%']]]&lt;T$10,_xlfn.NORM.DIST(Table2912[[#This Row],[Valerate '[%']]],T$6,T$2,FALSE),-100)</f>
        <v>-100</v>
      </c>
      <c r="BM358">
        <f>IF(Table2912[[#This Row],[Caproate '[%']]]&lt;U$10,_xlfn.NORM.DIST(Table2912[[#This Row],[Caproate '[%']]],U$6,U$2,FALSE),-100)</f>
        <v>-100</v>
      </c>
      <c r="BN358">
        <f>IF(Table2912[[#This Row],[Isobutyrate '[%']]]&lt;V$10,_xlfn.NORM.DIST(Table2912[[#This Row],[Isobutyrate '[%']]],V$6,V$2,FALSE),-100)</f>
        <v>-100</v>
      </c>
      <c r="BO358">
        <f>IF(Table2912[[#This Row],[Isovalerate '[%']]]&lt;W$10,_xlfn.NORM.DIST(Table2912[[#This Row],[Isovalerate '[%']]],W$6,W$2,FALSE),-100)</f>
        <v>-100</v>
      </c>
      <c r="BP358">
        <f>IF(Table2912[[#This Row],[CH4 '[g/mmol SCFA']]]&lt;X$10,_xlfn.NORM.DIST(Table2912[[#This Row],[CH4 '[g/mmol SCFA']]],X$6,X$2,FALSE),-100)</f>
        <v>-100</v>
      </c>
      <c r="BQ358">
        <f>IF(Table2912[[#This Row],[DMD '[mg/g']]]&gt;Y$10,_xlfn.NORM.DIST(Table2912[[#This Row],[DMD '[mg/g']]],Y$6,Y$2,FALSE),-100)</f>
        <v>-100</v>
      </c>
      <c r="BR358">
        <f>IF(Table2912[[#This Row],[CH4 '[ml/g']]]&lt;Z$10,_xlfn.NORM.DIST(Table2912[[#This Row],[CH4 '[ml/g']]],Z$6,Z$2,FALSE),-100)</f>
        <v>-100</v>
      </c>
      <c r="BS358">
        <f>IF(Table2912[[#This Row],[CH4 '[% GP']]]&lt;AA$10,_xlfn.NORM.DIST(Table2912[[#This Row],[CH4 '[% GP']]],AA$6,AA$2,FALSE),-100)</f>
        <v>-100</v>
      </c>
      <c r="BT358">
        <f>IF(Table2912[[#This Row],[CH4 '[g/g DDM']]]&lt;AB$10,_xlfn.NORM.DIST(Table2912[[#This Row],[CH4 '[g/g DDM']]],AB$6,AB$2,FALSE),-100)</f>
        <v>-100</v>
      </c>
    </row>
    <row r="359" spans="1:72" x14ac:dyDescent="0.25">
      <c r="A359" s="12" t="s">
        <v>86</v>
      </c>
      <c r="B359" s="13">
        <v>1067</v>
      </c>
      <c r="C359" s="32">
        <v>21802</v>
      </c>
      <c r="D359" t="s">
        <v>323</v>
      </c>
      <c r="E359" t="s">
        <v>324</v>
      </c>
      <c r="F359" t="s">
        <v>325</v>
      </c>
      <c r="G359" s="23" t="s">
        <v>73</v>
      </c>
      <c r="H359" s="23" t="s">
        <v>74</v>
      </c>
      <c r="I359" s="105" t="s">
        <v>44</v>
      </c>
      <c r="J359" s="70">
        <v>1</v>
      </c>
      <c r="K359" s="70"/>
      <c r="L359" s="70"/>
      <c r="M359" t="s">
        <v>325</v>
      </c>
      <c r="N359" t="s">
        <v>145</v>
      </c>
      <c r="O359" s="18">
        <v>261.03699268130339</v>
      </c>
      <c r="P359" s="18">
        <v>6.8194433399690224</v>
      </c>
      <c r="Q359" s="97">
        <v>0.63134468475457439</v>
      </c>
      <c r="R359" s="97">
        <v>0.17541608166706485</v>
      </c>
      <c r="S359" s="97">
        <v>8.7055560476233002E-2</v>
      </c>
      <c r="T359" s="97">
        <v>2.894008776045285E-2</v>
      </c>
      <c r="U359" s="97">
        <v>6.4985488424536232E-4</v>
      </c>
      <c r="V359" s="97">
        <v>2.620262482574038E-2</v>
      </c>
      <c r="W359" s="97">
        <v>5.0391105631689109E-2</v>
      </c>
      <c r="X359" s="51">
        <f t="shared" si="23"/>
        <v>6.0808168807235345</v>
      </c>
      <c r="Y359" s="18">
        <v>856.71331087272142</v>
      </c>
      <c r="Z359" s="18">
        <v>41.467786178821314</v>
      </c>
      <c r="AA359" s="18">
        <f t="shared" si="24"/>
        <v>15.88578911857477</v>
      </c>
      <c r="AB359" s="18">
        <f t="shared" si="25"/>
        <v>48.403340595442224</v>
      </c>
      <c r="AC359" s="18">
        <f>$CP$15*Table2912[[#This Row],[DMD '[mg/g']]]+$CS$15*Table2912[[#This Row],[CH4 '[ml/g']]]+$CR$15*Table2912[[#This Row],[CH4 '[% GP']]]+$CQ$15*Table2912[[#This Row],[CH4 '[g/g DDM']]]</f>
        <v>22.834626662112655</v>
      </c>
      <c r="AD359" s="18">
        <f>_xlfn.RANK.AVG(Table2912[[#This Row],[Index]],Table2912[Index])</f>
        <v>119</v>
      </c>
      <c r="AE35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6.0953297976192697</v>
      </c>
      <c r="AF359" s="18">
        <f>Table2912[[#This Row],[CH4 '[ml/g']]]/Table2912[[#This Row],[APB]]</f>
        <v>6.8032063162550962</v>
      </c>
      <c r="AG359" s="18">
        <f>Table2912[[#This Row],[Propionate '[%']]]/Table2912[[#This Row],[Acetate '[%']]]</f>
        <v>0.27784518647726508</v>
      </c>
      <c r="AH359" s="51"/>
      <c r="AI359" s="18"/>
      <c r="AJ359" s="18"/>
      <c r="AK359" s="18">
        <f>(Table2912[[#This Row],[DMD '[mg/g']]]-$AK$15)/$AK$15*100</f>
        <v>74.736349530556822</v>
      </c>
      <c r="AL359" s="18">
        <f>(Table2912[[#This Row],[CH4 '[ml/g']]]-AL$15)/AL$15*100</f>
        <v>5.4295915960112149</v>
      </c>
      <c r="AM359" s="18">
        <f>(Table2912[[#This Row],[CH4 '[% GP']]]-AM$15)/AM$15*100</f>
        <v>2.3413674047077415</v>
      </c>
      <c r="AN359" s="18">
        <f>(Table2912[[#This Row],[CH4 '[g/g DDM']]]-AN$15)/AN$15*100</f>
        <v>-5.4908830074777537</v>
      </c>
      <c r="AO359" s="18"/>
      <c r="AP359" s="18"/>
      <c r="AR359">
        <f>_xlfn.NORM.DIST(Table2912[[#This Row],[GP '[ml/g']]],O$6,O$2,FALSE)</f>
        <v>7.439517845125994E-3</v>
      </c>
      <c r="AS359">
        <f>_xlfn.NORM.DIST(Table2912[[#This Row],[SCFA '[mmol/g']]],P$6,P$2,FALSE)</f>
        <v>0.32366771021199586</v>
      </c>
      <c r="AT359">
        <f>_xlfn.NORM.DIST(Table2912[[#This Row],[Acetate '[%']]],Q$6,Q$2,FALSE)</f>
        <v>4.7683066548671311</v>
      </c>
      <c r="AU359">
        <f>_xlfn.NORM.DIST(Table2912[[#This Row],[Propionate '[%']]],R$6,R$2,FALSE)</f>
        <v>16.604838792369772</v>
      </c>
      <c r="AV359">
        <f>_xlfn.NORM.DIST(Table2912[[#This Row],[Butyrate '[%']]],S$6,S$2,FALSE)</f>
        <v>21.746642346311276</v>
      </c>
      <c r="AW359">
        <f>_xlfn.NORM.DIST(Table2912[[#This Row],[Valerate '[%']]],T$6,T$2,FALSE)</f>
        <v>7.0574469690575574</v>
      </c>
      <c r="AX359">
        <f>_xlfn.NORM.DIST(Table2912[[#This Row],[Caproate '[%']]],U$6,U$2,FALSE)</f>
        <v>319.19301988942982</v>
      </c>
      <c r="AY359">
        <f>_xlfn.NORM.DIST(Table2912[[#This Row],[Isobutyrate '[%']]],V$6,V$2,FALSE)</f>
        <v>4.3750920539725673</v>
      </c>
      <c r="AZ359">
        <f>_xlfn.NORM.DIST(Table2912[[#This Row],[Isovalerate '[%']]],W$6,W$2,FALSE)</f>
        <v>1.7072495676020978</v>
      </c>
      <c r="BA359">
        <f>_xlfn.NORM.DIST(Table2912[[#This Row],[CH4 '[g/mmol SCFA']]],X$6,X$2,FALSE)</f>
        <v>0.29405663550494621</v>
      </c>
      <c r="BB359">
        <f>_xlfn.NORM.DIST(Table2912[[#This Row],[DMD '[mg/g']]],Y$6,Y$2,FALSE)</f>
        <v>2.4502374257455075E-3</v>
      </c>
      <c r="BC359">
        <f>_xlfn.NORM.DIST(Table2912[[#This Row],[CH4 '[ml/g']]],Z$6,Z$2,FALSE)</f>
        <v>3.3505451648016632E-2</v>
      </c>
      <c r="BD359">
        <f>_xlfn.NORM.DIST(Table2912[[#This Row],[CH4 '[% GP']]],AA$6,AA$2,FALSE)</f>
        <v>0.13446131713533388</v>
      </c>
      <c r="BE359">
        <f>_xlfn.NORM.DIST(Table2912[[#This Row],[CH4 '[g/g DDM']]],AB$6,AB$2,FALSE)</f>
        <v>3.0232282230771519E-2</v>
      </c>
      <c r="BG359">
        <f>IF(Table2912[[#This Row],[GP '[ml/g']]]&lt;O$10,_xlfn.NORM.DIST(Table2912[[#This Row],[GP '[ml/g']]],O$6,O$2,FALSE),-100)</f>
        <v>-100</v>
      </c>
      <c r="BH359">
        <f>IF(Table2912[[#This Row],[SCFA '[mmol/g']]]&lt;P$10,_xlfn.NORM.DIST(Table2912[[#This Row],[SCFA '[mmol/g']]],P$6,P$2,FALSE),-100)</f>
        <v>-100</v>
      </c>
      <c r="BI359">
        <f>IF(Table2912[[#This Row],[Acetate '[%']]]&lt;Q$10,_xlfn.NORM.DIST(Table2912[[#This Row],[Acetate '[%']]],Q$6,Q$2,FALSE),-100)</f>
        <v>4.7683066548671311</v>
      </c>
      <c r="BJ359">
        <f>IF(Table2912[[#This Row],[Propionate '[%']]]&lt;R$10,_xlfn.NORM.DIST(Table2912[[#This Row],[Propionate '[%']]],R$6,R$2,FALSE),-100)</f>
        <v>-100</v>
      </c>
      <c r="BK359">
        <f>IF(Table2912[[#This Row],[Butyrate '[%']]]&lt;S$10,_xlfn.NORM.DIST(Table2912[[#This Row],[Butyrate '[%']]],S$6,S$2,FALSE),-100)</f>
        <v>-100</v>
      </c>
      <c r="BL359">
        <f>IF(Table2912[[#This Row],[Valerate '[%']]]&lt;T$10,_xlfn.NORM.DIST(Table2912[[#This Row],[Valerate '[%']]],T$6,T$2,FALSE),-100)</f>
        <v>-100</v>
      </c>
      <c r="BM359">
        <f>IF(Table2912[[#This Row],[Caproate '[%']]]&lt;U$10,_xlfn.NORM.DIST(Table2912[[#This Row],[Caproate '[%']]],U$6,U$2,FALSE),-100)</f>
        <v>-100</v>
      </c>
      <c r="BN359">
        <f>IF(Table2912[[#This Row],[Isobutyrate '[%']]]&lt;V$10,_xlfn.NORM.DIST(Table2912[[#This Row],[Isobutyrate '[%']]],V$6,V$2,FALSE),-100)</f>
        <v>-100</v>
      </c>
      <c r="BO359">
        <f>IF(Table2912[[#This Row],[Isovalerate '[%']]]&lt;W$10,_xlfn.NORM.DIST(Table2912[[#This Row],[Isovalerate '[%']]],W$6,W$2,FALSE),-100)</f>
        <v>-100</v>
      </c>
      <c r="BP359">
        <f>IF(Table2912[[#This Row],[CH4 '[g/mmol SCFA']]]&lt;X$10,_xlfn.NORM.DIST(Table2912[[#This Row],[CH4 '[g/mmol SCFA']]],X$6,X$2,FALSE),-100)</f>
        <v>-100</v>
      </c>
      <c r="BQ359">
        <f>IF(Table2912[[#This Row],[DMD '[mg/g']]]&gt;Y$10,_xlfn.NORM.DIST(Table2912[[#This Row],[DMD '[mg/g']]],Y$6,Y$2,FALSE),-100)</f>
        <v>-100</v>
      </c>
      <c r="BR359">
        <f>IF(Table2912[[#This Row],[CH4 '[ml/g']]]&lt;Z$10,_xlfn.NORM.DIST(Table2912[[#This Row],[CH4 '[ml/g']]],Z$6,Z$2,FALSE),-100)</f>
        <v>-100</v>
      </c>
      <c r="BS359">
        <f>IF(Table2912[[#This Row],[CH4 '[% GP']]]&lt;AA$10,_xlfn.NORM.DIST(Table2912[[#This Row],[CH4 '[% GP']]],AA$6,AA$2,FALSE),-100)</f>
        <v>-100</v>
      </c>
      <c r="BT359">
        <f>IF(Table2912[[#This Row],[CH4 '[g/g DDM']]]&lt;AB$10,_xlfn.NORM.DIST(Table2912[[#This Row],[CH4 '[g/g DDM']]],AB$6,AB$2,FALSE),-100)</f>
        <v>-100</v>
      </c>
    </row>
    <row r="360" spans="1:72" x14ac:dyDescent="0.25">
      <c r="A360" s="12" t="s">
        <v>200</v>
      </c>
      <c r="B360" s="13">
        <v>1191</v>
      </c>
      <c r="C360" s="113" t="s">
        <v>401</v>
      </c>
      <c r="D360" s="113" t="s">
        <v>402</v>
      </c>
      <c r="E360" s="113" t="s">
        <v>403</v>
      </c>
      <c r="F360" s="113" t="s">
        <v>404</v>
      </c>
      <c r="G360" s="125" t="s">
        <v>405</v>
      </c>
      <c r="H360" s="125" t="s">
        <v>405</v>
      </c>
      <c r="I360" s="53" t="s">
        <v>48</v>
      </c>
      <c r="J360" s="100">
        <v>2</v>
      </c>
      <c r="K360" s="100"/>
      <c r="L360" s="100"/>
      <c r="M360" t="s">
        <v>406</v>
      </c>
      <c r="N360" t="s">
        <v>208</v>
      </c>
      <c r="O360" s="18">
        <v>256.47876592007077</v>
      </c>
      <c r="P360" s="18">
        <v>6.0169120952413016</v>
      </c>
      <c r="Q360" s="97">
        <v>0.70945353403743838</v>
      </c>
      <c r="R360" s="97">
        <v>0.16304428224940737</v>
      </c>
      <c r="S360" s="97">
        <v>8.3845465248960915E-2</v>
      </c>
      <c r="T360" s="97">
        <v>1.1275673622902948E-2</v>
      </c>
      <c r="U360" s="97">
        <v>4.1592282788644581E-4</v>
      </c>
      <c r="V360" s="97">
        <v>1.2074491863218732E-2</v>
      </c>
      <c r="W360" s="97">
        <v>1.9890630150184857E-2</v>
      </c>
      <c r="X360" s="51">
        <f t="shared" si="23"/>
        <v>7.1073249610740303</v>
      </c>
      <c r="Y360" s="18">
        <v>856.94758294484973</v>
      </c>
      <c r="Z360" s="18">
        <v>42.764149523096748</v>
      </c>
      <c r="AA360" s="18">
        <f t="shared" si="24"/>
        <v>16.673563353164216</v>
      </c>
      <c r="AB360" s="18">
        <f t="shared" si="25"/>
        <v>49.902876645197217</v>
      </c>
      <c r="AC360" s="18">
        <f>$CP$15*Table2912[[#This Row],[DMD '[mg/g']]]+$CS$15*Table2912[[#This Row],[CH4 '[ml/g']]]+$CR$15*Table2912[[#This Row],[CH4 '[% GP']]]+$CQ$15*Table2912[[#This Row],[CH4 '[g/g DDM']]]</f>
        <v>22.051429534302805</v>
      </c>
      <c r="AD360" s="18">
        <f>_xlfn.RANK.AVG(Table2912[[#This Row],[Index]],Table2912[Index])</f>
        <v>131</v>
      </c>
      <c r="AE36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5.7542334578755518</v>
      </c>
      <c r="AF360" s="18">
        <f>Table2912[[#This Row],[CH4 '[ml/g']]]/Table2912[[#This Row],[APB]]</f>
        <v>7.4317717270520962</v>
      </c>
      <c r="AG360" s="18">
        <f>Table2912[[#This Row],[Propionate '[%']]]/Table2912[[#This Row],[Acetate '[%']]]</f>
        <v>0.22981671727186492</v>
      </c>
      <c r="AH360" s="51"/>
      <c r="AI360" s="18"/>
      <c r="AJ360" s="18"/>
      <c r="AK360" s="18">
        <f>(Table2912[[#This Row],[DMD '[mg/g']]]-$AK$15)/$AK$15*100</f>
        <v>74.784131963911278</v>
      </c>
      <c r="AL360" s="18">
        <f>(Table2912[[#This Row],[CH4 '[ml/g']]]-AL$15)/AL$15*100</f>
        <v>8.7255249105512114</v>
      </c>
      <c r="AM360" s="18">
        <f>(Table2912[[#This Row],[CH4 '[% GP']]]-AM$15)/AM$15*100</f>
        <v>7.416462621716013</v>
      </c>
      <c r="AN360" s="18">
        <f>(Table2912[[#This Row],[CH4 '[g/g DDM']]]-AN$15)/AN$15*100</f>
        <v>-2.5629894733247811</v>
      </c>
      <c r="AO360" s="18"/>
      <c r="AP360" s="18"/>
      <c r="AR360">
        <f>_xlfn.NORM.DIST(Table2912[[#This Row],[GP '[ml/g']]],O$6,O$2,FALSE)</f>
        <v>7.4785789319003959E-3</v>
      </c>
      <c r="AS360">
        <f>_xlfn.NORM.DIST(Table2912[[#This Row],[SCFA '[mmol/g']]],P$6,P$2,FALSE)</f>
        <v>0.30281290984403442</v>
      </c>
      <c r="AT360">
        <f>_xlfn.NORM.DIST(Table2912[[#This Row],[Acetate '[%']]],Q$6,Q$2,FALSE)</f>
        <v>6.2040501645959667</v>
      </c>
      <c r="AU360">
        <f>_xlfn.NORM.DIST(Table2912[[#This Row],[Propionate '[%']]],R$6,R$2,FALSE)</f>
        <v>15.672284525314993</v>
      </c>
      <c r="AV360">
        <f>_xlfn.NORM.DIST(Table2912[[#This Row],[Butyrate '[%']]],S$6,S$2,FALSE)</f>
        <v>20.076181208468419</v>
      </c>
      <c r="AW360">
        <f>_xlfn.NORM.DIST(Table2912[[#This Row],[Valerate '[%']]],T$6,T$2,FALSE)</f>
        <v>35.950069935416003</v>
      </c>
      <c r="AX360">
        <f>_xlfn.NORM.DIST(Table2912[[#This Row],[Caproate '[%']]],U$6,U$2,FALSE)</f>
        <v>262.71088052888774</v>
      </c>
      <c r="AY360">
        <f>_xlfn.NORM.DIST(Table2912[[#This Row],[Isobutyrate '[%']]],V$6,V$2,FALSE)</f>
        <v>68.921863847497846</v>
      </c>
      <c r="AZ360">
        <f>_xlfn.NORM.DIST(Table2912[[#This Row],[Isovalerate '[%']]],W$6,W$2,FALSE)</f>
        <v>29.986275296310534</v>
      </c>
      <c r="BA360">
        <f>_xlfn.NORM.DIST(Table2912[[#This Row],[CH4 '[g/mmol SCFA']]],X$6,X$2,FALSE)</f>
        <v>0.24620421757682817</v>
      </c>
      <c r="BB360">
        <f>_xlfn.NORM.DIST(Table2912[[#This Row],[DMD '[mg/g']]],Y$6,Y$2,FALSE)</f>
        <v>2.4477595892126135E-3</v>
      </c>
      <c r="BC360">
        <f>_xlfn.NORM.DIST(Table2912[[#This Row],[CH4 '[ml/g']]],Z$6,Z$2,FALSE)</f>
        <v>3.3286224824416309E-2</v>
      </c>
      <c r="BD360">
        <f>_xlfn.NORM.DIST(Table2912[[#This Row],[CH4 '[% GP']]],AA$6,AA$2,FALSE)</f>
        <v>0.13193190679768596</v>
      </c>
      <c r="BE360">
        <f>_xlfn.NORM.DIST(Table2912[[#This Row],[CH4 '[g/g DDM']]],AB$6,AB$2,FALSE)</f>
        <v>3.1551765846184375E-2</v>
      </c>
      <c r="BG360">
        <f>IF(Table2912[[#This Row],[GP '[ml/g']]]&lt;O$10,_xlfn.NORM.DIST(Table2912[[#This Row],[GP '[ml/g']]],O$6,O$2,FALSE),-100)</f>
        <v>-100</v>
      </c>
      <c r="BH360">
        <f>IF(Table2912[[#This Row],[SCFA '[mmol/g']]]&lt;P$10,_xlfn.NORM.DIST(Table2912[[#This Row],[SCFA '[mmol/g']]],P$6,P$2,FALSE),-100)</f>
        <v>-100</v>
      </c>
      <c r="BI360">
        <f>IF(Table2912[[#This Row],[Acetate '[%']]]&lt;Q$10,_xlfn.NORM.DIST(Table2912[[#This Row],[Acetate '[%']]],Q$6,Q$2,FALSE),-100)</f>
        <v>-100</v>
      </c>
      <c r="BJ360">
        <f>IF(Table2912[[#This Row],[Propionate '[%']]]&lt;R$10,_xlfn.NORM.DIST(Table2912[[#This Row],[Propionate '[%']]],R$6,R$2,FALSE),-100)</f>
        <v>-100</v>
      </c>
      <c r="BK360">
        <f>IF(Table2912[[#This Row],[Butyrate '[%']]]&lt;S$10,_xlfn.NORM.DIST(Table2912[[#This Row],[Butyrate '[%']]],S$6,S$2,FALSE),-100)</f>
        <v>-100</v>
      </c>
      <c r="BL360">
        <f>IF(Table2912[[#This Row],[Valerate '[%']]]&lt;T$10,_xlfn.NORM.DIST(Table2912[[#This Row],[Valerate '[%']]],T$6,T$2,FALSE),-100)</f>
        <v>35.950069935416003</v>
      </c>
      <c r="BM360">
        <f>IF(Table2912[[#This Row],[Caproate '[%']]]&lt;U$10,_xlfn.NORM.DIST(Table2912[[#This Row],[Caproate '[%']]],U$6,U$2,FALSE),-100)</f>
        <v>-100</v>
      </c>
      <c r="BN360">
        <f>IF(Table2912[[#This Row],[Isobutyrate '[%']]]&lt;V$10,_xlfn.NORM.DIST(Table2912[[#This Row],[Isobutyrate '[%']]],V$6,V$2,FALSE),-100)</f>
        <v>-100</v>
      </c>
      <c r="BO360">
        <f>IF(Table2912[[#This Row],[Isovalerate '[%']]]&lt;W$10,_xlfn.NORM.DIST(Table2912[[#This Row],[Isovalerate '[%']]],W$6,W$2,FALSE),-100)</f>
        <v>-100</v>
      </c>
      <c r="BP360">
        <f>IF(Table2912[[#This Row],[CH4 '[g/mmol SCFA']]]&lt;X$10,_xlfn.NORM.DIST(Table2912[[#This Row],[CH4 '[g/mmol SCFA']]],X$6,X$2,FALSE),-100)</f>
        <v>-100</v>
      </c>
      <c r="BQ360">
        <f>IF(Table2912[[#This Row],[DMD '[mg/g']]]&gt;Y$10,_xlfn.NORM.DIST(Table2912[[#This Row],[DMD '[mg/g']]],Y$6,Y$2,FALSE),-100)</f>
        <v>-100</v>
      </c>
      <c r="BR360">
        <f>IF(Table2912[[#This Row],[CH4 '[ml/g']]]&lt;Z$10,_xlfn.NORM.DIST(Table2912[[#This Row],[CH4 '[ml/g']]],Z$6,Z$2,FALSE),-100)</f>
        <v>-100</v>
      </c>
      <c r="BS360">
        <f>IF(Table2912[[#This Row],[CH4 '[% GP']]]&lt;AA$10,_xlfn.NORM.DIST(Table2912[[#This Row],[CH4 '[% GP']]],AA$6,AA$2,FALSE),-100)</f>
        <v>-100</v>
      </c>
      <c r="BT360">
        <f>IF(Table2912[[#This Row],[CH4 '[g/g DDM']]]&lt;AB$10,_xlfn.NORM.DIST(Table2912[[#This Row],[CH4 '[g/g DDM']]],AB$6,AB$2,FALSE),-100)</f>
        <v>-100</v>
      </c>
    </row>
    <row r="361" spans="1:72" x14ac:dyDescent="0.25">
      <c r="A361" s="12" t="s">
        <v>200</v>
      </c>
      <c r="B361" s="13">
        <v>1199</v>
      </c>
      <c r="C361" s="119" t="s">
        <v>453</v>
      </c>
      <c r="D361" s="119" t="s">
        <v>454</v>
      </c>
      <c r="E361" s="119" t="s">
        <v>455</v>
      </c>
      <c r="F361" s="119" t="s">
        <v>456</v>
      </c>
      <c r="G361" t="s">
        <v>457</v>
      </c>
      <c r="H361" t="s">
        <v>458</v>
      </c>
      <c r="I361" s="53" t="s">
        <v>48</v>
      </c>
      <c r="J361" s="100">
        <v>2</v>
      </c>
      <c r="K361" s="100"/>
      <c r="L361" s="100"/>
      <c r="M361" t="s">
        <v>459</v>
      </c>
      <c r="N361" t="s">
        <v>208</v>
      </c>
      <c r="O361" s="18">
        <v>275.49761904761857</v>
      </c>
      <c r="P361" s="18">
        <v>6.8165553285745606</v>
      </c>
      <c r="Q361" s="97">
        <v>0.68511523160899013</v>
      </c>
      <c r="R361" s="97">
        <v>0.17648803679774161</v>
      </c>
      <c r="S361" s="97">
        <v>9.3014938740631686E-2</v>
      </c>
      <c r="T361" s="97">
        <v>1.2321469961766821E-2</v>
      </c>
      <c r="U361" s="97">
        <v>4.7530501987243972E-4</v>
      </c>
      <c r="V361" s="97">
        <v>1.1899527112275172E-2</v>
      </c>
      <c r="W361" s="97">
        <v>2.0685490758722041E-2</v>
      </c>
      <c r="X361" s="51">
        <f t="shared" si="23"/>
        <v>5.9529443354936022</v>
      </c>
      <c r="Y361" s="18">
        <v>857.27852394519073</v>
      </c>
      <c r="Z361" s="18">
        <v>40.578574430816658</v>
      </c>
      <c r="AA361" s="18">
        <f t="shared" si="24"/>
        <v>14.729192423184909</v>
      </c>
      <c r="AB361" s="18">
        <f t="shared" si="25"/>
        <v>47.334178213253608</v>
      </c>
      <c r="AC361" s="18">
        <f>$CP$15*Table2912[[#This Row],[DMD '[mg/g']]]+$CS$15*Table2912[[#This Row],[CH4 '[ml/g']]]+$CR$15*Table2912[[#This Row],[CH4 '[% GP']]]+$CQ$15*Table2912[[#This Row],[CH4 '[g/g DDM']]]</f>
        <v>23.631741966376389</v>
      </c>
      <c r="AD361" s="18">
        <f>_xlfn.RANK.AVG(Table2912[[#This Row],[Index]],Table2912[Index])</f>
        <v>104</v>
      </c>
      <c r="AE36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6.5072078266846543</v>
      </c>
      <c r="AF361" s="18">
        <f>Table2912[[#This Row],[CH4 '[ml/g']]]/Table2912[[#This Row],[APB]]</f>
        <v>6.2359425903707404</v>
      </c>
      <c r="AG361" s="18">
        <f>Table2912[[#This Row],[Propionate '[%']]]/Table2912[[#This Row],[Acetate '[%']]]</f>
        <v>0.25760343465618218</v>
      </c>
      <c r="AH361" s="51"/>
      <c r="AI361" s="18"/>
      <c r="AJ361" s="18"/>
      <c r="AK361" s="18">
        <f>(Table2912[[#This Row],[DMD '[mg/g']]]-$AK$15)/$AK$15*100</f>
        <v>74.85163111628313</v>
      </c>
      <c r="AL361" s="18">
        <f>(Table2912[[#This Row],[CH4 '[ml/g']]]-AL$15)/AL$15*100</f>
        <v>3.1688190765853719</v>
      </c>
      <c r="AM361" s="18">
        <f>(Table2912[[#This Row],[CH4 '[% GP']]]-AM$15)/AM$15*100</f>
        <v>-5.1098008349336199</v>
      </c>
      <c r="AN361" s="18">
        <f>(Table2912[[#This Row],[CH4 '[g/g DDM']]]-AN$15)/AN$15*100</f>
        <v>-7.5784577785418472</v>
      </c>
      <c r="AO361" s="18"/>
      <c r="AP361" s="18"/>
      <c r="AR361">
        <f>_xlfn.NORM.DIST(Table2912[[#This Row],[GP '[ml/g']]],O$6,O$2,FALSE)</f>
        <v>6.9716547717067366E-3</v>
      </c>
      <c r="AS361">
        <f>_xlfn.NORM.DIST(Table2912[[#This Row],[SCFA '[mmol/g']]],P$6,P$2,FALSE)</f>
        <v>0.32385018038072383</v>
      </c>
      <c r="AT361">
        <f>_xlfn.NORM.DIST(Table2912[[#This Row],[Acetate '[%']]],Q$6,Q$2,FALSE)</f>
        <v>12.834176445184415</v>
      </c>
      <c r="AU361">
        <f>_xlfn.NORM.DIST(Table2912[[#This Row],[Propionate '[%']]],R$6,R$2,FALSE)</f>
        <v>16.476543110211036</v>
      </c>
      <c r="AV361">
        <f>_xlfn.NORM.DIST(Table2912[[#This Row],[Butyrate '[%']]],S$6,S$2,FALSE)</f>
        <v>23.029718734612196</v>
      </c>
      <c r="AW361">
        <f>_xlfn.NORM.DIST(Table2912[[#This Row],[Valerate '[%']]],T$6,T$2,FALSE)</f>
        <v>45.277018816894262</v>
      </c>
      <c r="AX361">
        <f>_xlfn.NORM.DIST(Table2912[[#This Row],[Caproate '[%']]],U$6,U$2,FALSE)</f>
        <v>277.51636279685209</v>
      </c>
      <c r="AY361">
        <f>_xlfn.NORM.DIST(Table2912[[#This Row],[Isobutyrate '[%']]],V$6,V$2,FALSE)</f>
        <v>66.900800520617778</v>
      </c>
      <c r="AZ361">
        <f>_xlfn.NORM.DIST(Table2912[[#This Row],[Isovalerate '[%']]],W$6,W$2,FALSE)</f>
        <v>32.432127546469999</v>
      </c>
      <c r="BA361">
        <f>_xlfn.NORM.DIST(Table2912[[#This Row],[CH4 '[g/mmol SCFA']]],X$6,X$2,FALSE)</f>
        <v>0.2885530766367766</v>
      </c>
      <c r="BB361">
        <f>_xlfn.NORM.DIST(Table2912[[#This Row],[DMD '[mg/g']]],Y$6,Y$2,FALSE)</f>
        <v>2.4442513654492916E-3</v>
      </c>
      <c r="BC361">
        <f>_xlfn.NORM.DIST(Table2912[[#This Row],[CH4 '[ml/g']]],Z$6,Z$2,FALSE)</f>
        <v>3.3426753830189983E-2</v>
      </c>
      <c r="BD361">
        <f>_xlfn.NORM.DIST(Table2912[[#This Row],[CH4 '[% GP']]],AA$6,AA$2,FALSE)</f>
        <v>0.12162451476875628</v>
      </c>
      <c r="BE361">
        <f>_xlfn.NORM.DIST(Table2912[[#This Row],[CH4 '[g/g DDM']]],AB$6,AB$2,FALSE)</f>
        <v>2.9053526306112156E-2</v>
      </c>
      <c r="BG361">
        <f>IF(Table2912[[#This Row],[GP '[ml/g']]]&lt;O$10,_xlfn.NORM.DIST(Table2912[[#This Row],[GP '[ml/g']]],O$6,O$2,FALSE),-100)</f>
        <v>-100</v>
      </c>
      <c r="BH361">
        <f>IF(Table2912[[#This Row],[SCFA '[mmol/g']]]&lt;P$10,_xlfn.NORM.DIST(Table2912[[#This Row],[SCFA '[mmol/g']]],P$6,P$2,FALSE),-100)</f>
        <v>-100</v>
      </c>
      <c r="BI361">
        <f>IF(Table2912[[#This Row],[Acetate '[%']]]&lt;Q$10,_xlfn.NORM.DIST(Table2912[[#This Row],[Acetate '[%']]],Q$6,Q$2,FALSE),-100)</f>
        <v>-100</v>
      </c>
      <c r="BJ361">
        <f>IF(Table2912[[#This Row],[Propionate '[%']]]&lt;R$10,_xlfn.NORM.DIST(Table2912[[#This Row],[Propionate '[%']]],R$6,R$2,FALSE),-100)</f>
        <v>-100</v>
      </c>
      <c r="BK361">
        <f>IF(Table2912[[#This Row],[Butyrate '[%']]]&lt;S$10,_xlfn.NORM.DIST(Table2912[[#This Row],[Butyrate '[%']]],S$6,S$2,FALSE),-100)</f>
        <v>-100</v>
      </c>
      <c r="BL361">
        <f>IF(Table2912[[#This Row],[Valerate '[%']]]&lt;T$10,_xlfn.NORM.DIST(Table2912[[#This Row],[Valerate '[%']]],T$6,T$2,FALSE),-100)</f>
        <v>45.277018816894262</v>
      </c>
      <c r="BM361">
        <f>IF(Table2912[[#This Row],[Caproate '[%']]]&lt;U$10,_xlfn.NORM.DIST(Table2912[[#This Row],[Caproate '[%']]],U$6,U$2,FALSE),-100)</f>
        <v>-100</v>
      </c>
      <c r="BN361">
        <f>IF(Table2912[[#This Row],[Isobutyrate '[%']]]&lt;V$10,_xlfn.NORM.DIST(Table2912[[#This Row],[Isobutyrate '[%']]],V$6,V$2,FALSE),-100)</f>
        <v>-100</v>
      </c>
      <c r="BO361">
        <f>IF(Table2912[[#This Row],[Isovalerate '[%']]]&lt;W$10,_xlfn.NORM.DIST(Table2912[[#This Row],[Isovalerate '[%']]],W$6,W$2,FALSE),-100)</f>
        <v>-100</v>
      </c>
      <c r="BP361">
        <f>IF(Table2912[[#This Row],[CH4 '[g/mmol SCFA']]]&lt;X$10,_xlfn.NORM.DIST(Table2912[[#This Row],[CH4 '[g/mmol SCFA']]],X$6,X$2,FALSE),-100)</f>
        <v>-100</v>
      </c>
      <c r="BQ361">
        <f>IF(Table2912[[#This Row],[DMD '[mg/g']]]&gt;Y$10,_xlfn.NORM.DIST(Table2912[[#This Row],[DMD '[mg/g']]],Y$6,Y$2,FALSE),-100)</f>
        <v>-100</v>
      </c>
      <c r="BR361">
        <f>IF(Table2912[[#This Row],[CH4 '[ml/g']]]&lt;Z$10,_xlfn.NORM.DIST(Table2912[[#This Row],[CH4 '[ml/g']]],Z$6,Z$2,FALSE),-100)</f>
        <v>-100</v>
      </c>
      <c r="BS361">
        <f>IF(Table2912[[#This Row],[CH4 '[% GP']]]&lt;AA$10,_xlfn.NORM.DIST(Table2912[[#This Row],[CH4 '[% GP']]],AA$6,AA$2,FALSE),-100)</f>
        <v>-100</v>
      </c>
      <c r="BT361">
        <f>IF(Table2912[[#This Row],[CH4 '[g/g DDM']]]&lt;AB$10,_xlfn.NORM.DIST(Table2912[[#This Row],[CH4 '[g/g DDM']]],AB$6,AB$2,FALSE),-100)</f>
        <v>-100</v>
      </c>
    </row>
    <row r="362" spans="1:72" x14ac:dyDescent="0.25">
      <c r="A362" s="12" t="s">
        <v>86</v>
      </c>
      <c r="B362" s="13">
        <v>1083</v>
      </c>
      <c r="C362" s="104" t="s">
        <v>422</v>
      </c>
      <c r="D362" s="104" t="s">
        <v>164</v>
      </c>
      <c r="E362" s="104" t="s">
        <v>423</v>
      </c>
      <c r="F362" s="104" t="s">
        <v>424</v>
      </c>
      <c r="G362" s="32" t="s">
        <v>143</v>
      </c>
      <c r="H362" s="32" t="s">
        <v>144</v>
      </c>
      <c r="I362" s="32" t="s">
        <v>52</v>
      </c>
      <c r="J362" s="100">
        <v>3</v>
      </c>
      <c r="K362" s="100"/>
      <c r="L362" s="100"/>
      <c r="M362" t="s">
        <v>424</v>
      </c>
      <c r="N362" t="s">
        <v>124</v>
      </c>
      <c r="O362" s="18">
        <v>309.6903718459485</v>
      </c>
      <c r="P362" s="18">
        <v>7.0979435238743793</v>
      </c>
      <c r="Q362" s="97">
        <v>0.68536772101667043</v>
      </c>
      <c r="R362" s="97">
        <v>0.1935149205164986</v>
      </c>
      <c r="S362" s="97">
        <v>8.7288565095321652E-2</v>
      </c>
      <c r="T362" s="97">
        <v>9.0862174382195359E-3</v>
      </c>
      <c r="U362" s="97">
        <v>3.5552949740785128E-4</v>
      </c>
      <c r="V362" s="97">
        <v>9.2253866717236753E-3</v>
      </c>
      <c r="W362" s="97">
        <v>1.516165976415817E-2</v>
      </c>
      <c r="X362" s="51">
        <f t="shared" si="23"/>
        <v>7.0694492629187931</v>
      </c>
      <c r="Y362" s="18">
        <v>857.71626439015802</v>
      </c>
      <c r="Z362" s="18">
        <v>50.178551613092949</v>
      </c>
      <c r="AA362" s="18">
        <f t="shared" si="24"/>
        <v>16.20281293021716</v>
      </c>
      <c r="AB362" s="18">
        <f t="shared" si="25"/>
        <v>58.502506826975278</v>
      </c>
      <c r="AC362" s="18">
        <f>$CP$15*Table2912[[#This Row],[DMD '[mg/g']]]+$CS$15*Table2912[[#This Row],[CH4 '[ml/g']]]+$CR$15*Table2912[[#This Row],[CH4 '[% GP']]]+$CQ$15*Table2912[[#This Row],[CH4 '[g/g DDM']]]</f>
        <v>19.016543799656141</v>
      </c>
      <c r="AD362" s="18">
        <f>_xlfn.RANK.AVG(Table2912[[#This Row],[Index]],Table2912[Index])</f>
        <v>180</v>
      </c>
      <c r="AE36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6.8578286590425908</v>
      </c>
      <c r="AF362" s="18">
        <f>Table2912[[#This Row],[CH4 '[ml/g']]]/Table2912[[#This Row],[APB]]</f>
        <v>7.3169736527214848</v>
      </c>
      <c r="AG362" s="18">
        <f>Table2912[[#This Row],[Propionate '[%']]]/Table2912[[#This Row],[Acetate '[%']]]</f>
        <v>0.28235196170231025</v>
      </c>
      <c r="AH362" s="51"/>
      <c r="AI362" s="18"/>
      <c r="AJ362" s="18"/>
      <c r="AK362" s="18">
        <f>(Table2912[[#This Row],[DMD '[mg/g']]]-$AK$15)/$AK$15*100</f>
        <v>74.940913220838667</v>
      </c>
      <c r="AL362" s="18">
        <f>(Table2912[[#This Row],[CH4 '[ml/g']]]-AL$15)/AL$15*100</f>
        <v>27.576239074697856</v>
      </c>
      <c r="AM362" s="18">
        <f>(Table2912[[#This Row],[CH4 '[% GP']]]-AM$15)/AM$15*100</f>
        <v>4.3837368546079745</v>
      </c>
      <c r="AN362" s="18">
        <f>(Table2912[[#This Row],[CH4 '[g/g DDM']]]-AN$15)/AN$15*100</f>
        <v>14.22807174154141</v>
      </c>
      <c r="AO362" s="18"/>
      <c r="AP362" s="18"/>
      <c r="AR362">
        <f>_xlfn.NORM.DIST(Table2912[[#This Row],[GP '[ml/g']]],O$6,O$2,FALSE)</f>
        <v>4.4631855305827146E-3</v>
      </c>
      <c r="AS362">
        <f>_xlfn.NORM.DIST(Table2912[[#This Row],[SCFA '[mmol/g']]],P$6,P$2,FALSE)</f>
        <v>0.29830287708749909</v>
      </c>
      <c r="AT362">
        <f>_xlfn.NORM.DIST(Table2912[[#This Row],[Acetate '[%']]],Q$6,Q$2,FALSE)</f>
        <v>12.785728931766137</v>
      </c>
      <c r="AU362">
        <f>_xlfn.NORM.DIST(Table2912[[#This Row],[Propionate '[%']]],R$6,R$2,FALSE)</f>
        <v>11.087064476005137</v>
      </c>
      <c r="AV362">
        <f>_xlfn.NORM.DIST(Table2912[[#This Row],[Butyrate '[%']]],S$6,S$2,FALSE)</f>
        <v>21.843949706353005</v>
      </c>
      <c r="AW362">
        <f>_xlfn.NORM.DIST(Table2912[[#This Row],[Valerate '[%']]],T$6,T$2,FALSE)</f>
        <v>19.412372418505832</v>
      </c>
      <c r="AX362">
        <f>_xlfn.NORM.DIST(Table2912[[#This Row],[Caproate '[%']]],U$6,U$2,FALSE)</f>
        <v>247.53004376831885</v>
      </c>
      <c r="AY362">
        <f>_xlfn.NORM.DIST(Table2912[[#This Row],[Isobutyrate '[%']]],V$6,V$2,FALSE)</f>
        <v>34.94458622525292</v>
      </c>
      <c r="AZ362">
        <f>_xlfn.NORM.DIST(Table2912[[#This Row],[Isovalerate '[%']]],W$6,W$2,FALSE)</f>
        <v>15.877051661576282</v>
      </c>
      <c r="BA362">
        <f>_xlfn.NORM.DIST(Table2912[[#This Row],[CH4 '[g/mmol SCFA']]],X$6,X$2,FALSE)</f>
        <v>0.25041509290892938</v>
      </c>
      <c r="BB362">
        <f>_xlfn.NORM.DIST(Table2912[[#This Row],[DMD '[mg/g']]],Y$6,Y$2,FALSE)</f>
        <v>2.4395967806071831E-3</v>
      </c>
      <c r="BC362">
        <f>_xlfn.NORM.DIST(Table2912[[#This Row],[CH4 '[ml/g']]],Z$6,Z$2,FALSE)</f>
        <v>2.5528922695161459E-2</v>
      </c>
      <c r="BD362">
        <f>_xlfn.NORM.DIST(Table2912[[#This Row],[CH4 '[% GP']]],AA$6,AA$2,FALSE)</f>
        <v>0.1345778871622576</v>
      </c>
      <c r="BE362">
        <f>_xlfn.NORM.DIST(Table2912[[#This Row],[CH4 '[g/g DDM']]],AB$6,AB$2,FALSE)</f>
        <v>3.002852297906157E-2</v>
      </c>
      <c r="BG362">
        <f>IF(Table2912[[#This Row],[GP '[ml/g']]]&lt;O$10,_xlfn.NORM.DIST(Table2912[[#This Row],[GP '[ml/g']]],O$6,O$2,FALSE),-100)</f>
        <v>-100</v>
      </c>
      <c r="BH362">
        <f>IF(Table2912[[#This Row],[SCFA '[mmol/g']]]&lt;P$10,_xlfn.NORM.DIST(Table2912[[#This Row],[SCFA '[mmol/g']]],P$6,P$2,FALSE),-100)</f>
        <v>-100</v>
      </c>
      <c r="BI362">
        <f>IF(Table2912[[#This Row],[Acetate '[%']]]&lt;Q$10,_xlfn.NORM.DIST(Table2912[[#This Row],[Acetate '[%']]],Q$6,Q$2,FALSE),-100)</f>
        <v>-100</v>
      </c>
      <c r="BJ362">
        <f>IF(Table2912[[#This Row],[Propionate '[%']]]&lt;R$10,_xlfn.NORM.DIST(Table2912[[#This Row],[Propionate '[%']]],R$6,R$2,FALSE),-100)</f>
        <v>-100</v>
      </c>
      <c r="BK362">
        <f>IF(Table2912[[#This Row],[Butyrate '[%']]]&lt;S$10,_xlfn.NORM.DIST(Table2912[[#This Row],[Butyrate '[%']]],S$6,S$2,FALSE),-100)</f>
        <v>-100</v>
      </c>
      <c r="BL362">
        <f>IF(Table2912[[#This Row],[Valerate '[%']]]&lt;T$10,_xlfn.NORM.DIST(Table2912[[#This Row],[Valerate '[%']]],T$6,T$2,FALSE),-100)</f>
        <v>19.412372418505832</v>
      </c>
      <c r="BM362">
        <f>IF(Table2912[[#This Row],[Caproate '[%']]]&lt;U$10,_xlfn.NORM.DIST(Table2912[[#This Row],[Caproate '[%']]],U$6,U$2,FALSE),-100)</f>
        <v>-100</v>
      </c>
      <c r="BN362">
        <f>IF(Table2912[[#This Row],[Isobutyrate '[%']]]&lt;V$10,_xlfn.NORM.DIST(Table2912[[#This Row],[Isobutyrate '[%']]],V$6,V$2,FALSE),-100)</f>
        <v>34.94458622525292</v>
      </c>
      <c r="BO362">
        <f>IF(Table2912[[#This Row],[Isovalerate '[%']]]&lt;W$10,_xlfn.NORM.DIST(Table2912[[#This Row],[Isovalerate '[%']]],W$6,W$2,FALSE),-100)</f>
        <v>15.877051661576282</v>
      </c>
      <c r="BP362">
        <f>IF(Table2912[[#This Row],[CH4 '[g/mmol SCFA']]]&lt;X$10,_xlfn.NORM.DIST(Table2912[[#This Row],[CH4 '[g/mmol SCFA']]],X$6,X$2,FALSE),-100)</f>
        <v>-100</v>
      </c>
      <c r="BQ362">
        <f>IF(Table2912[[#This Row],[DMD '[mg/g']]]&gt;Y$10,_xlfn.NORM.DIST(Table2912[[#This Row],[DMD '[mg/g']]],Y$6,Y$2,FALSE),-100)</f>
        <v>-100</v>
      </c>
      <c r="BR362">
        <f>IF(Table2912[[#This Row],[CH4 '[ml/g']]]&lt;Z$10,_xlfn.NORM.DIST(Table2912[[#This Row],[CH4 '[ml/g']]],Z$6,Z$2,FALSE),-100)</f>
        <v>-100</v>
      </c>
      <c r="BS362">
        <f>IF(Table2912[[#This Row],[CH4 '[% GP']]]&lt;AA$10,_xlfn.NORM.DIST(Table2912[[#This Row],[CH4 '[% GP']]],AA$6,AA$2,FALSE),-100)</f>
        <v>-100</v>
      </c>
      <c r="BT362">
        <f>IF(Table2912[[#This Row],[CH4 '[g/g DDM']]]&lt;AB$10,_xlfn.NORM.DIST(Table2912[[#This Row],[CH4 '[g/g DDM']]],AB$6,AB$2,FALSE),-100)</f>
        <v>-100</v>
      </c>
    </row>
    <row r="363" spans="1:72" x14ac:dyDescent="0.25">
      <c r="A363" s="12" t="s">
        <v>200</v>
      </c>
      <c r="B363" s="13">
        <v>1137</v>
      </c>
      <c r="C363" s="117" t="s">
        <v>395</v>
      </c>
      <c r="D363" s="117" t="s">
        <v>233</v>
      </c>
      <c r="E363" s="117" t="s">
        <v>396</v>
      </c>
      <c r="F363" s="117" t="s">
        <v>397</v>
      </c>
      <c r="G363" t="s">
        <v>73</v>
      </c>
      <c r="H363" t="s">
        <v>74</v>
      </c>
      <c r="I363" t="s">
        <v>75</v>
      </c>
      <c r="J363" s="100">
        <v>2</v>
      </c>
      <c r="K363" s="100"/>
      <c r="L363" s="100"/>
      <c r="M363" t="s">
        <v>398</v>
      </c>
      <c r="N363" t="s">
        <v>171</v>
      </c>
      <c r="O363" s="18">
        <v>284.41301775147969</v>
      </c>
      <c r="P363" s="18">
        <v>6.9623055007670382</v>
      </c>
      <c r="Q363" s="97">
        <v>0.67034220737453121</v>
      </c>
      <c r="R363" s="97">
        <v>0.17553743679487147</v>
      </c>
      <c r="S363" s="97">
        <v>8.424684612739744E-2</v>
      </c>
      <c r="T363" s="97">
        <v>1.9720404237126919E-2</v>
      </c>
      <c r="U363" s="97">
        <v>1.023082479721452E-3</v>
      </c>
      <c r="V363" s="97">
        <v>1.741541631172849E-2</v>
      </c>
      <c r="W363" s="97">
        <v>3.1714606674623086E-2</v>
      </c>
      <c r="X363" s="51">
        <f t="shared" si="23"/>
        <v>7.413550747573435</v>
      </c>
      <c r="Y363" s="18">
        <v>857.76901161516525</v>
      </c>
      <c r="Z363" s="18">
        <v>51.615405150046115</v>
      </c>
      <c r="AA363" s="18">
        <f t="shared" si="24"/>
        <v>18.148045950255238</v>
      </c>
      <c r="AB363" s="18">
        <f t="shared" si="25"/>
        <v>60.174014741865221</v>
      </c>
      <c r="AC363" s="18">
        <f>$CP$15*Table2912[[#This Row],[DMD '[mg/g']]]+$CS$15*Table2912[[#This Row],[CH4 '[ml/g']]]+$CR$15*Table2912[[#This Row],[CH4 '[% GP']]]+$CQ$15*Table2912[[#This Row],[CH4 '[g/g DDM']]]</f>
        <v>17.806832989247397</v>
      </c>
      <c r="AD363" s="18">
        <f>_xlfn.RANK.AVG(Table2912[[#This Row],[Index]],Table2912[Index])</f>
        <v>208</v>
      </c>
      <c r="AE36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6.4758247798025508</v>
      </c>
      <c r="AF363" s="18">
        <f>Table2912[[#This Row],[CH4 '[ml/g']]]/Table2912[[#This Row],[APB]]</f>
        <v>7.9704758706612004</v>
      </c>
      <c r="AG363" s="18">
        <f>Table2912[[#This Row],[Propionate '[%']]]/Table2912[[#This Row],[Acetate '[%']]]</f>
        <v>0.26186242618137251</v>
      </c>
      <c r="AH363" s="51"/>
      <c r="AI363" s="18"/>
      <c r="AJ363" s="18"/>
      <c r="AK363" s="18">
        <f>(Table2912[[#This Row],[DMD '[mg/g']]]-$AK$15)/$AK$15*100</f>
        <v>74.951671612740199</v>
      </c>
      <c r="AL363" s="18">
        <f>(Table2912[[#This Row],[CH4 '[ml/g']]]-AL$15)/AL$15*100</f>
        <v>31.229361065126778</v>
      </c>
      <c r="AM363" s="18">
        <f>(Table2912[[#This Row],[CH4 '[% GP']]]-AM$15)/AM$15*100</f>
        <v>16.915554172937508</v>
      </c>
      <c r="AN363" s="18">
        <f>(Table2912[[#This Row],[CH4 '[g/g DDM']]]-AN$15)/AN$15*100</f>
        <v>17.491746007386102</v>
      </c>
      <c r="AO363" s="18"/>
      <c r="AP363" s="18"/>
      <c r="AR363">
        <f>_xlfn.NORM.DIST(Table2912[[#This Row],[GP '[ml/g']]],O$6,O$2,FALSE)</f>
        <v>6.4570717109591561E-3</v>
      </c>
      <c r="AS363">
        <f>_xlfn.NORM.DIST(Table2912[[#This Row],[SCFA '[mmol/g']]],P$6,P$2,FALSE)</f>
        <v>0.31249706063448313</v>
      </c>
      <c r="AT363">
        <f>_xlfn.NORM.DIST(Table2912[[#This Row],[Acetate '[%']]],Q$6,Q$2,FALSE)</f>
        <v>13.959919988835995</v>
      </c>
      <c r="AU363">
        <f>_xlfn.NORM.DIST(Table2912[[#This Row],[Propionate '[%']]],R$6,R$2,FALSE)</f>
        <v>16.591959815484721</v>
      </c>
      <c r="AV363">
        <f>_xlfn.NORM.DIST(Table2912[[#This Row],[Butyrate '[%']]],S$6,S$2,FALSE)</f>
        <v>20.315947887643976</v>
      </c>
      <c r="AW363">
        <f>_xlfn.NORM.DIST(Table2912[[#This Row],[Valerate '[%']]],T$6,T$2,FALSE)</f>
        <v>71.447515647760014</v>
      </c>
      <c r="AX363">
        <f>_xlfn.NORM.DIST(Table2912[[#This Row],[Caproate '[%']]],U$6,U$2,FALSE)</f>
        <v>387.07544543531901</v>
      </c>
      <c r="AY363">
        <f>_xlfn.NORM.DIST(Table2912[[#This Row],[Isobutyrate '[%']]],V$6,V$2,FALSE)</f>
        <v>80.575179317490679</v>
      </c>
      <c r="AZ363">
        <f>_xlfn.NORM.DIST(Table2912[[#This Row],[Isovalerate '[%']]],W$6,W$2,FALSE)</f>
        <v>41.329634928535526</v>
      </c>
      <c r="BA363">
        <f>_xlfn.NORM.DIST(Table2912[[#This Row],[CH4 '[g/mmol SCFA']]],X$6,X$2,FALSE)</f>
        <v>0.20846482249708737</v>
      </c>
      <c r="BB363">
        <f>_xlfn.NORM.DIST(Table2912[[#This Row],[DMD '[mg/g']]],Y$6,Y$2,FALSE)</f>
        <v>2.4390348214273169E-3</v>
      </c>
      <c r="BC363">
        <f>_xlfn.NORM.DIST(Table2912[[#This Row],[CH4 '[ml/g']]],Z$6,Z$2,FALSE)</f>
        <v>2.3185743773726765E-2</v>
      </c>
      <c r="BD363">
        <f>_xlfn.NORM.DIST(Table2912[[#This Row],[CH4 '[% GP']]],AA$6,AA$2,FALSE)</f>
        <v>0.10527294828061258</v>
      </c>
      <c r="BE363">
        <f>_xlfn.NORM.DIST(Table2912[[#This Row],[CH4 '[g/g DDM']]],AB$6,AB$2,FALSE)</f>
        <v>2.8059270074197822E-2</v>
      </c>
      <c r="BG363">
        <f>IF(Table2912[[#This Row],[GP '[ml/g']]]&lt;O$10,_xlfn.NORM.DIST(Table2912[[#This Row],[GP '[ml/g']]],O$6,O$2,FALSE),-100)</f>
        <v>-100</v>
      </c>
      <c r="BH363">
        <f>IF(Table2912[[#This Row],[SCFA '[mmol/g']]]&lt;P$10,_xlfn.NORM.DIST(Table2912[[#This Row],[SCFA '[mmol/g']]],P$6,P$2,FALSE),-100)</f>
        <v>-100</v>
      </c>
      <c r="BI363">
        <f>IF(Table2912[[#This Row],[Acetate '[%']]]&lt;Q$10,_xlfn.NORM.DIST(Table2912[[#This Row],[Acetate '[%']]],Q$6,Q$2,FALSE),-100)</f>
        <v>-100</v>
      </c>
      <c r="BJ363">
        <f>IF(Table2912[[#This Row],[Propionate '[%']]]&lt;R$10,_xlfn.NORM.DIST(Table2912[[#This Row],[Propionate '[%']]],R$6,R$2,FALSE),-100)</f>
        <v>-100</v>
      </c>
      <c r="BK363">
        <f>IF(Table2912[[#This Row],[Butyrate '[%']]]&lt;S$10,_xlfn.NORM.DIST(Table2912[[#This Row],[Butyrate '[%']]],S$6,S$2,FALSE),-100)</f>
        <v>-100</v>
      </c>
      <c r="BL363">
        <f>IF(Table2912[[#This Row],[Valerate '[%']]]&lt;T$10,_xlfn.NORM.DIST(Table2912[[#This Row],[Valerate '[%']]],T$6,T$2,FALSE),-100)</f>
        <v>-100</v>
      </c>
      <c r="BM363">
        <f>IF(Table2912[[#This Row],[Caproate '[%']]]&lt;U$10,_xlfn.NORM.DIST(Table2912[[#This Row],[Caproate '[%']]],U$6,U$2,FALSE),-100)</f>
        <v>-100</v>
      </c>
      <c r="BN363">
        <f>IF(Table2912[[#This Row],[Isobutyrate '[%']]]&lt;V$10,_xlfn.NORM.DIST(Table2912[[#This Row],[Isobutyrate '[%']]],V$6,V$2,FALSE),-100)</f>
        <v>-100</v>
      </c>
      <c r="BO363">
        <f>IF(Table2912[[#This Row],[Isovalerate '[%']]]&lt;W$10,_xlfn.NORM.DIST(Table2912[[#This Row],[Isovalerate '[%']]],W$6,W$2,FALSE),-100)</f>
        <v>-100</v>
      </c>
      <c r="BP363">
        <f>IF(Table2912[[#This Row],[CH4 '[g/mmol SCFA']]]&lt;X$10,_xlfn.NORM.DIST(Table2912[[#This Row],[CH4 '[g/mmol SCFA']]],X$6,X$2,FALSE),-100)</f>
        <v>-100</v>
      </c>
      <c r="BQ363">
        <f>IF(Table2912[[#This Row],[DMD '[mg/g']]]&gt;Y$10,_xlfn.NORM.DIST(Table2912[[#This Row],[DMD '[mg/g']]],Y$6,Y$2,FALSE),-100)</f>
        <v>-100</v>
      </c>
      <c r="BR363">
        <f>IF(Table2912[[#This Row],[CH4 '[ml/g']]]&lt;Z$10,_xlfn.NORM.DIST(Table2912[[#This Row],[CH4 '[ml/g']]],Z$6,Z$2,FALSE),-100)</f>
        <v>-100</v>
      </c>
      <c r="BS363">
        <f>IF(Table2912[[#This Row],[CH4 '[% GP']]]&lt;AA$10,_xlfn.NORM.DIST(Table2912[[#This Row],[CH4 '[% GP']]],AA$6,AA$2,FALSE),-100)</f>
        <v>-100</v>
      </c>
      <c r="BT363">
        <f>IF(Table2912[[#This Row],[CH4 '[g/g DDM']]]&lt;AB$10,_xlfn.NORM.DIST(Table2912[[#This Row],[CH4 '[g/g DDM']]],AB$6,AB$2,FALSE),-100)</f>
        <v>-100</v>
      </c>
    </row>
    <row r="364" spans="1:72" x14ac:dyDescent="0.25">
      <c r="A364" s="12" t="s">
        <v>200</v>
      </c>
      <c r="B364" s="13">
        <v>1203</v>
      </c>
      <c r="C364" s="113" t="s">
        <v>410</v>
      </c>
      <c r="D364" s="113" t="s">
        <v>262</v>
      </c>
      <c r="E364" s="113" t="s">
        <v>411</v>
      </c>
      <c r="F364" s="113" t="s">
        <v>412</v>
      </c>
      <c r="G364" t="s">
        <v>73</v>
      </c>
      <c r="H364" t="s">
        <v>74</v>
      </c>
      <c r="I364" t="s">
        <v>75</v>
      </c>
      <c r="J364" s="70">
        <v>1</v>
      </c>
      <c r="K364" s="70"/>
      <c r="L364" s="70"/>
      <c r="M364" t="s">
        <v>413</v>
      </c>
      <c r="N364" t="s">
        <v>237</v>
      </c>
      <c r="O364" s="18">
        <v>273.59071869488565</v>
      </c>
      <c r="P364" s="18">
        <v>8.0805609033125538</v>
      </c>
      <c r="Q364" s="97">
        <v>0.65676226625057232</v>
      </c>
      <c r="R364" s="97">
        <v>0.17208339846051707</v>
      </c>
      <c r="S364" s="97">
        <v>9.6808310513517792E-2</v>
      </c>
      <c r="T364" s="97">
        <v>1.7844833725708213E-2</v>
      </c>
      <c r="U364" s="97">
        <v>2.7899001175775251E-3</v>
      </c>
      <c r="V364" s="97">
        <v>1.8796210313836929E-2</v>
      </c>
      <c r="W364" s="97">
        <v>3.4915080618270061E-2</v>
      </c>
      <c r="X364" s="51">
        <f t="shared" si="23"/>
        <v>6.1839215378435179</v>
      </c>
      <c r="Y364" s="18">
        <v>859.05298863219662</v>
      </c>
      <c r="Z364" s="18">
        <v>49.969554607850775</v>
      </c>
      <c r="AA364" s="18">
        <f t="shared" si="24"/>
        <v>18.264345678910956</v>
      </c>
      <c r="AB364" s="18">
        <f t="shared" si="25"/>
        <v>58.168186676602353</v>
      </c>
      <c r="AC364" s="18">
        <f>$CP$15*Table2912[[#This Row],[DMD '[mg/g']]]+$CS$15*Table2912[[#This Row],[CH4 '[ml/g']]]+$CR$15*Table2912[[#This Row],[CH4 '[% GP']]]+$CQ$15*Table2912[[#This Row],[CH4 '[g/g DDM']]]</f>
        <v>18.640366418222015</v>
      </c>
      <c r="AD364" s="18">
        <f>_xlfn.RANK.AVG(Table2912[[#This Row],[Index]],Table2912[Index])</f>
        <v>187</v>
      </c>
      <c r="AE36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7.4798033221958082</v>
      </c>
      <c r="AF364" s="18">
        <f>Table2912[[#This Row],[CH4 '[ml/g']]]/Table2912[[#This Row],[APB]]</f>
        <v>6.680597397470267</v>
      </c>
      <c r="AG364" s="18">
        <f>Table2912[[#This Row],[Propionate '[%']]]/Table2912[[#This Row],[Acetate '[%']]]</f>
        <v>0.26201779137363329</v>
      </c>
      <c r="AH364" s="51"/>
      <c r="AI364" s="18"/>
      <c r="AJ364" s="18"/>
      <c r="AK364" s="18">
        <f>(Table2912[[#This Row],[DMD '[mg/g']]]-$AK$15)/$AK$15*100</f>
        <v>75.213553217694667</v>
      </c>
      <c r="AL364" s="18">
        <f>(Table2912[[#This Row],[CH4 '[ml/g']]]-AL$15)/AL$15*100</f>
        <v>27.044875552843745</v>
      </c>
      <c r="AM364" s="18">
        <f>(Table2912[[#This Row],[CH4 '[% GP']]]-AM$15)/AM$15*100</f>
        <v>17.664794463777433</v>
      </c>
      <c r="AN364" s="18">
        <f>(Table2912[[#This Row],[CH4 '[g/g DDM']]]-AN$15)/AN$15*100</f>
        <v>13.575300634922218</v>
      </c>
      <c r="AO364" s="18"/>
      <c r="AP364" s="18"/>
      <c r="AR364">
        <f>_xlfn.NORM.DIST(Table2912[[#This Row],[GP '[ml/g']]],O$6,O$2,FALSE)</f>
        <v>7.0612744535523322E-3</v>
      </c>
      <c r="AS364">
        <f>_xlfn.NORM.DIST(Table2912[[#This Row],[SCFA '[mmol/g']]],P$6,P$2,FALSE)</f>
        <v>0.1453499144457463</v>
      </c>
      <c r="AT364">
        <f>_xlfn.NORM.DIST(Table2912[[#This Row],[Acetate '[%']]],Q$6,Q$2,FALSE)</f>
        <v>11.8874453221104</v>
      </c>
      <c r="AU364">
        <f>_xlfn.NORM.DIST(Table2912[[#This Row],[Propionate '[%']]],R$6,R$2,FALSE)</f>
        <v>16.790388197613421</v>
      </c>
      <c r="AV364">
        <f>_xlfn.NORM.DIST(Table2912[[#This Row],[Butyrate '[%']]],S$6,S$2,FALSE)</f>
        <v>22.457655877995798</v>
      </c>
      <c r="AW364">
        <f>_xlfn.NORM.DIST(Table2912[[#This Row],[Valerate '[%']]],T$6,T$2,FALSE)</f>
        <v>77.344995777077699</v>
      </c>
      <c r="AX364">
        <f>_xlfn.NORM.DIST(Table2912[[#This Row],[Caproate '[%']]],U$6,U$2,FALSE)</f>
        <v>134.9060909850073</v>
      </c>
      <c r="AY364">
        <f>_xlfn.NORM.DIST(Table2912[[#This Row],[Isobutyrate '[%']]],V$6,V$2,FALSE)</f>
        <v>66.192364873532838</v>
      </c>
      <c r="AZ364">
        <f>_xlfn.NORM.DIST(Table2912[[#This Row],[Isovalerate '[%']]],W$6,W$2,FALSE)</f>
        <v>33.004539851237091</v>
      </c>
      <c r="BA364">
        <f>_xlfn.NORM.DIST(Table2912[[#This Row],[CH4 '[g/mmol SCFA']]],X$6,X$2,FALSE)</f>
        <v>0.29660125098207679</v>
      </c>
      <c r="BB364">
        <f>_xlfn.NORM.DIST(Table2912[[#This Row],[DMD '[mg/g']]],Y$6,Y$2,FALSE)</f>
        <v>2.4252842206663036E-3</v>
      </c>
      <c r="BC364">
        <f>_xlfn.NORM.DIST(Table2912[[#This Row],[CH4 '[ml/g']]],Z$6,Z$2,FALSE)</f>
        <v>2.5857544440861302E-2</v>
      </c>
      <c r="BD364">
        <f>_xlfn.NORM.DIST(Table2912[[#This Row],[CH4 '[% GP']]],AA$6,AA$2,FALSE)</f>
        <v>0.1023300906281024</v>
      </c>
      <c r="BE364">
        <f>_xlfn.NORM.DIST(Table2912[[#This Row],[CH4 '[g/g DDM']]],AB$6,AB$2,FALSE)</f>
        <v>3.0369550429891898E-2</v>
      </c>
      <c r="BG364">
        <f>IF(Table2912[[#This Row],[GP '[ml/g']]]&lt;O$10,_xlfn.NORM.DIST(Table2912[[#This Row],[GP '[ml/g']]],O$6,O$2,FALSE),-100)</f>
        <v>-100</v>
      </c>
      <c r="BH364">
        <f>IF(Table2912[[#This Row],[SCFA '[mmol/g']]]&lt;P$10,_xlfn.NORM.DIST(Table2912[[#This Row],[SCFA '[mmol/g']]],P$6,P$2,FALSE),-100)</f>
        <v>-100</v>
      </c>
      <c r="BI364">
        <f>IF(Table2912[[#This Row],[Acetate '[%']]]&lt;Q$10,_xlfn.NORM.DIST(Table2912[[#This Row],[Acetate '[%']]],Q$6,Q$2,FALSE),-100)</f>
        <v>-100</v>
      </c>
      <c r="BJ364">
        <f>IF(Table2912[[#This Row],[Propionate '[%']]]&lt;R$10,_xlfn.NORM.DIST(Table2912[[#This Row],[Propionate '[%']]],R$6,R$2,FALSE),-100)</f>
        <v>-100</v>
      </c>
      <c r="BK364">
        <f>IF(Table2912[[#This Row],[Butyrate '[%']]]&lt;S$10,_xlfn.NORM.DIST(Table2912[[#This Row],[Butyrate '[%']]],S$6,S$2,FALSE),-100)</f>
        <v>-100</v>
      </c>
      <c r="BL364">
        <f>IF(Table2912[[#This Row],[Valerate '[%']]]&lt;T$10,_xlfn.NORM.DIST(Table2912[[#This Row],[Valerate '[%']]],T$6,T$2,FALSE),-100)</f>
        <v>-100</v>
      </c>
      <c r="BM364">
        <f>IF(Table2912[[#This Row],[Caproate '[%']]]&lt;U$10,_xlfn.NORM.DIST(Table2912[[#This Row],[Caproate '[%']]],U$6,U$2,FALSE),-100)</f>
        <v>-100</v>
      </c>
      <c r="BN364">
        <f>IF(Table2912[[#This Row],[Isobutyrate '[%']]]&lt;V$10,_xlfn.NORM.DIST(Table2912[[#This Row],[Isobutyrate '[%']]],V$6,V$2,FALSE),-100)</f>
        <v>-100</v>
      </c>
      <c r="BO364">
        <f>IF(Table2912[[#This Row],[Isovalerate '[%']]]&lt;W$10,_xlfn.NORM.DIST(Table2912[[#This Row],[Isovalerate '[%']]],W$6,W$2,FALSE),-100)</f>
        <v>-100</v>
      </c>
      <c r="BP364">
        <f>IF(Table2912[[#This Row],[CH4 '[g/mmol SCFA']]]&lt;X$10,_xlfn.NORM.DIST(Table2912[[#This Row],[CH4 '[g/mmol SCFA']]],X$6,X$2,FALSE),-100)</f>
        <v>-100</v>
      </c>
      <c r="BQ364">
        <f>IF(Table2912[[#This Row],[DMD '[mg/g']]]&gt;Y$10,_xlfn.NORM.DIST(Table2912[[#This Row],[DMD '[mg/g']]],Y$6,Y$2,FALSE),-100)</f>
        <v>-100</v>
      </c>
      <c r="BR364">
        <f>IF(Table2912[[#This Row],[CH4 '[ml/g']]]&lt;Z$10,_xlfn.NORM.DIST(Table2912[[#This Row],[CH4 '[ml/g']]],Z$6,Z$2,FALSE),-100)</f>
        <v>-100</v>
      </c>
      <c r="BS364">
        <f>IF(Table2912[[#This Row],[CH4 '[% GP']]]&lt;AA$10,_xlfn.NORM.DIST(Table2912[[#This Row],[CH4 '[% GP']]],AA$6,AA$2,FALSE),-100)</f>
        <v>-100</v>
      </c>
      <c r="BT364">
        <f>IF(Table2912[[#This Row],[CH4 '[g/g DDM']]]&lt;AB$10,_xlfn.NORM.DIST(Table2912[[#This Row],[CH4 '[g/g DDM']]],AB$6,AB$2,FALSE),-100)</f>
        <v>-100</v>
      </c>
    </row>
    <row r="365" spans="1:72" x14ac:dyDescent="0.25">
      <c r="A365" s="12" t="s">
        <v>200</v>
      </c>
      <c r="B365" s="13">
        <v>1211</v>
      </c>
      <c r="C365" s="113" t="s">
        <v>460</v>
      </c>
      <c r="D365" s="113" t="s">
        <v>391</v>
      </c>
      <c r="E365" s="113" t="s">
        <v>392</v>
      </c>
      <c r="F365" s="113" t="s">
        <v>393</v>
      </c>
      <c r="G365" s="32" t="s">
        <v>73</v>
      </c>
      <c r="H365" s="32" t="s">
        <v>74</v>
      </c>
      <c r="I365" s="104" t="s">
        <v>106</v>
      </c>
      <c r="J365" s="70">
        <v>2</v>
      </c>
      <c r="K365" s="70"/>
      <c r="L365" s="70"/>
      <c r="M365" t="s">
        <v>461</v>
      </c>
      <c r="N365" t="s">
        <v>352</v>
      </c>
      <c r="O365" s="18">
        <v>328.09361936193585</v>
      </c>
      <c r="P365" s="18">
        <v>8.2255812832279247</v>
      </c>
      <c r="Q365" s="97">
        <v>0.6523503695954247</v>
      </c>
      <c r="R365" s="97">
        <v>0.19068074523909911</v>
      </c>
      <c r="S365" s="97">
        <v>0.10720240782639073</v>
      </c>
      <c r="T365" s="97">
        <v>1.3140445922885645E-2</v>
      </c>
      <c r="U365" s="97">
        <v>1.609977791717569E-3</v>
      </c>
      <c r="V365" s="97">
        <v>1.2814658379318401E-2</v>
      </c>
      <c r="W365" s="97">
        <v>2.2201395245163884E-2</v>
      </c>
      <c r="X365" s="51">
        <f t="shared" si="23"/>
        <v>7.0888974977146475</v>
      </c>
      <c r="Y365" s="18">
        <v>859.61084156224365</v>
      </c>
      <c r="Z365" s="18">
        <v>58.310302575922876</v>
      </c>
      <c r="AA365" s="18">
        <f t="shared" si="24"/>
        <v>17.772458571222007</v>
      </c>
      <c r="AB365" s="18">
        <f t="shared" si="25"/>
        <v>67.833372680538346</v>
      </c>
      <c r="AC365" s="18">
        <f>$CP$15*Table2912[[#This Row],[DMD '[mg/g']]]+$CS$15*Table2912[[#This Row],[CH4 '[ml/g']]]+$CR$15*Table2912[[#This Row],[CH4 '[% GP']]]+$CQ$15*Table2912[[#This Row],[CH4 '[g/g DDM']]]</f>
        <v>15.206379550181744</v>
      </c>
      <c r="AD365" s="18">
        <f>_xlfn.RANK.AVG(Table2912[[#This Row],[Index]],Table2912[Index])</f>
        <v>265</v>
      </c>
      <c r="AE36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7.8162230786953568</v>
      </c>
      <c r="AF365" s="18">
        <f>Table2912[[#This Row],[CH4 '[ml/g']]]/Table2912[[#This Row],[APB]]</f>
        <v>7.4601635583890893</v>
      </c>
      <c r="AG365" s="18">
        <f>Table2912[[#This Row],[Propionate '[%']]]/Table2912[[#This Row],[Acetate '[%']]]</f>
        <v>0.29229805657557256</v>
      </c>
      <c r="AH365" s="51"/>
      <c r="AI365" s="18"/>
      <c r="AJ365" s="18"/>
      <c r="AK365" s="18">
        <f>(Table2912[[#This Row],[DMD '[mg/g']]]-$AK$15)/$AK$15*100</f>
        <v>75.327333619299537</v>
      </c>
      <c r="AL365" s="18">
        <f>(Table2912[[#This Row],[CH4 '[ml/g']]]-AL$15)/AL$15*100</f>
        <v>48.250773742996344</v>
      </c>
      <c r="AM365" s="18">
        <f>(Table2912[[#This Row],[CH4 '[% GP']]]-AM$15)/AM$15*100</f>
        <v>14.495899369307603</v>
      </c>
      <c r="AN365" s="18">
        <f>(Table2912[[#This Row],[CH4 '[g/g DDM']]]-AN$15)/AN$15*100</f>
        <v>32.446894693587005</v>
      </c>
      <c r="AO365" s="18"/>
      <c r="AP365" s="18"/>
      <c r="AR365">
        <f>_xlfn.NORM.DIST(Table2912[[#This Row],[GP '[ml/g']]],O$6,O$2,FALSE)</f>
        <v>2.9614835753967155E-3</v>
      </c>
      <c r="AS365">
        <f>_xlfn.NORM.DIST(Table2912[[#This Row],[SCFA '[mmol/g']]],P$6,P$2,FALSE)</f>
        <v>0.12348921898653877</v>
      </c>
      <c r="AT365">
        <f>_xlfn.NORM.DIST(Table2912[[#This Row],[Acetate '[%']]],Q$6,Q$2,FALSE)</f>
        <v>10.74248420314291</v>
      </c>
      <c r="AU365">
        <f>_xlfn.NORM.DIST(Table2912[[#This Row],[Propionate '[%']]],R$6,R$2,FALSE)</f>
        <v>12.272358883167735</v>
      </c>
      <c r="AV365">
        <f>_xlfn.NORM.DIST(Table2912[[#This Row],[Butyrate '[%']]],S$6,S$2,FALSE)</f>
        <v>16.395276216991668</v>
      </c>
      <c r="AW365">
        <f>_xlfn.NORM.DIST(Table2912[[#This Row],[Valerate '[%']]],T$6,T$2,FALSE)</f>
        <v>52.704441261165833</v>
      </c>
      <c r="AX365">
        <f>_xlfn.NORM.DIST(Table2912[[#This Row],[Caproate '[%']]],U$6,U$2,FALSE)</f>
        <v>391.00239273414883</v>
      </c>
      <c r="AY365">
        <f>_xlfn.NORM.DIST(Table2912[[#This Row],[Isobutyrate '[%']]],V$6,V$2,FALSE)</f>
        <v>76.82905754417375</v>
      </c>
      <c r="AZ365">
        <f>_xlfn.NORM.DIST(Table2912[[#This Row],[Isovalerate '[%']]],W$6,W$2,FALSE)</f>
        <v>36.817562850747635</v>
      </c>
      <c r="BA365">
        <f>_xlfn.NORM.DIST(Table2912[[#This Row],[CH4 '[g/mmol SCFA']]],X$6,X$2,FALSE)</f>
        <v>0.24826871628730779</v>
      </c>
      <c r="BB365">
        <f>_xlfn.NORM.DIST(Table2912[[#This Row],[DMD '[mg/g']]],Y$6,Y$2,FALSE)</f>
        <v>2.4192677385193543E-3</v>
      </c>
      <c r="BC365">
        <f>_xlfn.NORM.DIST(Table2912[[#This Row],[CH4 '[ml/g']]],Z$6,Z$2,FALSE)</f>
        <v>1.2218425244717666E-2</v>
      </c>
      <c r="BD365">
        <f>_xlfn.NORM.DIST(Table2912[[#This Row],[CH4 '[% GP']]],AA$6,AA$2,FALSE)</f>
        <v>0.11415846235816726</v>
      </c>
      <c r="BE365">
        <f>_xlfn.NORM.DIST(Table2912[[#This Row],[CH4 '[g/g DDM']]],AB$6,AB$2,FALSE)</f>
        <v>1.6138157105728267E-2</v>
      </c>
      <c r="BG365">
        <f>IF(Table2912[[#This Row],[GP '[ml/g']]]&lt;O$10,_xlfn.NORM.DIST(Table2912[[#This Row],[GP '[ml/g']]],O$6,O$2,FALSE),-100)</f>
        <v>-100</v>
      </c>
      <c r="BH365">
        <f>IF(Table2912[[#This Row],[SCFA '[mmol/g']]]&lt;P$10,_xlfn.NORM.DIST(Table2912[[#This Row],[SCFA '[mmol/g']]],P$6,P$2,FALSE),-100)</f>
        <v>-100</v>
      </c>
      <c r="BI365">
        <f>IF(Table2912[[#This Row],[Acetate '[%']]]&lt;Q$10,_xlfn.NORM.DIST(Table2912[[#This Row],[Acetate '[%']]],Q$6,Q$2,FALSE),-100)</f>
        <v>-100</v>
      </c>
      <c r="BJ365">
        <f>IF(Table2912[[#This Row],[Propionate '[%']]]&lt;R$10,_xlfn.NORM.DIST(Table2912[[#This Row],[Propionate '[%']]],R$6,R$2,FALSE),-100)</f>
        <v>-100</v>
      </c>
      <c r="BK365">
        <f>IF(Table2912[[#This Row],[Butyrate '[%']]]&lt;S$10,_xlfn.NORM.DIST(Table2912[[#This Row],[Butyrate '[%']]],S$6,S$2,FALSE),-100)</f>
        <v>-100</v>
      </c>
      <c r="BL365">
        <f>IF(Table2912[[#This Row],[Valerate '[%']]]&lt;T$10,_xlfn.NORM.DIST(Table2912[[#This Row],[Valerate '[%']]],T$6,T$2,FALSE),-100)</f>
        <v>-100</v>
      </c>
      <c r="BM365">
        <f>IF(Table2912[[#This Row],[Caproate '[%']]]&lt;U$10,_xlfn.NORM.DIST(Table2912[[#This Row],[Caproate '[%']]],U$6,U$2,FALSE),-100)</f>
        <v>-100</v>
      </c>
      <c r="BN365">
        <f>IF(Table2912[[#This Row],[Isobutyrate '[%']]]&lt;V$10,_xlfn.NORM.DIST(Table2912[[#This Row],[Isobutyrate '[%']]],V$6,V$2,FALSE),-100)</f>
        <v>-100</v>
      </c>
      <c r="BO365">
        <f>IF(Table2912[[#This Row],[Isovalerate '[%']]]&lt;W$10,_xlfn.NORM.DIST(Table2912[[#This Row],[Isovalerate '[%']]],W$6,W$2,FALSE),-100)</f>
        <v>-100</v>
      </c>
      <c r="BP365">
        <f>IF(Table2912[[#This Row],[CH4 '[g/mmol SCFA']]]&lt;X$10,_xlfn.NORM.DIST(Table2912[[#This Row],[CH4 '[g/mmol SCFA']]],X$6,X$2,FALSE),-100)</f>
        <v>-100</v>
      </c>
      <c r="BQ365">
        <f>IF(Table2912[[#This Row],[DMD '[mg/g']]]&gt;Y$10,_xlfn.NORM.DIST(Table2912[[#This Row],[DMD '[mg/g']]],Y$6,Y$2,FALSE),-100)</f>
        <v>-100</v>
      </c>
      <c r="BR365">
        <f>IF(Table2912[[#This Row],[CH4 '[ml/g']]]&lt;Z$10,_xlfn.NORM.DIST(Table2912[[#This Row],[CH4 '[ml/g']]],Z$6,Z$2,FALSE),-100)</f>
        <v>-100</v>
      </c>
      <c r="BS365">
        <f>IF(Table2912[[#This Row],[CH4 '[% GP']]]&lt;AA$10,_xlfn.NORM.DIST(Table2912[[#This Row],[CH4 '[% GP']]],AA$6,AA$2,FALSE),-100)</f>
        <v>-100</v>
      </c>
      <c r="BT365">
        <f>IF(Table2912[[#This Row],[CH4 '[g/g DDM']]]&lt;AB$10,_xlfn.NORM.DIST(Table2912[[#This Row],[CH4 '[g/g DDM']]],AB$6,AB$2,FALSE),-100)</f>
        <v>-100</v>
      </c>
    </row>
    <row r="366" spans="1:72" x14ac:dyDescent="0.25">
      <c r="A366" s="12" t="s">
        <v>200</v>
      </c>
      <c r="B366" s="13">
        <v>1257</v>
      </c>
      <c r="C366" s="113" t="s">
        <v>438</v>
      </c>
      <c r="D366" s="113" t="s">
        <v>439</v>
      </c>
      <c r="E366" s="113" t="s">
        <v>440</v>
      </c>
      <c r="F366" s="114" t="s">
        <v>441</v>
      </c>
      <c r="G366" t="s">
        <v>442</v>
      </c>
      <c r="H366" t="s">
        <v>317</v>
      </c>
      <c r="I366" s="115" t="s">
        <v>48</v>
      </c>
      <c r="J366" s="100">
        <v>1</v>
      </c>
      <c r="K366" s="100"/>
      <c r="L366" s="100"/>
      <c r="M366" t="s">
        <v>443</v>
      </c>
      <c r="N366" t="s">
        <v>363</v>
      </c>
      <c r="O366" s="18">
        <v>182.30338833883334</v>
      </c>
      <c r="P366" s="18">
        <v>4.7155115511551156</v>
      </c>
      <c r="Q366" s="97">
        <v>0.71955740268370127</v>
      </c>
      <c r="R366" s="97">
        <v>0.1679209424241464</v>
      </c>
      <c r="S366" s="97">
        <v>8.9363493813075068E-2</v>
      </c>
      <c r="T366" s="97">
        <v>6.7536112738100108E-3</v>
      </c>
      <c r="U366" s="97">
        <v>9.9150633680455003E-4</v>
      </c>
      <c r="V366" s="97">
        <v>6.3722805204569797E-3</v>
      </c>
      <c r="W366" s="97">
        <v>9.0407629480057025E-3</v>
      </c>
      <c r="X366" s="51">
        <f t="shared" si="23"/>
        <v>5.3000238740226742</v>
      </c>
      <c r="Y366" s="18">
        <v>859.84598459845961</v>
      </c>
      <c r="Z366" s="18">
        <v>24.992323799351805</v>
      </c>
      <c r="AA366" s="18">
        <f t="shared" si="24"/>
        <v>13.709193244889386</v>
      </c>
      <c r="AB366" s="18">
        <f t="shared" si="25"/>
        <v>29.066046997966733</v>
      </c>
      <c r="AC366" s="18">
        <f>$CP$15*Table2912[[#This Row],[DMD '[mg/g']]]+$CS$15*Table2912[[#This Row],[CH4 '[ml/g']]]+$CR$15*Table2912[[#This Row],[CH4 '[% GP']]]+$CQ$15*Table2912[[#This Row],[CH4 '[g/g DDM']]]</f>
        <v>31.007518545483361</v>
      </c>
      <c r="AD366" s="18">
        <f>_xlfn.RANK.AVG(Table2912[[#This Row],[Index]],Table2912[Index])</f>
        <v>42</v>
      </c>
      <c r="AE36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4.6063089750832162</v>
      </c>
      <c r="AF366" s="18">
        <f>Table2912[[#This Row],[CH4 '[ml/g']]]/Table2912[[#This Row],[APB]]</f>
        <v>5.4256724710700288</v>
      </c>
      <c r="AG366" s="18">
        <f>Table2912[[#This Row],[Propionate '[%']]]/Table2912[[#This Row],[Acetate '[%']]]</f>
        <v>0.23336698614712201</v>
      </c>
      <c r="AH366" s="51"/>
      <c r="AI366" s="18"/>
      <c r="AJ366" s="18"/>
      <c r="AK366" s="18">
        <f>(Table2912[[#This Row],[DMD '[mg/g']]]-$AK$15)/$AK$15*100</f>
        <v>75.37529369561031</v>
      </c>
      <c r="AL366" s="18">
        <f>(Table2912[[#This Row],[CH4 '[ml/g']]]-AL$15)/AL$15*100</f>
        <v>-36.458375669288557</v>
      </c>
      <c r="AM366" s="18">
        <f>(Table2912[[#This Row],[CH4 '[% GP']]]-AM$15)/AM$15*100</f>
        <v>-11.680963896413786</v>
      </c>
      <c r="AN366" s="18">
        <f>(Table2912[[#This Row],[CH4 '[g/g DDM']]]-AN$15)/AN$15*100</f>
        <v>-43.247585756515889</v>
      </c>
      <c r="AO366" s="18"/>
      <c r="AP366" s="18"/>
      <c r="AR366">
        <f>_xlfn.NORM.DIST(Table2912[[#This Row],[GP '[ml/g']]],O$6,O$2,FALSE)</f>
        <v>2.9176067560351131E-3</v>
      </c>
      <c r="AS366">
        <f>_xlfn.NORM.DIST(Table2912[[#This Row],[SCFA '[mmol/g']]],P$6,P$2,FALSE)</f>
        <v>0.10487065748639282</v>
      </c>
      <c r="AT366">
        <f>_xlfn.NORM.DIST(Table2912[[#This Row],[Acetate '[%']]],Q$6,Q$2,FALSE)</f>
        <v>3.6999738804827969</v>
      </c>
      <c r="AU366">
        <f>_xlfn.NORM.DIST(Table2912[[#This Row],[Propionate '[%']]],R$6,R$2,FALSE)</f>
        <v>16.561028830642073</v>
      </c>
      <c r="AV366">
        <f>_xlfn.NORM.DIST(Table2912[[#This Row],[Butyrate '[%']]],S$6,S$2,FALSE)</f>
        <v>22.549264575104125</v>
      </c>
      <c r="AW366">
        <f>_xlfn.NORM.DIST(Table2912[[#This Row],[Valerate '[%']]],T$6,T$2,FALSE)</f>
        <v>8.2556896946258593</v>
      </c>
      <c r="AX366">
        <f>_xlfn.NORM.DIST(Table2912[[#This Row],[Caproate '[%']]],U$6,U$2,FALSE)</f>
        <v>382.95516865590878</v>
      </c>
      <c r="AY366">
        <f>_xlfn.NORM.DIST(Table2912[[#This Row],[Isobutyrate '[%']]],V$6,V$2,FALSE)</f>
        <v>11.683125349187048</v>
      </c>
      <c r="AZ366">
        <f>_xlfn.NORM.DIST(Table2912[[#This Row],[Isovalerate '[%']]],W$6,W$2,FALSE)</f>
        <v>4.5323939352409326</v>
      </c>
      <c r="BA366">
        <f>_xlfn.NORM.DIST(Table2912[[#This Row],[CH4 '[g/mmol SCFA']]],X$6,X$2,FALSE)</f>
        <v>0.2274086526500125</v>
      </c>
      <c r="BB366">
        <f>_xlfn.NORM.DIST(Table2912[[#This Row],[DMD '[mg/g']]],Y$6,Y$2,FALSE)</f>
        <v>2.4167241398951557E-3</v>
      </c>
      <c r="BC366">
        <f>_xlfn.NORM.DIST(Table2912[[#This Row],[CH4 '[ml/g']]],Z$6,Z$2,FALSE)</f>
        <v>1.2967646046730787E-2</v>
      </c>
      <c r="BD366">
        <f>_xlfn.NORM.DIST(Table2912[[#This Row],[CH4 '[% GP']]],AA$6,AA$2,FALSE)</f>
        <v>9.8088383569608167E-2</v>
      </c>
      <c r="BE366">
        <f>_xlfn.NORM.DIST(Table2912[[#This Row],[CH4 '[g/g DDM']]],AB$6,AB$2,FALSE)</f>
        <v>4.4453326338930602E-3</v>
      </c>
      <c r="BG366">
        <f>IF(Table2912[[#This Row],[GP '[ml/g']]]&lt;O$10,_xlfn.NORM.DIST(Table2912[[#This Row],[GP '[ml/g']]],O$6,O$2,FALSE),-100)</f>
        <v>2.9176067560351131E-3</v>
      </c>
      <c r="BH366">
        <f>IF(Table2912[[#This Row],[SCFA '[mmol/g']]]&lt;P$10,_xlfn.NORM.DIST(Table2912[[#This Row],[SCFA '[mmol/g']]],P$6,P$2,FALSE),-100)</f>
        <v>0.10487065748639282</v>
      </c>
      <c r="BI366">
        <f>IF(Table2912[[#This Row],[Acetate '[%']]]&lt;Q$10,_xlfn.NORM.DIST(Table2912[[#This Row],[Acetate '[%']]],Q$6,Q$2,FALSE),-100)</f>
        <v>-100</v>
      </c>
      <c r="BJ366">
        <f>IF(Table2912[[#This Row],[Propionate '[%']]]&lt;R$10,_xlfn.NORM.DIST(Table2912[[#This Row],[Propionate '[%']]],R$6,R$2,FALSE),-100)</f>
        <v>-100</v>
      </c>
      <c r="BK366">
        <f>IF(Table2912[[#This Row],[Butyrate '[%']]]&lt;S$10,_xlfn.NORM.DIST(Table2912[[#This Row],[Butyrate '[%']]],S$6,S$2,FALSE),-100)</f>
        <v>-100</v>
      </c>
      <c r="BL366">
        <f>IF(Table2912[[#This Row],[Valerate '[%']]]&lt;T$10,_xlfn.NORM.DIST(Table2912[[#This Row],[Valerate '[%']]],T$6,T$2,FALSE),-100)</f>
        <v>8.2556896946258593</v>
      </c>
      <c r="BM366">
        <f>IF(Table2912[[#This Row],[Caproate '[%']]]&lt;U$10,_xlfn.NORM.DIST(Table2912[[#This Row],[Caproate '[%']]],U$6,U$2,FALSE),-100)</f>
        <v>-100</v>
      </c>
      <c r="BN366">
        <f>IF(Table2912[[#This Row],[Isobutyrate '[%']]]&lt;V$10,_xlfn.NORM.DIST(Table2912[[#This Row],[Isobutyrate '[%']]],V$6,V$2,FALSE),-100)</f>
        <v>11.683125349187048</v>
      </c>
      <c r="BO366">
        <f>IF(Table2912[[#This Row],[Isovalerate '[%']]]&lt;W$10,_xlfn.NORM.DIST(Table2912[[#This Row],[Isovalerate '[%']]],W$6,W$2,FALSE),-100)</f>
        <v>4.5323939352409326</v>
      </c>
      <c r="BP366">
        <f>IF(Table2912[[#This Row],[CH4 '[g/mmol SCFA']]]&lt;X$10,_xlfn.NORM.DIST(Table2912[[#This Row],[CH4 '[g/mmol SCFA']]],X$6,X$2,FALSE),-100)</f>
        <v>-100</v>
      </c>
      <c r="BQ366">
        <f>IF(Table2912[[#This Row],[DMD '[mg/g']]]&gt;Y$10,_xlfn.NORM.DIST(Table2912[[#This Row],[DMD '[mg/g']]],Y$6,Y$2,FALSE),-100)</f>
        <v>-100</v>
      </c>
      <c r="BR366">
        <f>IF(Table2912[[#This Row],[CH4 '[ml/g']]]&lt;Z$10,_xlfn.NORM.DIST(Table2912[[#This Row],[CH4 '[ml/g']]],Z$6,Z$2,FALSE),-100)</f>
        <v>1.2967646046730787E-2</v>
      </c>
      <c r="BS366">
        <f>IF(Table2912[[#This Row],[CH4 '[% GP']]]&lt;AA$10,_xlfn.NORM.DIST(Table2912[[#This Row],[CH4 '[% GP']]],AA$6,AA$2,FALSE),-100)</f>
        <v>-100</v>
      </c>
      <c r="BT366">
        <f>IF(Table2912[[#This Row],[CH4 '[g/g DDM']]]&lt;AB$10,_xlfn.NORM.DIST(Table2912[[#This Row],[CH4 '[g/g DDM']]],AB$6,AB$2,FALSE),-100)</f>
        <v>4.4453326338930602E-3</v>
      </c>
    </row>
    <row r="367" spans="1:72" x14ac:dyDescent="0.25">
      <c r="A367" s="12" t="s">
        <v>70</v>
      </c>
      <c r="B367" s="13">
        <v>1009</v>
      </c>
      <c r="C367" s="96" t="s">
        <v>384</v>
      </c>
      <c r="D367" s="96"/>
      <c r="E367" s="96"/>
      <c r="F367" s="96" t="s">
        <v>385</v>
      </c>
      <c r="G367" t="s">
        <v>73</v>
      </c>
      <c r="H367" t="s">
        <v>74</v>
      </c>
      <c r="I367" t="s">
        <v>75</v>
      </c>
      <c r="J367" s="100">
        <v>1</v>
      </c>
      <c r="K367" s="100"/>
      <c r="L367" s="100"/>
      <c r="M367" t="s">
        <v>385</v>
      </c>
      <c r="N367" t="s">
        <v>76</v>
      </c>
      <c r="O367" s="18">
        <v>294.37017195767231</v>
      </c>
      <c r="P367" s="18">
        <v>7.6095978835978837</v>
      </c>
      <c r="Q367" s="97">
        <v>0.68927367202724443</v>
      </c>
      <c r="R367" s="97">
        <v>0.1660265648483169</v>
      </c>
      <c r="S367" s="97">
        <v>9.742665797974906E-2</v>
      </c>
      <c r="T367" s="97">
        <v>1.3947554864786708E-2</v>
      </c>
      <c r="U367" s="97">
        <v>7.8791090292588484E-4</v>
      </c>
      <c r="V367" s="97">
        <v>1.1090388209568624E-2</v>
      </c>
      <c r="W367" s="97">
        <v>2.1447251167408414E-2</v>
      </c>
      <c r="X367" s="51">
        <f t="shared" si="23"/>
        <v>5.343131726124402</v>
      </c>
      <c r="Y367" s="18">
        <v>859.9065255731922</v>
      </c>
      <c r="Z367" s="18">
        <v>40.659083874900958</v>
      </c>
      <c r="AA367" s="18">
        <f t="shared" si="24"/>
        <v>13.812229549109126</v>
      </c>
      <c r="AB367" s="18">
        <f t="shared" si="25"/>
        <v>47.283143767049133</v>
      </c>
      <c r="AC367" s="18">
        <f>$CP$15*Table2912[[#This Row],[DMD '[mg/g']]]+$CS$15*Table2912[[#This Row],[CH4 '[ml/g']]]+$CR$15*Table2912[[#This Row],[CH4 '[% GP']]]+$CQ$15*Table2912[[#This Row],[CH4 '[g/g DDM']]]</f>
        <v>24.140568994688095</v>
      </c>
      <c r="AD367" s="18">
        <f>_xlfn.RANK.AVG(Table2912[[#This Row],[Index]],Table2912[Index])</f>
        <v>102</v>
      </c>
      <c r="AE36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7.2498685627377535</v>
      </c>
      <c r="AF367" s="18">
        <f>Table2912[[#This Row],[CH4 '[ml/g']]]/Table2912[[#This Row],[APB]]</f>
        <v>5.6082511735284406</v>
      </c>
      <c r="AG367" s="18">
        <f>Table2912[[#This Row],[Propionate '[%']]]/Table2912[[#This Row],[Acetate '[%']]]</f>
        <v>0.2408717634027874</v>
      </c>
      <c r="AH367" s="51"/>
      <c r="AI367" s="18"/>
      <c r="AJ367" s="18"/>
      <c r="AK367" s="18">
        <f>(Table2912[[#This Row],[DMD '[mg/g']]]-$AK$15)/$AK$15*100</f>
        <v>75.387641710736887</v>
      </c>
      <c r="AL367" s="18">
        <f>(Table2912[[#This Row],[CH4 '[ml/g']]]-AL$15)/AL$15*100</f>
        <v>3.37350996056038</v>
      </c>
      <c r="AM367" s="18">
        <f>(Table2912[[#This Row],[CH4 '[% GP']]]-AM$15)/AM$15*100</f>
        <v>-11.017170855509956</v>
      </c>
      <c r="AN367" s="18">
        <f>(Table2912[[#This Row],[CH4 '[g/g DDM']]]-AN$15)/AN$15*100</f>
        <v>-7.6781042159086415</v>
      </c>
      <c r="AO367" s="18"/>
      <c r="AP367" s="18"/>
      <c r="AR367">
        <f>_xlfn.NORM.DIST(Table2912[[#This Row],[GP '[ml/g']]],O$6,O$2,FALSE)</f>
        <v>5.7345543375188482E-3</v>
      </c>
      <c r="AS367">
        <f>_xlfn.NORM.DIST(Table2912[[#This Row],[SCFA '[mmol/g']]],P$6,P$2,FALSE)</f>
        <v>0.22308597535297339</v>
      </c>
      <c r="AT367">
        <f>_xlfn.NORM.DIST(Table2912[[#This Row],[Acetate '[%']]],Q$6,Q$2,FALSE)</f>
        <v>11.938669354745754</v>
      </c>
      <c r="AU367">
        <f>_xlfn.NORM.DIST(Table2912[[#This Row],[Propionate '[%']]],R$6,R$2,FALSE)</f>
        <v>16.291273543375173</v>
      </c>
      <c r="AV367">
        <f>_xlfn.NORM.DIST(Table2912[[#This Row],[Butyrate '[%']]],S$6,S$2,FALSE)</f>
        <v>22.264329334564348</v>
      </c>
      <c r="AW367">
        <f>_xlfn.NORM.DIST(Table2912[[#This Row],[Valerate '[%']]],T$6,T$2,FALSE)</f>
        <v>59.722048034940038</v>
      </c>
      <c r="AX367">
        <f>_xlfn.NORM.DIST(Table2912[[#This Row],[Caproate '[%']]],U$6,U$2,FALSE)</f>
        <v>348.62947957124044</v>
      </c>
      <c r="AY367">
        <f>_xlfn.NORM.DIST(Table2912[[#This Row],[Isobutyrate '[%']]],V$6,V$2,FALSE)</f>
        <v>57.12475446161374</v>
      </c>
      <c r="AZ367">
        <f>_xlfn.NORM.DIST(Table2912[[#This Row],[Isovalerate '[%']]],W$6,W$2,FALSE)</f>
        <v>34.695350364697205</v>
      </c>
      <c r="BA367">
        <f>_xlfn.NORM.DIST(Table2912[[#This Row],[CH4 '[g/mmol SCFA']]],X$6,X$2,FALSE)</f>
        <v>0.23270591692540815</v>
      </c>
      <c r="BB367">
        <f>_xlfn.NORM.DIST(Table2912[[#This Row],[DMD '[mg/g']]],Y$6,Y$2,FALSE)</f>
        <v>2.4160685312829651E-3</v>
      </c>
      <c r="BC367">
        <f>_xlfn.NORM.DIST(Table2912[[#This Row],[CH4 '[ml/g']]],Z$6,Z$2,FALSE)</f>
        <v>3.3441549879801524E-2</v>
      </c>
      <c r="BD367">
        <f>_xlfn.NORM.DIST(Table2912[[#This Row],[CH4 '[% GP']]],AA$6,AA$2,FALSE)</f>
        <v>0.10078416917543889</v>
      </c>
      <c r="BE367">
        <f>_xlfn.NORM.DIST(Table2912[[#This Row],[CH4 '[g/g DDM']]],AB$6,AB$2,FALSE)</f>
        <v>2.8992803979343954E-2</v>
      </c>
      <c r="BG367">
        <f>IF(Table2912[[#This Row],[GP '[ml/g']]]&lt;O$10,_xlfn.NORM.DIST(Table2912[[#This Row],[GP '[ml/g']]],O$6,O$2,FALSE),-100)</f>
        <v>-100</v>
      </c>
      <c r="BH367">
        <f>IF(Table2912[[#This Row],[SCFA '[mmol/g']]]&lt;P$10,_xlfn.NORM.DIST(Table2912[[#This Row],[SCFA '[mmol/g']]],P$6,P$2,FALSE),-100)</f>
        <v>-100</v>
      </c>
      <c r="BI367">
        <f>IF(Table2912[[#This Row],[Acetate '[%']]]&lt;Q$10,_xlfn.NORM.DIST(Table2912[[#This Row],[Acetate '[%']]],Q$6,Q$2,FALSE),-100)</f>
        <v>-100</v>
      </c>
      <c r="BJ367">
        <f>IF(Table2912[[#This Row],[Propionate '[%']]]&lt;R$10,_xlfn.NORM.DIST(Table2912[[#This Row],[Propionate '[%']]],R$6,R$2,FALSE),-100)</f>
        <v>-100</v>
      </c>
      <c r="BK367">
        <f>IF(Table2912[[#This Row],[Butyrate '[%']]]&lt;S$10,_xlfn.NORM.DIST(Table2912[[#This Row],[Butyrate '[%']]],S$6,S$2,FALSE),-100)</f>
        <v>-100</v>
      </c>
      <c r="BL367">
        <f>IF(Table2912[[#This Row],[Valerate '[%']]]&lt;T$10,_xlfn.NORM.DIST(Table2912[[#This Row],[Valerate '[%']]],T$6,T$2,FALSE),-100)</f>
        <v>-100</v>
      </c>
      <c r="BM367">
        <f>IF(Table2912[[#This Row],[Caproate '[%']]]&lt;U$10,_xlfn.NORM.DIST(Table2912[[#This Row],[Caproate '[%']]],U$6,U$2,FALSE),-100)</f>
        <v>-100</v>
      </c>
      <c r="BN367">
        <f>IF(Table2912[[#This Row],[Isobutyrate '[%']]]&lt;V$10,_xlfn.NORM.DIST(Table2912[[#This Row],[Isobutyrate '[%']]],V$6,V$2,FALSE),-100)</f>
        <v>-100</v>
      </c>
      <c r="BO367">
        <f>IF(Table2912[[#This Row],[Isovalerate '[%']]]&lt;W$10,_xlfn.NORM.DIST(Table2912[[#This Row],[Isovalerate '[%']]],W$6,W$2,FALSE),-100)</f>
        <v>-100</v>
      </c>
      <c r="BP367">
        <f>IF(Table2912[[#This Row],[CH4 '[g/mmol SCFA']]]&lt;X$10,_xlfn.NORM.DIST(Table2912[[#This Row],[CH4 '[g/mmol SCFA']]],X$6,X$2,FALSE),-100)</f>
        <v>-100</v>
      </c>
      <c r="BQ367">
        <f>IF(Table2912[[#This Row],[DMD '[mg/g']]]&gt;Y$10,_xlfn.NORM.DIST(Table2912[[#This Row],[DMD '[mg/g']]],Y$6,Y$2,FALSE),-100)</f>
        <v>-100</v>
      </c>
      <c r="BR367">
        <f>IF(Table2912[[#This Row],[CH4 '[ml/g']]]&lt;Z$10,_xlfn.NORM.DIST(Table2912[[#This Row],[CH4 '[ml/g']]],Z$6,Z$2,FALSE),-100)</f>
        <v>-100</v>
      </c>
      <c r="BS367">
        <f>IF(Table2912[[#This Row],[CH4 '[% GP']]]&lt;AA$10,_xlfn.NORM.DIST(Table2912[[#This Row],[CH4 '[% GP']]],AA$6,AA$2,FALSE),-100)</f>
        <v>-100</v>
      </c>
      <c r="BT367">
        <f>IF(Table2912[[#This Row],[CH4 '[g/g DDM']]]&lt;AB$10,_xlfn.NORM.DIST(Table2912[[#This Row],[CH4 '[g/g DDM']]],AB$6,AB$2,FALSE),-100)</f>
        <v>-100</v>
      </c>
    </row>
    <row r="368" spans="1:72" x14ac:dyDescent="0.25">
      <c r="A368" s="12" t="s">
        <v>200</v>
      </c>
      <c r="B368" s="13">
        <v>1150</v>
      </c>
      <c r="C368" s="117" t="s">
        <v>431</v>
      </c>
      <c r="D368" s="117" t="s">
        <v>432</v>
      </c>
      <c r="E368" s="117" t="s">
        <v>433</v>
      </c>
      <c r="F368" s="117" t="s">
        <v>434</v>
      </c>
      <c r="G368" t="s">
        <v>73</v>
      </c>
      <c r="H368" t="s">
        <v>74</v>
      </c>
      <c r="I368" t="s">
        <v>75</v>
      </c>
      <c r="J368" s="100">
        <v>1</v>
      </c>
      <c r="K368" s="100"/>
      <c r="L368" s="100"/>
      <c r="M368" t="s">
        <v>435</v>
      </c>
      <c r="N368" t="s">
        <v>171</v>
      </c>
      <c r="O368" s="18">
        <v>307.08703335542259</v>
      </c>
      <c r="P368" s="18">
        <v>6.9700431853324494</v>
      </c>
      <c r="Q368" s="97">
        <v>0.66818370519998282</v>
      </c>
      <c r="R368" s="97">
        <v>0.18888439587590944</v>
      </c>
      <c r="S368" s="97">
        <v>7.8332752929306498E-2</v>
      </c>
      <c r="T368" s="97">
        <v>1.687529462840023E-2</v>
      </c>
      <c r="U368" s="97">
        <v>9.8602250058981182E-4</v>
      </c>
      <c r="V368" s="97">
        <v>1.645069145571372E-2</v>
      </c>
      <c r="W368" s="97">
        <v>3.0287137410097371E-2</v>
      </c>
      <c r="X368" s="51">
        <f t="shared" si="23"/>
        <v>7.7586193135491346</v>
      </c>
      <c r="Y368" s="18">
        <v>860.87519328473604</v>
      </c>
      <c r="Z368" s="18">
        <v>54.077911673991871</v>
      </c>
      <c r="AA368" s="18">
        <f t="shared" si="24"/>
        <v>17.609962583930429</v>
      </c>
      <c r="AB368" s="18">
        <f t="shared" si="25"/>
        <v>62.817365508760226</v>
      </c>
      <c r="AC368" s="18">
        <f>$CP$15*Table2912[[#This Row],[DMD '[mg/g']]]+$CS$15*Table2912[[#This Row],[CH4 '[ml/g']]]+$CR$15*Table2912[[#This Row],[CH4 '[% GP']]]+$CQ$15*Table2912[[#This Row],[CH4 '[g/g DDM']]]</f>
        <v>17.254070624262326</v>
      </c>
      <c r="AD368" s="18">
        <f>_xlfn.RANK.AVG(Table2912[[#This Row],[Index]],Table2912[Index])</f>
        <v>222</v>
      </c>
      <c r="AE36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6.5197843480130881</v>
      </c>
      <c r="AF368" s="18">
        <f>Table2912[[#This Row],[CH4 '[ml/g']]]/Table2912[[#This Row],[APB]]</f>
        <v>8.2944325743645457</v>
      </c>
      <c r="AG368" s="18">
        <f>Table2912[[#This Row],[Propionate '[%']]]/Table2912[[#This Row],[Acetate '[%']]]</f>
        <v>0.28268333155382414</v>
      </c>
      <c r="AH368" s="51"/>
      <c r="AI368" s="18"/>
      <c r="AJ368" s="18"/>
      <c r="AK368" s="18">
        <f>(Table2912[[#This Row],[DMD '[mg/g']]]-$AK$15)/$AK$15*100</f>
        <v>75.585212423920808</v>
      </c>
      <c r="AL368" s="18">
        <f>(Table2912[[#This Row],[CH4 '[ml/g']]]-AL$15)/AL$15*100</f>
        <v>37.490150006271392</v>
      </c>
      <c r="AM368" s="18">
        <f>(Table2912[[#This Row],[CH4 '[% GP']]]-AM$15)/AM$15*100</f>
        <v>13.449047908982406</v>
      </c>
      <c r="AN368" s="18">
        <f>(Table2912[[#This Row],[CH4 '[g/g DDM']]]-AN$15)/AN$15*100</f>
        <v>22.65297545575763</v>
      </c>
      <c r="AO368" s="18"/>
      <c r="AP368" s="18"/>
      <c r="AR368">
        <f>_xlfn.NORM.DIST(Table2912[[#This Row],[GP '[ml/g']]],O$6,O$2,FALSE)</f>
        <v>4.6845687637856849E-3</v>
      </c>
      <c r="AS368">
        <f>_xlfn.NORM.DIST(Table2912[[#This Row],[SCFA '[mmol/g']]],P$6,P$2,FALSE)</f>
        <v>0.31177676794993114</v>
      </c>
      <c r="AT368">
        <f>_xlfn.NORM.DIST(Table2912[[#This Row],[Acetate '[%']]],Q$6,Q$2,FALSE)</f>
        <v>13.816795313308717</v>
      </c>
      <c r="AU368">
        <f>_xlfn.NORM.DIST(Table2912[[#This Row],[Propionate '[%']]],R$6,R$2,FALSE)</f>
        <v>12.992326883168365</v>
      </c>
      <c r="AV368">
        <f>_xlfn.NORM.DIST(Table2912[[#This Row],[Butyrate '[%']]],S$6,S$2,FALSE)</f>
        <v>16.153783194756969</v>
      </c>
      <c r="AW368">
        <f>_xlfn.NORM.DIST(Table2912[[#This Row],[Valerate '[%']]],T$6,T$2,FALSE)</f>
        <v>76.505758686224013</v>
      </c>
      <c r="AX368">
        <f>_xlfn.NORM.DIST(Table2912[[#This Row],[Caproate '[%']]],U$6,U$2,FALSE)</f>
        <v>382.20367467997062</v>
      </c>
      <c r="AY368">
        <f>_xlfn.NORM.DIST(Table2912[[#This Row],[Isobutyrate '[%']]],V$6,V$2,FALSE)</f>
        <v>87.250580778905714</v>
      </c>
      <c r="AZ368">
        <f>_xlfn.NORM.DIST(Table2912[[#This Row],[Isovalerate '[%']]],W$6,W$2,FALSE)</f>
        <v>43.77534572496581</v>
      </c>
      <c r="BA368">
        <f>_xlfn.NORM.DIST(Table2912[[#This Row],[CH4 '[g/mmol SCFA']]],X$6,X$2,FALSE)</f>
        <v>0.16236115719741084</v>
      </c>
      <c r="BB368">
        <f>_xlfn.NORM.DIST(Table2912[[#This Row],[DMD '[mg/g']]],Y$6,Y$2,FALSE)</f>
        <v>2.4055387506486188E-3</v>
      </c>
      <c r="BC368">
        <f>_xlfn.NORM.DIST(Table2912[[#This Row],[CH4 '[ml/g']]],Z$6,Z$2,FALSE)</f>
        <v>1.9004474810981553E-2</v>
      </c>
      <c r="BD368">
        <f>_xlfn.NORM.DIST(Table2912[[#This Row],[CH4 '[% GP']]],AA$6,AA$2,FALSE)</f>
        <v>0.11764362502829878</v>
      </c>
      <c r="BE368">
        <f>_xlfn.NORM.DIST(Table2912[[#This Row],[CH4 '[g/g DDM']]],AB$6,AB$2,FALSE)</f>
        <v>2.4249149914335841E-2</v>
      </c>
      <c r="BG368">
        <f>IF(Table2912[[#This Row],[GP '[ml/g']]]&lt;O$10,_xlfn.NORM.DIST(Table2912[[#This Row],[GP '[ml/g']]],O$6,O$2,FALSE),-100)</f>
        <v>-100</v>
      </c>
      <c r="BH368">
        <f>IF(Table2912[[#This Row],[SCFA '[mmol/g']]]&lt;P$10,_xlfn.NORM.DIST(Table2912[[#This Row],[SCFA '[mmol/g']]],P$6,P$2,FALSE),-100)</f>
        <v>-100</v>
      </c>
      <c r="BI368">
        <f>IF(Table2912[[#This Row],[Acetate '[%']]]&lt;Q$10,_xlfn.NORM.DIST(Table2912[[#This Row],[Acetate '[%']]],Q$6,Q$2,FALSE),-100)</f>
        <v>-100</v>
      </c>
      <c r="BJ368">
        <f>IF(Table2912[[#This Row],[Propionate '[%']]]&lt;R$10,_xlfn.NORM.DIST(Table2912[[#This Row],[Propionate '[%']]],R$6,R$2,FALSE),-100)</f>
        <v>-100</v>
      </c>
      <c r="BK368">
        <f>IF(Table2912[[#This Row],[Butyrate '[%']]]&lt;S$10,_xlfn.NORM.DIST(Table2912[[#This Row],[Butyrate '[%']]],S$6,S$2,FALSE),-100)</f>
        <v>-100</v>
      </c>
      <c r="BL368">
        <f>IF(Table2912[[#This Row],[Valerate '[%']]]&lt;T$10,_xlfn.NORM.DIST(Table2912[[#This Row],[Valerate '[%']]],T$6,T$2,FALSE),-100)</f>
        <v>-100</v>
      </c>
      <c r="BM368">
        <f>IF(Table2912[[#This Row],[Caproate '[%']]]&lt;U$10,_xlfn.NORM.DIST(Table2912[[#This Row],[Caproate '[%']]],U$6,U$2,FALSE),-100)</f>
        <v>-100</v>
      </c>
      <c r="BN368">
        <f>IF(Table2912[[#This Row],[Isobutyrate '[%']]]&lt;V$10,_xlfn.NORM.DIST(Table2912[[#This Row],[Isobutyrate '[%']]],V$6,V$2,FALSE),-100)</f>
        <v>-100</v>
      </c>
      <c r="BO368">
        <f>IF(Table2912[[#This Row],[Isovalerate '[%']]]&lt;W$10,_xlfn.NORM.DIST(Table2912[[#This Row],[Isovalerate '[%']]],W$6,W$2,FALSE),-100)</f>
        <v>-100</v>
      </c>
      <c r="BP368">
        <f>IF(Table2912[[#This Row],[CH4 '[g/mmol SCFA']]]&lt;X$10,_xlfn.NORM.DIST(Table2912[[#This Row],[CH4 '[g/mmol SCFA']]],X$6,X$2,FALSE),-100)</f>
        <v>-100</v>
      </c>
      <c r="BQ368">
        <f>IF(Table2912[[#This Row],[DMD '[mg/g']]]&gt;Y$10,_xlfn.NORM.DIST(Table2912[[#This Row],[DMD '[mg/g']]],Y$6,Y$2,FALSE),-100)</f>
        <v>-100</v>
      </c>
      <c r="BR368">
        <f>IF(Table2912[[#This Row],[CH4 '[ml/g']]]&lt;Z$10,_xlfn.NORM.DIST(Table2912[[#This Row],[CH4 '[ml/g']]],Z$6,Z$2,FALSE),-100)</f>
        <v>-100</v>
      </c>
      <c r="BS368">
        <f>IF(Table2912[[#This Row],[CH4 '[% GP']]]&lt;AA$10,_xlfn.NORM.DIST(Table2912[[#This Row],[CH4 '[% GP']]],AA$6,AA$2,FALSE),-100)</f>
        <v>-100</v>
      </c>
      <c r="BT368">
        <f>IF(Table2912[[#This Row],[CH4 '[g/g DDM']]]&lt;AB$10,_xlfn.NORM.DIST(Table2912[[#This Row],[CH4 '[g/g DDM']]],AB$6,AB$2,FALSE),-100)</f>
        <v>-100</v>
      </c>
    </row>
    <row r="369" spans="1:72" x14ac:dyDescent="0.25">
      <c r="A369" s="12" t="s">
        <v>200</v>
      </c>
      <c r="B369" s="13">
        <v>1146</v>
      </c>
      <c r="C369" s="117" t="s">
        <v>425</v>
      </c>
      <c r="D369" s="117" t="s">
        <v>212</v>
      </c>
      <c r="E369" s="117" t="s">
        <v>213</v>
      </c>
      <c r="F369" s="117" t="s">
        <v>214</v>
      </c>
      <c r="G369" t="s">
        <v>73</v>
      </c>
      <c r="H369" t="s">
        <v>74</v>
      </c>
      <c r="I369" t="s">
        <v>75</v>
      </c>
      <c r="J369" s="70">
        <v>2</v>
      </c>
      <c r="K369" s="70"/>
      <c r="L369" s="70"/>
      <c r="M369" t="s">
        <v>426</v>
      </c>
      <c r="N369" t="s">
        <v>245</v>
      </c>
      <c r="O369" s="18">
        <v>301.55422134733163</v>
      </c>
      <c r="P369" s="18">
        <v>7.224152384338411</v>
      </c>
      <c r="Q369" s="97">
        <v>0.68106411532827349</v>
      </c>
      <c r="R369" s="97">
        <v>0.16286697627338739</v>
      </c>
      <c r="S369" s="97">
        <v>9.7177522876493491E-2</v>
      </c>
      <c r="T369" s="97">
        <v>1.5376630836811369E-2</v>
      </c>
      <c r="U369" s="97">
        <v>1.6654983341713029E-3</v>
      </c>
      <c r="V369" s="97">
        <v>1.4383003034153016E-2</v>
      </c>
      <c r="W369" s="97">
        <v>2.746625331670996E-2</v>
      </c>
      <c r="X369" s="51">
        <f t="shared" si="23"/>
        <v>7.2580545263173395</v>
      </c>
      <c r="Y369" s="18">
        <v>860.91112365934327</v>
      </c>
      <c r="Z369" s="18">
        <v>52.433291911953603</v>
      </c>
      <c r="AA369" s="18">
        <f t="shared" si="24"/>
        <v>17.38768294394416</v>
      </c>
      <c r="AB369" s="18">
        <f t="shared" si="25"/>
        <v>60.904419133398378</v>
      </c>
      <c r="AC369" s="18">
        <f>$CP$15*Table2912[[#This Row],[DMD '[mg/g']]]+$CS$15*Table2912[[#This Row],[CH4 '[ml/g']]]+$CR$15*Table2912[[#This Row],[CH4 '[% GP']]]+$CQ$15*Table2912[[#This Row],[CH4 '[g/g DDM']]]</f>
        <v>18.04128062858706</v>
      </c>
      <c r="AD369" s="18">
        <f>_xlfn.RANK.AVG(Table2912[[#This Row],[Index]],Table2912[Index])</f>
        <v>201</v>
      </c>
      <c r="AE36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6.7987120412037774</v>
      </c>
      <c r="AF369" s="18">
        <f>Table2912[[#This Row],[CH4 '[ml/g']]]/Table2912[[#This Row],[APB]]</f>
        <v>7.7122389644068212</v>
      </c>
      <c r="AG369" s="18">
        <f>Table2912[[#This Row],[Propionate '[%']]]/Table2912[[#This Row],[Acetate '[%']]]</f>
        <v>0.23913604109781261</v>
      </c>
      <c r="AH369" s="51"/>
      <c r="AI369" s="18"/>
      <c r="AJ369" s="18"/>
      <c r="AK369" s="18">
        <f>(Table2912[[#This Row],[DMD '[mg/g']]]-$AK$15)/$AK$15*100</f>
        <v>75.592540829370407</v>
      </c>
      <c r="AL369" s="18">
        <f>(Table2912[[#This Row],[CH4 '[ml/g']]]-AL$15)/AL$15*100</f>
        <v>33.308793685615449</v>
      </c>
      <c r="AM369" s="18">
        <f>(Table2912[[#This Row],[CH4 '[% GP']]]-AM$15)/AM$15*100</f>
        <v>12.017050912634149</v>
      </c>
      <c r="AN369" s="18">
        <f>(Table2912[[#This Row],[CH4 '[g/g DDM']]]-AN$15)/AN$15*100</f>
        <v>18.917884642490126</v>
      </c>
      <c r="AO369" s="18"/>
      <c r="AP369" s="18"/>
      <c r="AR369">
        <f>_xlfn.NORM.DIST(Table2912[[#This Row],[GP '[ml/g']]],O$6,O$2,FALSE)</f>
        <v>5.1512970060880008E-3</v>
      </c>
      <c r="AS369">
        <f>_xlfn.NORM.DIST(Table2912[[#This Row],[SCFA '[mmol/g']]],P$6,P$2,FALSE)</f>
        <v>0.28241008716061328</v>
      </c>
      <c r="AT369">
        <f>_xlfn.NORM.DIST(Table2912[[#This Row],[Acetate '[%']]],Q$6,Q$2,FALSE)</f>
        <v>13.490915616635867</v>
      </c>
      <c r="AU369">
        <f>_xlfn.NORM.DIST(Table2912[[#This Row],[Propionate '[%']]],R$6,R$2,FALSE)</f>
        <v>15.628476531451618</v>
      </c>
      <c r="AV369">
        <f>_xlfn.NORM.DIST(Table2912[[#This Row],[Butyrate '[%']]],S$6,S$2,FALSE)</f>
        <v>22.345445086169125</v>
      </c>
      <c r="AW369">
        <f>_xlfn.NORM.DIST(Table2912[[#This Row],[Valerate '[%']]],T$6,T$2,FALSE)</f>
        <v>70.168072420608894</v>
      </c>
      <c r="AX369">
        <f>_xlfn.NORM.DIST(Table2912[[#This Row],[Caproate '[%']]],U$6,U$2,FALSE)</f>
        <v>384.1814969789001</v>
      </c>
      <c r="AY369">
        <f>_xlfn.NORM.DIST(Table2912[[#This Row],[Isobutyrate '[%']]],V$6,V$2,FALSE)</f>
        <v>88.169428153013143</v>
      </c>
      <c r="AZ369">
        <f>_xlfn.NORM.DIST(Table2912[[#This Row],[Isovalerate '[%']]],W$6,W$2,FALSE)</f>
        <v>45.375755600333477</v>
      </c>
      <c r="BA369">
        <f>_xlfn.NORM.DIST(Table2912[[#This Row],[CH4 '[g/mmol SCFA']]],X$6,X$2,FALSE)</f>
        <v>0.22832582859831882</v>
      </c>
      <c r="BB369">
        <f>_xlfn.NORM.DIST(Table2912[[#This Row],[DMD '[mg/g']]],Y$6,Y$2,FALSE)</f>
        <v>2.4051467387498182E-3</v>
      </c>
      <c r="BC369">
        <f>_xlfn.NORM.DIST(Table2912[[#This Row],[CH4 '[ml/g']]],Z$6,Z$2,FALSE)</f>
        <v>2.1807024084274058E-2</v>
      </c>
      <c r="BD369">
        <f>_xlfn.NORM.DIST(Table2912[[#This Row],[CH4 '[% GP']]],AA$6,AA$2,FALSE)</f>
        <v>0.12198765283416978</v>
      </c>
      <c r="BE369">
        <f>_xlfn.NORM.DIST(Table2912[[#This Row],[CH4 '[g/g DDM']]],AB$6,AB$2,FALSE)</f>
        <v>2.7078265437728576E-2</v>
      </c>
      <c r="BG369">
        <f>IF(Table2912[[#This Row],[GP '[ml/g']]]&lt;O$10,_xlfn.NORM.DIST(Table2912[[#This Row],[GP '[ml/g']]],O$6,O$2,FALSE),-100)</f>
        <v>-100</v>
      </c>
      <c r="BH369">
        <f>IF(Table2912[[#This Row],[SCFA '[mmol/g']]]&lt;P$10,_xlfn.NORM.DIST(Table2912[[#This Row],[SCFA '[mmol/g']]],P$6,P$2,FALSE),-100)</f>
        <v>-100</v>
      </c>
      <c r="BI369">
        <f>IF(Table2912[[#This Row],[Acetate '[%']]]&lt;Q$10,_xlfn.NORM.DIST(Table2912[[#This Row],[Acetate '[%']]],Q$6,Q$2,FALSE),-100)</f>
        <v>-100</v>
      </c>
      <c r="BJ369">
        <f>IF(Table2912[[#This Row],[Propionate '[%']]]&lt;R$10,_xlfn.NORM.DIST(Table2912[[#This Row],[Propionate '[%']]],R$6,R$2,FALSE),-100)</f>
        <v>-100</v>
      </c>
      <c r="BK369">
        <f>IF(Table2912[[#This Row],[Butyrate '[%']]]&lt;S$10,_xlfn.NORM.DIST(Table2912[[#This Row],[Butyrate '[%']]],S$6,S$2,FALSE),-100)</f>
        <v>-100</v>
      </c>
      <c r="BL369">
        <f>IF(Table2912[[#This Row],[Valerate '[%']]]&lt;T$10,_xlfn.NORM.DIST(Table2912[[#This Row],[Valerate '[%']]],T$6,T$2,FALSE),-100)</f>
        <v>-100</v>
      </c>
      <c r="BM369">
        <f>IF(Table2912[[#This Row],[Caproate '[%']]]&lt;U$10,_xlfn.NORM.DIST(Table2912[[#This Row],[Caproate '[%']]],U$6,U$2,FALSE),-100)</f>
        <v>-100</v>
      </c>
      <c r="BN369">
        <f>IF(Table2912[[#This Row],[Isobutyrate '[%']]]&lt;V$10,_xlfn.NORM.DIST(Table2912[[#This Row],[Isobutyrate '[%']]],V$6,V$2,FALSE),-100)</f>
        <v>-100</v>
      </c>
      <c r="BO369">
        <f>IF(Table2912[[#This Row],[Isovalerate '[%']]]&lt;W$10,_xlfn.NORM.DIST(Table2912[[#This Row],[Isovalerate '[%']]],W$6,W$2,FALSE),-100)</f>
        <v>-100</v>
      </c>
      <c r="BP369">
        <f>IF(Table2912[[#This Row],[CH4 '[g/mmol SCFA']]]&lt;X$10,_xlfn.NORM.DIST(Table2912[[#This Row],[CH4 '[g/mmol SCFA']]],X$6,X$2,FALSE),-100)</f>
        <v>-100</v>
      </c>
      <c r="BQ369">
        <f>IF(Table2912[[#This Row],[DMD '[mg/g']]]&gt;Y$10,_xlfn.NORM.DIST(Table2912[[#This Row],[DMD '[mg/g']]],Y$6,Y$2,FALSE),-100)</f>
        <v>-100</v>
      </c>
      <c r="BR369">
        <f>IF(Table2912[[#This Row],[CH4 '[ml/g']]]&lt;Z$10,_xlfn.NORM.DIST(Table2912[[#This Row],[CH4 '[ml/g']]],Z$6,Z$2,FALSE),-100)</f>
        <v>-100</v>
      </c>
      <c r="BS369">
        <f>IF(Table2912[[#This Row],[CH4 '[% GP']]]&lt;AA$10,_xlfn.NORM.DIST(Table2912[[#This Row],[CH4 '[% GP']]],AA$6,AA$2,FALSE),-100)</f>
        <v>-100</v>
      </c>
      <c r="BT369">
        <f>IF(Table2912[[#This Row],[CH4 '[g/g DDM']]]&lt;AB$10,_xlfn.NORM.DIST(Table2912[[#This Row],[CH4 '[g/g DDM']]],AB$6,AB$2,FALSE),-100)</f>
        <v>-100</v>
      </c>
    </row>
    <row r="370" spans="1:72" x14ac:dyDescent="0.25">
      <c r="A370" s="12" t="s">
        <v>70</v>
      </c>
      <c r="B370" s="13">
        <v>1003</v>
      </c>
      <c r="C370" s="96" t="s">
        <v>462</v>
      </c>
      <c r="D370" s="96"/>
      <c r="E370" s="96"/>
      <c r="F370" s="96" t="s">
        <v>463</v>
      </c>
      <c r="G370" t="s">
        <v>73</v>
      </c>
      <c r="H370" t="s">
        <v>74</v>
      </c>
      <c r="I370" t="s">
        <v>75</v>
      </c>
      <c r="J370" s="100">
        <v>1</v>
      </c>
      <c r="K370" s="100"/>
      <c r="L370" s="100"/>
      <c r="M370" t="s">
        <v>463</v>
      </c>
      <c r="N370" t="s">
        <v>76</v>
      </c>
      <c r="O370" s="18">
        <v>299.04526502550294</v>
      </c>
      <c r="P370" s="18">
        <v>7.6902474248185593</v>
      </c>
      <c r="Q370" s="97">
        <v>0.68615523081110585</v>
      </c>
      <c r="R370" s="97">
        <v>0.16168305858806375</v>
      </c>
      <c r="S370" s="97">
        <v>9.8499078895438213E-2</v>
      </c>
      <c r="T370" s="97">
        <v>1.4665297854645711E-2</v>
      </c>
      <c r="U370" s="97">
        <v>8.8707786526426183E-4</v>
      </c>
      <c r="V370" s="97">
        <v>1.3204020215017851E-2</v>
      </c>
      <c r="W370" s="97">
        <v>2.4906235770464306E-2</v>
      </c>
      <c r="X370" s="51">
        <f t="shared" si="23"/>
        <v>5.6466537157364005</v>
      </c>
      <c r="Y370" s="18">
        <v>862.05323472243435</v>
      </c>
      <c r="Z370" s="18">
        <v>43.424164196284003</v>
      </c>
      <c r="AA370" s="18">
        <f t="shared" si="24"/>
        <v>14.520933542479176</v>
      </c>
      <c r="AB370" s="18">
        <f t="shared" si="25"/>
        <v>50.372949659269942</v>
      </c>
      <c r="AC370" s="18">
        <f>$CP$15*Table2912[[#This Row],[DMD '[mg/g']]]+$CS$15*Table2912[[#This Row],[CH4 '[ml/g']]]+$CR$15*Table2912[[#This Row],[CH4 '[% GP']]]+$CQ$15*Table2912[[#This Row],[CH4 '[g/g DDM']]]</f>
        <v>22.946117053277192</v>
      </c>
      <c r="AD370" s="18">
        <f>_xlfn.RANK.AVG(Table2912[[#This Row],[Index]],Table2912[Index])</f>
        <v>118</v>
      </c>
      <c r="AE37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7.27756850953718</v>
      </c>
      <c r="AF370" s="18">
        <f>Table2912[[#This Row],[CH4 '[ml/g']]]/Table2912[[#This Row],[APB]]</f>
        <v>5.9668506231685861</v>
      </c>
      <c r="AG370" s="18">
        <f>Table2912[[#This Row],[Propionate '[%']]]/Table2912[[#This Row],[Acetate '[%']]]</f>
        <v>0.23563626906543844</v>
      </c>
      <c r="AH370" s="51"/>
      <c r="AI370" s="18"/>
      <c r="AJ370" s="18"/>
      <c r="AK370" s="18">
        <f>(Table2912[[#This Row],[DMD '[mg/g']]]-$AK$15)/$AK$15*100</f>
        <v>75.825487271768623</v>
      </c>
      <c r="AL370" s="18">
        <f>(Table2912[[#This Row],[CH4 '[ml/g']]]-AL$15)/AL$15*100</f>
        <v>10.403576329583705</v>
      </c>
      <c r="AM370" s="18">
        <f>(Table2912[[#This Row],[CH4 '[% GP']]]-AM$15)/AM$15*100</f>
        <v>-6.4514715864783074</v>
      </c>
      <c r="AN370" s="18">
        <f>(Table2912[[#This Row],[CH4 '[g/g DDM']]]-AN$15)/AN$15*100</f>
        <v>-1.6451564284251909</v>
      </c>
      <c r="AO370" s="18"/>
      <c r="AP370" s="18"/>
      <c r="AR370">
        <f>_xlfn.NORM.DIST(Table2912[[#This Row],[GP '[ml/g']]],O$6,O$2,FALSE)</f>
        <v>5.3589614643469946E-3</v>
      </c>
      <c r="AS370">
        <f>_xlfn.NORM.DIST(Table2912[[#This Row],[SCFA '[mmol/g']]],P$6,P$2,FALSE)</f>
        <v>0.2095879278395795</v>
      </c>
      <c r="AT370">
        <f>_xlfn.NORM.DIST(Table2912[[#This Row],[Acetate '[%']]],Q$6,Q$2,FALSE)</f>
        <v>12.629398449930077</v>
      </c>
      <c r="AU370">
        <f>_xlfn.NORM.DIST(Table2912[[#This Row],[Propionate '[%']]],R$6,R$2,FALSE)</f>
        <v>15.317201396150708</v>
      </c>
      <c r="AV370">
        <f>_xlfn.NORM.DIST(Table2912[[#This Row],[Butyrate '[%']]],S$6,S$2,FALSE)</f>
        <v>21.866809030757324</v>
      </c>
      <c r="AW370">
        <f>_xlfn.NORM.DIST(Table2912[[#This Row],[Valerate '[%']]],T$6,T$2,FALSE)</f>
        <v>65.383279538978897</v>
      </c>
      <c r="AX370">
        <f>_xlfn.NORM.DIST(Table2912[[#This Row],[Caproate '[%']]],U$6,U$2,FALSE)</f>
        <v>366.91760471849949</v>
      </c>
      <c r="AY370">
        <f>_xlfn.NORM.DIST(Table2912[[#This Row],[Isobutyrate '[%']]],V$6,V$2,FALSE)</f>
        <v>80.43791774587109</v>
      </c>
      <c r="AZ370">
        <f>_xlfn.NORM.DIST(Table2912[[#This Row],[Isovalerate '[%']]],W$6,W$2,FALSE)</f>
        <v>42.873250593096394</v>
      </c>
      <c r="BA370">
        <f>_xlfn.NORM.DIST(Table2912[[#This Row],[CH4 '[g/mmol SCFA']]],X$6,X$2,FALSE)</f>
        <v>0.26578084278443331</v>
      </c>
      <c r="BB370">
        <f>_xlfn.NORM.DIST(Table2912[[#This Row],[DMD '[mg/g']]],Y$6,Y$2,FALSE)</f>
        <v>2.3926331754158749E-3</v>
      </c>
      <c r="BC370">
        <f>_xlfn.NORM.DIST(Table2912[[#This Row],[CH4 '[ml/g']]],Z$6,Z$2,FALSE)</f>
        <v>3.3024422657577948E-2</v>
      </c>
      <c r="BD370">
        <f>_xlfn.NORM.DIST(Table2912[[#This Row],[CH4 '[% GP']]],AA$6,AA$2,FALSE)</f>
        <v>0.11752666068723022</v>
      </c>
      <c r="BE370">
        <f>_xlfn.NORM.DIST(Table2912[[#This Row],[CH4 '[g/g DDM']]],AB$6,AB$2,FALSE)</f>
        <v>3.1876909931038741E-2</v>
      </c>
      <c r="BG370">
        <f>IF(Table2912[[#This Row],[GP '[ml/g']]]&lt;O$10,_xlfn.NORM.DIST(Table2912[[#This Row],[GP '[ml/g']]],O$6,O$2,FALSE),-100)</f>
        <v>-100</v>
      </c>
      <c r="BH370">
        <f>IF(Table2912[[#This Row],[SCFA '[mmol/g']]]&lt;P$10,_xlfn.NORM.DIST(Table2912[[#This Row],[SCFA '[mmol/g']]],P$6,P$2,FALSE),-100)</f>
        <v>-100</v>
      </c>
      <c r="BI370">
        <f>IF(Table2912[[#This Row],[Acetate '[%']]]&lt;Q$10,_xlfn.NORM.DIST(Table2912[[#This Row],[Acetate '[%']]],Q$6,Q$2,FALSE),-100)</f>
        <v>-100</v>
      </c>
      <c r="BJ370">
        <f>IF(Table2912[[#This Row],[Propionate '[%']]]&lt;R$10,_xlfn.NORM.DIST(Table2912[[#This Row],[Propionate '[%']]],R$6,R$2,FALSE),-100)</f>
        <v>-100</v>
      </c>
      <c r="BK370">
        <f>IF(Table2912[[#This Row],[Butyrate '[%']]]&lt;S$10,_xlfn.NORM.DIST(Table2912[[#This Row],[Butyrate '[%']]],S$6,S$2,FALSE),-100)</f>
        <v>-100</v>
      </c>
      <c r="BL370">
        <f>IF(Table2912[[#This Row],[Valerate '[%']]]&lt;T$10,_xlfn.NORM.DIST(Table2912[[#This Row],[Valerate '[%']]],T$6,T$2,FALSE),-100)</f>
        <v>-100</v>
      </c>
      <c r="BM370">
        <f>IF(Table2912[[#This Row],[Caproate '[%']]]&lt;U$10,_xlfn.NORM.DIST(Table2912[[#This Row],[Caproate '[%']]],U$6,U$2,FALSE),-100)</f>
        <v>-100</v>
      </c>
      <c r="BN370">
        <f>IF(Table2912[[#This Row],[Isobutyrate '[%']]]&lt;V$10,_xlfn.NORM.DIST(Table2912[[#This Row],[Isobutyrate '[%']]],V$6,V$2,FALSE),-100)</f>
        <v>-100</v>
      </c>
      <c r="BO370">
        <f>IF(Table2912[[#This Row],[Isovalerate '[%']]]&lt;W$10,_xlfn.NORM.DIST(Table2912[[#This Row],[Isovalerate '[%']]],W$6,W$2,FALSE),-100)</f>
        <v>-100</v>
      </c>
      <c r="BP370">
        <f>IF(Table2912[[#This Row],[CH4 '[g/mmol SCFA']]]&lt;X$10,_xlfn.NORM.DIST(Table2912[[#This Row],[CH4 '[g/mmol SCFA']]],X$6,X$2,FALSE),-100)</f>
        <v>-100</v>
      </c>
      <c r="BQ370">
        <f>IF(Table2912[[#This Row],[DMD '[mg/g']]]&gt;Y$10,_xlfn.NORM.DIST(Table2912[[#This Row],[DMD '[mg/g']]],Y$6,Y$2,FALSE),-100)</f>
        <v>-100</v>
      </c>
      <c r="BR370">
        <f>IF(Table2912[[#This Row],[CH4 '[ml/g']]]&lt;Z$10,_xlfn.NORM.DIST(Table2912[[#This Row],[CH4 '[ml/g']]],Z$6,Z$2,FALSE),-100)</f>
        <v>-100</v>
      </c>
      <c r="BS370">
        <f>IF(Table2912[[#This Row],[CH4 '[% GP']]]&lt;AA$10,_xlfn.NORM.DIST(Table2912[[#This Row],[CH4 '[% GP']]],AA$6,AA$2,FALSE),-100)</f>
        <v>-100</v>
      </c>
      <c r="BT370">
        <f>IF(Table2912[[#This Row],[CH4 '[g/g DDM']]]&lt;AB$10,_xlfn.NORM.DIST(Table2912[[#This Row],[CH4 '[g/g DDM']]],AB$6,AB$2,FALSE),-100)</f>
        <v>-100</v>
      </c>
    </row>
    <row r="371" spans="1:72" x14ac:dyDescent="0.25">
      <c r="A371" s="12" t="s">
        <v>200</v>
      </c>
      <c r="B371" s="13">
        <v>1257</v>
      </c>
      <c r="C371" s="113" t="s">
        <v>438</v>
      </c>
      <c r="D371" s="113" t="s">
        <v>439</v>
      </c>
      <c r="E371" s="113" t="s">
        <v>440</v>
      </c>
      <c r="F371" s="114" t="s">
        <v>441</v>
      </c>
      <c r="G371" t="s">
        <v>442</v>
      </c>
      <c r="H371" t="s">
        <v>317</v>
      </c>
      <c r="I371" s="115" t="s">
        <v>48</v>
      </c>
      <c r="J371" s="100">
        <v>2</v>
      </c>
      <c r="K371" s="100"/>
      <c r="L371" s="100"/>
      <c r="M371" t="s">
        <v>443</v>
      </c>
      <c r="N371" t="s">
        <v>342</v>
      </c>
      <c r="O371" s="18">
        <v>193.42487398641239</v>
      </c>
      <c r="P371" s="18">
        <v>5.1254445712313883</v>
      </c>
      <c r="Q371" s="97">
        <v>0.70932180323931959</v>
      </c>
      <c r="R371" s="97">
        <v>0.15676130699499535</v>
      </c>
      <c r="S371" s="97">
        <v>8.9667283995174527E-2</v>
      </c>
      <c r="T371" s="97">
        <v>1.0485627958756306E-2</v>
      </c>
      <c r="U371" s="97">
        <v>-2.2524368648294067E-4</v>
      </c>
      <c r="V371" s="97">
        <v>1.2352889792569779E-2</v>
      </c>
      <c r="W371" s="97">
        <v>2.1636331705667568E-2</v>
      </c>
      <c r="X371" s="51">
        <f t="shared" si="23"/>
        <v>5.7187089705746779</v>
      </c>
      <c r="Y371" s="18">
        <v>862.8346075203392</v>
      </c>
      <c r="Z371" s="18">
        <v>29.310925847684224</v>
      </c>
      <c r="AA371" s="18">
        <f t="shared" si="24"/>
        <v>15.153648671754205</v>
      </c>
      <c r="AB371" s="18">
        <f t="shared" si="25"/>
        <v>33.970503260085437</v>
      </c>
      <c r="AC371" s="18">
        <f>$CP$15*Table2912[[#This Row],[DMD '[mg/g']]]+$CS$15*Table2912[[#This Row],[CH4 '[ml/g']]]+$CR$15*Table2912[[#This Row],[CH4 '[% GP']]]+$CQ$15*Table2912[[#This Row],[CH4 '[g/g DDM']]]</f>
        <v>28.951576875827662</v>
      </c>
      <c r="AD371" s="18">
        <f>_xlfn.RANK.AVG(Table2912[[#This Row],[Index]],Table2912[Index])</f>
        <v>57</v>
      </c>
      <c r="AE37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4.8986456695557958</v>
      </c>
      <c r="AF371" s="18">
        <f>Table2912[[#This Row],[CH4 '[ml/g']]]/Table2912[[#This Row],[APB]]</f>
        <v>5.9834753980771405</v>
      </c>
      <c r="AG371" s="18">
        <f>Table2912[[#This Row],[Propionate '[%']]]/Table2912[[#This Row],[Acetate '[%']]]</f>
        <v>0.22100167551469629</v>
      </c>
      <c r="AH371" s="51"/>
      <c r="AI371" s="18"/>
      <c r="AJ371" s="18"/>
      <c r="AK371" s="18">
        <f>(Table2912[[#This Row],[DMD '[mg/g']]]-$AK$15)/$AK$15*100</f>
        <v>75.984857073306173</v>
      </c>
      <c r="AL371" s="18">
        <f>(Table2912[[#This Row],[CH4 '[ml/g']]]-AL$15)/AL$15*100</f>
        <v>-25.478564780470904</v>
      </c>
      <c r="AM371" s="18">
        <f>(Table2912[[#This Row],[CH4 '[% GP']]]-AM$15)/AM$15*100</f>
        <v>-2.3753170420408978</v>
      </c>
      <c r="AN371" s="18">
        <f>(Table2912[[#This Row],[CH4 '[g/g DDM']]]-AN$15)/AN$15*100</f>
        <v>-33.671473344453759</v>
      </c>
      <c r="AO371" s="18"/>
      <c r="AP371" s="18"/>
      <c r="AR371">
        <f>_xlfn.NORM.DIST(Table2912[[#This Row],[GP '[ml/g']]],O$6,O$2,FALSE)</f>
        <v>3.8005716952587464E-3</v>
      </c>
      <c r="AS371">
        <f>_xlfn.NORM.DIST(Table2912[[#This Row],[SCFA '[mmol/g']]],P$6,P$2,FALSE)</f>
        <v>0.16631033283609592</v>
      </c>
      <c r="AT371">
        <f>_xlfn.NORM.DIST(Table2912[[#This Row],[Acetate '[%']]],Q$6,Q$2,FALSE)</f>
        <v>6.2407960898702806</v>
      </c>
      <c r="AU371">
        <f>_xlfn.NORM.DIST(Table2912[[#This Row],[Propionate '[%']]],R$6,R$2,FALSE)</f>
        <v>13.718215667557462</v>
      </c>
      <c r="AV371">
        <f>_xlfn.NORM.DIST(Table2912[[#This Row],[Butyrate '[%']]],S$6,S$2,FALSE)</f>
        <v>22.627162222027238</v>
      </c>
      <c r="AW371">
        <f>_xlfn.NORM.DIST(Table2912[[#This Row],[Valerate '[%']]],T$6,T$2,FALSE)</f>
        <v>29.387775788218075</v>
      </c>
      <c r="AX371">
        <f>_xlfn.NORM.DIST(Table2912[[#This Row],[Caproate '[%']]],U$6,U$2,FALSE)</f>
        <v>115.05783811006664</v>
      </c>
      <c r="AY371">
        <f>_xlfn.NORM.DIST(Table2912[[#This Row],[Isobutyrate '[%']]],V$6,V$2,FALSE)</f>
        <v>72.031783703533137</v>
      </c>
      <c r="AZ371">
        <f>_xlfn.NORM.DIST(Table2912[[#This Row],[Isovalerate '[%']]],W$6,W$2,FALSE)</f>
        <v>35.240064309015061</v>
      </c>
      <c r="BA371">
        <f>_xlfn.NORM.DIST(Table2912[[#This Row],[CH4 '[g/mmol SCFA']]],X$6,X$2,FALSE)</f>
        <v>0.27224471295707164</v>
      </c>
      <c r="BB371">
        <f>_xlfn.NORM.DIST(Table2912[[#This Row],[DMD '[mg/g']]],Y$6,Y$2,FALSE)</f>
        <v>2.3840138559152952E-3</v>
      </c>
      <c r="BC371">
        <f>_xlfn.NORM.DIST(Table2912[[#This Row],[CH4 '[ml/g']]],Z$6,Z$2,FALSE)</f>
        <v>2.0014235273332275E-2</v>
      </c>
      <c r="BD371">
        <f>_xlfn.NORM.DIST(Table2912[[#This Row],[CH4 '[% GP']]],AA$6,AA$2,FALSE)</f>
        <v>0.12844227453563689</v>
      </c>
      <c r="BE371">
        <f>_xlfn.NORM.DIST(Table2912[[#This Row],[CH4 '[g/g DDM']]],AB$6,AB$2,FALSE)</f>
        <v>9.1896331755228679E-3</v>
      </c>
      <c r="BG371">
        <f>IF(Table2912[[#This Row],[GP '[ml/g']]]&lt;O$10,_xlfn.NORM.DIST(Table2912[[#This Row],[GP '[ml/g']]],O$6,O$2,FALSE),-100)</f>
        <v>3.8005716952587464E-3</v>
      </c>
      <c r="BH371">
        <f>IF(Table2912[[#This Row],[SCFA '[mmol/g']]]&lt;P$10,_xlfn.NORM.DIST(Table2912[[#This Row],[SCFA '[mmol/g']]],P$6,P$2,FALSE),-100)</f>
        <v>0.16631033283609592</v>
      </c>
      <c r="BI371">
        <f>IF(Table2912[[#This Row],[Acetate '[%']]]&lt;Q$10,_xlfn.NORM.DIST(Table2912[[#This Row],[Acetate '[%']]],Q$6,Q$2,FALSE),-100)</f>
        <v>-100</v>
      </c>
      <c r="BJ371">
        <f>IF(Table2912[[#This Row],[Propionate '[%']]]&lt;R$10,_xlfn.NORM.DIST(Table2912[[#This Row],[Propionate '[%']]],R$6,R$2,FALSE),-100)</f>
        <v>-100</v>
      </c>
      <c r="BK371">
        <f>IF(Table2912[[#This Row],[Butyrate '[%']]]&lt;S$10,_xlfn.NORM.DIST(Table2912[[#This Row],[Butyrate '[%']]],S$6,S$2,FALSE),-100)</f>
        <v>-100</v>
      </c>
      <c r="BL371">
        <f>IF(Table2912[[#This Row],[Valerate '[%']]]&lt;T$10,_xlfn.NORM.DIST(Table2912[[#This Row],[Valerate '[%']]],T$6,T$2,FALSE),-100)</f>
        <v>29.387775788218075</v>
      </c>
      <c r="BM371">
        <f>IF(Table2912[[#This Row],[Caproate '[%']]]&lt;U$10,_xlfn.NORM.DIST(Table2912[[#This Row],[Caproate '[%']]],U$6,U$2,FALSE),-100)</f>
        <v>115.05783811006664</v>
      </c>
      <c r="BN371">
        <f>IF(Table2912[[#This Row],[Isobutyrate '[%']]]&lt;V$10,_xlfn.NORM.DIST(Table2912[[#This Row],[Isobutyrate '[%']]],V$6,V$2,FALSE),-100)</f>
        <v>-100</v>
      </c>
      <c r="BO371">
        <f>IF(Table2912[[#This Row],[Isovalerate '[%']]]&lt;W$10,_xlfn.NORM.DIST(Table2912[[#This Row],[Isovalerate '[%']]],W$6,W$2,FALSE),-100)</f>
        <v>-100</v>
      </c>
      <c r="BP371">
        <f>IF(Table2912[[#This Row],[CH4 '[g/mmol SCFA']]]&lt;X$10,_xlfn.NORM.DIST(Table2912[[#This Row],[CH4 '[g/mmol SCFA']]],X$6,X$2,FALSE),-100)</f>
        <v>-100</v>
      </c>
      <c r="BQ371">
        <f>IF(Table2912[[#This Row],[DMD '[mg/g']]]&gt;Y$10,_xlfn.NORM.DIST(Table2912[[#This Row],[DMD '[mg/g']]],Y$6,Y$2,FALSE),-100)</f>
        <v>-100</v>
      </c>
      <c r="BR371">
        <f>IF(Table2912[[#This Row],[CH4 '[ml/g']]]&lt;Z$10,_xlfn.NORM.DIST(Table2912[[#This Row],[CH4 '[ml/g']]],Z$6,Z$2,FALSE),-100)</f>
        <v>2.0014235273332275E-2</v>
      </c>
      <c r="BS371">
        <f>IF(Table2912[[#This Row],[CH4 '[% GP']]]&lt;AA$10,_xlfn.NORM.DIST(Table2912[[#This Row],[CH4 '[% GP']]],AA$6,AA$2,FALSE),-100)</f>
        <v>-100</v>
      </c>
      <c r="BT371">
        <f>IF(Table2912[[#This Row],[CH4 '[g/g DDM']]]&lt;AB$10,_xlfn.NORM.DIST(Table2912[[#This Row],[CH4 '[g/g DDM']]],AB$6,AB$2,FALSE),-100)</f>
        <v>9.1896331755228679E-3</v>
      </c>
    </row>
    <row r="372" spans="1:72" x14ac:dyDescent="0.25">
      <c r="A372" s="12" t="s">
        <v>86</v>
      </c>
      <c r="B372" s="13">
        <v>1081</v>
      </c>
      <c r="C372" s="104" t="s">
        <v>292</v>
      </c>
      <c r="D372" s="104" t="s">
        <v>293</v>
      </c>
      <c r="E372" s="104" t="s">
        <v>294</v>
      </c>
      <c r="F372" s="104" t="s">
        <v>295</v>
      </c>
      <c r="G372" s="32" t="s">
        <v>143</v>
      </c>
      <c r="H372" s="32" t="s">
        <v>144</v>
      </c>
      <c r="I372" s="32" t="s">
        <v>52</v>
      </c>
      <c r="J372" s="100">
        <v>1</v>
      </c>
      <c r="K372" s="100"/>
      <c r="L372" s="100"/>
      <c r="M372" t="s">
        <v>295</v>
      </c>
      <c r="N372" t="s">
        <v>124</v>
      </c>
      <c r="O372" s="18">
        <v>340.44411636045521</v>
      </c>
      <c r="P372" s="18">
        <v>7.9273702447273156</v>
      </c>
      <c r="Q372" s="97">
        <v>0.68217171013729683</v>
      </c>
      <c r="R372" s="97">
        <v>0.16239043704319586</v>
      </c>
      <c r="S372" s="97">
        <v>0.10087562544193308</v>
      </c>
      <c r="T372" s="97">
        <v>1.5328454828500891E-2</v>
      </c>
      <c r="U372" s="97">
        <v>1.8746397401210998E-3</v>
      </c>
      <c r="V372" s="97">
        <v>1.3669406798583469E-2</v>
      </c>
      <c r="W372" s="97">
        <v>2.3689726010368718E-2</v>
      </c>
      <c r="X372" s="51">
        <f t="shared" si="23"/>
        <v>8.1355785020632201</v>
      </c>
      <c r="Y372" s="18">
        <v>863.12111183730485</v>
      </c>
      <c r="Z372" s="18">
        <v>64.493742940899196</v>
      </c>
      <c r="AA372" s="18">
        <f t="shared" si="24"/>
        <v>18.944002801509587</v>
      </c>
      <c r="AB372" s="18">
        <f t="shared" si="25"/>
        <v>74.721544933147257</v>
      </c>
      <c r="AC372" s="18">
        <f>$CP$15*Table2912[[#This Row],[DMD '[mg/g']]]+$CS$15*Table2912[[#This Row],[CH4 '[ml/g']]]+$CR$15*Table2912[[#This Row],[CH4 '[% GP']]]+$CQ$15*Table2912[[#This Row],[CH4 '[g/g DDM']]]</f>
        <v>12.609315541197446</v>
      </c>
      <c r="AD372" s="18">
        <f>_xlfn.RANK.AVG(Table2912[[#This Row],[Index]],Table2912[Index])</f>
        <v>310</v>
      </c>
      <c r="AE37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7.4948352669282876</v>
      </c>
      <c r="AF372" s="18">
        <f>Table2912[[#This Row],[CH4 '[ml/g']]]/Table2912[[#This Row],[APB]]</f>
        <v>8.6050914588455747</v>
      </c>
      <c r="AG372" s="18">
        <f>Table2912[[#This Row],[Propionate '[%']]]/Table2912[[#This Row],[Acetate '[%']]]</f>
        <v>0.23804921052869879</v>
      </c>
      <c r="AH372" s="51"/>
      <c r="AI372" s="18"/>
      <c r="AJ372" s="18"/>
      <c r="AK372" s="18">
        <f>(Table2912[[#This Row],[DMD '[mg/g']]]-$AK$15)/$AK$15*100</f>
        <v>76.043292862543908</v>
      </c>
      <c r="AL372" s="18">
        <f>(Table2912[[#This Row],[CH4 '[ml/g']]]-AL$15)/AL$15*100</f>
        <v>63.971834653421688</v>
      </c>
      <c r="AM372" s="18">
        <f>(Table2912[[#This Row],[CH4 '[% GP']]]-AM$15)/AM$15*100</f>
        <v>22.043364440623094</v>
      </c>
      <c r="AN372" s="18">
        <f>(Table2912[[#This Row],[CH4 '[g/g DDM']]]-AN$15)/AN$15*100</f>
        <v>45.896277923713896</v>
      </c>
      <c r="AO372" s="18"/>
      <c r="AP372" s="18"/>
      <c r="AR372">
        <f>_xlfn.NORM.DIST(Table2912[[#This Row],[GP '[ml/g']]],O$6,O$2,FALSE)</f>
        <v>2.1036236091257674E-3</v>
      </c>
      <c r="AS372">
        <f>_xlfn.NORM.DIST(Table2912[[#This Row],[SCFA '[mmol/g']]],P$6,P$2,FALSE)</f>
        <v>0.16993684053990665</v>
      </c>
      <c r="AT372">
        <f>_xlfn.NORM.DIST(Table2912[[#This Row],[Acetate '[%']]],Q$6,Q$2,FALSE)</f>
        <v>13.334938115038707</v>
      </c>
      <c r="AU372">
        <f>_xlfn.NORM.DIST(Table2912[[#This Row],[Propionate '[%']]],R$6,R$2,FALSE)</f>
        <v>15.507060900346049</v>
      </c>
      <c r="AV372">
        <f>_xlfn.NORM.DIST(Table2912[[#This Row],[Butyrate '[%']]],S$6,S$2,FALSE)</f>
        <v>20.725980828033297</v>
      </c>
      <c r="AW372">
        <f>_xlfn.NORM.DIST(Table2912[[#This Row],[Valerate '[%']]],T$6,T$2,FALSE)</f>
        <v>69.875235929711977</v>
      </c>
      <c r="AX372">
        <f>_xlfn.NORM.DIST(Table2912[[#This Row],[Caproate '[%']]],U$6,U$2,FALSE)</f>
        <v>349.33438888944295</v>
      </c>
      <c r="AY372">
        <f>_xlfn.NORM.DIST(Table2912[[#This Row],[Isobutyrate '[%']]],V$6,V$2,FALSE)</f>
        <v>84.115682691208178</v>
      </c>
      <c r="AZ372">
        <f>_xlfn.NORM.DIST(Table2912[[#This Row],[Isovalerate '[%']]],W$6,W$2,FALSE)</f>
        <v>40.508113976937551</v>
      </c>
      <c r="BA372">
        <f>_xlfn.NORM.DIST(Table2912[[#This Row],[CH4 '[g/mmol SCFA']]],X$6,X$2,FALSE)</f>
        <v>0.11456533640485372</v>
      </c>
      <c r="BB372">
        <f>_xlfn.NORM.DIST(Table2912[[#This Row],[DMD '[mg/g']]],Y$6,Y$2,FALSE)</f>
        <v>2.3808417548024426E-3</v>
      </c>
      <c r="BC372">
        <f>_xlfn.NORM.DIST(Table2912[[#This Row],[CH4 '[ml/g']]],Z$6,Z$2,FALSE)</f>
        <v>5.1060870856027007E-3</v>
      </c>
      <c r="BD372">
        <f>_xlfn.NORM.DIST(Table2912[[#This Row],[CH4 '[% GP']]],AA$6,AA$2,FALSE)</f>
        <v>8.4071360739413931E-2</v>
      </c>
      <c r="BE372">
        <f>_xlfn.NORM.DIST(Table2912[[#This Row],[CH4 '[g/g DDM']]],AB$6,AB$2,FALSE)</f>
        <v>6.9865566948493678E-3</v>
      </c>
      <c r="BG372">
        <f>IF(Table2912[[#This Row],[GP '[ml/g']]]&lt;O$10,_xlfn.NORM.DIST(Table2912[[#This Row],[GP '[ml/g']]],O$6,O$2,FALSE),-100)</f>
        <v>-100</v>
      </c>
      <c r="BH372">
        <f>IF(Table2912[[#This Row],[SCFA '[mmol/g']]]&lt;P$10,_xlfn.NORM.DIST(Table2912[[#This Row],[SCFA '[mmol/g']]],P$6,P$2,FALSE),-100)</f>
        <v>-100</v>
      </c>
      <c r="BI372">
        <f>IF(Table2912[[#This Row],[Acetate '[%']]]&lt;Q$10,_xlfn.NORM.DIST(Table2912[[#This Row],[Acetate '[%']]],Q$6,Q$2,FALSE),-100)</f>
        <v>-100</v>
      </c>
      <c r="BJ372">
        <f>IF(Table2912[[#This Row],[Propionate '[%']]]&lt;R$10,_xlfn.NORM.DIST(Table2912[[#This Row],[Propionate '[%']]],R$6,R$2,FALSE),-100)</f>
        <v>-100</v>
      </c>
      <c r="BK372">
        <f>IF(Table2912[[#This Row],[Butyrate '[%']]]&lt;S$10,_xlfn.NORM.DIST(Table2912[[#This Row],[Butyrate '[%']]],S$6,S$2,FALSE),-100)</f>
        <v>-100</v>
      </c>
      <c r="BL372">
        <f>IF(Table2912[[#This Row],[Valerate '[%']]]&lt;T$10,_xlfn.NORM.DIST(Table2912[[#This Row],[Valerate '[%']]],T$6,T$2,FALSE),-100)</f>
        <v>-100</v>
      </c>
      <c r="BM372">
        <f>IF(Table2912[[#This Row],[Caproate '[%']]]&lt;U$10,_xlfn.NORM.DIST(Table2912[[#This Row],[Caproate '[%']]],U$6,U$2,FALSE),-100)</f>
        <v>-100</v>
      </c>
      <c r="BN372">
        <f>IF(Table2912[[#This Row],[Isobutyrate '[%']]]&lt;V$10,_xlfn.NORM.DIST(Table2912[[#This Row],[Isobutyrate '[%']]],V$6,V$2,FALSE),-100)</f>
        <v>-100</v>
      </c>
      <c r="BO372">
        <f>IF(Table2912[[#This Row],[Isovalerate '[%']]]&lt;W$10,_xlfn.NORM.DIST(Table2912[[#This Row],[Isovalerate '[%']]],W$6,W$2,FALSE),-100)</f>
        <v>-100</v>
      </c>
      <c r="BP372">
        <f>IF(Table2912[[#This Row],[CH4 '[g/mmol SCFA']]]&lt;X$10,_xlfn.NORM.DIST(Table2912[[#This Row],[CH4 '[g/mmol SCFA']]],X$6,X$2,FALSE),-100)</f>
        <v>-100</v>
      </c>
      <c r="BQ372">
        <f>IF(Table2912[[#This Row],[DMD '[mg/g']]]&gt;Y$10,_xlfn.NORM.DIST(Table2912[[#This Row],[DMD '[mg/g']]],Y$6,Y$2,FALSE),-100)</f>
        <v>-100</v>
      </c>
      <c r="BR372">
        <f>IF(Table2912[[#This Row],[CH4 '[ml/g']]]&lt;Z$10,_xlfn.NORM.DIST(Table2912[[#This Row],[CH4 '[ml/g']]],Z$6,Z$2,FALSE),-100)</f>
        <v>-100</v>
      </c>
      <c r="BS372">
        <f>IF(Table2912[[#This Row],[CH4 '[% GP']]]&lt;AA$10,_xlfn.NORM.DIST(Table2912[[#This Row],[CH4 '[% GP']]],AA$6,AA$2,FALSE),-100)</f>
        <v>-100</v>
      </c>
      <c r="BT372">
        <f>IF(Table2912[[#This Row],[CH4 '[g/g DDM']]]&lt;AB$10,_xlfn.NORM.DIST(Table2912[[#This Row],[CH4 '[g/g DDM']]],AB$6,AB$2,FALSE),-100)</f>
        <v>-100</v>
      </c>
    </row>
    <row r="373" spans="1:72" x14ac:dyDescent="0.25">
      <c r="A373" s="12" t="s">
        <v>200</v>
      </c>
      <c r="B373" s="13">
        <v>1183</v>
      </c>
      <c r="C373" s="113" t="s">
        <v>464</v>
      </c>
      <c r="D373" s="113" t="s">
        <v>465</v>
      </c>
      <c r="E373" s="113" t="s">
        <v>466</v>
      </c>
      <c r="F373" s="113" t="s">
        <v>467</v>
      </c>
      <c r="G373" t="s">
        <v>457</v>
      </c>
      <c r="H373" t="s">
        <v>458</v>
      </c>
      <c r="I373" s="53" t="s">
        <v>48</v>
      </c>
      <c r="J373" s="70">
        <v>3</v>
      </c>
      <c r="K373" s="70"/>
      <c r="L373" s="70"/>
      <c r="M373" t="s">
        <v>468</v>
      </c>
      <c r="N373" t="s">
        <v>352</v>
      </c>
      <c r="O373" s="18">
        <v>292.40777338603431</v>
      </c>
      <c r="P373" s="18">
        <v>7.3187052251394107</v>
      </c>
      <c r="Q373" s="97">
        <v>0.65840560632862366</v>
      </c>
      <c r="R373" s="97">
        <v>0.17341317372841214</v>
      </c>
      <c r="S373" s="97">
        <v>0.10893405087862579</v>
      </c>
      <c r="T373" s="97">
        <v>1.8453714651004427E-2</v>
      </c>
      <c r="U373" s="97">
        <v>8.9080204310702316E-4</v>
      </c>
      <c r="V373" s="97">
        <v>1.4681975312153735E-2</v>
      </c>
      <c r="W373" s="97">
        <v>2.5220677058073099E-2</v>
      </c>
      <c r="X373" s="51">
        <f t="shared" si="23"/>
        <v>6.7016506238294173</v>
      </c>
      <c r="Y373" s="18">
        <v>863.13485068503439</v>
      </c>
      <c r="Z373" s="18">
        <v>49.047405437679146</v>
      </c>
      <c r="AA373" s="18">
        <f t="shared" si="24"/>
        <v>16.77363254393623</v>
      </c>
      <c r="AB373" s="18">
        <f t="shared" si="25"/>
        <v>56.824730688086859</v>
      </c>
      <c r="AC373" s="18">
        <f>$CP$15*Table2912[[#This Row],[DMD '[mg/g']]]+$CS$15*Table2912[[#This Row],[CH4 '[ml/g']]]+$CR$15*Table2912[[#This Row],[CH4 '[% GP']]]+$CQ$15*Table2912[[#This Row],[CH4 '[g/g DDM']]]</f>
        <v>19.948868973636102</v>
      </c>
      <c r="AD373" s="18">
        <f>_xlfn.RANK.AVG(Table2912[[#This Row],[Index]],Table2912[Index])</f>
        <v>163</v>
      </c>
      <c r="AE37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6.8850926593335195</v>
      </c>
      <c r="AF373" s="18">
        <f>Table2912[[#This Row],[CH4 '[ml/g']]]/Table2912[[#This Row],[APB]]</f>
        <v>7.1237102918564004</v>
      </c>
      <c r="AG373" s="18">
        <f>Table2912[[#This Row],[Propionate '[%']]]/Table2912[[#This Row],[Acetate '[%']]]</f>
        <v>0.26338350108437275</v>
      </c>
      <c r="AH373" s="51"/>
      <c r="AI373" s="18"/>
      <c r="AJ373" s="18"/>
      <c r="AK373" s="18">
        <f>(Table2912[[#This Row],[DMD '[mg/g']]]-$AK$15)/$AK$15*100</f>
        <v>76.046095055609612</v>
      </c>
      <c r="AL373" s="18">
        <f>(Table2912[[#This Row],[CH4 '[ml/g']]]-AL$15)/AL$15*100</f>
        <v>24.700361428493185</v>
      </c>
      <c r="AM373" s="18">
        <f>(Table2912[[#This Row],[CH4 '[% GP']]]-AM$15)/AM$15*100</f>
        <v>8.061140562625841</v>
      </c>
      <c r="AN373" s="18">
        <f>(Table2912[[#This Row],[CH4 '[g/g DDM']]]-AN$15)/AN$15*100</f>
        <v>10.952158561854827</v>
      </c>
      <c r="AO373" s="18"/>
      <c r="AP373" s="18"/>
      <c r="AR373">
        <f>_xlfn.NORM.DIST(Table2912[[#This Row],[GP '[ml/g']]],O$6,O$2,FALSE)</f>
        <v>5.8864600610290833E-3</v>
      </c>
      <c r="AS373">
        <f>_xlfn.NORM.DIST(Table2912[[#This Row],[SCFA '[mmol/g']]],P$6,P$2,FALSE)</f>
        <v>0.26909995778045598</v>
      </c>
      <c r="AT373">
        <f>_xlfn.NORM.DIST(Table2912[[#This Row],[Acetate '[%']]],Q$6,Q$2,FALSE)</f>
        <v>12.268750362533757</v>
      </c>
      <c r="AU373">
        <f>_xlfn.NORM.DIST(Table2912[[#This Row],[Propionate '[%']]],R$6,R$2,FALSE)</f>
        <v>16.755586263047146</v>
      </c>
      <c r="AV373">
        <f>_xlfn.NORM.DIST(Table2912[[#This Row],[Butyrate '[%']]],S$6,S$2,FALSE)</f>
        <v>15.023084049856251</v>
      </c>
      <c r="AW373">
        <f>_xlfn.NORM.DIST(Table2912[[#This Row],[Valerate '[%']]],T$6,T$2,FALSE)</f>
        <v>76.480955978813142</v>
      </c>
      <c r="AX373">
        <f>_xlfn.NORM.DIST(Table2912[[#This Row],[Caproate '[%']]],U$6,U$2,FALSE)</f>
        <v>367.54952256386338</v>
      </c>
      <c r="AY373">
        <f>_xlfn.NORM.DIST(Table2912[[#This Row],[Isobutyrate '[%']]],V$6,V$2,FALSE)</f>
        <v>89.23284333339673</v>
      </c>
      <c r="AZ373">
        <f>_xlfn.NORM.DIST(Table2912[[#This Row],[Isovalerate '[%']]],W$6,W$2,FALSE)</f>
        <v>43.371145338627024</v>
      </c>
      <c r="BA373">
        <f>_xlfn.NORM.DIST(Table2912[[#This Row],[CH4 '[g/mmol SCFA']]],X$6,X$2,FALSE)</f>
        <v>0.28325230202691221</v>
      </c>
      <c r="BB373">
        <f>_xlfn.NORM.DIST(Table2912[[#This Row],[DMD '[mg/g']]],Y$6,Y$2,FALSE)</f>
        <v>2.3806894856160696E-3</v>
      </c>
      <c r="BC373">
        <f>_xlfn.NORM.DIST(Table2912[[#This Row],[CH4 '[ml/g']]],Z$6,Z$2,FALSE)</f>
        <v>2.7258298819525358E-2</v>
      </c>
      <c r="BD373">
        <f>_xlfn.NORM.DIST(Table2912[[#This Row],[CH4 '[% GP']]],AA$6,AA$2,FALSE)</f>
        <v>0.13094900868591677</v>
      </c>
      <c r="BE373">
        <f>_xlfn.NORM.DIST(Table2912[[#This Row],[CH4 '[g/g DDM']]],AB$6,AB$2,FALSE)</f>
        <v>3.1537512405982925E-2</v>
      </c>
      <c r="BG373">
        <f>IF(Table2912[[#This Row],[GP '[ml/g']]]&lt;O$10,_xlfn.NORM.DIST(Table2912[[#This Row],[GP '[ml/g']]],O$6,O$2,FALSE),-100)</f>
        <v>-100</v>
      </c>
      <c r="BH373">
        <f>IF(Table2912[[#This Row],[SCFA '[mmol/g']]]&lt;P$10,_xlfn.NORM.DIST(Table2912[[#This Row],[SCFA '[mmol/g']]],P$6,P$2,FALSE),-100)</f>
        <v>-100</v>
      </c>
      <c r="BI373">
        <f>IF(Table2912[[#This Row],[Acetate '[%']]]&lt;Q$10,_xlfn.NORM.DIST(Table2912[[#This Row],[Acetate '[%']]],Q$6,Q$2,FALSE),-100)</f>
        <v>-100</v>
      </c>
      <c r="BJ373">
        <f>IF(Table2912[[#This Row],[Propionate '[%']]]&lt;R$10,_xlfn.NORM.DIST(Table2912[[#This Row],[Propionate '[%']]],R$6,R$2,FALSE),-100)</f>
        <v>-100</v>
      </c>
      <c r="BK373">
        <f>IF(Table2912[[#This Row],[Butyrate '[%']]]&lt;S$10,_xlfn.NORM.DIST(Table2912[[#This Row],[Butyrate '[%']]],S$6,S$2,FALSE),-100)</f>
        <v>-100</v>
      </c>
      <c r="BL373">
        <f>IF(Table2912[[#This Row],[Valerate '[%']]]&lt;T$10,_xlfn.NORM.DIST(Table2912[[#This Row],[Valerate '[%']]],T$6,T$2,FALSE),-100)</f>
        <v>-100</v>
      </c>
      <c r="BM373">
        <f>IF(Table2912[[#This Row],[Caproate '[%']]]&lt;U$10,_xlfn.NORM.DIST(Table2912[[#This Row],[Caproate '[%']]],U$6,U$2,FALSE),-100)</f>
        <v>-100</v>
      </c>
      <c r="BN373">
        <f>IF(Table2912[[#This Row],[Isobutyrate '[%']]]&lt;V$10,_xlfn.NORM.DIST(Table2912[[#This Row],[Isobutyrate '[%']]],V$6,V$2,FALSE),-100)</f>
        <v>-100</v>
      </c>
      <c r="BO373">
        <f>IF(Table2912[[#This Row],[Isovalerate '[%']]]&lt;W$10,_xlfn.NORM.DIST(Table2912[[#This Row],[Isovalerate '[%']]],W$6,W$2,FALSE),-100)</f>
        <v>-100</v>
      </c>
      <c r="BP373">
        <f>IF(Table2912[[#This Row],[CH4 '[g/mmol SCFA']]]&lt;X$10,_xlfn.NORM.DIST(Table2912[[#This Row],[CH4 '[g/mmol SCFA']]],X$6,X$2,FALSE),-100)</f>
        <v>-100</v>
      </c>
      <c r="BQ373">
        <f>IF(Table2912[[#This Row],[DMD '[mg/g']]]&gt;Y$10,_xlfn.NORM.DIST(Table2912[[#This Row],[DMD '[mg/g']]],Y$6,Y$2,FALSE),-100)</f>
        <v>-100</v>
      </c>
      <c r="BR373">
        <f>IF(Table2912[[#This Row],[CH4 '[ml/g']]]&lt;Z$10,_xlfn.NORM.DIST(Table2912[[#This Row],[CH4 '[ml/g']]],Z$6,Z$2,FALSE),-100)</f>
        <v>-100</v>
      </c>
      <c r="BS373">
        <f>IF(Table2912[[#This Row],[CH4 '[% GP']]]&lt;AA$10,_xlfn.NORM.DIST(Table2912[[#This Row],[CH4 '[% GP']]],AA$6,AA$2,FALSE),-100)</f>
        <v>-100</v>
      </c>
      <c r="BT373">
        <f>IF(Table2912[[#This Row],[CH4 '[g/g DDM']]]&lt;AB$10,_xlfn.NORM.DIST(Table2912[[#This Row],[CH4 '[g/g DDM']]],AB$6,AB$2,FALSE),-100)</f>
        <v>-100</v>
      </c>
    </row>
    <row r="374" spans="1:72" ht="15.75" thickBot="1" x14ac:dyDescent="0.3">
      <c r="A374" s="12" t="s">
        <v>200</v>
      </c>
      <c r="B374" s="13">
        <v>1202</v>
      </c>
      <c r="C374" s="126" t="s">
        <v>427</v>
      </c>
      <c r="D374" s="126" t="s">
        <v>262</v>
      </c>
      <c r="E374" s="126" t="s">
        <v>411</v>
      </c>
      <c r="F374" s="126" t="s">
        <v>412</v>
      </c>
      <c r="G374" t="s">
        <v>73</v>
      </c>
      <c r="H374" t="s">
        <v>74</v>
      </c>
      <c r="I374" t="s">
        <v>75</v>
      </c>
      <c r="J374" s="70">
        <v>2</v>
      </c>
      <c r="K374" s="70"/>
      <c r="L374" s="70"/>
      <c r="M374" t="s">
        <v>428</v>
      </c>
      <c r="N374" t="s">
        <v>171</v>
      </c>
      <c r="O374" s="18">
        <v>255.47753765553335</v>
      </c>
      <c r="P374" s="18">
        <v>6.667642216996942</v>
      </c>
      <c r="Q374" s="97">
        <v>0.6504873620964009</v>
      </c>
      <c r="R374" s="97">
        <v>0.17815770515015272</v>
      </c>
      <c r="S374" s="97">
        <v>9.6932945456956007E-2</v>
      </c>
      <c r="T374" s="97">
        <v>1.820564665954294E-2</v>
      </c>
      <c r="U374" s="97">
        <v>3.4081588160116937E-3</v>
      </c>
      <c r="V374" s="97">
        <v>1.8980035243068485E-2</v>
      </c>
      <c r="W374" s="97">
        <v>3.3828146577867237E-2</v>
      </c>
      <c r="X374" s="51">
        <f t="shared" si="23"/>
        <v>8.1586296300377299</v>
      </c>
      <c r="Y374" s="18">
        <v>863.3114438789454</v>
      </c>
      <c r="Z374" s="18">
        <v>54.398823354081706</v>
      </c>
      <c r="AA374" s="18">
        <f t="shared" si="24"/>
        <v>21.292996579381853</v>
      </c>
      <c r="AB374" s="18">
        <f t="shared" si="25"/>
        <v>63.011817739450208</v>
      </c>
      <c r="AC374" s="18">
        <f>$CP$15*Table2912[[#This Row],[DMD '[mg/g']]]+$CS$15*Table2912[[#This Row],[CH4 '[ml/g']]]+$CR$15*Table2912[[#This Row],[CH4 '[% GP']]]+$CQ$15*Table2912[[#This Row],[CH4 '[g/g DDM']]]</f>
        <v>16.295252285823594</v>
      </c>
      <c r="AD374" s="18">
        <f>_xlfn.RANK.AVG(Table2912[[#This Row],[Index]],Table2912[Index])</f>
        <v>247</v>
      </c>
      <c r="AE37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6.171423032626052</v>
      </c>
      <c r="AF374" s="18">
        <f>Table2912[[#This Row],[CH4 '[ml/g']]]/Table2912[[#This Row],[APB]]</f>
        <v>8.8146320656508337</v>
      </c>
      <c r="AG374" s="18">
        <f>Table2912[[#This Row],[Propionate '[%']]]/Table2912[[#This Row],[Acetate '[%']]]</f>
        <v>0.27388342269399862</v>
      </c>
      <c r="AH374" s="51"/>
      <c r="AI374" s="18"/>
      <c r="AJ374" s="18"/>
      <c r="AK374" s="18">
        <f>(Table2912[[#This Row],[DMD '[mg/g']]]-$AK$15)/$AK$15*100</f>
        <v>76.082113230726449</v>
      </c>
      <c r="AL374" s="18">
        <f>(Table2912[[#This Row],[CH4 '[ml/g']]]-AL$15)/AL$15*100</f>
        <v>38.30605050369271</v>
      </c>
      <c r="AM374" s="18">
        <f>(Table2912[[#This Row],[CH4 '[% GP']]]-AM$15)/AM$15*100</f>
        <v>37.176338538303042</v>
      </c>
      <c r="AN374" s="18">
        <f>(Table2912[[#This Row],[CH4 '[g/g DDM']]]-AN$15)/AN$15*100</f>
        <v>23.032649841733107</v>
      </c>
      <c r="AO374" s="18"/>
      <c r="AP374" s="18"/>
      <c r="AR374">
        <f>_xlfn.NORM.DIST(Table2912[[#This Row],[GP '[ml/g']]],O$6,O$2,FALSE)</f>
        <v>7.4798646030433732E-3</v>
      </c>
      <c r="AS374">
        <f>_xlfn.NORM.DIST(Table2912[[#This Row],[SCFA '[mmol/g']]],P$6,P$2,FALSE)</f>
        <v>0.33078835900907461</v>
      </c>
      <c r="AT374">
        <f>_xlfn.NORM.DIST(Table2912[[#This Row],[Acetate '[%']]],Q$6,Q$2,FALSE)</f>
        <v>10.218650169834701</v>
      </c>
      <c r="AU374">
        <f>_xlfn.NORM.DIST(Table2912[[#This Row],[Propionate '[%']]],R$6,R$2,FALSE)</f>
        <v>16.212812934208184</v>
      </c>
      <c r="AV374">
        <f>_xlfn.NORM.DIST(Table2912[[#This Row],[Butyrate '[%']]],S$6,S$2,FALSE)</f>
        <v>22.420852814660304</v>
      </c>
      <c r="AW374">
        <f>_xlfn.NORM.DIST(Table2912[[#This Row],[Valerate '[%']]],T$6,T$2,FALSE)</f>
        <v>76.961328919154596</v>
      </c>
      <c r="AX374">
        <f>_xlfn.NORM.DIST(Table2912[[#This Row],[Caproate '[%']]],U$6,U$2,FALSE)</f>
        <v>43.322956381691981</v>
      </c>
      <c r="AY374">
        <f>_xlfn.NORM.DIST(Table2912[[#This Row],[Isobutyrate '[%']]],V$6,V$2,FALSE)</f>
        <v>64.010278606700084</v>
      </c>
      <c r="AZ374">
        <f>_xlfn.NORM.DIST(Table2912[[#This Row],[Isovalerate '[%']]],W$6,W$2,FALSE)</f>
        <v>36.159217365899089</v>
      </c>
      <c r="BA374">
        <f>_xlfn.NORM.DIST(Table2912[[#This Row],[CH4 '[g/mmol SCFA']]],X$6,X$2,FALSE)</f>
        <v>0.11186148248831287</v>
      </c>
      <c r="BB374">
        <f>_xlfn.NORM.DIST(Table2912[[#This Row],[DMD '[mg/g']]],Y$6,Y$2,FALSE)</f>
        <v>2.3787310144721577E-3</v>
      </c>
      <c r="BC374">
        <f>_xlfn.NORM.DIST(Table2912[[#This Row],[CH4 '[ml/g']]],Z$6,Z$2,FALSE)</f>
        <v>1.8460040879804764E-2</v>
      </c>
      <c r="BD374">
        <f>_xlfn.NORM.DIST(Table2912[[#This Row],[CH4 '[% GP']]],AA$6,AA$2,FALSE)</f>
        <v>2.8411036994020641E-2</v>
      </c>
      <c r="BE374">
        <f>_xlfn.NORM.DIST(Table2912[[#This Row],[CH4 '[g/g DDM']]],AB$6,AB$2,FALSE)</f>
        <v>2.3945370353279299E-2</v>
      </c>
      <c r="BG374">
        <f>IF(Table2912[[#This Row],[GP '[ml/g']]]&lt;O$10,_xlfn.NORM.DIST(Table2912[[#This Row],[GP '[ml/g']]],O$6,O$2,FALSE),-100)</f>
        <v>-100</v>
      </c>
      <c r="BH374">
        <f>IF(Table2912[[#This Row],[SCFA '[mmol/g']]]&lt;P$10,_xlfn.NORM.DIST(Table2912[[#This Row],[SCFA '[mmol/g']]],P$6,P$2,FALSE),-100)</f>
        <v>-100</v>
      </c>
      <c r="BI374">
        <f>IF(Table2912[[#This Row],[Acetate '[%']]]&lt;Q$10,_xlfn.NORM.DIST(Table2912[[#This Row],[Acetate '[%']]],Q$6,Q$2,FALSE),-100)</f>
        <v>-100</v>
      </c>
      <c r="BJ374">
        <f>IF(Table2912[[#This Row],[Propionate '[%']]]&lt;R$10,_xlfn.NORM.DIST(Table2912[[#This Row],[Propionate '[%']]],R$6,R$2,FALSE),-100)</f>
        <v>-100</v>
      </c>
      <c r="BK374">
        <f>IF(Table2912[[#This Row],[Butyrate '[%']]]&lt;S$10,_xlfn.NORM.DIST(Table2912[[#This Row],[Butyrate '[%']]],S$6,S$2,FALSE),-100)</f>
        <v>-100</v>
      </c>
      <c r="BL374">
        <f>IF(Table2912[[#This Row],[Valerate '[%']]]&lt;T$10,_xlfn.NORM.DIST(Table2912[[#This Row],[Valerate '[%']]],T$6,T$2,FALSE),-100)</f>
        <v>-100</v>
      </c>
      <c r="BM374">
        <f>IF(Table2912[[#This Row],[Caproate '[%']]]&lt;U$10,_xlfn.NORM.DIST(Table2912[[#This Row],[Caproate '[%']]],U$6,U$2,FALSE),-100)</f>
        <v>-100</v>
      </c>
      <c r="BN374">
        <f>IF(Table2912[[#This Row],[Isobutyrate '[%']]]&lt;V$10,_xlfn.NORM.DIST(Table2912[[#This Row],[Isobutyrate '[%']]],V$6,V$2,FALSE),-100)</f>
        <v>-100</v>
      </c>
      <c r="BO374">
        <f>IF(Table2912[[#This Row],[Isovalerate '[%']]]&lt;W$10,_xlfn.NORM.DIST(Table2912[[#This Row],[Isovalerate '[%']]],W$6,W$2,FALSE),-100)</f>
        <v>-100</v>
      </c>
      <c r="BP374">
        <f>IF(Table2912[[#This Row],[CH4 '[g/mmol SCFA']]]&lt;X$10,_xlfn.NORM.DIST(Table2912[[#This Row],[CH4 '[g/mmol SCFA']]],X$6,X$2,FALSE),-100)</f>
        <v>-100</v>
      </c>
      <c r="BQ374">
        <f>IF(Table2912[[#This Row],[DMD '[mg/g']]]&gt;Y$10,_xlfn.NORM.DIST(Table2912[[#This Row],[DMD '[mg/g']]],Y$6,Y$2,FALSE),-100)</f>
        <v>-100</v>
      </c>
      <c r="BR374">
        <f>IF(Table2912[[#This Row],[CH4 '[ml/g']]]&lt;Z$10,_xlfn.NORM.DIST(Table2912[[#This Row],[CH4 '[ml/g']]],Z$6,Z$2,FALSE),-100)</f>
        <v>-100</v>
      </c>
      <c r="BS374">
        <f>IF(Table2912[[#This Row],[CH4 '[% GP']]]&lt;AA$10,_xlfn.NORM.DIST(Table2912[[#This Row],[CH4 '[% GP']]],AA$6,AA$2,FALSE),-100)</f>
        <v>-100</v>
      </c>
      <c r="BT374">
        <f>IF(Table2912[[#This Row],[CH4 '[g/g DDM']]]&lt;AB$10,_xlfn.NORM.DIST(Table2912[[#This Row],[CH4 '[g/g DDM']]],AB$6,AB$2,FALSE),-100)</f>
        <v>-100</v>
      </c>
    </row>
    <row r="375" spans="1:72" ht="15.75" thickBot="1" x14ac:dyDescent="0.3">
      <c r="A375" s="12" t="s">
        <v>200</v>
      </c>
      <c r="B375" s="13">
        <v>1183</v>
      </c>
      <c r="C375" s="126" t="s">
        <v>464</v>
      </c>
      <c r="D375" s="126" t="s">
        <v>465</v>
      </c>
      <c r="E375" s="126" t="s">
        <v>466</v>
      </c>
      <c r="F375" s="126" t="s">
        <v>467</v>
      </c>
      <c r="G375" t="s">
        <v>457</v>
      </c>
      <c r="H375" t="s">
        <v>458</v>
      </c>
      <c r="I375" s="53" t="s">
        <v>48</v>
      </c>
      <c r="J375" s="70">
        <v>2</v>
      </c>
      <c r="K375" s="70"/>
      <c r="L375" s="70"/>
      <c r="M375" t="s">
        <v>468</v>
      </c>
      <c r="N375" t="s">
        <v>208</v>
      </c>
      <c r="O375" s="18">
        <v>300.06735144687411</v>
      </c>
      <c r="P375" s="18">
        <v>7.0297016022848045</v>
      </c>
      <c r="Q375" s="97">
        <v>0.67626095987435919</v>
      </c>
      <c r="R375" s="97">
        <v>0.17667710753703733</v>
      </c>
      <c r="S375" s="97">
        <v>9.3562747042722771E-2</v>
      </c>
      <c r="T375" s="97">
        <v>1.8113914401222071E-2</v>
      </c>
      <c r="U375" s="97">
        <v>4.2978103137492936E-4</v>
      </c>
      <c r="V375" s="97">
        <v>1.3141988739080663E-2</v>
      </c>
      <c r="W375" s="97">
        <v>2.1813501374203063E-2</v>
      </c>
      <c r="X375" s="51">
        <f t="shared" si="23"/>
        <v>6.3766632296126584</v>
      </c>
      <c r="Y375" s="18">
        <v>865.3355457804355</v>
      </c>
      <c r="Z375" s="18">
        <v>44.826039722438701</v>
      </c>
      <c r="AA375" s="18">
        <f t="shared" si="24"/>
        <v>14.938659439720817</v>
      </c>
      <c r="AB375" s="18">
        <f t="shared" si="25"/>
        <v>51.801916540953655</v>
      </c>
      <c r="AC375" s="18">
        <f>$CP$15*Table2912[[#This Row],[DMD '[mg/g']]]+$CS$15*Table2912[[#This Row],[CH4 '[ml/g']]]+$CR$15*Table2912[[#This Row],[CH4 '[% GP']]]+$CQ$15*Table2912[[#This Row],[CH4 '[g/g DDM']]]</f>
        <v>22.561854764517776</v>
      </c>
      <c r="AD375" s="18">
        <f>_xlfn.RANK.AVG(Table2912[[#This Row],[Index]],Table2912[Index])</f>
        <v>124</v>
      </c>
      <c r="AE37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6.6536182919319948</v>
      </c>
      <c r="AF375" s="18">
        <f>Table2912[[#This Row],[CH4 '[ml/g']]]/Table2912[[#This Row],[APB]]</f>
        <v>6.7370921738617913</v>
      </c>
      <c r="AG375" s="18">
        <f>Table2912[[#This Row],[Propionate '[%']]]/Table2912[[#This Row],[Acetate '[%']]]</f>
        <v>0.26125581398320219</v>
      </c>
      <c r="AH375" s="51"/>
      <c r="AI375" s="18"/>
      <c r="AJ375" s="18"/>
      <c r="AK375" s="18">
        <f>(Table2912[[#This Row],[DMD '[mg/g']]]-$AK$15)/$AK$15*100</f>
        <v>76.49495165970329</v>
      </c>
      <c r="AL375" s="18">
        <f>(Table2912[[#This Row],[CH4 '[ml/g']]]-AL$15)/AL$15*100</f>
        <v>13.967768629447013</v>
      </c>
      <c r="AM375" s="18">
        <f>(Table2912[[#This Row],[CH4 '[% GP']]]-AM$15)/AM$15*100</f>
        <v>-3.7603468834516867</v>
      </c>
      <c r="AN375" s="18">
        <f>(Table2912[[#This Row],[CH4 '[g/g DDM']]]-AN$15)/AN$15*100</f>
        <v>1.1449484804124948</v>
      </c>
      <c r="AO375" s="18"/>
      <c r="AP375" s="18"/>
      <c r="AR375">
        <f>_xlfn.NORM.DIST(Table2912[[#This Row],[GP '[ml/g']]],O$6,O$2,FALSE)</f>
        <v>5.2747810344701898E-3</v>
      </c>
      <c r="AS375">
        <f>_xlfn.NORM.DIST(Table2912[[#This Row],[SCFA '[mmol/g']]],P$6,P$2,FALSE)</f>
        <v>0.30585064704312259</v>
      </c>
      <c r="AT375">
        <f>_xlfn.NORM.DIST(Table2912[[#This Row],[Acetate '[%']]],Q$6,Q$2,FALSE)</f>
        <v>13.941889586740977</v>
      </c>
      <c r="AU375">
        <f>_xlfn.NORM.DIST(Table2912[[#This Row],[Propionate '[%']]],R$6,R$2,FALSE)</f>
        <v>16.450543044995246</v>
      </c>
      <c r="AV375">
        <f>_xlfn.NORM.DIST(Table2912[[#This Row],[Butyrate '[%']]],S$6,S$2,FALSE)</f>
        <v>23.014293353318099</v>
      </c>
      <c r="AW375">
        <f>_xlfn.NORM.DIST(Table2912[[#This Row],[Valerate '[%']]],T$6,T$2,FALSE)</f>
        <v>77.094492571015451</v>
      </c>
      <c r="AX375">
        <f>_xlfn.NORM.DIST(Table2912[[#This Row],[Caproate '[%']]],U$6,U$2,FALSE)</f>
        <v>266.18116471047387</v>
      </c>
      <c r="AY375">
        <f>_xlfn.NORM.DIST(Table2912[[#This Row],[Isobutyrate '[%']]],V$6,V$2,FALSE)</f>
        <v>79.893233353713597</v>
      </c>
      <c r="AZ375">
        <f>_xlfn.NORM.DIST(Table2912[[#This Row],[Isovalerate '[%']]],W$6,W$2,FALSE)</f>
        <v>35.743181753085906</v>
      </c>
      <c r="BA375">
        <f>_xlfn.NORM.DIST(Table2912[[#This Row],[CH4 '[g/mmol SCFA']]],X$6,X$2,FALSE)</f>
        <v>0.29667896317848785</v>
      </c>
      <c r="BB375">
        <f>_xlfn.NORM.DIST(Table2912[[#This Row],[DMD '[mg/g']]],Y$6,Y$2,FALSE)</f>
        <v>2.3561174713818325E-3</v>
      </c>
      <c r="BC375">
        <f>_xlfn.NORM.DIST(Table2912[[#This Row],[CH4 '[ml/g']]],Z$6,Z$2,FALSE)</f>
        <v>3.2145774713181689E-2</v>
      </c>
      <c r="BD375">
        <f>_xlfn.NORM.DIST(Table2912[[#This Row],[CH4 '[% GP']]],AA$6,AA$2,FALSE)</f>
        <v>0.1252637939035772</v>
      </c>
      <c r="BE375">
        <f>_xlfn.NORM.DIST(Table2912[[#This Row],[CH4 '[g/g DDM']]],AB$6,AB$2,FALSE)</f>
        <v>3.2584833296526346E-2</v>
      </c>
      <c r="BG375">
        <f>IF(Table2912[[#This Row],[GP '[ml/g']]]&lt;O$10,_xlfn.NORM.DIST(Table2912[[#This Row],[GP '[ml/g']]],O$6,O$2,FALSE),-100)</f>
        <v>-100</v>
      </c>
      <c r="BH375">
        <f>IF(Table2912[[#This Row],[SCFA '[mmol/g']]]&lt;P$10,_xlfn.NORM.DIST(Table2912[[#This Row],[SCFA '[mmol/g']]],P$6,P$2,FALSE),-100)</f>
        <v>-100</v>
      </c>
      <c r="BI375">
        <f>IF(Table2912[[#This Row],[Acetate '[%']]]&lt;Q$10,_xlfn.NORM.DIST(Table2912[[#This Row],[Acetate '[%']]],Q$6,Q$2,FALSE),-100)</f>
        <v>-100</v>
      </c>
      <c r="BJ375">
        <f>IF(Table2912[[#This Row],[Propionate '[%']]]&lt;R$10,_xlfn.NORM.DIST(Table2912[[#This Row],[Propionate '[%']]],R$6,R$2,FALSE),-100)</f>
        <v>-100</v>
      </c>
      <c r="BK375">
        <f>IF(Table2912[[#This Row],[Butyrate '[%']]]&lt;S$10,_xlfn.NORM.DIST(Table2912[[#This Row],[Butyrate '[%']]],S$6,S$2,FALSE),-100)</f>
        <v>-100</v>
      </c>
      <c r="BL375">
        <f>IF(Table2912[[#This Row],[Valerate '[%']]]&lt;T$10,_xlfn.NORM.DIST(Table2912[[#This Row],[Valerate '[%']]],T$6,T$2,FALSE),-100)</f>
        <v>-100</v>
      </c>
      <c r="BM375">
        <f>IF(Table2912[[#This Row],[Caproate '[%']]]&lt;U$10,_xlfn.NORM.DIST(Table2912[[#This Row],[Caproate '[%']]],U$6,U$2,FALSE),-100)</f>
        <v>-100</v>
      </c>
      <c r="BN375">
        <f>IF(Table2912[[#This Row],[Isobutyrate '[%']]]&lt;V$10,_xlfn.NORM.DIST(Table2912[[#This Row],[Isobutyrate '[%']]],V$6,V$2,FALSE),-100)</f>
        <v>-100</v>
      </c>
      <c r="BO375">
        <f>IF(Table2912[[#This Row],[Isovalerate '[%']]]&lt;W$10,_xlfn.NORM.DIST(Table2912[[#This Row],[Isovalerate '[%']]],W$6,W$2,FALSE),-100)</f>
        <v>-100</v>
      </c>
      <c r="BP375">
        <f>IF(Table2912[[#This Row],[CH4 '[g/mmol SCFA']]]&lt;X$10,_xlfn.NORM.DIST(Table2912[[#This Row],[CH4 '[g/mmol SCFA']]],X$6,X$2,FALSE),-100)</f>
        <v>-100</v>
      </c>
      <c r="BQ375">
        <f>IF(Table2912[[#This Row],[DMD '[mg/g']]]&gt;Y$10,_xlfn.NORM.DIST(Table2912[[#This Row],[DMD '[mg/g']]],Y$6,Y$2,FALSE),-100)</f>
        <v>-100</v>
      </c>
      <c r="BR375">
        <f>IF(Table2912[[#This Row],[CH4 '[ml/g']]]&lt;Z$10,_xlfn.NORM.DIST(Table2912[[#This Row],[CH4 '[ml/g']]],Z$6,Z$2,FALSE),-100)</f>
        <v>-100</v>
      </c>
      <c r="BS375">
        <f>IF(Table2912[[#This Row],[CH4 '[% GP']]]&lt;AA$10,_xlfn.NORM.DIST(Table2912[[#This Row],[CH4 '[% GP']]],AA$6,AA$2,FALSE),-100)</f>
        <v>-100</v>
      </c>
      <c r="BT375">
        <f>IF(Table2912[[#This Row],[CH4 '[g/g DDM']]]&lt;AB$10,_xlfn.NORM.DIST(Table2912[[#This Row],[CH4 '[g/g DDM']]],AB$6,AB$2,FALSE),-100)</f>
        <v>-100</v>
      </c>
    </row>
    <row r="376" spans="1:72" ht="15.75" thickBot="1" x14ac:dyDescent="0.3">
      <c r="A376" s="12" t="s">
        <v>70</v>
      </c>
      <c r="B376" s="13">
        <v>1003</v>
      </c>
      <c r="C376" s="127" t="s">
        <v>462</v>
      </c>
      <c r="D376" s="127"/>
      <c r="E376" s="127"/>
      <c r="F376" s="127" t="s">
        <v>463</v>
      </c>
      <c r="G376" t="s">
        <v>73</v>
      </c>
      <c r="H376" t="s">
        <v>74</v>
      </c>
      <c r="I376" t="s">
        <v>75</v>
      </c>
      <c r="J376" s="100">
        <v>2</v>
      </c>
      <c r="K376" s="100"/>
      <c r="L376" s="100"/>
      <c r="M376" t="s">
        <v>463</v>
      </c>
      <c r="N376" t="s">
        <v>85</v>
      </c>
      <c r="O376" s="18">
        <v>311.16001767174896</v>
      </c>
      <c r="P376" s="18">
        <v>7.3791315567290159</v>
      </c>
      <c r="Q376" s="97">
        <v>0.67559828852098658</v>
      </c>
      <c r="R376" s="97">
        <v>0.17191004110877145</v>
      </c>
      <c r="S376" s="97">
        <v>9.6793176538665204E-2</v>
      </c>
      <c r="T376" s="97">
        <v>1.6769539508256097E-2</v>
      </c>
      <c r="U376" s="97">
        <v>9.3475605077876077E-4</v>
      </c>
      <c r="V376" s="97">
        <v>1.3406162204158325E-2</v>
      </c>
      <c r="W376" s="97">
        <v>2.4588036068383463E-2</v>
      </c>
      <c r="X376" s="51">
        <f t="shared" ref="X376:X439" si="26">Z376/P376</f>
        <v>6.1921563151761152</v>
      </c>
      <c r="Y376" s="18">
        <v>865.4504680306394</v>
      </c>
      <c r="Z376" s="18">
        <v>45.692736069514936</v>
      </c>
      <c r="AA376" s="18">
        <f t="shared" ref="AA376:AA439" si="27">Z376/O376*100</f>
        <v>14.684642458697065</v>
      </c>
      <c r="AB376" s="18">
        <f t="shared" ref="AB376:AB439" si="28">Z376/Y376*1000</f>
        <v>52.796477392276692</v>
      </c>
      <c r="AC376" s="18">
        <f>$CP$15*Table2912[[#This Row],[DMD '[mg/g']]]+$CS$15*Table2912[[#This Row],[CH4 '[ml/g']]]+$CR$15*Table2912[[#This Row],[CH4 '[% GP']]]+$CQ$15*Table2912[[#This Row],[CH4 '[g/g DDM']]]</f>
        <v>22.277669553984417</v>
      </c>
      <c r="AD376" s="18">
        <f>_xlfn.RANK.AVG(Table2912[[#This Row],[Index]],Table2912[Index])</f>
        <v>130</v>
      </c>
      <c r="AE37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6.9681250432341511</v>
      </c>
      <c r="AF376" s="18">
        <f>Table2912[[#This Row],[CH4 '[ml/g']]]/Table2912[[#This Row],[APB]]</f>
        <v>6.5573932422296677</v>
      </c>
      <c r="AG376" s="18">
        <f>Table2912[[#This Row],[Propionate '[%']]]/Table2912[[#This Row],[Acetate '[%']]]</f>
        <v>0.25445600444772482</v>
      </c>
      <c r="AH376" s="51"/>
      <c r="AI376" s="18"/>
      <c r="AJ376" s="18"/>
      <c r="AK376" s="18">
        <f>(Table2912[[#This Row],[DMD '[mg/g']]]-$AK$15)/$AK$15*100</f>
        <v>76.518391349767185</v>
      </c>
      <c r="AL376" s="18">
        <f>(Table2912[[#This Row],[CH4 '[ml/g']]]-AL$15)/AL$15*100</f>
        <v>16.171296966261632</v>
      </c>
      <c r="AM376" s="18">
        <f>(Table2912[[#This Row],[CH4 '[% GP']]]-AM$15)/AM$15*100</f>
        <v>-5.3968060475475843</v>
      </c>
      <c r="AN376" s="18">
        <f>(Table2912[[#This Row],[CH4 '[g/g DDM']]]-AN$15)/AN$15*100</f>
        <v>3.0868613049732487</v>
      </c>
      <c r="AO376" s="18"/>
      <c r="AP376" s="18"/>
      <c r="AR376">
        <f>_xlfn.NORM.DIST(Table2912[[#This Row],[GP '[ml/g']]],O$6,O$2,FALSE)</f>
        <v>4.3382950757783374E-3</v>
      </c>
      <c r="AS376">
        <f>_xlfn.NORM.DIST(Table2912[[#This Row],[SCFA '[mmol/g']]],P$6,P$2,FALSE)</f>
        <v>0.26007568872133119</v>
      </c>
      <c r="AT376">
        <f>_xlfn.NORM.DIST(Table2912[[#This Row],[Acetate '[%']]],Q$6,Q$2,FALSE)</f>
        <v>13.973959980298446</v>
      </c>
      <c r="AU376">
        <f>_xlfn.NORM.DIST(Table2912[[#This Row],[Propionate '[%']]],R$6,R$2,FALSE)</f>
        <v>16.791054585394136</v>
      </c>
      <c r="AV376">
        <f>_xlfn.NORM.DIST(Table2912[[#This Row],[Butyrate '[%']]],S$6,S$2,FALSE)</f>
        <v>22.462049684622041</v>
      </c>
      <c r="AW376">
        <f>_xlfn.NORM.DIST(Table2912[[#This Row],[Valerate '[%']]],T$6,T$2,FALSE)</f>
        <v>76.251418918839505</v>
      </c>
      <c r="AX376">
        <f>_xlfn.NORM.DIST(Table2912[[#This Row],[Caproate '[%']]],U$6,U$2,FALSE)</f>
        <v>374.68169308929953</v>
      </c>
      <c r="AY376">
        <f>_xlfn.NORM.DIST(Table2912[[#This Row],[Isobutyrate '[%']]],V$6,V$2,FALSE)</f>
        <v>82.126711192658973</v>
      </c>
      <c r="AZ376">
        <f>_xlfn.NORM.DIST(Table2912[[#This Row],[Isovalerate '[%']]],W$6,W$2,FALSE)</f>
        <v>42.319949290570847</v>
      </c>
      <c r="BA376">
        <f>_xlfn.NORM.DIST(Table2912[[#This Row],[CH4 '[g/mmol SCFA']]],X$6,X$2,FALSE)</f>
        <v>0.29672982335336434</v>
      </c>
      <c r="BB376">
        <f>_xlfn.NORM.DIST(Table2912[[#This Row],[DMD '[mg/g']]],Y$6,Y$2,FALSE)</f>
        <v>2.3548245490488721E-3</v>
      </c>
      <c r="BC376">
        <f>_xlfn.NORM.DIST(Table2912[[#This Row],[CH4 '[ml/g']]],Z$6,Z$2,FALSE)</f>
        <v>3.139582193290958E-2</v>
      </c>
      <c r="BD376">
        <f>_xlfn.NORM.DIST(Table2912[[#This Row],[CH4 '[% GP']]],AA$6,AA$2,FALSE)</f>
        <v>0.12078628599749951</v>
      </c>
      <c r="BE376">
        <f>_xlfn.NORM.DIST(Table2912[[#This Row],[CH4 '[g/g DDM']]],AB$6,AB$2,FALSE)</f>
        <v>3.2817505307155347E-2</v>
      </c>
      <c r="BG376">
        <f>IF(Table2912[[#This Row],[GP '[ml/g']]]&lt;O$10,_xlfn.NORM.DIST(Table2912[[#This Row],[GP '[ml/g']]],O$6,O$2,FALSE),-100)</f>
        <v>-100</v>
      </c>
      <c r="BH376">
        <f>IF(Table2912[[#This Row],[SCFA '[mmol/g']]]&lt;P$10,_xlfn.NORM.DIST(Table2912[[#This Row],[SCFA '[mmol/g']]],P$6,P$2,FALSE),-100)</f>
        <v>-100</v>
      </c>
      <c r="BI376">
        <f>IF(Table2912[[#This Row],[Acetate '[%']]]&lt;Q$10,_xlfn.NORM.DIST(Table2912[[#This Row],[Acetate '[%']]],Q$6,Q$2,FALSE),-100)</f>
        <v>-100</v>
      </c>
      <c r="BJ376">
        <f>IF(Table2912[[#This Row],[Propionate '[%']]]&lt;R$10,_xlfn.NORM.DIST(Table2912[[#This Row],[Propionate '[%']]],R$6,R$2,FALSE),-100)</f>
        <v>-100</v>
      </c>
      <c r="BK376">
        <f>IF(Table2912[[#This Row],[Butyrate '[%']]]&lt;S$10,_xlfn.NORM.DIST(Table2912[[#This Row],[Butyrate '[%']]],S$6,S$2,FALSE),-100)</f>
        <v>-100</v>
      </c>
      <c r="BL376">
        <f>IF(Table2912[[#This Row],[Valerate '[%']]]&lt;T$10,_xlfn.NORM.DIST(Table2912[[#This Row],[Valerate '[%']]],T$6,T$2,FALSE),-100)</f>
        <v>-100</v>
      </c>
      <c r="BM376">
        <f>IF(Table2912[[#This Row],[Caproate '[%']]]&lt;U$10,_xlfn.NORM.DIST(Table2912[[#This Row],[Caproate '[%']]],U$6,U$2,FALSE),-100)</f>
        <v>-100</v>
      </c>
      <c r="BN376">
        <f>IF(Table2912[[#This Row],[Isobutyrate '[%']]]&lt;V$10,_xlfn.NORM.DIST(Table2912[[#This Row],[Isobutyrate '[%']]],V$6,V$2,FALSE),-100)</f>
        <v>-100</v>
      </c>
      <c r="BO376">
        <f>IF(Table2912[[#This Row],[Isovalerate '[%']]]&lt;W$10,_xlfn.NORM.DIST(Table2912[[#This Row],[Isovalerate '[%']]],W$6,W$2,FALSE),-100)</f>
        <v>-100</v>
      </c>
      <c r="BP376">
        <f>IF(Table2912[[#This Row],[CH4 '[g/mmol SCFA']]]&lt;X$10,_xlfn.NORM.DIST(Table2912[[#This Row],[CH4 '[g/mmol SCFA']]],X$6,X$2,FALSE),-100)</f>
        <v>-100</v>
      </c>
      <c r="BQ376">
        <f>IF(Table2912[[#This Row],[DMD '[mg/g']]]&gt;Y$10,_xlfn.NORM.DIST(Table2912[[#This Row],[DMD '[mg/g']]],Y$6,Y$2,FALSE),-100)</f>
        <v>-100</v>
      </c>
      <c r="BR376">
        <f>IF(Table2912[[#This Row],[CH4 '[ml/g']]]&lt;Z$10,_xlfn.NORM.DIST(Table2912[[#This Row],[CH4 '[ml/g']]],Z$6,Z$2,FALSE),-100)</f>
        <v>-100</v>
      </c>
      <c r="BS376">
        <f>IF(Table2912[[#This Row],[CH4 '[% GP']]]&lt;AA$10,_xlfn.NORM.DIST(Table2912[[#This Row],[CH4 '[% GP']]],AA$6,AA$2,FALSE),-100)</f>
        <v>-100</v>
      </c>
      <c r="BT376">
        <f>IF(Table2912[[#This Row],[CH4 '[g/g DDM']]]&lt;AB$10,_xlfn.NORM.DIST(Table2912[[#This Row],[CH4 '[g/g DDM']]],AB$6,AB$2,FALSE),-100)</f>
        <v>-100</v>
      </c>
    </row>
    <row r="377" spans="1:72" x14ac:dyDescent="0.25">
      <c r="A377" s="12" t="s">
        <v>86</v>
      </c>
      <c r="B377" s="13">
        <v>1076</v>
      </c>
      <c r="C377" s="104" t="s">
        <v>469</v>
      </c>
      <c r="D377" s="104" t="s">
        <v>377</v>
      </c>
      <c r="E377" s="104" t="s">
        <v>470</v>
      </c>
      <c r="F377" s="104" t="s">
        <v>471</v>
      </c>
      <c r="G377" s="32" t="s">
        <v>73</v>
      </c>
      <c r="H377" s="32" t="s">
        <v>74</v>
      </c>
      <c r="I377" s="105" t="s">
        <v>44</v>
      </c>
      <c r="J377" s="107">
        <v>3</v>
      </c>
      <c r="K377" s="107"/>
      <c r="L377" s="107"/>
      <c r="M377" t="s">
        <v>471</v>
      </c>
      <c r="N377" t="s">
        <v>99</v>
      </c>
      <c r="O377" s="18">
        <v>240.26096809680953</v>
      </c>
      <c r="P377" s="18">
        <v>6.1028602860286023</v>
      </c>
      <c r="Q377" s="97">
        <v>0.65516398931090936</v>
      </c>
      <c r="R377" s="97">
        <v>0.17681434563923817</v>
      </c>
      <c r="S377" s="97">
        <v>8.151106008117226E-2</v>
      </c>
      <c r="T377" s="97">
        <v>2.3171225131523976E-2</v>
      </c>
      <c r="U377" s="97">
        <v>9.9417632553489336E-4</v>
      </c>
      <c r="V377" s="97">
        <v>2.2805038848780889E-2</v>
      </c>
      <c r="W377" s="97">
        <v>3.954016466284048E-2</v>
      </c>
      <c r="X377" s="51">
        <f t="shared" si="26"/>
        <v>7.1775826349523468</v>
      </c>
      <c r="Y377" s="18">
        <v>865.45654565456562</v>
      </c>
      <c r="Z377" s="18">
        <v>43.803784012539211</v>
      </c>
      <c r="AA377" s="18">
        <f t="shared" si="27"/>
        <v>18.231752065066654</v>
      </c>
      <c r="AB377" s="18">
        <f t="shared" si="28"/>
        <v>50.613499005209277</v>
      </c>
      <c r="AC377" s="18">
        <f>$CP$15*Table2912[[#This Row],[DMD '[mg/g']]]+$CS$15*Table2912[[#This Row],[CH4 '[ml/g']]]+$CR$15*Table2912[[#This Row],[CH4 '[% GP']]]+$CQ$15*Table2912[[#This Row],[CH4 '[g/g DDM']]]</f>
        <v>22.024668453420247</v>
      </c>
      <c r="AD377" s="18">
        <f>_xlfn.RANK.AVG(Table2912[[#This Row],[Index]],Table2912[Index])</f>
        <v>132</v>
      </c>
      <c r="AE37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5.5748981506449349</v>
      </c>
      <c r="AF377" s="18">
        <f>Table2912[[#This Row],[CH4 '[ml/g']]]/Table2912[[#This Row],[APB]]</f>
        <v>7.8573245338072679</v>
      </c>
      <c r="AG377" s="18">
        <f>Table2912[[#This Row],[Propionate '[%']]]/Table2912[[#This Row],[Acetate '[%']]]</f>
        <v>0.2698779977593222</v>
      </c>
      <c r="AH377" s="51"/>
      <c r="AI377" s="18"/>
      <c r="AJ377" s="18"/>
      <c r="AK377" s="18">
        <f>(Table2912[[#This Row],[DMD '[mg/g']]]-$AK$15)/$AK$15*100</f>
        <v>76.519630949765471</v>
      </c>
      <c r="AL377" s="18">
        <f>(Table2912[[#This Row],[CH4 '[ml/g']]]-AL$15)/AL$15*100</f>
        <v>11.368739071017444</v>
      </c>
      <c r="AM377" s="18">
        <f>(Table2912[[#This Row],[CH4 '[% GP']]]-AM$15)/AM$15*100</f>
        <v>17.454815910959649</v>
      </c>
      <c r="AN377" s="18">
        <f>(Table2912[[#This Row],[CH4 '[g/g DDM']]]-AN$15)/AN$15*100</f>
        <v>-1.1754759064160123</v>
      </c>
      <c r="AO377" s="18"/>
      <c r="AP377" s="18"/>
      <c r="AR377">
        <f>_xlfn.NORM.DIST(Table2912[[#This Row],[GP '[ml/g']]],O$6,O$2,FALSE)</f>
        <v>7.1810926034021009E-3</v>
      </c>
      <c r="AS377">
        <f>_xlfn.NORM.DIST(Table2912[[#This Row],[SCFA '[mmol/g']]],P$6,P$2,FALSE)</f>
        <v>0.31158452173999307</v>
      </c>
      <c r="AT377">
        <f>_xlfn.NORM.DIST(Table2912[[#This Row],[Acetate '[%']]],Q$6,Q$2,FALSE)</f>
        <v>11.49110820617396</v>
      </c>
      <c r="AU377">
        <f>_xlfn.NORM.DIST(Table2912[[#This Row],[Propionate '[%']]],R$6,R$2,FALSE)</f>
        <v>16.431044692492286</v>
      </c>
      <c r="AV377">
        <f>_xlfn.NORM.DIST(Table2912[[#This Row],[Butyrate '[%']]],S$6,S$2,FALSE)</f>
        <v>18.538421378247165</v>
      </c>
      <c r="AW377">
        <f>_xlfn.NORM.DIST(Table2912[[#This Row],[Valerate '[%']]],T$6,T$2,FALSE)</f>
        <v>43.691367863006256</v>
      </c>
      <c r="AX377">
        <f>_xlfn.NORM.DIST(Table2912[[#This Row],[Caproate '[%']]],U$6,U$2,FALSE)</f>
        <v>383.31725227523827</v>
      </c>
      <c r="AY377">
        <f>_xlfn.NORM.DIST(Table2912[[#This Row],[Isobutyrate '[%']]],V$6,V$2,FALSE)</f>
        <v>21.541089610359116</v>
      </c>
      <c r="AZ377">
        <f>_xlfn.NORM.DIST(Table2912[[#This Row],[Isovalerate '[%']]],W$6,W$2,FALSE)</f>
        <v>18.857499215554743</v>
      </c>
      <c r="BA377">
        <f>_xlfn.NORM.DIST(Table2912[[#This Row],[CH4 '[g/mmol SCFA']]],X$6,X$2,FALSE)</f>
        <v>0.23807670098272876</v>
      </c>
      <c r="BB377">
        <f>_xlfn.NORM.DIST(Table2912[[#This Row],[DMD '[mg/g']]],Y$6,Y$2,FALSE)</f>
        <v>2.3547561467893228E-3</v>
      </c>
      <c r="BC377">
        <f>_xlfn.NORM.DIST(Table2912[[#This Row],[CH4 '[ml/g']]],Z$6,Z$2,FALSE)</f>
        <v>3.2829047660763826E-2</v>
      </c>
      <c r="BD377">
        <f>_xlfn.NORM.DIST(Table2912[[#This Row],[CH4 '[% GP']]],AA$6,AA$2,FALSE)</f>
        <v>0.10316249057292017</v>
      </c>
      <c r="BE377">
        <f>_xlfn.NORM.DIST(Table2912[[#This Row],[CH4 '[g/g DDM']]],AB$6,AB$2,FALSE)</f>
        <v>3.2026021685263376E-2</v>
      </c>
      <c r="BG377">
        <f>IF(Table2912[[#This Row],[GP '[ml/g']]]&lt;O$10,_xlfn.NORM.DIST(Table2912[[#This Row],[GP '[ml/g']]],O$6,O$2,FALSE),-100)</f>
        <v>-100</v>
      </c>
      <c r="BH377">
        <f>IF(Table2912[[#This Row],[SCFA '[mmol/g']]]&lt;P$10,_xlfn.NORM.DIST(Table2912[[#This Row],[SCFA '[mmol/g']]],P$6,P$2,FALSE),-100)</f>
        <v>-100</v>
      </c>
      <c r="BI377">
        <f>IF(Table2912[[#This Row],[Acetate '[%']]]&lt;Q$10,_xlfn.NORM.DIST(Table2912[[#This Row],[Acetate '[%']]],Q$6,Q$2,FALSE),-100)</f>
        <v>-100</v>
      </c>
      <c r="BJ377">
        <f>IF(Table2912[[#This Row],[Propionate '[%']]]&lt;R$10,_xlfn.NORM.DIST(Table2912[[#This Row],[Propionate '[%']]],R$6,R$2,FALSE),-100)</f>
        <v>-100</v>
      </c>
      <c r="BK377">
        <f>IF(Table2912[[#This Row],[Butyrate '[%']]]&lt;S$10,_xlfn.NORM.DIST(Table2912[[#This Row],[Butyrate '[%']]],S$6,S$2,FALSE),-100)</f>
        <v>-100</v>
      </c>
      <c r="BL377">
        <f>IF(Table2912[[#This Row],[Valerate '[%']]]&lt;T$10,_xlfn.NORM.DIST(Table2912[[#This Row],[Valerate '[%']]],T$6,T$2,FALSE),-100)</f>
        <v>-100</v>
      </c>
      <c r="BM377">
        <f>IF(Table2912[[#This Row],[Caproate '[%']]]&lt;U$10,_xlfn.NORM.DIST(Table2912[[#This Row],[Caproate '[%']]],U$6,U$2,FALSE),-100)</f>
        <v>-100</v>
      </c>
      <c r="BN377">
        <f>IF(Table2912[[#This Row],[Isobutyrate '[%']]]&lt;V$10,_xlfn.NORM.DIST(Table2912[[#This Row],[Isobutyrate '[%']]],V$6,V$2,FALSE),-100)</f>
        <v>-100</v>
      </c>
      <c r="BO377">
        <f>IF(Table2912[[#This Row],[Isovalerate '[%']]]&lt;W$10,_xlfn.NORM.DIST(Table2912[[#This Row],[Isovalerate '[%']]],W$6,W$2,FALSE),-100)</f>
        <v>-100</v>
      </c>
      <c r="BP377">
        <f>IF(Table2912[[#This Row],[CH4 '[g/mmol SCFA']]]&lt;X$10,_xlfn.NORM.DIST(Table2912[[#This Row],[CH4 '[g/mmol SCFA']]],X$6,X$2,FALSE),-100)</f>
        <v>-100</v>
      </c>
      <c r="BQ377">
        <f>IF(Table2912[[#This Row],[DMD '[mg/g']]]&gt;Y$10,_xlfn.NORM.DIST(Table2912[[#This Row],[DMD '[mg/g']]],Y$6,Y$2,FALSE),-100)</f>
        <v>-100</v>
      </c>
      <c r="BR377">
        <f>IF(Table2912[[#This Row],[CH4 '[ml/g']]]&lt;Z$10,_xlfn.NORM.DIST(Table2912[[#This Row],[CH4 '[ml/g']]],Z$6,Z$2,FALSE),-100)</f>
        <v>-100</v>
      </c>
      <c r="BS377">
        <f>IF(Table2912[[#This Row],[CH4 '[% GP']]]&lt;AA$10,_xlfn.NORM.DIST(Table2912[[#This Row],[CH4 '[% GP']]],AA$6,AA$2,FALSE),-100)</f>
        <v>-100</v>
      </c>
      <c r="BT377">
        <f>IF(Table2912[[#This Row],[CH4 '[g/g DDM']]]&lt;AB$10,_xlfn.NORM.DIST(Table2912[[#This Row],[CH4 '[g/g DDM']]],AB$6,AB$2,FALSE),-100)</f>
        <v>-100</v>
      </c>
    </row>
    <row r="378" spans="1:72" x14ac:dyDescent="0.25">
      <c r="A378" s="12" t="s">
        <v>200</v>
      </c>
      <c r="B378" s="13">
        <v>1210</v>
      </c>
      <c r="C378" s="113" t="s">
        <v>414</v>
      </c>
      <c r="D378" s="113" t="s">
        <v>391</v>
      </c>
      <c r="E378" s="113" t="s">
        <v>392</v>
      </c>
      <c r="F378" s="113" t="s">
        <v>393</v>
      </c>
      <c r="G378" t="s">
        <v>143</v>
      </c>
      <c r="H378" t="s">
        <v>144</v>
      </c>
      <c r="I378" t="s">
        <v>52</v>
      </c>
      <c r="J378" s="70">
        <v>2</v>
      </c>
      <c r="K378" s="70"/>
      <c r="L378" s="70"/>
      <c r="M378" t="s">
        <v>415</v>
      </c>
      <c r="N378" t="s">
        <v>245</v>
      </c>
      <c r="O378" s="18">
        <v>333.41214726631415</v>
      </c>
      <c r="P378" s="18">
        <v>8.0045018291511703</v>
      </c>
      <c r="Q378" s="97">
        <v>0.65439481470790506</v>
      </c>
      <c r="R378" s="97">
        <v>0.18165210540915622</v>
      </c>
      <c r="S378" s="97">
        <v>0.10835480563431105</v>
      </c>
      <c r="T378" s="97">
        <v>1.4266265100786765E-2</v>
      </c>
      <c r="U378" s="97">
        <v>2.2111895524134098E-3</v>
      </c>
      <c r="V378" s="97">
        <v>1.3779088114178602E-2</v>
      </c>
      <c r="W378" s="97">
        <v>2.5341731481248922E-2</v>
      </c>
      <c r="X378" s="51">
        <f t="shared" si="26"/>
        <v>7.4634515059970798</v>
      </c>
      <c r="Y378" s="18">
        <v>865.76125866554946</v>
      </c>
      <c r="Z378" s="18">
        <v>59.741211231534685</v>
      </c>
      <c r="AA378" s="18">
        <f t="shared" si="27"/>
        <v>17.918126775331967</v>
      </c>
      <c r="AB378" s="18">
        <f t="shared" si="28"/>
        <v>69.004255657751941</v>
      </c>
      <c r="AC378" s="18">
        <f>$CP$15*Table2912[[#This Row],[DMD '[mg/g']]]+$CS$15*Table2912[[#This Row],[CH4 '[ml/g']]]+$CR$15*Table2912[[#This Row],[CH4 '[% GP']]]+$CQ$15*Table2912[[#This Row],[CH4 '[g/g DDM']]]</f>
        <v>15.302364071494146</v>
      </c>
      <c r="AD378" s="18">
        <f>_xlfn.RANK.AVG(Table2912[[#This Row],[Index]],Table2912[Index])</f>
        <v>264</v>
      </c>
      <c r="AE37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7.5594653412303821</v>
      </c>
      <c r="AF378" s="18">
        <f>Table2912[[#This Row],[CH4 '[ml/g']]]/Table2912[[#This Row],[APB]]</f>
        <v>7.9028355227317144</v>
      </c>
      <c r="AG378" s="18">
        <f>Table2912[[#This Row],[Propionate '[%']]]/Table2912[[#This Row],[Acetate '[%']]]</f>
        <v>0.27758793518288838</v>
      </c>
      <c r="AH378" s="51"/>
      <c r="AI378" s="18"/>
      <c r="AJ378" s="18"/>
      <c r="AK378" s="18">
        <f>(Table2912[[#This Row],[DMD '[mg/g']]]-$AK$15)/$AK$15*100</f>
        <v>76.581780607670908</v>
      </c>
      <c r="AL378" s="18">
        <f>(Table2912[[#This Row],[CH4 '[ml/g']]]-AL$15)/AL$15*100</f>
        <v>51.888781195861014</v>
      </c>
      <c r="AM378" s="18">
        <f>(Table2912[[#This Row],[CH4 '[% GP']]]-AM$15)/AM$15*100</f>
        <v>15.434340833230223</v>
      </c>
      <c r="AN378" s="18">
        <f>(Table2912[[#This Row],[CH4 '[g/g DDM']]]-AN$15)/AN$15*100</f>
        <v>34.733082277269034</v>
      </c>
      <c r="AO378" s="18"/>
      <c r="AP378" s="18"/>
      <c r="AR378">
        <f>_xlfn.NORM.DIST(Table2912[[#This Row],[GP '[ml/g']]],O$6,O$2,FALSE)</f>
        <v>2.5727493955495541E-3</v>
      </c>
      <c r="AS378">
        <f>_xlfn.NORM.DIST(Table2912[[#This Row],[SCFA '[mmol/g']]],P$6,P$2,FALSE)</f>
        <v>0.15739820569071775</v>
      </c>
      <c r="AT378">
        <f>_xlfn.NORM.DIST(Table2912[[#This Row],[Acetate '[%']]],Q$6,Q$2,FALSE)</f>
        <v>11.292389707455719</v>
      </c>
      <c r="AU378">
        <f>_xlfn.NORM.DIST(Table2912[[#This Row],[Propionate '[%']]],R$6,R$2,FALSE)</f>
        <v>15.42590164708878</v>
      </c>
      <c r="AV378">
        <f>_xlfn.NORM.DIST(Table2912[[#This Row],[Butyrate '[%']]],S$6,S$2,FALSE)</f>
        <v>15.486022168107111</v>
      </c>
      <c r="AW378">
        <f>_xlfn.NORM.DIST(Table2912[[#This Row],[Valerate '[%']]],T$6,T$2,FALSE)</f>
        <v>62.321692615328146</v>
      </c>
      <c r="AX378">
        <f>_xlfn.NORM.DIST(Table2912[[#This Row],[Caproate '[%']]],U$6,U$2,FALSE)</f>
        <v>272.45829989304212</v>
      </c>
      <c r="AY378">
        <f>_xlfn.NORM.DIST(Table2912[[#This Row],[Isobutyrate '[%']]],V$6,V$2,FALSE)</f>
        <v>84.869846177501216</v>
      </c>
      <c r="AZ378">
        <f>_xlfn.NORM.DIST(Table2912[[#This Row],[Isovalerate '[%']]],W$6,W$2,FALSE)</f>
        <v>43.549475358554687</v>
      </c>
      <c r="BA378">
        <f>_xlfn.NORM.DIST(Table2912[[#This Row],[CH4 '[g/mmol SCFA']]],X$6,X$2,FALSE)</f>
        <v>0.20188900260128118</v>
      </c>
      <c r="BB378">
        <f>_xlfn.NORM.DIST(Table2912[[#This Row],[DMD '[mg/g']]],Y$6,Y$2,FALSE)</f>
        <v>2.3513232692246064E-3</v>
      </c>
      <c r="BC378">
        <f>_xlfn.NORM.DIST(Table2912[[#This Row],[CH4 '[ml/g']]],Z$6,Z$2,FALSE)</f>
        <v>1.0226904403359183E-2</v>
      </c>
      <c r="BD378">
        <f>_xlfn.NORM.DIST(Table2912[[#This Row],[CH4 '[% GP']]],AA$6,AA$2,FALSE)</f>
        <v>0.11083802593509198</v>
      </c>
      <c r="BE378">
        <f>_xlfn.NORM.DIST(Table2912[[#This Row],[CH4 '[g/g DDM']]],AB$6,AB$2,FALSE)</f>
        <v>1.431879862263279E-2</v>
      </c>
      <c r="BG378">
        <f>IF(Table2912[[#This Row],[GP '[ml/g']]]&lt;O$10,_xlfn.NORM.DIST(Table2912[[#This Row],[GP '[ml/g']]],O$6,O$2,FALSE),-100)</f>
        <v>-100</v>
      </c>
      <c r="BH378">
        <f>IF(Table2912[[#This Row],[SCFA '[mmol/g']]]&lt;P$10,_xlfn.NORM.DIST(Table2912[[#This Row],[SCFA '[mmol/g']]],P$6,P$2,FALSE),-100)</f>
        <v>-100</v>
      </c>
      <c r="BI378">
        <f>IF(Table2912[[#This Row],[Acetate '[%']]]&lt;Q$10,_xlfn.NORM.DIST(Table2912[[#This Row],[Acetate '[%']]],Q$6,Q$2,FALSE),-100)</f>
        <v>-100</v>
      </c>
      <c r="BJ378">
        <f>IF(Table2912[[#This Row],[Propionate '[%']]]&lt;R$10,_xlfn.NORM.DIST(Table2912[[#This Row],[Propionate '[%']]],R$6,R$2,FALSE),-100)</f>
        <v>-100</v>
      </c>
      <c r="BK378">
        <f>IF(Table2912[[#This Row],[Butyrate '[%']]]&lt;S$10,_xlfn.NORM.DIST(Table2912[[#This Row],[Butyrate '[%']]],S$6,S$2,FALSE),-100)</f>
        <v>-100</v>
      </c>
      <c r="BL378">
        <f>IF(Table2912[[#This Row],[Valerate '[%']]]&lt;T$10,_xlfn.NORM.DIST(Table2912[[#This Row],[Valerate '[%']]],T$6,T$2,FALSE),-100)</f>
        <v>-100</v>
      </c>
      <c r="BM378">
        <f>IF(Table2912[[#This Row],[Caproate '[%']]]&lt;U$10,_xlfn.NORM.DIST(Table2912[[#This Row],[Caproate '[%']]],U$6,U$2,FALSE),-100)</f>
        <v>-100</v>
      </c>
      <c r="BN378">
        <f>IF(Table2912[[#This Row],[Isobutyrate '[%']]]&lt;V$10,_xlfn.NORM.DIST(Table2912[[#This Row],[Isobutyrate '[%']]],V$6,V$2,FALSE),-100)</f>
        <v>-100</v>
      </c>
      <c r="BO378">
        <f>IF(Table2912[[#This Row],[Isovalerate '[%']]]&lt;W$10,_xlfn.NORM.DIST(Table2912[[#This Row],[Isovalerate '[%']]],W$6,W$2,FALSE),-100)</f>
        <v>-100</v>
      </c>
      <c r="BP378">
        <f>IF(Table2912[[#This Row],[CH4 '[g/mmol SCFA']]]&lt;X$10,_xlfn.NORM.DIST(Table2912[[#This Row],[CH4 '[g/mmol SCFA']]],X$6,X$2,FALSE),-100)</f>
        <v>-100</v>
      </c>
      <c r="BQ378">
        <f>IF(Table2912[[#This Row],[DMD '[mg/g']]]&gt;Y$10,_xlfn.NORM.DIST(Table2912[[#This Row],[DMD '[mg/g']]],Y$6,Y$2,FALSE),-100)</f>
        <v>-100</v>
      </c>
      <c r="BR378">
        <f>IF(Table2912[[#This Row],[CH4 '[ml/g']]]&lt;Z$10,_xlfn.NORM.DIST(Table2912[[#This Row],[CH4 '[ml/g']]],Z$6,Z$2,FALSE),-100)</f>
        <v>-100</v>
      </c>
      <c r="BS378">
        <f>IF(Table2912[[#This Row],[CH4 '[% GP']]]&lt;AA$10,_xlfn.NORM.DIST(Table2912[[#This Row],[CH4 '[% GP']]],AA$6,AA$2,FALSE),-100)</f>
        <v>-100</v>
      </c>
      <c r="BT378">
        <f>IF(Table2912[[#This Row],[CH4 '[g/g DDM']]]&lt;AB$10,_xlfn.NORM.DIST(Table2912[[#This Row],[CH4 '[g/g DDM']]],AB$6,AB$2,FALSE),-100)</f>
        <v>-100</v>
      </c>
    </row>
    <row r="379" spans="1:72" x14ac:dyDescent="0.25">
      <c r="A379" s="12" t="s">
        <v>86</v>
      </c>
      <c r="B379" s="13">
        <v>1046</v>
      </c>
      <c r="C379" s="104" t="s">
        <v>416</v>
      </c>
      <c r="D379" s="104" t="s">
        <v>417</v>
      </c>
      <c r="E379" s="104" t="s">
        <v>418</v>
      </c>
      <c r="F379" s="106" t="s">
        <v>419</v>
      </c>
      <c r="G379" s="32" t="s">
        <v>73</v>
      </c>
      <c r="H379" s="32" t="s">
        <v>74</v>
      </c>
      <c r="I379" s="104" t="s">
        <v>75</v>
      </c>
      <c r="J379" s="100">
        <v>1</v>
      </c>
      <c r="K379" s="100"/>
      <c r="L379" s="100"/>
      <c r="M379" s="103" t="s">
        <v>419</v>
      </c>
      <c r="N379" t="s">
        <v>84</v>
      </c>
      <c r="O379" s="18">
        <v>301.51901331586924</v>
      </c>
      <c r="P379" s="18">
        <v>8.3179436804191216</v>
      </c>
      <c r="Q379" s="97">
        <v>0.67636368407930825</v>
      </c>
      <c r="R379" s="97">
        <v>0.15100578671810416</v>
      </c>
      <c r="S379" s="97">
        <v>0.1030718156648165</v>
      </c>
      <c r="T379" s="97">
        <v>2.1322940860003414E-2</v>
      </c>
      <c r="U379" s="97">
        <v>8.6603944416013877E-4</v>
      </c>
      <c r="V379" s="97">
        <v>1.7110839927042737E-2</v>
      </c>
      <c r="W379" s="97">
        <v>3.0258893306564845E-2</v>
      </c>
      <c r="X379" s="51">
        <f t="shared" si="26"/>
        <v>5.3538001183941226</v>
      </c>
      <c r="Y379" s="18">
        <v>866.18642217856336</v>
      </c>
      <c r="Z379" s="18">
        <v>44.532607861023536</v>
      </c>
      <c r="AA379" s="18">
        <f t="shared" si="27"/>
        <v>14.769419470861521</v>
      </c>
      <c r="AB379" s="18">
        <f t="shared" si="28"/>
        <v>51.41226729116655</v>
      </c>
      <c r="AC379" s="18">
        <f>$CP$15*Table2912[[#This Row],[DMD '[mg/g']]]+$CS$15*Table2912[[#This Row],[CH4 '[ml/g']]]+$CR$15*Table2912[[#This Row],[CH4 '[% GP']]]+$CQ$15*Table2912[[#This Row],[CH4 '[g/g DDM']]]</f>
        <v>22.829138170409543</v>
      </c>
      <c r="AD379" s="18">
        <f>_xlfn.RANK.AVG(Table2912[[#This Row],[Index]],Table2912[Index])</f>
        <v>120</v>
      </c>
      <c r="AE37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7.7393582187295351</v>
      </c>
      <c r="AF379" s="18">
        <f>Table2912[[#This Row],[CH4 '[ml/g']]]/Table2912[[#This Row],[APB]]</f>
        <v>5.7540440179203705</v>
      </c>
      <c r="AG379" s="18">
        <f>Table2912[[#This Row],[Propionate '[%']]]/Table2912[[#This Row],[Acetate '[%']]]</f>
        <v>0.22326122805315743</v>
      </c>
      <c r="AH379" s="51"/>
      <c r="AI379" s="18"/>
      <c r="AJ379" s="18"/>
      <c r="AK379" s="18">
        <f>(Table2912[[#This Row],[DMD '[mg/g']]]-$AK$15)/$AK$15*100</f>
        <v>76.66849750499793</v>
      </c>
      <c r="AL379" s="18">
        <f>(Table2912[[#This Row],[CH4 '[ml/g']]]-AL$15)/AL$15*100</f>
        <v>13.221734076822203</v>
      </c>
      <c r="AM379" s="18">
        <f>(Table2912[[#This Row],[CH4 '[% GP']]]-AM$15)/AM$15*100</f>
        <v>-4.8506452440372794</v>
      </c>
      <c r="AN379" s="18">
        <f>(Table2912[[#This Row],[CH4 '[g/g DDM']]]-AN$15)/AN$15*100</f>
        <v>0.38414548456212971</v>
      </c>
      <c r="AO379" s="18"/>
      <c r="AP379" s="18"/>
      <c r="AR379">
        <f>_xlfn.NORM.DIST(Table2912[[#This Row],[GP '[ml/g']]],O$6,O$2,FALSE)</f>
        <v>5.1542336379345926E-3</v>
      </c>
      <c r="AS379">
        <f>_xlfn.NORM.DIST(Table2912[[#This Row],[SCFA '[mmol/g']]],P$6,P$2,FALSE)</f>
        <v>0.11046738602786031</v>
      </c>
      <c r="AT379">
        <f>_xlfn.NORM.DIST(Table2912[[#This Row],[Acetate '[%']]],Q$6,Q$2,FALSE)</f>
        <v>13.936247466662099</v>
      </c>
      <c r="AU379">
        <f>_xlfn.NORM.DIST(Table2912[[#This Row],[Propionate '[%']]],R$6,R$2,FALSE)</f>
        <v>11.419971558567985</v>
      </c>
      <c r="AV379">
        <f>_xlfn.NORM.DIST(Table2912[[#This Row],[Butyrate '[%']]],S$6,S$2,FALSE)</f>
        <v>19.397399378060477</v>
      </c>
      <c r="AW379">
        <f>_xlfn.NORM.DIST(Table2912[[#This Row],[Valerate '[%']]],T$6,T$2,FALSE)</f>
        <v>60.117884143447817</v>
      </c>
      <c r="AX379">
        <f>_xlfn.NORM.DIST(Table2912[[#This Row],[Caproate '[%']]],U$6,U$2,FALSE)</f>
        <v>363.26970075284868</v>
      </c>
      <c r="AY379">
        <f>_xlfn.NORM.DIST(Table2912[[#This Row],[Isobutyrate '[%']]],V$6,V$2,FALSE)</f>
        <v>83.050920007304157</v>
      </c>
      <c r="AZ379">
        <f>_xlfn.NORM.DIST(Table2912[[#This Row],[Isovalerate '[%']]],W$6,W$2,FALSE)</f>
        <v>43.813487973143857</v>
      </c>
      <c r="BA379">
        <f>_xlfn.NORM.DIST(Table2912[[#This Row],[CH4 '[g/mmol SCFA']]],X$6,X$2,FALSE)</f>
        <v>0.23399852197468343</v>
      </c>
      <c r="BB379">
        <f>_xlfn.NORM.DIST(Table2912[[#This Row],[DMD '[mg/g']]],Y$6,Y$2,FALSE)</f>
        <v>2.346522312926886E-3</v>
      </c>
      <c r="BC379">
        <f>_xlfn.NORM.DIST(Table2912[[#This Row],[CH4 '[ml/g']]],Z$6,Z$2,FALSE)</f>
        <v>3.2364838013897022E-2</v>
      </c>
      <c r="BD379">
        <f>_xlfn.NORM.DIST(Table2912[[#This Row],[CH4 '[% GP']]],AA$6,AA$2,FALSE)</f>
        <v>0.12236260774827432</v>
      </c>
      <c r="BE379">
        <f>_xlfn.NORM.DIST(Table2912[[#This Row],[CH4 '[g/g DDM']]],AB$6,AB$2,FALSE)</f>
        <v>3.2434758272225701E-2</v>
      </c>
      <c r="BG379">
        <f>IF(Table2912[[#This Row],[GP '[ml/g']]]&lt;O$10,_xlfn.NORM.DIST(Table2912[[#This Row],[GP '[ml/g']]],O$6,O$2,FALSE),-100)</f>
        <v>-100</v>
      </c>
      <c r="BH379">
        <f>IF(Table2912[[#This Row],[SCFA '[mmol/g']]]&lt;P$10,_xlfn.NORM.DIST(Table2912[[#This Row],[SCFA '[mmol/g']]],P$6,P$2,FALSE),-100)</f>
        <v>-100</v>
      </c>
      <c r="BI379">
        <f>IF(Table2912[[#This Row],[Acetate '[%']]]&lt;Q$10,_xlfn.NORM.DIST(Table2912[[#This Row],[Acetate '[%']]],Q$6,Q$2,FALSE),-100)</f>
        <v>-100</v>
      </c>
      <c r="BJ379">
        <f>IF(Table2912[[#This Row],[Propionate '[%']]]&lt;R$10,_xlfn.NORM.DIST(Table2912[[#This Row],[Propionate '[%']]],R$6,R$2,FALSE),-100)</f>
        <v>-100</v>
      </c>
      <c r="BK379">
        <f>IF(Table2912[[#This Row],[Butyrate '[%']]]&lt;S$10,_xlfn.NORM.DIST(Table2912[[#This Row],[Butyrate '[%']]],S$6,S$2,FALSE),-100)</f>
        <v>-100</v>
      </c>
      <c r="BL379">
        <f>IF(Table2912[[#This Row],[Valerate '[%']]]&lt;T$10,_xlfn.NORM.DIST(Table2912[[#This Row],[Valerate '[%']]],T$6,T$2,FALSE),-100)</f>
        <v>-100</v>
      </c>
      <c r="BM379">
        <f>IF(Table2912[[#This Row],[Caproate '[%']]]&lt;U$10,_xlfn.NORM.DIST(Table2912[[#This Row],[Caproate '[%']]],U$6,U$2,FALSE),-100)</f>
        <v>-100</v>
      </c>
      <c r="BN379">
        <f>IF(Table2912[[#This Row],[Isobutyrate '[%']]]&lt;V$10,_xlfn.NORM.DIST(Table2912[[#This Row],[Isobutyrate '[%']]],V$6,V$2,FALSE),-100)</f>
        <v>-100</v>
      </c>
      <c r="BO379">
        <f>IF(Table2912[[#This Row],[Isovalerate '[%']]]&lt;W$10,_xlfn.NORM.DIST(Table2912[[#This Row],[Isovalerate '[%']]],W$6,W$2,FALSE),-100)</f>
        <v>-100</v>
      </c>
      <c r="BP379">
        <f>IF(Table2912[[#This Row],[CH4 '[g/mmol SCFA']]]&lt;X$10,_xlfn.NORM.DIST(Table2912[[#This Row],[CH4 '[g/mmol SCFA']]],X$6,X$2,FALSE),-100)</f>
        <v>-100</v>
      </c>
      <c r="BQ379">
        <f>IF(Table2912[[#This Row],[DMD '[mg/g']]]&gt;Y$10,_xlfn.NORM.DIST(Table2912[[#This Row],[DMD '[mg/g']]],Y$6,Y$2,FALSE),-100)</f>
        <v>-100</v>
      </c>
      <c r="BR379">
        <f>IF(Table2912[[#This Row],[CH4 '[ml/g']]]&lt;Z$10,_xlfn.NORM.DIST(Table2912[[#This Row],[CH4 '[ml/g']]],Z$6,Z$2,FALSE),-100)</f>
        <v>-100</v>
      </c>
      <c r="BS379">
        <f>IF(Table2912[[#This Row],[CH4 '[% GP']]]&lt;AA$10,_xlfn.NORM.DIST(Table2912[[#This Row],[CH4 '[% GP']]],AA$6,AA$2,FALSE),-100)</f>
        <v>-100</v>
      </c>
      <c r="BT379">
        <f>IF(Table2912[[#This Row],[CH4 '[g/g DDM']]]&lt;AB$10,_xlfn.NORM.DIST(Table2912[[#This Row],[CH4 '[g/g DDM']]],AB$6,AB$2,FALSE),-100)</f>
        <v>-100</v>
      </c>
    </row>
    <row r="380" spans="1:72" x14ac:dyDescent="0.25">
      <c r="A380" s="12" t="s">
        <v>200</v>
      </c>
      <c r="B380" s="13">
        <v>1191</v>
      </c>
      <c r="C380" s="113" t="s">
        <v>401</v>
      </c>
      <c r="D380" s="113" t="s">
        <v>402</v>
      </c>
      <c r="E380" s="113" t="s">
        <v>403</v>
      </c>
      <c r="F380" s="113" t="s">
        <v>404</v>
      </c>
      <c r="G380" s="125" t="s">
        <v>405</v>
      </c>
      <c r="H380" s="125" t="s">
        <v>405</v>
      </c>
      <c r="I380" s="53" t="s">
        <v>48</v>
      </c>
      <c r="J380" s="100">
        <v>1</v>
      </c>
      <c r="K380" s="100"/>
      <c r="L380" s="100"/>
      <c r="M380" t="s">
        <v>406</v>
      </c>
      <c r="N380" t="s">
        <v>363</v>
      </c>
      <c r="O380" s="18">
        <v>225.9580908289247</v>
      </c>
      <c r="P380" s="18">
        <v>5.7659946594241465</v>
      </c>
      <c r="Q380" s="97">
        <v>0.68165721268103463</v>
      </c>
      <c r="R380" s="97">
        <v>0.22231128411881632</v>
      </c>
      <c r="S380" s="97">
        <v>7.6499279752064803E-2</v>
      </c>
      <c r="T380" s="97">
        <v>6.2264652329908736E-3</v>
      </c>
      <c r="U380" s="97">
        <v>-3.9460659796531359E-4</v>
      </c>
      <c r="V380" s="97">
        <v>5.4898041613232187E-3</v>
      </c>
      <c r="W380" s="97">
        <v>8.2105606517355861E-3</v>
      </c>
      <c r="X380" s="51">
        <f t="shared" si="26"/>
        <v>5.4894905998465804</v>
      </c>
      <c r="Y380" s="18">
        <v>866.23122841071563</v>
      </c>
      <c r="Z380" s="18">
        <v>31.652373481674438</v>
      </c>
      <c r="AA380" s="18">
        <f t="shared" si="27"/>
        <v>14.008072632211604</v>
      </c>
      <c r="AB380" s="18">
        <f t="shared" si="28"/>
        <v>36.540328313662179</v>
      </c>
      <c r="AC380" s="18">
        <f>$CP$15*Table2912[[#This Row],[DMD '[mg/g']]]+$CS$15*Table2912[[#This Row],[CH4 '[ml/g']]]+$CR$15*Table2912[[#This Row],[CH4 '[% GP']]]+$CQ$15*Table2912[[#This Row],[CH4 '[g/g DDM']]]</f>
        <v>28.59044514372691</v>
      </c>
      <c r="AD380" s="18">
        <f>_xlfn.RANK.AVG(Table2912[[#This Row],[Index]],Table2912[Index])</f>
        <v>60</v>
      </c>
      <c r="AE38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5.6533719633358137</v>
      </c>
      <c r="AF380" s="18">
        <f>Table2912[[#This Row],[CH4 '[ml/g']]]/Table2912[[#This Row],[APB]]</f>
        <v>5.5988485609918586</v>
      </c>
      <c r="AG380" s="18">
        <f>Table2912[[#This Row],[Propionate '[%']]]/Table2912[[#This Row],[Acetate '[%']]]</f>
        <v>0.32613354627972174</v>
      </c>
      <c r="AH380" s="51"/>
      <c r="AI380" s="18"/>
      <c r="AJ380" s="18"/>
      <c r="AK380" s="18">
        <f>(Table2912[[#This Row],[DMD '[mg/g']]]-$AK$15)/$AK$15*100</f>
        <v>76.677636241776199</v>
      </c>
      <c r="AL380" s="18">
        <f>(Table2912[[#This Row],[CH4 '[ml/g']]]-AL$15)/AL$15*100</f>
        <v>-19.525561484598992</v>
      </c>
      <c r="AM380" s="18">
        <f>(Table2912[[#This Row],[CH4 '[% GP']]]-AM$15)/AM$15*100</f>
        <v>-9.7554866689796267</v>
      </c>
      <c r="AN380" s="18">
        <f>(Table2912[[#This Row],[CH4 '[g/g DDM']]]-AN$15)/AN$15*100</f>
        <v>-28.653805273385363</v>
      </c>
      <c r="AO380" s="18"/>
      <c r="AP380" s="18"/>
      <c r="AR380">
        <f>_xlfn.NORM.DIST(Table2912[[#This Row],[GP '[ml/g']]],O$6,O$2,FALSE)</f>
        <v>6.4168345541696144E-3</v>
      </c>
      <c r="AS380">
        <f>_xlfn.NORM.DIST(Table2912[[#This Row],[SCFA '[mmol/g']]],P$6,P$2,FALSE)</f>
        <v>0.27052094628108725</v>
      </c>
      <c r="AT380">
        <f>_xlfn.NORM.DIST(Table2912[[#This Row],[Acetate '[%']]],Q$6,Q$2,FALSE)</f>
        <v>13.409695942020484</v>
      </c>
      <c r="AU380">
        <f>_xlfn.NORM.DIST(Table2912[[#This Row],[Propionate '[%']]],R$6,R$2,FALSE)</f>
        <v>1.762986847983977</v>
      </c>
      <c r="AV380">
        <f>_xlfn.NORM.DIST(Table2912[[#This Row],[Butyrate '[%']]],S$6,S$2,FALSE)</f>
        <v>14.693616676330066</v>
      </c>
      <c r="AW380">
        <f>_xlfn.NORM.DIST(Table2912[[#This Row],[Valerate '[%']]],T$6,T$2,FALSE)</f>
        <v>6.6148070748023429</v>
      </c>
      <c r="AX380">
        <f>_xlfn.NORM.DIST(Table2912[[#This Row],[Caproate '[%']]],U$6,U$2,FALSE)</f>
        <v>86.137243634300347</v>
      </c>
      <c r="AY380">
        <f>_xlfn.NORM.DIST(Table2912[[#This Row],[Isobutyrate '[%']]],V$6,V$2,FALSE)</f>
        <v>7.6528946812633141</v>
      </c>
      <c r="AZ380">
        <f>_xlfn.NORM.DIST(Table2912[[#This Row],[Isovalerate '[%']]],W$6,W$2,FALSE)</f>
        <v>3.6832624022461773</v>
      </c>
      <c r="BA380">
        <f>_xlfn.NORM.DIST(Table2912[[#This Row],[CH4 '[g/mmol SCFA']]],X$6,X$2,FALSE)</f>
        <v>0.24969751915500729</v>
      </c>
      <c r="BB380">
        <f>_xlfn.NORM.DIST(Table2912[[#This Row],[DMD '[mg/g']]],Y$6,Y$2,FALSE)</f>
        <v>2.3460156115053198E-3</v>
      </c>
      <c r="BC380">
        <f>_xlfn.NORM.DIST(Table2912[[#This Row],[CH4 '[ml/g']]],Z$6,Z$2,FALSE)</f>
        <v>2.3968534463407732E-2</v>
      </c>
      <c r="BD380">
        <f>_xlfn.NORM.DIST(Table2912[[#This Row],[CH4 '[% GP']]],AA$6,AA$2,FALSE)</f>
        <v>0.10576048141932307</v>
      </c>
      <c r="BE380">
        <f>_xlfn.NORM.DIST(Table2912[[#This Row],[CH4 '[g/g DDM']]],AB$6,AB$2,FALSE)</f>
        <v>1.2597197408074291E-2</v>
      </c>
      <c r="BG380">
        <f>IF(Table2912[[#This Row],[GP '[ml/g']]]&lt;O$10,_xlfn.NORM.DIST(Table2912[[#This Row],[GP '[ml/g']]],O$6,O$2,FALSE),-100)</f>
        <v>-100</v>
      </c>
      <c r="BH380">
        <f>IF(Table2912[[#This Row],[SCFA '[mmol/g']]]&lt;P$10,_xlfn.NORM.DIST(Table2912[[#This Row],[SCFA '[mmol/g']]],P$6,P$2,FALSE),-100)</f>
        <v>-100</v>
      </c>
      <c r="BI380">
        <f>IF(Table2912[[#This Row],[Acetate '[%']]]&lt;Q$10,_xlfn.NORM.DIST(Table2912[[#This Row],[Acetate '[%']]],Q$6,Q$2,FALSE),-100)</f>
        <v>-100</v>
      </c>
      <c r="BJ380">
        <f>IF(Table2912[[#This Row],[Propionate '[%']]]&lt;R$10,_xlfn.NORM.DIST(Table2912[[#This Row],[Propionate '[%']]],R$6,R$2,FALSE),-100)</f>
        <v>-100</v>
      </c>
      <c r="BK380">
        <f>IF(Table2912[[#This Row],[Butyrate '[%']]]&lt;S$10,_xlfn.NORM.DIST(Table2912[[#This Row],[Butyrate '[%']]],S$6,S$2,FALSE),-100)</f>
        <v>-100</v>
      </c>
      <c r="BL380">
        <f>IF(Table2912[[#This Row],[Valerate '[%']]]&lt;T$10,_xlfn.NORM.DIST(Table2912[[#This Row],[Valerate '[%']]],T$6,T$2,FALSE),-100)</f>
        <v>6.6148070748023429</v>
      </c>
      <c r="BM380">
        <f>IF(Table2912[[#This Row],[Caproate '[%']]]&lt;U$10,_xlfn.NORM.DIST(Table2912[[#This Row],[Caproate '[%']]],U$6,U$2,FALSE),-100)</f>
        <v>86.137243634300347</v>
      </c>
      <c r="BN380">
        <f>IF(Table2912[[#This Row],[Isobutyrate '[%']]]&lt;V$10,_xlfn.NORM.DIST(Table2912[[#This Row],[Isobutyrate '[%']]],V$6,V$2,FALSE),-100)</f>
        <v>7.6528946812633141</v>
      </c>
      <c r="BO380">
        <f>IF(Table2912[[#This Row],[Isovalerate '[%']]]&lt;W$10,_xlfn.NORM.DIST(Table2912[[#This Row],[Isovalerate '[%']]],W$6,W$2,FALSE),-100)</f>
        <v>3.6832624022461773</v>
      </c>
      <c r="BP380">
        <f>IF(Table2912[[#This Row],[CH4 '[g/mmol SCFA']]]&lt;X$10,_xlfn.NORM.DIST(Table2912[[#This Row],[CH4 '[g/mmol SCFA']]],X$6,X$2,FALSE),-100)</f>
        <v>-100</v>
      </c>
      <c r="BQ380">
        <f>IF(Table2912[[#This Row],[DMD '[mg/g']]]&gt;Y$10,_xlfn.NORM.DIST(Table2912[[#This Row],[DMD '[mg/g']]],Y$6,Y$2,FALSE),-100)</f>
        <v>-100</v>
      </c>
      <c r="BR380">
        <f>IF(Table2912[[#This Row],[CH4 '[ml/g']]]&lt;Z$10,_xlfn.NORM.DIST(Table2912[[#This Row],[CH4 '[ml/g']]],Z$6,Z$2,FALSE),-100)</f>
        <v>-100</v>
      </c>
      <c r="BS380">
        <f>IF(Table2912[[#This Row],[CH4 '[% GP']]]&lt;AA$10,_xlfn.NORM.DIST(Table2912[[#This Row],[CH4 '[% GP']]],AA$6,AA$2,FALSE),-100)</f>
        <v>-100</v>
      </c>
      <c r="BT380">
        <f>IF(Table2912[[#This Row],[CH4 '[g/g DDM']]]&lt;AB$10,_xlfn.NORM.DIST(Table2912[[#This Row],[CH4 '[g/g DDM']]],AB$6,AB$2,FALSE),-100)</f>
        <v>-100</v>
      </c>
    </row>
    <row r="381" spans="1:72" x14ac:dyDescent="0.25">
      <c r="A381" s="12" t="s">
        <v>200</v>
      </c>
      <c r="B381" s="13">
        <v>1183</v>
      </c>
      <c r="C381" s="113" t="s">
        <v>464</v>
      </c>
      <c r="D381" s="113" t="s">
        <v>465</v>
      </c>
      <c r="E381" s="113" t="s">
        <v>466</v>
      </c>
      <c r="F381" s="113" t="s">
        <v>467</v>
      </c>
      <c r="G381" t="s">
        <v>457</v>
      </c>
      <c r="H381" t="s">
        <v>458</v>
      </c>
      <c r="I381" s="53" t="s">
        <v>48</v>
      </c>
      <c r="J381" s="70">
        <v>1</v>
      </c>
      <c r="K381" s="70"/>
      <c r="L381" s="70"/>
      <c r="M381" t="s">
        <v>468</v>
      </c>
      <c r="N381" t="s">
        <v>363</v>
      </c>
      <c r="O381" s="18">
        <v>272.17452412571981</v>
      </c>
      <c r="P381" s="18">
        <v>7.4239951828730568</v>
      </c>
      <c r="Q381" s="97">
        <v>0.67437184438288356</v>
      </c>
      <c r="R381" s="97">
        <v>0.19316536338310819</v>
      </c>
      <c r="S381" s="97">
        <v>9.158402135618382E-2</v>
      </c>
      <c r="T381" s="97">
        <v>1.589113637074184E-2</v>
      </c>
      <c r="U381" s="97">
        <v>3.216122138892063E-4</v>
      </c>
      <c r="V381" s="97">
        <v>9.5021442981717032E-3</v>
      </c>
      <c r="W381" s="97">
        <v>1.5163877995021675E-2</v>
      </c>
      <c r="X381" s="51">
        <f t="shared" si="26"/>
        <v>4.6606782933629631</v>
      </c>
      <c r="Y381" s="18">
        <v>866.62536206878508</v>
      </c>
      <c r="Z381" s="18">
        <v>34.600853198847659</v>
      </c>
      <c r="AA381" s="18">
        <f t="shared" si="27"/>
        <v>12.712744996980401</v>
      </c>
      <c r="AB381" s="18">
        <f t="shared" si="28"/>
        <v>39.925964220859427</v>
      </c>
      <c r="AC381" s="18">
        <f>$CP$15*Table2912[[#This Row],[DMD '[mg/g']]]+$CS$15*Table2912[[#This Row],[CH4 '[ml/g']]]+$CR$15*Table2912[[#This Row],[CH4 '[% GP']]]+$CQ$15*Table2912[[#This Row],[CH4 '[g/g DDM']]]</f>
        <v>27.751496949253323</v>
      </c>
      <c r="AD381" s="18">
        <f>_xlfn.RANK.AVG(Table2912[[#This Row],[Index]],Table2912[Index])</f>
        <v>63</v>
      </c>
      <c r="AE38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7.1205113847943178</v>
      </c>
      <c r="AF381" s="18">
        <f>Table2912[[#This Row],[CH4 '[ml/g']]]/Table2912[[#This Row],[APB]]</f>
        <v>4.8593213786213383</v>
      </c>
      <c r="AG381" s="18">
        <f>Table2912[[#This Row],[Propionate '[%']]]/Table2912[[#This Row],[Acetate '[%']]]</f>
        <v>0.28643746768501799</v>
      </c>
      <c r="AH381" s="51"/>
      <c r="AI381" s="18"/>
      <c r="AJ381" s="18"/>
      <c r="AK381" s="18">
        <f>(Table2912[[#This Row],[DMD '[mg/g']]]-$AK$15)/$AK$15*100</f>
        <v>76.758024249951333</v>
      </c>
      <c r="AL381" s="18">
        <f>(Table2912[[#This Row],[CH4 '[ml/g']]]-AL$15)/AL$15*100</f>
        <v>-12.0292121239124</v>
      </c>
      <c r="AM381" s="18">
        <f>(Table2912[[#This Row],[CH4 '[% GP']]]-AM$15)/AM$15*100</f>
        <v>-18.10040428290306</v>
      </c>
      <c r="AN381" s="18">
        <f>(Table2912[[#This Row],[CH4 '[g/g DDM']]]-AN$15)/AN$15*100</f>
        <v>-22.043239636568174</v>
      </c>
      <c r="AO381" s="18"/>
      <c r="AP381" s="18"/>
      <c r="AR381">
        <f>_xlfn.NORM.DIST(Table2912[[#This Row],[GP '[ml/g']]],O$6,O$2,FALSE)</f>
        <v>7.1226826235877292E-3</v>
      </c>
      <c r="AS381">
        <f>_xlfn.NORM.DIST(Table2912[[#This Row],[SCFA '[mmol/g']]],P$6,P$2,FALSE)</f>
        <v>0.25315563956869197</v>
      </c>
      <c r="AT381">
        <f>_xlfn.NORM.DIST(Table2912[[#This Row],[Acetate '[%']]],Q$6,Q$2,FALSE)</f>
        <v>14.013425956635659</v>
      </c>
      <c r="AU381">
        <f>_xlfn.NORM.DIST(Table2912[[#This Row],[Propionate '[%']]],R$6,R$2,FALSE)</f>
        <v>11.235469379988256</v>
      </c>
      <c r="AV381">
        <f>_xlfn.NORM.DIST(Table2912[[#This Row],[Butyrate '[%']]],S$6,S$2,FALSE)</f>
        <v>22.961476139715458</v>
      </c>
      <c r="AW381">
        <f>_xlfn.NORM.DIST(Table2912[[#This Row],[Valerate '[%']]],T$6,T$2,FALSE)</f>
        <v>72.974419857249956</v>
      </c>
      <c r="AX381">
        <f>_xlfn.NORM.DIST(Table2912[[#This Row],[Caproate '[%']]],U$6,U$2,FALSE)</f>
        <v>238.99437155892474</v>
      </c>
      <c r="AY381">
        <f>_xlfn.NORM.DIST(Table2912[[#This Row],[Isobutyrate '[%']]],V$6,V$2,FALSE)</f>
        <v>38.012719834958425</v>
      </c>
      <c r="AZ381">
        <f>_xlfn.NORM.DIST(Table2912[[#This Row],[Isovalerate '[%']]],W$6,W$2,FALSE)</f>
        <v>15.882867701820077</v>
      </c>
      <c r="BA381">
        <f>_xlfn.NORM.DIST(Table2912[[#This Row],[CH4 '[g/mmol SCFA']]],X$6,X$2,FALSE)</f>
        <v>0.14316329707321504</v>
      </c>
      <c r="BB381">
        <f>_xlfn.NORM.DIST(Table2912[[#This Row],[DMD '[mg/g']]],Y$6,Y$2,FALSE)</f>
        <v>2.3415523518059539E-3</v>
      </c>
      <c r="BC381">
        <f>_xlfn.NORM.DIST(Table2912[[#This Row],[CH4 '[ml/g']]],Z$6,Z$2,FALSE)</f>
        <v>2.846778170576655E-2</v>
      </c>
      <c r="BD381">
        <f>_xlfn.NORM.DIST(Table2912[[#This Row],[CH4 '[% GP']]],AA$6,AA$2,FALSE)</f>
        <v>7.0895325096698394E-2</v>
      </c>
      <c r="BE381">
        <f>_xlfn.NORM.DIST(Table2912[[#This Row],[CH4 '[g/g DDM']]],AB$6,AB$2,FALSE)</f>
        <v>1.7825562711909181E-2</v>
      </c>
      <c r="BG381">
        <f>IF(Table2912[[#This Row],[GP '[ml/g']]]&lt;O$10,_xlfn.NORM.DIST(Table2912[[#This Row],[GP '[ml/g']]],O$6,O$2,FALSE),-100)</f>
        <v>-100</v>
      </c>
      <c r="BH381">
        <f>IF(Table2912[[#This Row],[SCFA '[mmol/g']]]&lt;P$10,_xlfn.NORM.DIST(Table2912[[#This Row],[SCFA '[mmol/g']]],P$6,P$2,FALSE),-100)</f>
        <v>-100</v>
      </c>
      <c r="BI381">
        <f>IF(Table2912[[#This Row],[Acetate '[%']]]&lt;Q$10,_xlfn.NORM.DIST(Table2912[[#This Row],[Acetate '[%']]],Q$6,Q$2,FALSE),-100)</f>
        <v>-100</v>
      </c>
      <c r="BJ381">
        <f>IF(Table2912[[#This Row],[Propionate '[%']]]&lt;R$10,_xlfn.NORM.DIST(Table2912[[#This Row],[Propionate '[%']]],R$6,R$2,FALSE),-100)</f>
        <v>-100</v>
      </c>
      <c r="BK381">
        <f>IF(Table2912[[#This Row],[Butyrate '[%']]]&lt;S$10,_xlfn.NORM.DIST(Table2912[[#This Row],[Butyrate '[%']]],S$6,S$2,FALSE),-100)</f>
        <v>-100</v>
      </c>
      <c r="BL381">
        <f>IF(Table2912[[#This Row],[Valerate '[%']]]&lt;T$10,_xlfn.NORM.DIST(Table2912[[#This Row],[Valerate '[%']]],T$6,T$2,FALSE),-100)</f>
        <v>-100</v>
      </c>
      <c r="BM381">
        <f>IF(Table2912[[#This Row],[Caproate '[%']]]&lt;U$10,_xlfn.NORM.DIST(Table2912[[#This Row],[Caproate '[%']]],U$6,U$2,FALSE),-100)</f>
        <v>238.99437155892474</v>
      </c>
      <c r="BN381">
        <f>IF(Table2912[[#This Row],[Isobutyrate '[%']]]&lt;V$10,_xlfn.NORM.DIST(Table2912[[#This Row],[Isobutyrate '[%']]],V$6,V$2,FALSE),-100)</f>
        <v>38.012719834958425</v>
      </c>
      <c r="BO381">
        <f>IF(Table2912[[#This Row],[Isovalerate '[%']]]&lt;W$10,_xlfn.NORM.DIST(Table2912[[#This Row],[Isovalerate '[%']]],W$6,W$2,FALSE),-100)</f>
        <v>15.882867701820077</v>
      </c>
      <c r="BP381">
        <f>IF(Table2912[[#This Row],[CH4 '[g/mmol SCFA']]]&lt;X$10,_xlfn.NORM.DIST(Table2912[[#This Row],[CH4 '[g/mmol SCFA']]],X$6,X$2,FALSE),-100)</f>
        <v>0.14316329707321504</v>
      </c>
      <c r="BQ381">
        <f>IF(Table2912[[#This Row],[DMD '[mg/g']]]&gt;Y$10,_xlfn.NORM.DIST(Table2912[[#This Row],[DMD '[mg/g']]],Y$6,Y$2,FALSE),-100)</f>
        <v>-100</v>
      </c>
      <c r="BR381">
        <f>IF(Table2912[[#This Row],[CH4 '[ml/g']]]&lt;Z$10,_xlfn.NORM.DIST(Table2912[[#This Row],[CH4 '[ml/g']]],Z$6,Z$2,FALSE),-100)</f>
        <v>-100</v>
      </c>
      <c r="BS381">
        <f>IF(Table2912[[#This Row],[CH4 '[% GP']]]&lt;AA$10,_xlfn.NORM.DIST(Table2912[[#This Row],[CH4 '[% GP']]],AA$6,AA$2,FALSE),-100)</f>
        <v>-100</v>
      </c>
      <c r="BT381">
        <f>IF(Table2912[[#This Row],[CH4 '[g/g DDM']]]&lt;AB$10,_xlfn.NORM.DIST(Table2912[[#This Row],[CH4 '[g/g DDM']]],AB$6,AB$2,FALSE),-100)</f>
        <v>-100</v>
      </c>
    </row>
    <row r="382" spans="1:72" x14ac:dyDescent="0.25">
      <c r="A382" s="12" t="s">
        <v>86</v>
      </c>
      <c r="B382" s="13">
        <v>1090</v>
      </c>
      <c r="C382" s="104" t="s">
        <v>364</v>
      </c>
      <c r="D382" s="104" t="s">
        <v>365</v>
      </c>
      <c r="E382" s="104" t="s">
        <v>366</v>
      </c>
      <c r="F382" s="104" t="s">
        <v>367</v>
      </c>
      <c r="G382" s="32" t="s">
        <v>143</v>
      </c>
      <c r="H382" s="32" t="s">
        <v>144</v>
      </c>
      <c r="I382" s="32" t="s">
        <v>52</v>
      </c>
      <c r="J382" s="70">
        <v>2</v>
      </c>
      <c r="K382" s="70"/>
      <c r="L382" s="70"/>
      <c r="M382" s="118" t="s">
        <v>367</v>
      </c>
      <c r="N382" t="s">
        <v>145</v>
      </c>
      <c r="O382" s="18">
        <v>328.17027502750216</v>
      </c>
      <c r="P382" s="18">
        <v>6.6232689670557505</v>
      </c>
      <c r="Q382" s="97">
        <v>0.64006749202627111</v>
      </c>
      <c r="R382" s="97">
        <v>0.1688478077447359</v>
      </c>
      <c r="S382" s="97">
        <v>0.10429840593335307</v>
      </c>
      <c r="T382" s="97">
        <v>2.2773244306195761E-2</v>
      </c>
      <c r="U382" s="97">
        <v>8.4554598495193106E-4</v>
      </c>
      <c r="V382" s="97">
        <v>2.2016535627515509E-2</v>
      </c>
      <c r="W382" s="97">
        <v>4.1150968376976682E-2</v>
      </c>
      <c r="X382" s="51">
        <f t="shared" si="26"/>
        <v>8.1379385353150404</v>
      </c>
      <c r="Y382" s="18">
        <v>866.85694414371881</v>
      </c>
      <c r="Z382" s="18">
        <v>53.899755756759241</v>
      </c>
      <c r="AA382" s="18">
        <f t="shared" si="27"/>
        <v>16.424325985113121</v>
      </c>
      <c r="AB382" s="18">
        <f t="shared" si="28"/>
        <v>62.178374552910128</v>
      </c>
      <c r="AC382" s="18">
        <f>$CP$15*Table2912[[#This Row],[DMD '[mg/g']]]+$CS$15*Table2912[[#This Row],[CH4 '[ml/g']]]+$CR$15*Table2912[[#This Row],[CH4 '[% GP']]]+$CQ$15*Table2912[[#This Row],[CH4 '[g/g DDM']]]</f>
        <v>18.389613135747425</v>
      </c>
      <c r="AD382" s="18">
        <f>_xlfn.RANK.AVG(Table2912[[#This Row],[Index]],Table2912[Index])</f>
        <v>194</v>
      </c>
      <c r="AE38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6.0484599972816708</v>
      </c>
      <c r="AF382" s="18">
        <f>Table2912[[#This Row],[CH4 '[ml/g']]]/Table2912[[#This Row],[APB]]</f>
        <v>8.9113188780256696</v>
      </c>
      <c r="AG382" s="18">
        <f>Table2912[[#This Row],[Propionate '[%']]]/Table2912[[#This Row],[Acetate '[%']]]</f>
        <v>0.26379688056053574</v>
      </c>
      <c r="AH382" s="51"/>
      <c r="AI382" s="18"/>
      <c r="AJ382" s="18"/>
      <c r="AK382" s="18">
        <f>(Table2912[[#This Row],[DMD '[mg/g']]]-$AK$15)/$AK$15*100</f>
        <v>76.805258028015785</v>
      </c>
      <c r="AL382" s="18">
        <f>(Table2912[[#This Row],[CH4 '[ml/g']]]-AL$15)/AL$15*100</f>
        <v>37.037198273732514</v>
      </c>
      <c r="AM382" s="18">
        <f>(Table2912[[#This Row],[CH4 '[% GP']]]-AM$15)/AM$15*100</f>
        <v>5.8107952630278303</v>
      </c>
      <c r="AN382" s="18">
        <f>(Table2912[[#This Row],[CH4 '[g/g DDM']]]-AN$15)/AN$15*100</f>
        <v>21.405324565122882</v>
      </c>
      <c r="AO382" s="18"/>
      <c r="AP382" s="18"/>
      <c r="AR382">
        <f>_xlfn.NORM.DIST(Table2912[[#This Row],[GP '[ml/g']]],O$6,O$2,FALSE)</f>
        <v>2.955692157558179E-3</v>
      </c>
      <c r="AS382">
        <f>_xlfn.NORM.DIST(Table2912[[#This Row],[SCFA '[mmol/g']]],P$6,P$2,FALSE)</f>
        <v>0.33189280345277422</v>
      </c>
      <c r="AT382">
        <f>_xlfn.NORM.DIST(Table2912[[#This Row],[Acetate '[%']]],Q$6,Q$2,FALSE)</f>
        <v>7.1384620046432765</v>
      </c>
      <c r="AU382">
        <f>_xlfn.NORM.DIST(Table2912[[#This Row],[Propionate '[%']]],R$6,R$2,FALSE)</f>
        <v>16.65601291479215</v>
      </c>
      <c r="AV382">
        <f>_xlfn.NORM.DIST(Table2912[[#This Row],[Butyrate '[%']]],S$6,S$2,FALSE)</f>
        <v>18.562490231539371</v>
      </c>
      <c r="AW382">
        <f>_xlfn.NORM.DIST(Table2912[[#This Row],[Valerate '[%']]],T$6,T$2,FALSE)</f>
        <v>47.31060918475773</v>
      </c>
      <c r="AX382">
        <f>_xlfn.NORM.DIST(Table2912[[#This Row],[Caproate '[%']]],U$6,U$2,FALSE)</f>
        <v>359.59192025863666</v>
      </c>
      <c r="AY382">
        <f>_xlfn.NORM.DIST(Table2912[[#This Row],[Isobutyrate '[%']]],V$6,V$2,FALSE)</f>
        <v>28.663147078823233</v>
      </c>
      <c r="AZ382">
        <f>_xlfn.NORM.DIST(Table2912[[#This Row],[Isovalerate '[%']]],W$6,W$2,FALSE)</f>
        <v>14.53907519008761</v>
      </c>
      <c r="BA382">
        <f>_xlfn.NORM.DIST(Table2912[[#This Row],[CH4 '[g/mmol SCFA']]],X$6,X$2,FALSE)</f>
        <v>0.11428708293816309</v>
      </c>
      <c r="BB382">
        <f>_xlfn.NORM.DIST(Table2912[[#This Row],[DMD '[mg/g']]],Y$6,Y$2,FALSE)</f>
        <v>2.3389247708460606E-3</v>
      </c>
      <c r="BC382">
        <f>_xlfn.NORM.DIST(Table2912[[#This Row],[CH4 '[ml/g']]],Z$6,Z$2,FALSE)</f>
        <v>1.9307566176723426E-2</v>
      </c>
      <c r="BD382">
        <f>_xlfn.NORM.DIST(Table2912[[#This Row],[CH4 '[% GP']]],AA$6,AA$2,FALSE)</f>
        <v>0.13374661158438242</v>
      </c>
      <c r="BE382">
        <f>_xlfn.NORM.DIST(Table2912[[#This Row],[CH4 '[g/g DDM']]],AB$6,AB$2,FALSE)</f>
        <v>2.5229207966159257E-2</v>
      </c>
      <c r="BG382">
        <f>IF(Table2912[[#This Row],[GP '[ml/g']]]&lt;O$10,_xlfn.NORM.DIST(Table2912[[#This Row],[GP '[ml/g']]],O$6,O$2,FALSE),-100)</f>
        <v>-100</v>
      </c>
      <c r="BH382">
        <f>IF(Table2912[[#This Row],[SCFA '[mmol/g']]]&lt;P$10,_xlfn.NORM.DIST(Table2912[[#This Row],[SCFA '[mmol/g']]],P$6,P$2,FALSE),-100)</f>
        <v>-100</v>
      </c>
      <c r="BI382">
        <f>IF(Table2912[[#This Row],[Acetate '[%']]]&lt;Q$10,_xlfn.NORM.DIST(Table2912[[#This Row],[Acetate '[%']]],Q$6,Q$2,FALSE),-100)</f>
        <v>7.1384620046432765</v>
      </c>
      <c r="BJ382">
        <f>IF(Table2912[[#This Row],[Propionate '[%']]]&lt;R$10,_xlfn.NORM.DIST(Table2912[[#This Row],[Propionate '[%']]],R$6,R$2,FALSE),-100)</f>
        <v>-100</v>
      </c>
      <c r="BK382">
        <f>IF(Table2912[[#This Row],[Butyrate '[%']]]&lt;S$10,_xlfn.NORM.DIST(Table2912[[#This Row],[Butyrate '[%']]],S$6,S$2,FALSE),-100)</f>
        <v>-100</v>
      </c>
      <c r="BL382">
        <f>IF(Table2912[[#This Row],[Valerate '[%']]]&lt;T$10,_xlfn.NORM.DIST(Table2912[[#This Row],[Valerate '[%']]],T$6,T$2,FALSE),-100)</f>
        <v>-100</v>
      </c>
      <c r="BM382">
        <f>IF(Table2912[[#This Row],[Caproate '[%']]]&lt;U$10,_xlfn.NORM.DIST(Table2912[[#This Row],[Caproate '[%']]],U$6,U$2,FALSE),-100)</f>
        <v>-100</v>
      </c>
      <c r="BN382">
        <f>IF(Table2912[[#This Row],[Isobutyrate '[%']]]&lt;V$10,_xlfn.NORM.DIST(Table2912[[#This Row],[Isobutyrate '[%']]],V$6,V$2,FALSE),-100)</f>
        <v>-100</v>
      </c>
      <c r="BO382">
        <f>IF(Table2912[[#This Row],[Isovalerate '[%']]]&lt;W$10,_xlfn.NORM.DIST(Table2912[[#This Row],[Isovalerate '[%']]],W$6,W$2,FALSE),-100)</f>
        <v>-100</v>
      </c>
      <c r="BP382">
        <f>IF(Table2912[[#This Row],[CH4 '[g/mmol SCFA']]]&lt;X$10,_xlfn.NORM.DIST(Table2912[[#This Row],[CH4 '[g/mmol SCFA']]],X$6,X$2,FALSE),-100)</f>
        <v>-100</v>
      </c>
      <c r="BQ382">
        <f>IF(Table2912[[#This Row],[DMD '[mg/g']]]&gt;Y$10,_xlfn.NORM.DIST(Table2912[[#This Row],[DMD '[mg/g']]],Y$6,Y$2,FALSE),-100)</f>
        <v>-100</v>
      </c>
      <c r="BR382">
        <f>IF(Table2912[[#This Row],[CH4 '[ml/g']]]&lt;Z$10,_xlfn.NORM.DIST(Table2912[[#This Row],[CH4 '[ml/g']]],Z$6,Z$2,FALSE),-100)</f>
        <v>-100</v>
      </c>
      <c r="BS382">
        <f>IF(Table2912[[#This Row],[CH4 '[% GP']]]&lt;AA$10,_xlfn.NORM.DIST(Table2912[[#This Row],[CH4 '[% GP']]],AA$6,AA$2,FALSE),-100)</f>
        <v>-100</v>
      </c>
      <c r="BT382">
        <f>IF(Table2912[[#This Row],[CH4 '[g/g DDM']]]&lt;AB$10,_xlfn.NORM.DIST(Table2912[[#This Row],[CH4 '[g/g DDM']]],AB$6,AB$2,FALSE),-100)</f>
        <v>-100</v>
      </c>
    </row>
    <row r="383" spans="1:72" x14ac:dyDescent="0.25">
      <c r="A383" s="12" t="s">
        <v>86</v>
      </c>
      <c r="B383" s="13">
        <v>1091</v>
      </c>
      <c r="C383" s="104" t="s">
        <v>472</v>
      </c>
      <c r="D383" s="104" t="s">
        <v>473</v>
      </c>
      <c r="E383" s="104" t="s">
        <v>474</v>
      </c>
      <c r="F383" s="104" t="s">
        <v>475</v>
      </c>
      <c r="G383" s="32" t="s">
        <v>143</v>
      </c>
      <c r="H383" s="32" t="s">
        <v>144</v>
      </c>
      <c r="I383" s="32" t="s">
        <v>52</v>
      </c>
      <c r="J383" s="100">
        <v>1</v>
      </c>
      <c r="K383" s="100"/>
      <c r="L383" s="100"/>
      <c r="M383" t="s">
        <v>475</v>
      </c>
      <c r="N383" t="s">
        <v>99</v>
      </c>
      <c r="O383" s="18">
        <v>270.64939010867124</v>
      </c>
      <c r="P383" s="18">
        <v>6.9949795678170625</v>
      </c>
      <c r="Q383" s="97">
        <v>0.64938013105209524</v>
      </c>
      <c r="R383" s="97">
        <v>0.17625939318598599</v>
      </c>
      <c r="S383" s="97">
        <v>9.4794442046725658E-2</v>
      </c>
      <c r="T383" s="97">
        <v>2.5348514225983262E-2</v>
      </c>
      <c r="U383" s="97">
        <v>1.2148192632854163E-3</v>
      </c>
      <c r="V383" s="97">
        <v>2.0134726316496182E-2</v>
      </c>
      <c r="W383" s="97">
        <v>3.2867973909428139E-2</v>
      </c>
      <c r="X383" s="51">
        <f t="shared" si="26"/>
        <v>6.9400554939719568</v>
      </c>
      <c r="Y383" s="18">
        <v>867.0223908618409</v>
      </c>
      <c r="Z383" s="18">
        <v>48.545546379850386</v>
      </c>
      <c r="AA383" s="18">
        <f t="shared" si="27"/>
        <v>17.936691584768898</v>
      </c>
      <c r="AB383" s="18">
        <f t="shared" si="28"/>
        <v>55.991110369819808</v>
      </c>
      <c r="AC383" s="18">
        <f>$CP$15*Table2912[[#This Row],[DMD '[mg/g']]]+$CS$15*Table2912[[#This Row],[CH4 '[ml/g']]]+$CR$15*Table2912[[#This Row],[CH4 '[% GP']]]+$CQ$15*Table2912[[#This Row],[CH4 '[g/g DDM']]]</f>
        <v>20.247278917054118</v>
      </c>
      <c r="AD383" s="18">
        <f>_xlfn.RANK.AVG(Table2912[[#This Row],[Index]],Table2912[Index])</f>
        <v>159</v>
      </c>
      <c r="AE38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6.4384167876870428</v>
      </c>
      <c r="AF383" s="18">
        <f>Table2912[[#This Row],[CH4 '[ml/g']]]/Table2912[[#This Row],[APB]]</f>
        <v>7.5399819521920142</v>
      </c>
      <c r="AG383" s="18">
        <f>Table2912[[#This Row],[Propionate '[%']]]/Table2912[[#This Row],[Acetate '[%']]]</f>
        <v>0.27142714222010272</v>
      </c>
      <c r="AH383" s="51"/>
      <c r="AI383" s="18"/>
      <c r="AJ383" s="18"/>
      <c r="AK383" s="18">
        <f>(Table2912[[#This Row],[DMD '[mg/g']]]-$AK$15)/$AK$15*100</f>
        <v>76.839002753584509</v>
      </c>
      <c r="AL383" s="18">
        <f>(Table2912[[#This Row],[CH4 '[ml/g']]]-AL$15)/AL$15*100</f>
        <v>23.424412061978217</v>
      </c>
      <c r="AM383" s="18">
        <f>(Table2912[[#This Row],[CH4 '[% GP']]]-AM$15)/AM$15*100</f>
        <v>15.553941311947508</v>
      </c>
      <c r="AN383" s="18">
        <f>(Table2912[[#This Row],[CH4 '[g/g DDM']]]-AN$15)/AN$15*100</f>
        <v>9.3244874297126987</v>
      </c>
      <c r="AO383" s="18"/>
      <c r="AP383" s="18"/>
      <c r="AR383">
        <f>_xlfn.NORM.DIST(Table2912[[#This Row],[GP '[ml/g']]],O$6,O$2,FALSE)</f>
        <v>7.1837454770615795E-3</v>
      </c>
      <c r="AS383">
        <f>_xlfn.NORM.DIST(Table2912[[#This Row],[SCFA '[mmol/g']]],P$6,P$2,FALSE)</f>
        <v>0.30937905293771001</v>
      </c>
      <c r="AT383">
        <f>_xlfn.NORM.DIST(Table2912[[#This Row],[Acetate '[%']]],Q$6,Q$2,FALSE)</f>
        <v>9.8993615746893688</v>
      </c>
      <c r="AU383">
        <f>_xlfn.NORM.DIST(Table2912[[#This Row],[Propionate '[%']]],R$6,R$2,FALSE)</f>
        <v>16.506643498268303</v>
      </c>
      <c r="AV383">
        <f>_xlfn.NORM.DIST(Table2912[[#This Row],[Butyrate '[%']]],S$6,S$2,FALSE)</f>
        <v>22.895877846439781</v>
      </c>
      <c r="AW383">
        <f>_xlfn.NORM.DIST(Table2912[[#This Row],[Valerate '[%']]],T$6,T$2,FALSE)</f>
        <v>25.437982641050294</v>
      </c>
      <c r="AX383">
        <f>_xlfn.NORM.DIST(Table2912[[#This Row],[Caproate '[%']]],U$6,U$2,FALSE)</f>
        <v>403.96558346476604</v>
      </c>
      <c r="AY383">
        <f>_xlfn.NORM.DIST(Table2912[[#This Row],[Isobutyrate '[%']]],V$6,V$2,FALSE)</f>
        <v>49.849630022618996</v>
      </c>
      <c r="AZ383">
        <f>_xlfn.NORM.DIST(Table2912[[#This Row],[Isovalerate '[%']]],W$6,W$2,FALSE)</f>
        <v>38.699552000598921</v>
      </c>
      <c r="BA383">
        <f>_xlfn.NORM.DIST(Table2912[[#This Row],[CH4 '[g/mmol SCFA']]],X$6,X$2,FALSE)</f>
        <v>0.26376030750094215</v>
      </c>
      <c r="BB383">
        <f>_xlfn.NORM.DIST(Table2912[[#This Row],[DMD '[mg/g']]],Y$6,Y$2,FALSE)</f>
        <v>2.337045281046145E-3</v>
      </c>
      <c r="BC383">
        <f>_xlfn.NORM.DIST(Table2912[[#This Row],[CH4 '[ml/g']]],Z$6,Z$2,FALSE)</f>
        <v>2.7981639357307266E-2</v>
      </c>
      <c r="BD383">
        <f>_xlfn.NORM.DIST(Table2912[[#This Row],[CH4 '[% GP']]],AA$6,AA$2,FALSE)</f>
        <v>0.11040265436004648</v>
      </c>
      <c r="BE383">
        <f>_xlfn.NORM.DIST(Table2912[[#This Row],[CH4 '[g/g DDM']]],AB$6,AB$2,FALSE)</f>
        <v>3.2086660110291702E-2</v>
      </c>
      <c r="BG383">
        <f>IF(Table2912[[#This Row],[GP '[ml/g']]]&lt;O$10,_xlfn.NORM.DIST(Table2912[[#This Row],[GP '[ml/g']]],O$6,O$2,FALSE),-100)</f>
        <v>-100</v>
      </c>
      <c r="BH383">
        <f>IF(Table2912[[#This Row],[SCFA '[mmol/g']]]&lt;P$10,_xlfn.NORM.DIST(Table2912[[#This Row],[SCFA '[mmol/g']]],P$6,P$2,FALSE),-100)</f>
        <v>-100</v>
      </c>
      <c r="BI383">
        <f>IF(Table2912[[#This Row],[Acetate '[%']]]&lt;Q$10,_xlfn.NORM.DIST(Table2912[[#This Row],[Acetate '[%']]],Q$6,Q$2,FALSE),-100)</f>
        <v>-100</v>
      </c>
      <c r="BJ383">
        <f>IF(Table2912[[#This Row],[Propionate '[%']]]&lt;R$10,_xlfn.NORM.DIST(Table2912[[#This Row],[Propionate '[%']]],R$6,R$2,FALSE),-100)</f>
        <v>-100</v>
      </c>
      <c r="BK383">
        <f>IF(Table2912[[#This Row],[Butyrate '[%']]]&lt;S$10,_xlfn.NORM.DIST(Table2912[[#This Row],[Butyrate '[%']]],S$6,S$2,FALSE),-100)</f>
        <v>-100</v>
      </c>
      <c r="BL383">
        <f>IF(Table2912[[#This Row],[Valerate '[%']]]&lt;T$10,_xlfn.NORM.DIST(Table2912[[#This Row],[Valerate '[%']]],T$6,T$2,FALSE),-100)</f>
        <v>-100</v>
      </c>
      <c r="BM383">
        <f>IF(Table2912[[#This Row],[Caproate '[%']]]&lt;U$10,_xlfn.NORM.DIST(Table2912[[#This Row],[Caproate '[%']]],U$6,U$2,FALSE),-100)</f>
        <v>-100</v>
      </c>
      <c r="BN383">
        <f>IF(Table2912[[#This Row],[Isobutyrate '[%']]]&lt;V$10,_xlfn.NORM.DIST(Table2912[[#This Row],[Isobutyrate '[%']]],V$6,V$2,FALSE),-100)</f>
        <v>-100</v>
      </c>
      <c r="BO383">
        <f>IF(Table2912[[#This Row],[Isovalerate '[%']]]&lt;W$10,_xlfn.NORM.DIST(Table2912[[#This Row],[Isovalerate '[%']]],W$6,W$2,FALSE),-100)</f>
        <v>-100</v>
      </c>
      <c r="BP383">
        <f>IF(Table2912[[#This Row],[CH4 '[g/mmol SCFA']]]&lt;X$10,_xlfn.NORM.DIST(Table2912[[#This Row],[CH4 '[g/mmol SCFA']]],X$6,X$2,FALSE),-100)</f>
        <v>-100</v>
      </c>
      <c r="BQ383">
        <f>IF(Table2912[[#This Row],[DMD '[mg/g']]]&gt;Y$10,_xlfn.NORM.DIST(Table2912[[#This Row],[DMD '[mg/g']]],Y$6,Y$2,FALSE),-100)</f>
        <v>-100</v>
      </c>
      <c r="BR383">
        <f>IF(Table2912[[#This Row],[CH4 '[ml/g']]]&lt;Z$10,_xlfn.NORM.DIST(Table2912[[#This Row],[CH4 '[ml/g']]],Z$6,Z$2,FALSE),-100)</f>
        <v>-100</v>
      </c>
      <c r="BS383">
        <f>IF(Table2912[[#This Row],[CH4 '[% GP']]]&lt;AA$10,_xlfn.NORM.DIST(Table2912[[#This Row],[CH4 '[% GP']]],AA$6,AA$2,FALSE),-100)</f>
        <v>-100</v>
      </c>
      <c r="BT383">
        <f>IF(Table2912[[#This Row],[CH4 '[g/g DDM']]]&lt;AB$10,_xlfn.NORM.DIST(Table2912[[#This Row],[CH4 '[g/g DDM']]],AB$6,AB$2,FALSE),-100)</f>
        <v>-100</v>
      </c>
    </row>
    <row r="384" spans="1:72" x14ac:dyDescent="0.25">
      <c r="A384" s="12" t="s">
        <v>200</v>
      </c>
      <c r="B384" s="13">
        <v>1212</v>
      </c>
      <c r="C384" s="113" t="s">
        <v>476</v>
      </c>
      <c r="D384" s="113" t="s">
        <v>391</v>
      </c>
      <c r="E384" s="113" t="s">
        <v>392</v>
      </c>
      <c r="F384" s="113" t="s">
        <v>393</v>
      </c>
      <c r="G384" t="s">
        <v>143</v>
      </c>
      <c r="H384" t="s">
        <v>144</v>
      </c>
      <c r="I384" t="s">
        <v>52</v>
      </c>
      <c r="J384" s="70">
        <v>1</v>
      </c>
      <c r="K384" s="70"/>
      <c r="L384" s="70"/>
      <c r="M384" t="s">
        <v>477</v>
      </c>
      <c r="N384" t="s">
        <v>352</v>
      </c>
      <c r="O384" s="18">
        <v>322.45670194003526</v>
      </c>
      <c r="P384" s="18">
        <v>8.2636243386243393</v>
      </c>
      <c r="Q384" s="97">
        <v>0.65425455864128734</v>
      </c>
      <c r="R384" s="97">
        <v>0.183117800788197</v>
      </c>
      <c r="S384" s="97">
        <v>0.10265308081291241</v>
      </c>
      <c r="T384" s="97">
        <v>1.4983044985878283E-2</v>
      </c>
      <c r="U384" s="97">
        <v>1.3939225843102752E-3</v>
      </c>
      <c r="V384" s="97">
        <v>1.5976337361259113E-2</v>
      </c>
      <c r="W384" s="97">
        <v>2.7621254826155621E-2</v>
      </c>
      <c r="X384" s="51">
        <f t="shared" si="26"/>
        <v>6.5741905058256114</v>
      </c>
      <c r="Y384" s="18">
        <v>868.16927724518473</v>
      </c>
      <c r="Z384" s="18">
        <v>54.326640670693578</v>
      </c>
      <c r="AA384" s="18">
        <f t="shared" si="27"/>
        <v>16.847731910622926</v>
      </c>
      <c r="AB384" s="18">
        <f t="shared" si="28"/>
        <v>62.576092122355625</v>
      </c>
      <c r="AC384" s="18">
        <f>$CP$15*Table2912[[#This Row],[DMD '[mg/g']]]+$CS$15*Table2912[[#This Row],[CH4 '[ml/g']]]+$CR$15*Table2912[[#This Row],[CH4 '[% GP']]]+$CQ$15*Table2912[[#This Row],[CH4 '[g/g DDM']]]</f>
        <v>18.233355544810593</v>
      </c>
      <c r="AD384" s="18">
        <f>_xlfn.RANK.AVG(Table2912[[#This Row],[Index]],Table2912[Index])</f>
        <v>200</v>
      </c>
      <c r="AE38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7.7680171069131294</v>
      </c>
      <c r="AF384" s="18">
        <f>Table2912[[#This Row],[CH4 '[ml/g']]]/Table2912[[#This Row],[APB]]</f>
        <v>6.9936304108220497</v>
      </c>
      <c r="AG384" s="18">
        <f>Table2912[[#This Row],[Propionate '[%']]]/Table2912[[#This Row],[Acetate '[%']]]</f>
        <v>0.27988769565241389</v>
      </c>
      <c r="AH384" s="51"/>
      <c r="AI384" s="18"/>
      <c r="AJ384" s="18"/>
      <c r="AK384" s="18">
        <f>(Table2912[[#This Row],[DMD '[mg/g']]]-$AK$15)/$AK$15*100</f>
        <v>77.072923176447617</v>
      </c>
      <c r="AL384" s="18">
        <f>(Table2912[[#This Row],[CH4 '[ml/g']]]-AL$15)/AL$15*100</f>
        <v>38.122529956029595</v>
      </c>
      <c r="AM384" s="18">
        <f>(Table2912[[#This Row],[CH4 '[% GP']]]-AM$15)/AM$15*100</f>
        <v>8.5385125366546415</v>
      </c>
      <c r="AN384" s="18">
        <f>(Table2912[[#This Row],[CH4 '[g/g DDM']]]-AN$15)/AN$15*100</f>
        <v>22.181881220889021</v>
      </c>
      <c r="AO384" s="18"/>
      <c r="AP384" s="18"/>
      <c r="AR384">
        <f>_xlfn.NORM.DIST(Table2912[[#This Row],[GP '[ml/g']]],O$6,O$2,FALSE)</f>
        <v>3.4006782461932536E-3</v>
      </c>
      <c r="AS384">
        <f>_xlfn.NORM.DIST(Table2912[[#This Row],[SCFA '[mmol/g']]],P$6,P$2,FALSE)</f>
        <v>0.11803419817928244</v>
      </c>
      <c r="AT384">
        <f>_xlfn.NORM.DIST(Table2912[[#This Row],[Acetate '[%']]],Q$6,Q$2,FALSE)</f>
        <v>11.25563888495155</v>
      </c>
      <c r="AU384">
        <f>_xlfn.NORM.DIST(Table2912[[#This Row],[Propionate '[%']]],R$6,R$2,FALSE)</f>
        <v>15.010348782140372</v>
      </c>
      <c r="AV384">
        <f>_xlfn.NORM.DIST(Table2912[[#This Row],[Butyrate '[%']]],S$6,S$2,FALSE)</f>
        <v>19.668344800708081</v>
      </c>
      <c r="AW384">
        <f>_xlfn.NORM.DIST(Table2912[[#This Row],[Valerate '[%']]],T$6,T$2,FALSE)</f>
        <v>67.63789907178473</v>
      </c>
      <c r="AX384">
        <f>_xlfn.NORM.DIST(Table2912[[#This Row],[Caproate '[%']]],U$6,U$2,FALSE)</f>
        <v>406.13099542537111</v>
      </c>
      <c r="AY384">
        <f>_xlfn.NORM.DIST(Table2912[[#This Row],[Isobutyrate '[%']]],V$6,V$2,FALSE)</f>
        <v>89.164965273404533</v>
      </c>
      <c r="AZ384">
        <f>_xlfn.NORM.DIST(Table2912[[#This Row],[Isovalerate '[%']]],W$6,W$2,FALSE)</f>
        <v>45.407811740348009</v>
      </c>
      <c r="BA384">
        <f>_xlfn.NORM.DIST(Table2912[[#This Row],[CH4 '[g/mmol SCFA']]],X$6,X$2,FALSE)</f>
        <v>0.29046930381001151</v>
      </c>
      <c r="BB384">
        <f>_xlfn.NORM.DIST(Table2912[[#This Row],[DMD '[mg/g']]],Y$6,Y$2,FALSE)</f>
        <v>2.323964561181102E-3</v>
      </c>
      <c r="BC384">
        <f>_xlfn.NORM.DIST(Table2912[[#This Row],[CH4 '[ml/g']]],Z$6,Z$2,FALSE)</f>
        <v>1.8582301365383053E-2</v>
      </c>
      <c r="BD384">
        <f>_xlfn.NORM.DIST(Table2912[[#This Row],[CH4 '[% GP']]],AA$6,AA$2,FALSE)</f>
        <v>0.1301301237302856</v>
      </c>
      <c r="BE384">
        <f>_xlfn.NORM.DIST(Table2912[[#This Row],[CH4 '[g/g DDM']]],AB$6,AB$2,FALSE)</f>
        <v>2.4622659611415736E-2</v>
      </c>
      <c r="BG384">
        <f>IF(Table2912[[#This Row],[GP '[ml/g']]]&lt;O$10,_xlfn.NORM.DIST(Table2912[[#This Row],[GP '[ml/g']]],O$6,O$2,FALSE),-100)</f>
        <v>-100</v>
      </c>
      <c r="BH384">
        <f>IF(Table2912[[#This Row],[SCFA '[mmol/g']]]&lt;P$10,_xlfn.NORM.DIST(Table2912[[#This Row],[SCFA '[mmol/g']]],P$6,P$2,FALSE),-100)</f>
        <v>-100</v>
      </c>
      <c r="BI384">
        <f>IF(Table2912[[#This Row],[Acetate '[%']]]&lt;Q$10,_xlfn.NORM.DIST(Table2912[[#This Row],[Acetate '[%']]],Q$6,Q$2,FALSE),-100)</f>
        <v>-100</v>
      </c>
      <c r="BJ384">
        <f>IF(Table2912[[#This Row],[Propionate '[%']]]&lt;R$10,_xlfn.NORM.DIST(Table2912[[#This Row],[Propionate '[%']]],R$6,R$2,FALSE),-100)</f>
        <v>-100</v>
      </c>
      <c r="BK384">
        <f>IF(Table2912[[#This Row],[Butyrate '[%']]]&lt;S$10,_xlfn.NORM.DIST(Table2912[[#This Row],[Butyrate '[%']]],S$6,S$2,FALSE),-100)</f>
        <v>-100</v>
      </c>
      <c r="BL384">
        <f>IF(Table2912[[#This Row],[Valerate '[%']]]&lt;T$10,_xlfn.NORM.DIST(Table2912[[#This Row],[Valerate '[%']]],T$6,T$2,FALSE),-100)</f>
        <v>-100</v>
      </c>
      <c r="BM384">
        <f>IF(Table2912[[#This Row],[Caproate '[%']]]&lt;U$10,_xlfn.NORM.DIST(Table2912[[#This Row],[Caproate '[%']]],U$6,U$2,FALSE),-100)</f>
        <v>-100</v>
      </c>
      <c r="BN384">
        <f>IF(Table2912[[#This Row],[Isobutyrate '[%']]]&lt;V$10,_xlfn.NORM.DIST(Table2912[[#This Row],[Isobutyrate '[%']]],V$6,V$2,FALSE),-100)</f>
        <v>-100</v>
      </c>
      <c r="BO384">
        <f>IF(Table2912[[#This Row],[Isovalerate '[%']]]&lt;W$10,_xlfn.NORM.DIST(Table2912[[#This Row],[Isovalerate '[%']]],W$6,W$2,FALSE),-100)</f>
        <v>-100</v>
      </c>
      <c r="BP384">
        <f>IF(Table2912[[#This Row],[CH4 '[g/mmol SCFA']]]&lt;X$10,_xlfn.NORM.DIST(Table2912[[#This Row],[CH4 '[g/mmol SCFA']]],X$6,X$2,FALSE),-100)</f>
        <v>-100</v>
      </c>
      <c r="BQ384">
        <f>IF(Table2912[[#This Row],[DMD '[mg/g']]]&gt;Y$10,_xlfn.NORM.DIST(Table2912[[#This Row],[DMD '[mg/g']]],Y$6,Y$2,FALSE),-100)</f>
        <v>-100</v>
      </c>
      <c r="BR384">
        <f>IF(Table2912[[#This Row],[CH4 '[ml/g']]]&lt;Z$10,_xlfn.NORM.DIST(Table2912[[#This Row],[CH4 '[ml/g']]],Z$6,Z$2,FALSE),-100)</f>
        <v>-100</v>
      </c>
      <c r="BS384">
        <f>IF(Table2912[[#This Row],[CH4 '[% GP']]]&lt;AA$10,_xlfn.NORM.DIST(Table2912[[#This Row],[CH4 '[% GP']]],AA$6,AA$2,FALSE),-100)</f>
        <v>-100</v>
      </c>
      <c r="BT384">
        <f>IF(Table2912[[#This Row],[CH4 '[g/g DDM']]]&lt;AB$10,_xlfn.NORM.DIST(Table2912[[#This Row],[CH4 '[g/g DDM']]],AB$6,AB$2,FALSE),-100)</f>
        <v>-100</v>
      </c>
    </row>
    <row r="385" spans="1:72" x14ac:dyDescent="0.25">
      <c r="A385" s="12" t="s">
        <v>200</v>
      </c>
      <c r="B385" s="13">
        <v>1216</v>
      </c>
      <c r="C385" s="113" t="s">
        <v>420</v>
      </c>
      <c r="D385" s="113" t="s">
        <v>391</v>
      </c>
      <c r="E385" s="113" t="s">
        <v>392</v>
      </c>
      <c r="F385" s="113" t="s">
        <v>393</v>
      </c>
      <c r="G385" t="s">
        <v>143</v>
      </c>
      <c r="H385" t="s">
        <v>144</v>
      </c>
      <c r="I385" t="s">
        <v>52</v>
      </c>
      <c r="J385" s="70">
        <v>1</v>
      </c>
      <c r="K385" s="70"/>
      <c r="L385" s="70"/>
      <c r="M385" t="s">
        <v>421</v>
      </c>
      <c r="N385" t="s">
        <v>208</v>
      </c>
      <c r="O385" s="18">
        <v>352.32983621071139</v>
      </c>
      <c r="P385" s="18">
        <v>7.2381162398401138</v>
      </c>
      <c r="Q385" s="97">
        <v>0.68072046372740369</v>
      </c>
      <c r="R385" s="97">
        <v>0.17610733094302763</v>
      </c>
      <c r="S385" s="97">
        <v>9.4517137131322246E-2</v>
      </c>
      <c r="T385" s="97">
        <v>1.2753893508536469E-2</v>
      </c>
      <c r="U385" s="97">
        <v>2.0928575299604072E-3</v>
      </c>
      <c r="V385" s="97">
        <v>1.2492781701933606E-2</v>
      </c>
      <c r="W385" s="97">
        <v>2.1315535457816021E-2</v>
      </c>
      <c r="X385" s="51">
        <f t="shared" si="26"/>
        <v>8.0725163074640083</v>
      </c>
      <c r="Y385" s="18">
        <v>868.45342714175081</v>
      </c>
      <c r="Z385" s="18">
        <v>58.429811381429381</v>
      </c>
      <c r="AA385" s="18">
        <f t="shared" si="27"/>
        <v>16.583838601305779</v>
      </c>
      <c r="AB385" s="18">
        <f t="shared" si="28"/>
        <v>67.280304913682315</v>
      </c>
      <c r="AC385" s="18">
        <f>$CP$15*Table2912[[#This Row],[DMD '[mg/g']]]+$CS$15*Table2912[[#This Row],[CH4 '[ml/g']]]+$CR$15*Table2912[[#This Row],[CH4 '[% GP']]]+$CQ$15*Table2912[[#This Row],[CH4 '[g/g DDM']]]</f>
        <v>16.595712225190432</v>
      </c>
      <c r="AD385" s="18">
        <f>_xlfn.RANK.AVG(Table2912[[#This Row],[Index]],Table2912[Index])</f>
        <v>240</v>
      </c>
      <c r="AE38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6.8859452005638584</v>
      </c>
      <c r="AF385" s="18">
        <f>Table2912[[#This Row],[CH4 '[ml/g']]]/Table2912[[#This Row],[APB]]</f>
        <v>8.4853726946076815</v>
      </c>
      <c r="AG385" s="18">
        <f>Table2912[[#This Row],[Propionate '[%']]]/Table2912[[#This Row],[Acetate '[%']]]</f>
        <v>0.25870726726609805</v>
      </c>
      <c r="AH385" s="51"/>
      <c r="AI385" s="18"/>
      <c r="AJ385" s="18"/>
      <c r="AK385" s="18">
        <f>(Table2912[[#This Row],[DMD '[mg/g']]]-$AK$15)/$AK$15*100</f>
        <v>77.13087875507037</v>
      </c>
      <c r="AL385" s="18">
        <f>(Table2912[[#This Row],[CH4 '[ml/g']]]-AL$15)/AL$15*100</f>
        <v>48.554618382841461</v>
      </c>
      <c r="AM385" s="18">
        <f>(Table2912[[#This Row],[CH4 '[% GP']]]-AM$15)/AM$15*100</f>
        <v>6.8384268863364168</v>
      </c>
      <c r="AN385" s="18">
        <f>(Table2912[[#This Row],[CH4 '[g/g DDM']]]-AN$15)/AN$15*100</f>
        <v>31.367011659904165</v>
      </c>
      <c r="AO385" s="18"/>
      <c r="AP385" s="18"/>
      <c r="AR385">
        <f>_xlfn.NORM.DIST(Table2912[[#This Row],[GP '[ml/g']]],O$6,O$2,FALSE)</f>
        <v>1.438889220429732E-3</v>
      </c>
      <c r="AS385">
        <f>_xlfn.NORM.DIST(Table2912[[#This Row],[SCFA '[mmol/g']]],P$6,P$2,FALSE)</f>
        <v>0.28051351534589575</v>
      </c>
      <c r="AT385">
        <f>_xlfn.NORM.DIST(Table2912[[#This Row],[Acetate '[%']]],Q$6,Q$2,FALSE)</f>
        <v>13.535507107895485</v>
      </c>
      <c r="AU385">
        <f>_xlfn.NORM.DIST(Table2912[[#This Row],[Propionate '[%']]],R$6,R$2,FALSE)</f>
        <v>16.525845162869732</v>
      </c>
      <c r="AV385">
        <f>_xlfn.NORM.DIST(Table2912[[#This Row],[Butyrate '[%']]],S$6,S$2,FALSE)</f>
        <v>22.932595448354956</v>
      </c>
      <c r="AW385">
        <f>_xlfn.NORM.DIST(Table2912[[#This Row],[Valerate '[%']]],T$6,T$2,FALSE)</f>
        <v>49.212575823789408</v>
      </c>
      <c r="AX385">
        <f>_xlfn.NORM.DIST(Table2912[[#This Row],[Caproate '[%']]],U$6,U$2,FALSE)</f>
        <v>301.3603433495494</v>
      </c>
      <c r="AY385">
        <f>_xlfn.NORM.DIST(Table2912[[#This Row],[Isobutyrate '[%']]],V$6,V$2,FALSE)</f>
        <v>73.53709972245754</v>
      </c>
      <c r="AZ385">
        <f>_xlfn.NORM.DIST(Table2912[[#This Row],[Isovalerate '[%']]],W$6,W$2,FALSE)</f>
        <v>34.311478125872682</v>
      </c>
      <c r="BA385">
        <f>_xlfn.NORM.DIST(Table2912[[#This Row],[CH4 '[g/mmol SCFA']]],X$6,X$2,FALSE)</f>
        <v>0.12211666286364473</v>
      </c>
      <c r="BB385">
        <f>_xlfn.NORM.DIST(Table2912[[#This Row],[DMD '[mg/g']]],Y$6,Y$2,FALSE)</f>
        <v>2.3207098358259516E-3</v>
      </c>
      <c r="BC385">
        <f>_xlfn.NORM.DIST(Table2912[[#This Row],[CH4 '[ml/g']]],Z$6,Z$2,FALSE)</f>
        <v>1.2044857136222935E-2</v>
      </c>
      <c r="BD385">
        <f>_xlfn.NORM.DIST(Table2912[[#This Row],[CH4 '[% GP']]],AA$6,AA$2,FALSE)</f>
        <v>0.13269057539921814</v>
      </c>
      <c r="BE385">
        <f>_xlfn.NORM.DIST(Table2912[[#This Row],[CH4 '[g/g DDM']]],AB$6,AB$2,FALSE)</f>
        <v>1.7021088694957699E-2</v>
      </c>
      <c r="BG385">
        <f>IF(Table2912[[#This Row],[GP '[ml/g']]]&lt;O$10,_xlfn.NORM.DIST(Table2912[[#This Row],[GP '[ml/g']]],O$6,O$2,FALSE),-100)</f>
        <v>-100</v>
      </c>
      <c r="BH385">
        <f>IF(Table2912[[#This Row],[SCFA '[mmol/g']]]&lt;P$10,_xlfn.NORM.DIST(Table2912[[#This Row],[SCFA '[mmol/g']]],P$6,P$2,FALSE),-100)</f>
        <v>-100</v>
      </c>
      <c r="BI385">
        <f>IF(Table2912[[#This Row],[Acetate '[%']]]&lt;Q$10,_xlfn.NORM.DIST(Table2912[[#This Row],[Acetate '[%']]],Q$6,Q$2,FALSE),-100)</f>
        <v>-100</v>
      </c>
      <c r="BJ385">
        <f>IF(Table2912[[#This Row],[Propionate '[%']]]&lt;R$10,_xlfn.NORM.DIST(Table2912[[#This Row],[Propionate '[%']]],R$6,R$2,FALSE),-100)</f>
        <v>-100</v>
      </c>
      <c r="BK385">
        <f>IF(Table2912[[#This Row],[Butyrate '[%']]]&lt;S$10,_xlfn.NORM.DIST(Table2912[[#This Row],[Butyrate '[%']]],S$6,S$2,FALSE),-100)</f>
        <v>-100</v>
      </c>
      <c r="BL385">
        <f>IF(Table2912[[#This Row],[Valerate '[%']]]&lt;T$10,_xlfn.NORM.DIST(Table2912[[#This Row],[Valerate '[%']]],T$6,T$2,FALSE),-100)</f>
        <v>-100</v>
      </c>
      <c r="BM385">
        <f>IF(Table2912[[#This Row],[Caproate '[%']]]&lt;U$10,_xlfn.NORM.DIST(Table2912[[#This Row],[Caproate '[%']]],U$6,U$2,FALSE),-100)</f>
        <v>-100</v>
      </c>
      <c r="BN385">
        <f>IF(Table2912[[#This Row],[Isobutyrate '[%']]]&lt;V$10,_xlfn.NORM.DIST(Table2912[[#This Row],[Isobutyrate '[%']]],V$6,V$2,FALSE),-100)</f>
        <v>-100</v>
      </c>
      <c r="BO385">
        <f>IF(Table2912[[#This Row],[Isovalerate '[%']]]&lt;W$10,_xlfn.NORM.DIST(Table2912[[#This Row],[Isovalerate '[%']]],W$6,W$2,FALSE),-100)</f>
        <v>-100</v>
      </c>
      <c r="BP385">
        <f>IF(Table2912[[#This Row],[CH4 '[g/mmol SCFA']]]&lt;X$10,_xlfn.NORM.DIST(Table2912[[#This Row],[CH4 '[g/mmol SCFA']]],X$6,X$2,FALSE),-100)</f>
        <v>-100</v>
      </c>
      <c r="BQ385">
        <f>IF(Table2912[[#This Row],[DMD '[mg/g']]]&gt;Y$10,_xlfn.NORM.DIST(Table2912[[#This Row],[DMD '[mg/g']]],Y$6,Y$2,FALSE),-100)</f>
        <v>-100</v>
      </c>
      <c r="BR385">
        <f>IF(Table2912[[#This Row],[CH4 '[ml/g']]]&lt;Z$10,_xlfn.NORM.DIST(Table2912[[#This Row],[CH4 '[ml/g']]],Z$6,Z$2,FALSE),-100)</f>
        <v>-100</v>
      </c>
      <c r="BS385">
        <f>IF(Table2912[[#This Row],[CH4 '[% GP']]]&lt;AA$10,_xlfn.NORM.DIST(Table2912[[#This Row],[CH4 '[% GP']]],AA$6,AA$2,FALSE),-100)</f>
        <v>-100</v>
      </c>
      <c r="BT385">
        <f>IF(Table2912[[#This Row],[CH4 '[g/g DDM']]]&lt;AB$10,_xlfn.NORM.DIST(Table2912[[#This Row],[CH4 '[g/g DDM']]],AB$6,AB$2,FALSE),-100)</f>
        <v>-100</v>
      </c>
    </row>
    <row r="386" spans="1:72" x14ac:dyDescent="0.25">
      <c r="A386" s="12" t="s">
        <v>200</v>
      </c>
      <c r="B386" s="13">
        <v>1213</v>
      </c>
      <c r="C386" s="113" t="s">
        <v>478</v>
      </c>
      <c r="D386" s="113" t="s">
        <v>391</v>
      </c>
      <c r="E386" s="113" t="s">
        <v>392</v>
      </c>
      <c r="F386" s="113" t="s">
        <v>393</v>
      </c>
      <c r="G386" s="32" t="s">
        <v>73</v>
      </c>
      <c r="H386" s="32" t="s">
        <v>74</v>
      </c>
      <c r="I386" s="105" t="s">
        <v>48</v>
      </c>
      <c r="J386" s="70">
        <v>2</v>
      </c>
      <c r="K386" s="70"/>
      <c r="L386" s="70"/>
      <c r="M386" t="s">
        <v>479</v>
      </c>
      <c r="N386" t="s">
        <v>352</v>
      </c>
      <c r="O386" s="18">
        <v>339.02354497354474</v>
      </c>
      <c r="P386" s="18">
        <v>8.1855455501288841</v>
      </c>
      <c r="Q386" s="97">
        <v>0.65092413809304173</v>
      </c>
      <c r="R386" s="97">
        <v>0.18675861429014162</v>
      </c>
      <c r="S386" s="97">
        <v>0.10711416637026791</v>
      </c>
      <c r="T386" s="97">
        <v>1.3727380833186337E-2</v>
      </c>
      <c r="U386" s="97">
        <v>1.6682482970328573E-3</v>
      </c>
      <c r="V386" s="97">
        <v>1.4475806585478295E-2</v>
      </c>
      <c r="W386" s="97">
        <v>2.5331645530851158E-2</v>
      </c>
      <c r="X386" s="51">
        <f t="shared" si="26"/>
        <v>7.015240538328718</v>
      </c>
      <c r="Y386" s="18">
        <v>868.8506412865388</v>
      </c>
      <c r="Z386" s="18">
        <v>57.423570971600398</v>
      </c>
      <c r="AA386" s="18">
        <f t="shared" si="27"/>
        <v>16.937930070928072</v>
      </c>
      <c r="AB386" s="18">
        <f t="shared" si="28"/>
        <v>66.091418067633839</v>
      </c>
      <c r="AC386" s="18">
        <f>$CP$15*Table2912[[#This Row],[DMD '[mg/g']]]+$CS$15*Table2912[[#This Row],[CH4 '[ml/g']]]+$CR$15*Table2912[[#This Row],[CH4 '[% GP']]]+$CQ$15*Table2912[[#This Row],[CH4 '[g/g DDM']]]</f>
        <v>16.966462800950936</v>
      </c>
      <c r="AD386" s="18">
        <f>_xlfn.RANK.AVG(Table2912[[#This Row],[Index]],Table2912[Index])</f>
        <v>234</v>
      </c>
      <c r="AE38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7.7336782140777931</v>
      </c>
      <c r="AF386" s="18">
        <f>Table2912[[#This Row],[CH4 '[ml/g']]]/Table2912[[#This Row],[APB]]</f>
        <v>7.4251306276321332</v>
      </c>
      <c r="AG386" s="18">
        <f>Table2912[[#This Row],[Propionate '[%']]]/Table2912[[#This Row],[Acetate '[%']]]</f>
        <v>0.28691302620497805</v>
      </c>
      <c r="AH386" s="51"/>
      <c r="AI386" s="18"/>
      <c r="AJ386" s="18"/>
      <c r="AK386" s="18">
        <f>(Table2912[[#This Row],[DMD '[mg/g']]]-$AK$15)/$AK$15*100</f>
        <v>77.211895063281403</v>
      </c>
      <c r="AL386" s="18">
        <f>(Table2912[[#This Row],[CH4 '[ml/g']]]-AL$15)/AL$15*100</f>
        <v>45.996306854027452</v>
      </c>
      <c r="AM386" s="18">
        <f>(Table2912[[#This Row],[CH4 '[% GP']]]-AM$15)/AM$15*100</f>
        <v>9.1195981216460815</v>
      </c>
      <c r="AN386" s="18">
        <f>(Table2912[[#This Row],[CH4 '[g/g DDM']]]-AN$15)/AN$15*100</f>
        <v>29.045670929247109</v>
      </c>
      <c r="AO386" s="18"/>
      <c r="AP386" s="18"/>
      <c r="AR386">
        <f>_xlfn.NORM.DIST(Table2912[[#This Row],[GP '[ml/g']]],O$6,O$2,FALSE)</f>
        <v>2.1940104458932821E-3</v>
      </c>
      <c r="AS386">
        <f>_xlfn.NORM.DIST(Table2912[[#This Row],[SCFA '[mmol/g']]],P$6,P$2,FALSE)</f>
        <v>0.12936171758468828</v>
      </c>
      <c r="AT386">
        <f>_xlfn.NORM.DIST(Table2912[[#This Row],[Acetate '[%']]],Q$6,Q$2,FALSE)</f>
        <v>10.343103637549484</v>
      </c>
      <c r="AU386">
        <f>_xlfn.NORM.DIST(Table2912[[#This Row],[Propionate '[%']]],R$6,R$2,FALSE)</f>
        <v>13.796823672000322</v>
      </c>
      <c r="AV386">
        <f>_xlfn.NORM.DIST(Table2912[[#This Row],[Butyrate '[%']]],S$6,S$2,FALSE)</f>
        <v>16.464057891227288</v>
      </c>
      <c r="AW386">
        <f>_xlfn.NORM.DIST(Table2912[[#This Row],[Valerate '[%']]],T$6,T$2,FALSE)</f>
        <v>57.860416758278369</v>
      </c>
      <c r="AX386">
        <f>_xlfn.NORM.DIST(Table2912[[#This Row],[Caproate '[%']]],U$6,U$2,FALSE)</f>
        <v>383.81477005617921</v>
      </c>
      <c r="AY386">
        <f>_xlfn.NORM.DIST(Table2912[[#This Row],[Isobutyrate '[%']]],V$6,V$2,FALSE)</f>
        <v>88.541408206731987</v>
      </c>
      <c r="AZ386">
        <f>_xlfn.NORM.DIST(Table2912[[#This Row],[Isovalerate '[%']]],W$6,W$2,FALSE)</f>
        <v>43.534905316176676</v>
      </c>
      <c r="BA386">
        <f>_xlfn.NORM.DIST(Table2912[[#This Row],[CH4 '[g/mmol SCFA']]],X$6,X$2,FALSE)</f>
        <v>0.25621178148983348</v>
      </c>
      <c r="BB386">
        <f>_xlfn.NORM.DIST(Table2912[[#This Row],[DMD '[mg/g']]],Y$6,Y$2,FALSE)</f>
        <v>2.3161509359563839E-3</v>
      </c>
      <c r="BC386">
        <f>_xlfn.NORM.DIST(Table2912[[#This Row],[CH4 '[ml/g']]],Z$6,Z$2,FALSE)</f>
        <v>1.3544160277603192E-2</v>
      </c>
      <c r="BD386">
        <f>_xlfn.NORM.DIST(Table2912[[#This Row],[CH4 '[% GP']]],AA$6,AA$2,FALSE)</f>
        <v>0.12903116684120855</v>
      </c>
      <c r="BE386">
        <f>_xlfn.NORM.DIST(Table2912[[#This Row],[CH4 '[g/g DDM']]],AB$6,AB$2,FALSE)</f>
        <v>1.8952470506795837E-2</v>
      </c>
      <c r="BG386">
        <f>IF(Table2912[[#This Row],[GP '[ml/g']]]&lt;O$10,_xlfn.NORM.DIST(Table2912[[#This Row],[GP '[ml/g']]],O$6,O$2,FALSE),-100)</f>
        <v>-100</v>
      </c>
      <c r="BH386">
        <f>IF(Table2912[[#This Row],[SCFA '[mmol/g']]]&lt;P$10,_xlfn.NORM.DIST(Table2912[[#This Row],[SCFA '[mmol/g']]],P$6,P$2,FALSE),-100)</f>
        <v>-100</v>
      </c>
      <c r="BI386">
        <f>IF(Table2912[[#This Row],[Acetate '[%']]]&lt;Q$10,_xlfn.NORM.DIST(Table2912[[#This Row],[Acetate '[%']]],Q$6,Q$2,FALSE),-100)</f>
        <v>-100</v>
      </c>
      <c r="BJ386">
        <f>IF(Table2912[[#This Row],[Propionate '[%']]]&lt;R$10,_xlfn.NORM.DIST(Table2912[[#This Row],[Propionate '[%']]],R$6,R$2,FALSE),-100)</f>
        <v>-100</v>
      </c>
      <c r="BK386">
        <f>IF(Table2912[[#This Row],[Butyrate '[%']]]&lt;S$10,_xlfn.NORM.DIST(Table2912[[#This Row],[Butyrate '[%']]],S$6,S$2,FALSE),-100)</f>
        <v>-100</v>
      </c>
      <c r="BL386">
        <f>IF(Table2912[[#This Row],[Valerate '[%']]]&lt;T$10,_xlfn.NORM.DIST(Table2912[[#This Row],[Valerate '[%']]],T$6,T$2,FALSE),-100)</f>
        <v>-100</v>
      </c>
      <c r="BM386">
        <f>IF(Table2912[[#This Row],[Caproate '[%']]]&lt;U$10,_xlfn.NORM.DIST(Table2912[[#This Row],[Caproate '[%']]],U$6,U$2,FALSE),-100)</f>
        <v>-100</v>
      </c>
      <c r="BN386">
        <f>IF(Table2912[[#This Row],[Isobutyrate '[%']]]&lt;V$10,_xlfn.NORM.DIST(Table2912[[#This Row],[Isobutyrate '[%']]],V$6,V$2,FALSE),-100)</f>
        <v>-100</v>
      </c>
      <c r="BO386">
        <f>IF(Table2912[[#This Row],[Isovalerate '[%']]]&lt;W$10,_xlfn.NORM.DIST(Table2912[[#This Row],[Isovalerate '[%']]],W$6,W$2,FALSE),-100)</f>
        <v>-100</v>
      </c>
      <c r="BP386">
        <f>IF(Table2912[[#This Row],[CH4 '[g/mmol SCFA']]]&lt;X$10,_xlfn.NORM.DIST(Table2912[[#This Row],[CH4 '[g/mmol SCFA']]],X$6,X$2,FALSE),-100)</f>
        <v>-100</v>
      </c>
      <c r="BQ386">
        <f>IF(Table2912[[#This Row],[DMD '[mg/g']]]&gt;Y$10,_xlfn.NORM.DIST(Table2912[[#This Row],[DMD '[mg/g']]],Y$6,Y$2,FALSE),-100)</f>
        <v>-100</v>
      </c>
      <c r="BR386">
        <f>IF(Table2912[[#This Row],[CH4 '[ml/g']]]&lt;Z$10,_xlfn.NORM.DIST(Table2912[[#This Row],[CH4 '[ml/g']]],Z$6,Z$2,FALSE),-100)</f>
        <v>-100</v>
      </c>
      <c r="BS386">
        <f>IF(Table2912[[#This Row],[CH4 '[% GP']]]&lt;AA$10,_xlfn.NORM.DIST(Table2912[[#This Row],[CH4 '[% GP']]],AA$6,AA$2,FALSE),-100)</f>
        <v>-100</v>
      </c>
      <c r="BT386">
        <f>IF(Table2912[[#This Row],[CH4 '[g/g DDM']]]&lt;AB$10,_xlfn.NORM.DIST(Table2912[[#This Row],[CH4 '[g/g DDM']]],AB$6,AB$2,FALSE),-100)</f>
        <v>-100</v>
      </c>
    </row>
    <row r="387" spans="1:72" x14ac:dyDescent="0.25">
      <c r="A387" s="12" t="s">
        <v>86</v>
      </c>
      <c r="B387" s="13">
        <v>1068</v>
      </c>
      <c r="C387" s="32">
        <v>32028</v>
      </c>
      <c r="D387" t="s">
        <v>323</v>
      </c>
      <c r="E387" t="s">
        <v>324</v>
      </c>
      <c r="F387" t="s">
        <v>325</v>
      </c>
      <c r="G387" s="32" t="s">
        <v>73</v>
      </c>
      <c r="H387" s="32" t="s">
        <v>74</v>
      </c>
      <c r="I387" s="105" t="s">
        <v>44</v>
      </c>
      <c r="J387" s="70">
        <v>2</v>
      </c>
      <c r="K387" s="70"/>
      <c r="L387" s="70"/>
      <c r="M387" t="s">
        <v>325</v>
      </c>
      <c r="N387" t="s">
        <v>124</v>
      </c>
      <c r="O387" s="18">
        <v>261.84954068241422</v>
      </c>
      <c r="P387" s="18">
        <v>6.2190464039217321</v>
      </c>
      <c r="Q387" s="97">
        <v>0.66504115292006372</v>
      </c>
      <c r="R387" s="97">
        <v>0.1730861957452493</v>
      </c>
      <c r="S387" s="97">
        <v>7.9138979882758045E-2</v>
      </c>
      <c r="T387" s="97">
        <v>1.9219050225581697E-2</v>
      </c>
      <c r="U387" s="97">
        <v>9.4392134871968672E-4</v>
      </c>
      <c r="V387" s="97">
        <v>2.1075162103035672E-2</v>
      </c>
      <c r="W387" s="97">
        <v>4.1495537774591904E-2</v>
      </c>
      <c r="X387" s="51">
        <f t="shared" si="26"/>
        <v>8.641261958483252</v>
      </c>
      <c r="Y387" s="18">
        <v>869.78624199752824</v>
      </c>
      <c r="Z387" s="18">
        <v>53.74040910825093</v>
      </c>
      <c r="AA387" s="18">
        <f t="shared" si="27"/>
        <v>20.523392543747214</v>
      </c>
      <c r="AB387" s="18">
        <f t="shared" si="28"/>
        <v>61.785765873730213</v>
      </c>
      <c r="AC387" s="18">
        <f>$CP$15*Table2912[[#This Row],[DMD '[mg/g']]]+$CS$15*Table2912[[#This Row],[CH4 '[ml/g']]]+$CR$15*Table2912[[#This Row],[CH4 '[% GP']]]+$CQ$15*Table2912[[#This Row],[CH4 '[g/g DDM']]]</f>
        <v>17.567077810247653</v>
      </c>
      <c r="AD387" s="18">
        <f>_xlfn.RANK.AVG(Table2912[[#This Row],[Index]],Table2912[Index])</f>
        <v>214</v>
      </c>
      <c r="AE38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5.7045218619953717</v>
      </c>
      <c r="AF387" s="18">
        <f>Table2912[[#This Row],[CH4 '[ml/g']]]/Table2912[[#This Row],[APB]]</f>
        <v>9.4206684466019723</v>
      </c>
      <c r="AG387" s="18">
        <f>Table2912[[#This Row],[Propionate '[%']]]/Table2912[[#This Row],[Acetate '[%']]]</f>
        <v>0.26026388740796291</v>
      </c>
      <c r="AH387" s="51"/>
      <c r="AI387" s="18"/>
      <c r="AJ387" s="18"/>
      <c r="AK387" s="18">
        <f>(Table2912[[#This Row],[DMD '[mg/g']]]-$AK$15)/$AK$15*100</f>
        <v>77.402721388472912</v>
      </c>
      <c r="AL387" s="18">
        <f>(Table2912[[#This Row],[CH4 '[ml/g']]]-AL$15)/AL$15*100</f>
        <v>36.632068084192653</v>
      </c>
      <c r="AM387" s="18">
        <f>(Table2912[[#This Row],[CH4 '[% GP']]]-AM$15)/AM$15*100</f>
        <v>32.218301592254448</v>
      </c>
      <c r="AN387" s="18">
        <f>(Table2912[[#This Row],[CH4 '[g/g DDM']]]-AN$15)/AN$15*100</f>
        <v>20.638743185894935</v>
      </c>
      <c r="AO387" s="18"/>
      <c r="AP387" s="18"/>
      <c r="AR387">
        <f>_xlfn.NORM.DIST(Table2912[[#This Row],[GP '[ml/g']]],O$6,O$2,FALSE)</f>
        <v>7.4268773178206874E-3</v>
      </c>
      <c r="AS387">
        <f>_xlfn.NORM.DIST(Table2912[[#This Row],[SCFA '[mmol/g']]],P$6,P$2,FALSE)</f>
        <v>0.32121269026800331</v>
      </c>
      <c r="AT387">
        <f>_xlfn.NORM.DIST(Table2912[[#This Row],[Acetate '[%']]],Q$6,Q$2,FALSE)</f>
        <v>13.471603976207017</v>
      </c>
      <c r="AU387">
        <f>_xlfn.NORM.DIST(Table2912[[#This Row],[Propionate '[%']]],R$6,R$2,FALSE)</f>
        <v>16.769006491304953</v>
      </c>
      <c r="AV387">
        <f>_xlfn.NORM.DIST(Table2912[[#This Row],[Butyrate '[%']]],S$6,S$2,FALSE)</f>
        <v>16.781353527855252</v>
      </c>
      <c r="AW387">
        <f>_xlfn.NORM.DIST(Table2912[[#This Row],[Valerate '[%']]],T$6,T$2,FALSE)</f>
        <v>73.930775636692232</v>
      </c>
      <c r="AX387">
        <f>_xlfn.NORM.DIST(Table2912[[#This Row],[Caproate '[%']]],U$6,U$2,FALSE)</f>
        <v>376.09098598676894</v>
      </c>
      <c r="AY387">
        <f>_xlfn.NORM.DIST(Table2912[[#This Row],[Isobutyrate '[%']]],V$6,V$2,FALSE)</f>
        <v>38.669727792885851</v>
      </c>
      <c r="AZ387">
        <f>_xlfn.NORM.DIST(Table2912[[#This Row],[Isovalerate '[%']]],W$6,W$2,FALSE)</f>
        <v>13.692375732534558</v>
      </c>
      <c r="BA387">
        <f>_xlfn.NORM.DIST(Table2912[[#This Row],[CH4 '[g/mmol SCFA']]],X$6,X$2,FALSE)</f>
        <v>6.3394275371814607E-2</v>
      </c>
      <c r="BB387">
        <f>_xlfn.NORM.DIST(Table2912[[#This Row],[DMD '[mg/g']]],Y$6,Y$2,FALSE)</f>
        <v>2.3053714349090927E-3</v>
      </c>
      <c r="BC387">
        <f>_xlfn.NORM.DIST(Table2912[[#This Row],[CH4 '[ml/g']]],Z$6,Z$2,FALSE)</f>
        <v>1.9579036803466534E-2</v>
      </c>
      <c r="BD387">
        <f>_xlfn.NORM.DIST(Table2912[[#This Row],[CH4 '[% GP']]],AA$6,AA$2,FALSE)</f>
        <v>4.3446220154957242E-2</v>
      </c>
      <c r="BE387">
        <f>_xlfn.NORM.DIST(Table2912[[#This Row],[CH4 '[g/g DDM']]],AB$6,AB$2,FALSE)</f>
        <v>2.5815444384039477E-2</v>
      </c>
      <c r="BG387">
        <f>IF(Table2912[[#This Row],[GP '[ml/g']]]&lt;O$10,_xlfn.NORM.DIST(Table2912[[#This Row],[GP '[ml/g']]],O$6,O$2,FALSE),-100)</f>
        <v>-100</v>
      </c>
      <c r="BH387">
        <f>IF(Table2912[[#This Row],[SCFA '[mmol/g']]]&lt;P$10,_xlfn.NORM.DIST(Table2912[[#This Row],[SCFA '[mmol/g']]],P$6,P$2,FALSE),-100)</f>
        <v>-100</v>
      </c>
      <c r="BI387">
        <f>IF(Table2912[[#This Row],[Acetate '[%']]]&lt;Q$10,_xlfn.NORM.DIST(Table2912[[#This Row],[Acetate '[%']]],Q$6,Q$2,FALSE),-100)</f>
        <v>-100</v>
      </c>
      <c r="BJ387">
        <f>IF(Table2912[[#This Row],[Propionate '[%']]]&lt;R$10,_xlfn.NORM.DIST(Table2912[[#This Row],[Propionate '[%']]],R$6,R$2,FALSE),-100)</f>
        <v>-100</v>
      </c>
      <c r="BK387">
        <f>IF(Table2912[[#This Row],[Butyrate '[%']]]&lt;S$10,_xlfn.NORM.DIST(Table2912[[#This Row],[Butyrate '[%']]],S$6,S$2,FALSE),-100)</f>
        <v>-100</v>
      </c>
      <c r="BL387">
        <f>IF(Table2912[[#This Row],[Valerate '[%']]]&lt;T$10,_xlfn.NORM.DIST(Table2912[[#This Row],[Valerate '[%']]],T$6,T$2,FALSE),-100)</f>
        <v>-100</v>
      </c>
      <c r="BM387">
        <f>IF(Table2912[[#This Row],[Caproate '[%']]]&lt;U$10,_xlfn.NORM.DIST(Table2912[[#This Row],[Caproate '[%']]],U$6,U$2,FALSE),-100)</f>
        <v>-100</v>
      </c>
      <c r="BN387">
        <f>IF(Table2912[[#This Row],[Isobutyrate '[%']]]&lt;V$10,_xlfn.NORM.DIST(Table2912[[#This Row],[Isobutyrate '[%']]],V$6,V$2,FALSE),-100)</f>
        <v>-100</v>
      </c>
      <c r="BO387">
        <f>IF(Table2912[[#This Row],[Isovalerate '[%']]]&lt;W$10,_xlfn.NORM.DIST(Table2912[[#This Row],[Isovalerate '[%']]],W$6,W$2,FALSE),-100)</f>
        <v>-100</v>
      </c>
      <c r="BP387">
        <f>IF(Table2912[[#This Row],[CH4 '[g/mmol SCFA']]]&lt;X$10,_xlfn.NORM.DIST(Table2912[[#This Row],[CH4 '[g/mmol SCFA']]],X$6,X$2,FALSE),-100)</f>
        <v>-100</v>
      </c>
      <c r="BQ387">
        <f>IF(Table2912[[#This Row],[DMD '[mg/g']]]&gt;Y$10,_xlfn.NORM.DIST(Table2912[[#This Row],[DMD '[mg/g']]],Y$6,Y$2,FALSE),-100)</f>
        <v>-100</v>
      </c>
      <c r="BR387">
        <f>IF(Table2912[[#This Row],[CH4 '[ml/g']]]&lt;Z$10,_xlfn.NORM.DIST(Table2912[[#This Row],[CH4 '[ml/g']]],Z$6,Z$2,FALSE),-100)</f>
        <v>-100</v>
      </c>
      <c r="BS387">
        <f>IF(Table2912[[#This Row],[CH4 '[% GP']]]&lt;AA$10,_xlfn.NORM.DIST(Table2912[[#This Row],[CH4 '[% GP']]],AA$6,AA$2,FALSE),-100)</f>
        <v>-100</v>
      </c>
      <c r="BT387">
        <f>IF(Table2912[[#This Row],[CH4 '[g/g DDM']]]&lt;AB$10,_xlfn.NORM.DIST(Table2912[[#This Row],[CH4 '[g/g DDM']]],AB$6,AB$2,FALSE),-100)</f>
        <v>-100</v>
      </c>
    </row>
    <row r="388" spans="1:72" x14ac:dyDescent="0.25">
      <c r="A388" s="12" t="s">
        <v>200</v>
      </c>
      <c r="B388" s="13">
        <v>1207</v>
      </c>
      <c r="C388" s="113" t="s">
        <v>480</v>
      </c>
      <c r="D388" s="113" t="s">
        <v>262</v>
      </c>
      <c r="E388" s="113" t="s">
        <v>411</v>
      </c>
      <c r="F388" s="113" t="s">
        <v>412</v>
      </c>
      <c r="G388" t="s">
        <v>73</v>
      </c>
      <c r="H388" t="s">
        <v>74</v>
      </c>
      <c r="I388" t="s">
        <v>75</v>
      </c>
      <c r="J388" s="70">
        <v>1</v>
      </c>
      <c r="K388" s="70"/>
      <c r="L388" s="70"/>
      <c r="M388" t="s">
        <v>481</v>
      </c>
      <c r="N388" t="s">
        <v>245</v>
      </c>
      <c r="O388" s="18">
        <v>260.62822045152672</v>
      </c>
      <c r="P388" s="18">
        <v>7.132208559344809</v>
      </c>
      <c r="Q388" s="97">
        <v>0.64004773610695676</v>
      </c>
      <c r="R388" s="97">
        <v>0.17506843468473765</v>
      </c>
      <c r="S388" s="97">
        <v>0.10471679429070284</v>
      </c>
      <c r="T388" s="97">
        <v>2.0134487678828292E-2</v>
      </c>
      <c r="U388" s="97">
        <v>4.9396137903800191E-3</v>
      </c>
      <c r="V388" s="97">
        <v>1.8608156696818826E-2</v>
      </c>
      <c r="W388" s="97">
        <v>3.6484776751575597E-2</v>
      </c>
      <c r="X388" s="51">
        <f t="shared" si="26"/>
        <v>6.9959934598197977</v>
      </c>
      <c r="Y388" s="18">
        <v>869.86044036036617</v>
      </c>
      <c r="Z388" s="18">
        <v>49.896884435247067</v>
      </c>
      <c r="AA388" s="18">
        <f t="shared" si="27"/>
        <v>19.144850986897332</v>
      </c>
      <c r="AB388" s="18">
        <f t="shared" si="28"/>
        <v>57.361942353161574</v>
      </c>
      <c r="AC388" s="18">
        <f>$CP$15*Table2912[[#This Row],[DMD '[mg/g']]]+$CS$15*Table2912[[#This Row],[CH4 '[ml/g']]]+$CR$15*Table2912[[#This Row],[CH4 '[% GP']]]+$CQ$15*Table2912[[#This Row],[CH4 '[g/g DDM']]]</f>
        <v>19.623176909652244</v>
      </c>
      <c r="AD388" s="18">
        <f>_xlfn.RANK.AVG(Table2912[[#This Row],[Index]],Table2912[Index])</f>
        <v>168</v>
      </c>
      <c r="AE38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6.5604405467281879</v>
      </c>
      <c r="AF388" s="18">
        <f>Table2912[[#This Row],[CH4 '[ml/g']]]/Table2912[[#This Row],[APB]]</f>
        <v>7.6057216096762827</v>
      </c>
      <c r="AG388" s="18">
        <f>Table2912[[#This Row],[Propionate '[%']]]/Table2912[[#This Row],[Acetate '[%']]]</f>
        <v>0.27352402767577699</v>
      </c>
      <c r="AH388" s="51"/>
      <c r="AI388" s="18"/>
      <c r="AJ388" s="18"/>
      <c r="AK388" s="18">
        <f>(Table2912[[#This Row],[DMD '[mg/g']]]-$AK$15)/$AK$15*100</f>
        <v>77.417854982055374</v>
      </c>
      <c r="AL388" s="18">
        <f>(Table2912[[#This Row],[CH4 '[ml/g']]]-AL$15)/AL$15*100</f>
        <v>26.860115590356681</v>
      </c>
      <c r="AM388" s="18">
        <f>(Table2912[[#This Row],[CH4 '[% GP']]]-AM$15)/AM$15*100</f>
        <v>23.337293107301765</v>
      </c>
      <c r="AN388" s="18">
        <f>(Table2912[[#This Row],[CH4 '[g/g DDM']]]-AN$15)/AN$15*100</f>
        <v>12.001082034485444</v>
      </c>
      <c r="AO388" s="18"/>
      <c r="AP388" s="18"/>
      <c r="AR388">
        <f>_xlfn.NORM.DIST(Table2912[[#This Row],[GP '[ml/g']]],O$6,O$2,FALSE)</f>
        <v>7.445231755100575E-3</v>
      </c>
      <c r="AS388">
        <f>_xlfn.NORM.DIST(Table2912[[#This Row],[SCFA '[mmol/g']]],P$6,P$2,FALSE)</f>
        <v>0.29422390911859136</v>
      </c>
      <c r="AT388">
        <f>_xlfn.NORM.DIST(Table2912[[#This Row],[Acetate '[%']]],Q$6,Q$2,FALSE)</f>
        <v>7.1326992648533469</v>
      </c>
      <c r="AU388">
        <f>_xlfn.NORM.DIST(Table2912[[#This Row],[Propionate '[%']]],R$6,R$2,FALSE)</f>
        <v>16.639385468246054</v>
      </c>
      <c r="AV388">
        <f>_xlfn.NORM.DIST(Table2912[[#This Row],[Butyrate '[%']]],S$6,S$2,FALSE)</f>
        <v>18.265044454247981</v>
      </c>
      <c r="AW388">
        <f>_xlfn.NORM.DIST(Table2912[[#This Row],[Valerate '[%']]],T$6,T$2,FALSE)</f>
        <v>68.965817136634044</v>
      </c>
      <c r="AX388">
        <f>_xlfn.NORM.DIST(Table2912[[#This Row],[Caproate '[%']]],U$6,U$2,FALSE)</f>
        <v>0.46882604559964974</v>
      </c>
      <c r="AY388">
        <f>_xlfn.NORM.DIST(Table2912[[#This Row],[Isobutyrate '[%']]],V$6,V$2,FALSE)</f>
        <v>68.379416055103903</v>
      </c>
      <c r="AZ388">
        <f>_xlfn.NORM.DIST(Table2912[[#This Row],[Isovalerate '[%']]],W$6,W$2,FALSE)</f>
        <v>28.156408019866269</v>
      </c>
      <c r="BA388">
        <f>_xlfn.NORM.DIST(Table2912[[#This Row],[CH4 '[g/mmol SCFA']]],X$6,X$2,FALSE)</f>
        <v>0.25820058679248337</v>
      </c>
      <c r="BB388">
        <f>_xlfn.NORM.DIST(Table2912[[#This Row],[DMD '[mg/g']]],Y$6,Y$2,FALSE)</f>
        <v>2.3045140977651169E-3</v>
      </c>
      <c r="BC388">
        <f>_xlfn.NORM.DIST(Table2912[[#This Row],[CH4 '[ml/g']]],Z$6,Z$2,FALSE)</f>
        <v>2.5970922672133346E-2</v>
      </c>
      <c r="BD388">
        <f>_xlfn.NORM.DIST(Table2912[[#This Row],[CH4 '[% GP']]],AA$6,AA$2,FALSE)</f>
        <v>7.8531766602964251E-2</v>
      </c>
      <c r="BE388">
        <f>_xlfn.NORM.DIST(Table2912[[#This Row],[CH4 '[g/g DDM']]],AB$6,AB$2,FALSE)</f>
        <v>3.1110835340015422E-2</v>
      </c>
      <c r="BG388">
        <f>IF(Table2912[[#This Row],[GP '[ml/g']]]&lt;O$10,_xlfn.NORM.DIST(Table2912[[#This Row],[GP '[ml/g']]],O$6,O$2,FALSE),-100)</f>
        <v>-100</v>
      </c>
      <c r="BH388">
        <f>IF(Table2912[[#This Row],[SCFA '[mmol/g']]]&lt;P$10,_xlfn.NORM.DIST(Table2912[[#This Row],[SCFA '[mmol/g']]],P$6,P$2,FALSE),-100)</f>
        <v>-100</v>
      </c>
      <c r="BI388">
        <f>IF(Table2912[[#This Row],[Acetate '[%']]]&lt;Q$10,_xlfn.NORM.DIST(Table2912[[#This Row],[Acetate '[%']]],Q$6,Q$2,FALSE),-100)</f>
        <v>7.1326992648533469</v>
      </c>
      <c r="BJ388">
        <f>IF(Table2912[[#This Row],[Propionate '[%']]]&lt;R$10,_xlfn.NORM.DIST(Table2912[[#This Row],[Propionate '[%']]],R$6,R$2,FALSE),-100)</f>
        <v>-100</v>
      </c>
      <c r="BK388">
        <f>IF(Table2912[[#This Row],[Butyrate '[%']]]&lt;S$10,_xlfn.NORM.DIST(Table2912[[#This Row],[Butyrate '[%']]],S$6,S$2,FALSE),-100)</f>
        <v>-100</v>
      </c>
      <c r="BL388">
        <f>IF(Table2912[[#This Row],[Valerate '[%']]]&lt;T$10,_xlfn.NORM.DIST(Table2912[[#This Row],[Valerate '[%']]],T$6,T$2,FALSE),-100)</f>
        <v>-100</v>
      </c>
      <c r="BM388">
        <f>IF(Table2912[[#This Row],[Caproate '[%']]]&lt;U$10,_xlfn.NORM.DIST(Table2912[[#This Row],[Caproate '[%']]],U$6,U$2,FALSE),-100)</f>
        <v>-100</v>
      </c>
      <c r="BN388">
        <f>IF(Table2912[[#This Row],[Isobutyrate '[%']]]&lt;V$10,_xlfn.NORM.DIST(Table2912[[#This Row],[Isobutyrate '[%']]],V$6,V$2,FALSE),-100)</f>
        <v>-100</v>
      </c>
      <c r="BO388">
        <f>IF(Table2912[[#This Row],[Isovalerate '[%']]]&lt;W$10,_xlfn.NORM.DIST(Table2912[[#This Row],[Isovalerate '[%']]],W$6,W$2,FALSE),-100)</f>
        <v>-100</v>
      </c>
      <c r="BP388">
        <f>IF(Table2912[[#This Row],[CH4 '[g/mmol SCFA']]]&lt;X$10,_xlfn.NORM.DIST(Table2912[[#This Row],[CH4 '[g/mmol SCFA']]],X$6,X$2,FALSE),-100)</f>
        <v>-100</v>
      </c>
      <c r="BQ388">
        <f>IF(Table2912[[#This Row],[DMD '[mg/g']]]&gt;Y$10,_xlfn.NORM.DIST(Table2912[[#This Row],[DMD '[mg/g']]],Y$6,Y$2,FALSE),-100)</f>
        <v>-100</v>
      </c>
      <c r="BR388">
        <f>IF(Table2912[[#This Row],[CH4 '[ml/g']]]&lt;Z$10,_xlfn.NORM.DIST(Table2912[[#This Row],[CH4 '[ml/g']]],Z$6,Z$2,FALSE),-100)</f>
        <v>-100</v>
      </c>
      <c r="BS388">
        <f>IF(Table2912[[#This Row],[CH4 '[% GP']]]&lt;AA$10,_xlfn.NORM.DIST(Table2912[[#This Row],[CH4 '[% GP']]],AA$6,AA$2,FALSE),-100)</f>
        <v>-100</v>
      </c>
      <c r="BT388">
        <f>IF(Table2912[[#This Row],[CH4 '[g/g DDM']]]&lt;AB$10,_xlfn.NORM.DIST(Table2912[[#This Row],[CH4 '[g/g DDM']]],AB$6,AB$2,FALSE),-100)</f>
        <v>-100</v>
      </c>
    </row>
    <row r="389" spans="1:72" x14ac:dyDescent="0.25">
      <c r="A389" s="12" t="s">
        <v>86</v>
      </c>
      <c r="B389" s="13">
        <v>1080</v>
      </c>
      <c r="C389" s="104" t="s">
        <v>386</v>
      </c>
      <c r="D389" s="104" t="s">
        <v>387</v>
      </c>
      <c r="E389" s="104" t="s">
        <v>388</v>
      </c>
      <c r="F389" s="104" t="s">
        <v>389</v>
      </c>
      <c r="G389" s="32" t="s">
        <v>143</v>
      </c>
      <c r="H389" s="32" t="s">
        <v>144</v>
      </c>
      <c r="I389" s="32" t="s">
        <v>52</v>
      </c>
      <c r="J389" s="100">
        <v>3</v>
      </c>
      <c r="K389" s="100"/>
      <c r="L389" s="100"/>
      <c r="M389" t="s">
        <v>389</v>
      </c>
      <c r="N389" t="s">
        <v>124</v>
      </c>
      <c r="O389" s="18">
        <v>299.21338634857563</v>
      </c>
      <c r="P389" s="18">
        <v>7.0131985862602164</v>
      </c>
      <c r="Q389" s="97">
        <v>0.67697961861110145</v>
      </c>
      <c r="R389" s="97">
        <v>0.16744157725544215</v>
      </c>
      <c r="S389" s="97">
        <v>9.023867113666631E-2</v>
      </c>
      <c r="T389" s="97">
        <v>1.4811855242789978E-2</v>
      </c>
      <c r="U389" s="97">
        <v>1.5489381012163475E-3</v>
      </c>
      <c r="V389" s="97">
        <v>1.7270617200927776E-2</v>
      </c>
      <c r="W389" s="97">
        <v>3.1708722451856151E-2</v>
      </c>
      <c r="X389" s="51">
        <f t="shared" si="26"/>
        <v>8.2576930726290758</v>
      </c>
      <c r="Y389" s="18">
        <v>870.00220896841188</v>
      </c>
      <c r="Z389" s="18">
        <v>57.912841382733014</v>
      </c>
      <c r="AA389" s="18">
        <f t="shared" si="27"/>
        <v>19.355030230922253</v>
      </c>
      <c r="AB389" s="18">
        <f t="shared" si="28"/>
        <v>66.566315333155345</v>
      </c>
      <c r="AC389" s="18">
        <f>$CP$15*Table2912[[#This Row],[DMD '[mg/g']]]+$CS$15*Table2912[[#This Row],[CH4 '[ml/g']]]+$CR$15*Table2912[[#This Row],[CH4 '[% GP']]]+$CQ$15*Table2912[[#This Row],[CH4 '[g/g DDM']]]</f>
        <v>16.171083582231162</v>
      </c>
      <c r="AD389" s="18">
        <f>_xlfn.RANK.AVG(Table2912[[#This Row],[Index]],Table2912[Index])</f>
        <v>251</v>
      </c>
      <c r="AE38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6.5549552579010744</v>
      </c>
      <c r="AF389" s="18">
        <f>Table2912[[#This Row],[CH4 '[ml/g']]]/Table2912[[#This Row],[APB]]</f>
        <v>8.8349712704640133</v>
      </c>
      <c r="AG389" s="18">
        <f>Table2912[[#This Row],[Propionate '[%']]]/Table2912[[#This Row],[Acetate '[%']]]</f>
        <v>0.24733621611676737</v>
      </c>
      <c r="AH389" s="51"/>
      <c r="AI389" s="18"/>
      <c r="AJ389" s="18"/>
      <c r="AK389" s="18">
        <f>(Table2912[[#This Row],[DMD '[mg/g']]]-$AK$15)/$AK$15*100</f>
        <v>77.446770289817664</v>
      </c>
      <c r="AL389" s="18">
        <f>(Table2912[[#This Row],[CH4 '[ml/g']]]-AL$15)/AL$15*100</f>
        <v>47.240250270810797</v>
      </c>
      <c r="AM389" s="18">
        <f>(Table2912[[#This Row],[CH4 '[% GP']]]-AM$15)/AM$15*100</f>
        <v>24.691335457545932</v>
      </c>
      <c r="AN389" s="18">
        <f>(Table2912[[#This Row],[CH4 '[g/g DDM']]]-AN$15)/AN$15*100</f>
        <v>29.972923484018654</v>
      </c>
      <c r="AO389" s="18"/>
      <c r="AP389" s="18"/>
      <c r="AR389">
        <f>_xlfn.NORM.DIST(Table2912[[#This Row],[GP '[ml/g']]],O$6,O$2,FALSE)</f>
        <v>5.3451578968827873E-3</v>
      </c>
      <c r="AS389">
        <f>_xlfn.NORM.DIST(Table2912[[#This Row],[SCFA '[mmol/g']]],P$6,P$2,FALSE)</f>
        <v>0.30755477799076525</v>
      </c>
      <c r="AT389">
        <f>_xlfn.NORM.DIST(Table2912[[#This Row],[Acetate '[%']]],Q$6,Q$2,FALSE)</f>
        <v>13.898661841049812</v>
      </c>
      <c r="AU389">
        <f>_xlfn.NORM.DIST(Table2912[[#This Row],[Propionate '[%']]],R$6,R$2,FALSE)</f>
        <v>16.502260695250396</v>
      </c>
      <c r="AV389">
        <f>_xlfn.NORM.DIST(Table2912[[#This Row],[Butyrate '[%']]],S$6,S$2,FALSE)</f>
        <v>22.755438207716228</v>
      </c>
      <c r="AW389">
        <f>_xlfn.NORM.DIST(Table2912[[#This Row],[Valerate '[%']]],T$6,T$2,FALSE)</f>
        <v>66.445068928185421</v>
      </c>
      <c r="AX389">
        <f>_xlfn.NORM.DIST(Table2912[[#This Row],[Caproate '[%']]],U$6,U$2,FALSE)</f>
        <v>397.16853171734402</v>
      </c>
      <c r="AY389">
        <f>_xlfn.NORM.DIST(Table2912[[#This Row],[Isobutyrate '[%']]],V$6,V$2,FALSE)</f>
        <v>81.791142726850083</v>
      </c>
      <c r="AZ389">
        <f>_xlfn.NORM.DIST(Table2912[[#This Row],[Isovalerate '[%']]],W$6,W$2,FALSE)</f>
        <v>41.34167280542421</v>
      </c>
      <c r="BA389">
        <f>_xlfn.NORM.DIST(Table2912[[#This Row],[CH4 '[g/mmol SCFA']]],X$6,X$2,FALSE)</f>
        <v>0.1006105714569185</v>
      </c>
      <c r="BB389">
        <f>_xlfn.NORM.DIST(Table2912[[#This Row],[DMD '[mg/g']]],Y$6,Y$2,FALSE)</f>
        <v>2.3028750120550022E-3</v>
      </c>
      <c r="BC389">
        <f>_xlfn.NORM.DIST(Table2912[[#This Row],[CH4 '[ml/g']]],Z$6,Z$2,FALSE)</f>
        <v>1.2804587035962104E-2</v>
      </c>
      <c r="BD389">
        <f>_xlfn.NORM.DIST(Table2912[[#This Row],[CH4 '[% GP']]],AA$6,AA$2,FALSE)</f>
        <v>7.2765954368031585E-2</v>
      </c>
      <c r="BE389">
        <f>_xlfn.NORM.DIST(Table2912[[#This Row],[CH4 '[g/g DDM']]],AB$6,AB$2,FALSE)</f>
        <v>1.8176888178458726E-2</v>
      </c>
      <c r="BG389">
        <f>IF(Table2912[[#This Row],[GP '[ml/g']]]&lt;O$10,_xlfn.NORM.DIST(Table2912[[#This Row],[GP '[ml/g']]],O$6,O$2,FALSE),-100)</f>
        <v>-100</v>
      </c>
      <c r="BH389">
        <f>IF(Table2912[[#This Row],[SCFA '[mmol/g']]]&lt;P$10,_xlfn.NORM.DIST(Table2912[[#This Row],[SCFA '[mmol/g']]],P$6,P$2,FALSE),-100)</f>
        <v>-100</v>
      </c>
      <c r="BI389">
        <f>IF(Table2912[[#This Row],[Acetate '[%']]]&lt;Q$10,_xlfn.NORM.DIST(Table2912[[#This Row],[Acetate '[%']]],Q$6,Q$2,FALSE),-100)</f>
        <v>-100</v>
      </c>
      <c r="BJ389">
        <f>IF(Table2912[[#This Row],[Propionate '[%']]]&lt;R$10,_xlfn.NORM.DIST(Table2912[[#This Row],[Propionate '[%']]],R$6,R$2,FALSE),-100)</f>
        <v>-100</v>
      </c>
      <c r="BK389">
        <f>IF(Table2912[[#This Row],[Butyrate '[%']]]&lt;S$10,_xlfn.NORM.DIST(Table2912[[#This Row],[Butyrate '[%']]],S$6,S$2,FALSE),-100)</f>
        <v>-100</v>
      </c>
      <c r="BL389">
        <f>IF(Table2912[[#This Row],[Valerate '[%']]]&lt;T$10,_xlfn.NORM.DIST(Table2912[[#This Row],[Valerate '[%']]],T$6,T$2,FALSE),-100)</f>
        <v>-100</v>
      </c>
      <c r="BM389">
        <f>IF(Table2912[[#This Row],[Caproate '[%']]]&lt;U$10,_xlfn.NORM.DIST(Table2912[[#This Row],[Caproate '[%']]],U$6,U$2,FALSE),-100)</f>
        <v>-100</v>
      </c>
      <c r="BN389">
        <f>IF(Table2912[[#This Row],[Isobutyrate '[%']]]&lt;V$10,_xlfn.NORM.DIST(Table2912[[#This Row],[Isobutyrate '[%']]],V$6,V$2,FALSE),-100)</f>
        <v>-100</v>
      </c>
      <c r="BO389">
        <f>IF(Table2912[[#This Row],[Isovalerate '[%']]]&lt;W$10,_xlfn.NORM.DIST(Table2912[[#This Row],[Isovalerate '[%']]],W$6,W$2,FALSE),-100)</f>
        <v>-100</v>
      </c>
      <c r="BP389">
        <f>IF(Table2912[[#This Row],[CH4 '[g/mmol SCFA']]]&lt;X$10,_xlfn.NORM.DIST(Table2912[[#This Row],[CH4 '[g/mmol SCFA']]],X$6,X$2,FALSE),-100)</f>
        <v>-100</v>
      </c>
      <c r="BQ389">
        <f>IF(Table2912[[#This Row],[DMD '[mg/g']]]&gt;Y$10,_xlfn.NORM.DIST(Table2912[[#This Row],[DMD '[mg/g']]],Y$6,Y$2,FALSE),-100)</f>
        <v>-100</v>
      </c>
      <c r="BR389">
        <f>IF(Table2912[[#This Row],[CH4 '[ml/g']]]&lt;Z$10,_xlfn.NORM.DIST(Table2912[[#This Row],[CH4 '[ml/g']]],Z$6,Z$2,FALSE),-100)</f>
        <v>-100</v>
      </c>
      <c r="BS389">
        <f>IF(Table2912[[#This Row],[CH4 '[% GP']]]&lt;AA$10,_xlfn.NORM.DIST(Table2912[[#This Row],[CH4 '[% GP']]],AA$6,AA$2,FALSE),-100)</f>
        <v>-100</v>
      </c>
      <c r="BT389">
        <f>IF(Table2912[[#This Row],[CH4 '[g/g DDM']]]&lt;AB$10,_xlfn.NORM.DIST(Table2912[[#This Row],[CH4 '[g/g DDM']]],AB$6,AB$2,FALSE),-100)</f>
        <v>-100</v>
      </c>
    </row>
    <row r="390" spans="1:72" x14ac:dyDescent="0.25">
      <c r="A390" s="12" t="s">
        <v>200</v>
      </c>
      <c r="B390" s="13">
        <v>1211</v>
      </c>
      <c r="C390" s="113" t="s">
        <v>460</v>
      </c>
      <c r="D390" s="113" t="s">
        <v>391</v>
      </c>
      <c r="E390" s="113" t="s">
        <v>392</v>
      </c>
      <c r="F390" s="113" t="s">
        <v>393</v>
      </c>
      <c r="G390" t="s">
        <v>143</v>
      </c>
      <c r="H390" t="s">
        <v>144</v>
      </c>
      <c r="I390" t="s">
        <v>52</v>
      </c>
      <c r="J390" s="70">
        <v>3</v>
      </c>
      <c r="K390" s="70"/>
      <c r="L390" s="70"/>
      <c r="M390" t="s">
        <v>461</v>
      </c>
      <c r="N390" t="s">
        <v>245</v>
      </c>
      <c r="O390" s="18">
        <v>342.41214113521846</v>
      </c>
      <c r="P390" s="18">
        <v>8.1814728021125589</v>
      </c>
      <c r="Q390" s="97">
        <v>0.657605351719315</v>
      </c>
      <c r="R390" s="97">
        <v>0.17875364625593687</v>
      </c>
      <c r="S390" s="97">
        <v>0.11074775721555633</v>
      </c>
      <c r="T390" s="97">
        <v>1.3515138366982912E-2</v>
      </c>
      <c r="U390" s="97">
        <v>2.2335258550646928E-3</v>
      </c>
      <c r="V390" s="97">
        <v>1.327369253902984E-2</v>
      </c>
      <c r="W390" s="97">
        <v>2.3870888048114453E-2</v>
      </c>
      <c r="X390" s="51">
        <f t="shared" si="26"/>
        <v>7.7538275139053949</v>
      </c>
      <c r="Y390" s="18">
        <v>870.00431798603915</v>
      </c>
      <c r="Z390" s="18">
        <v>63.437728917289029</v>
      </c>
      <c r="AA390" s="18">
        <f t="shared" si="27"/>
        <v>18.526717162239141</v>
      </c>
      <c r="AB390" s="18">
        <f t="shared" si="28"/>
        <v>72.916567890306737</v>
      </c>
      <c r="AC390" s="18">
        <f>$CP$15*Table2912[[#This Row],[DMD '[mg/g']]]+$CS$15*Table2912[[#This Row],[CH4 '[ml/g']]]+$CR$15*Table2912[[#This Row],[CH4 '[% GP']]]+$CQ$15*Table2912[[#This Row],[CH4 '[g/g DDM']]]</f>
        <v>14.073605092224952</v>
      </c>
      <c r="AD390" s="18">
        <f>_xlfn.RANK.AVG(Table2912[[#This Row],[Index]],Table2912[Index])</f>
        <v>289</v>
      </c>
      <c r="AE39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7.7487281582906746</v>
      </c>
      <c r="AF390" s="18">
        <f>Table2912[[#This Row],[CH4 '[ml/g']]]/Table2912[[#This Row],[APB]]</f>
        <v>8.1868569423763375</v>
      </c>
      <c r="AG390" s="18">
        <f>Table2912[[#This Row],[Propionate '[%']]]/Table2912[[#This Row],[Acetate '[%']]]</f>
        <v>0.27182510876559002</v>
      </c>
      <c r="AH390" s="51"/>
      <c r="AI390" s="18"/>
      <c r="AJ390" s="18"/>
      <c r="AK390" s="18">
        <f>(Table2912[[#This Row],[DMD '[mg/g']]]-$AK$15)/$AK$15*100</f>
        <v>77.447200447767372</v>
      </c>
      <c r="AL390" s="18">
        <f>(Table2912[[#This Row],[CH4 '[ml/g']]]-AL$15)/AL$15*100</f>
        <v>61.286976417952573</v>
      </c>
      <c r="AM390" s="18">
        <f>(Table2912[[#This Row],[CH4 '[% GP']]]-AM$15)/AM$15*100</f>
        <v>19.355076021173364</v>
      </c>
      <c r="AN390" s="18">
        <f>(Table2912[[#This Row],[CH4 '[g/g DDM']]]-AN$15)/AN$15*100</f>
        <v>42.372000788868903</v>
      </c>
      <c r="AO390" s="18"/>
      <c r="AP390" s="18"/>
      <c r="AR390">
        <f>_xlfn.NORM.DIST(Table2912[[#This Row],[GP '[ml/g']]],O$6,O$2,FALSE)</f>
        <v>1.9821990131642089E-3</v>
      </c>
      <c r="AS390">
        <f>_xlfn.NORM.DIST(Table2912[[#This Row],[SCFA '[mmol/g']]],P$6,P$2,FALSE)</f>
        <v>0.12996642439783748</v>
      </c>
      <c r="AT390">
        <f>_xlfn.NORM.DIST(Table2912[[#This Row],[Acetate '[%']]],Q$6,Q$2,FALSE)</f>
        <v>12.086602366149464</v>
      </c>
      <c r="AU390">
        <f>_xlfn.NORM.DIST(Table2912[[#This Row],[Propionate '[%']]],R$6,R$2,FALSE)</f>
        <v>16.100441572494866</v>
      </c>
      <c r="AV390">
        <f>_xlfn.NORM.DIST(Table2912[[#This Row],[Butyrate '[%']]],S$6,S$2,FALSE)</f>
        <v>13.562737345894192</v>
      </c>
      <c r="AW390">
        <f>_xlfn.NORM.DIST(Table2912[[#This Row],[Valerate '[%']]],T$6,T$2,FALSE)</f>
        <v>56.023960105599116</v>
      </c>
      <c r="AX390">
        <f>_xlfn.NORM.DIST(Table2912[[#This Row],[Caproate '[%']]],U$6,U$2,FALSE)</f>
        <v>266.88562668824659</v>
      </c>
      <c r="AY390">
        <f>_xlfn.NORM.DIST(Table2912[[#This Row],[Isobutyrate '[%']]],V$6,V$2,FALSE)</f>
        <v>81.035132829029052</v>
      </c>
      <c r="AZ390">
        <f>_xlfn.NORM.DIST(Table2912[[#This Row],[Isovalerate '[%']]],W$6,W$2,FALSE)</f>
        <v>40.901592770790799</v>
      </c>
      <c r="BA390">
        <f>_xlfn.NORM.DIST(Table2912[[#This Row],[CH4 '[g/mmol SCFA']]],X$6,X$2,FALSE)</f>
        <v>0.16299951124079051</v>
      </c>
      <c r="BB390">
        <f>_xlfn.NORM.DIST(Table2912[[#This Row],[DMD '[mg/g']]],Y$6,Y$2,FALSE)</f>
        <v>2.3028506183672241E-3</v>
      </c>
      <c r="BC390">
        <f>_xlfn.NORM.DIST(Table2912[[#This Row],[CH4 '[ml/g']]],Z$6,Z$2,FALSE)</f>
        <v>6.0408139715848481E-3</v>
      </c>
      <c r="BD390">
        <f>_xlfn.NORM.DIST(Table2912[[#This Row],[CH4 '[% GP']]],AA$6,AA$2,FALSE)</f>
        <v>9.5447425311278408E-2</v>
      </c>
      <c r="BE390">
        <f>_xlfn.NORM.DIST(Table2912[[#This Row],[CH4 '[g/g DDM']]],AB$6,AB$2,FALSE)</f>
        <v>8.9753000722804753E-3</v>
      </c>
      <c r="BG390">
        <f>IF(Table2912[[#This Row],[GP '[ml/g']]]&lt;O$10,_xlfn.NORM.DIST(Table2912[[#This Row],[GP '[ml/g']]],O$6,O$2,FALSE),-100)</f>
        <v>-100</v>
      </c>
      <c r="BH390">
        <f>IF(Table2912[[#This Row],[SCFA '[mmol/g']]]&lt;P$10,_xlfn.NORM.DIST(Table2912[[#This Row],[SCFA '[mmol/g']]],P$6,P$2,FALSE),-100)</f>
        <v>-100</v>
      </c>
      <c r="BI390">
        <f>IF(Table2912[[#This Row],[Acetate '[%']]]&lt;Q$10,_xlfn.NORM.DIST(Table2912[[#This Row],[Acetate '[%']]],Q$6,Q$2,FALSE),-100)</f>
        <v>-100</v>
      </c>
      <c r="BJ390">
        <f>IF(Table2912[[#This Row],[Propionate '[%']]]&lt;R$10,_xlfn.NORM.DIST(Table2912[[#This Row],[Propionate '[%']]],R$6,R$2,FALSE),-100)</f>
        <v>-100</v>
      </c>
      <c r="BK390">
        <f>IF(Table2912[[#This Row],[Butyrate '[%']]]&lt;S$10,_xlfn.NORM.DIST(Table2912[[#This Row],[Butyrate '[%']]],S$6,S$2,FALSE),-100)</f>
        <v>-100</v>
      </c>
      <c r="BL390">
        <f>IF(Table2912[[#This Row],[Valerate '[%']]]&lt;T$10,_xlfn.NORM.DIST(Table2912[[#This Row],[Valerate '[%']]],T$6,T$2,FALSE),-100)</f>
        <v>-100</v>
      </c>
      <c r="BM390">
        <f>IF(Table2912[[#This Row],[Caproate '[%']]]&lt;U$10,_xlfn.NORM.DIST(Table2912[[#This Row],[Caproate '[%']]],U$6,U$2,FALSE),-100)</f>
        <v>-100</v>
      </c>
      <c r="BN390">
        <f>IF(Table2912[[#This Row],[Isobutyrate '[%']]]&lt;V$10,_xlfn.NORM.DIST(Table2912[[#This Row],[Isobutyrate '[%']]],V$6,V$2,FALSE),-100)</f>
        <v>-100</v>
      </c>
      <c r="BO390">
        <f>IF(Table2912[[#This Row],[Isovalerate '[%']]]&lt;W$10,_xlfn.NORM.DIST(Table2912[[#This Row],[Isovalerate '[%']]],W$6,W$2,FALSE),-100)</f>
        <v>-100</v>
      </c>
      <c r="BP390">
        <f>IF(Table2912[[#This Row],[CH4 '[g/mmol SCFA']]]&lt;X$10,_xlfn.NORM.DIST(Table2912[[#This Row],[CH4 '[g/mmol SCFA']]],X$6,X$2,FALSE),-100)</f>
        <v>-100</v>
      </c>
      <c r="BQ390">
        <f>IF(Table2912[[#This Row],[DMD '[mg/g']]]&gt;Y$10,_xlfn.NORM.DIST(Table2912[[#This Row],[DMD '[mg/g']]],Y$6,Y$2,FALSE),-100)</f>
        <v>-100</v>
      </c>
      <c r="BR390">
        <f>IF(Table2912[[#This Row],[CH4 '[ml/g']]]&lt;Z$10,_xlfn.NORM.DIST(Table2912[[#This Row],[CH4 '[ml/g']]],Z$6,Z$2,FALSE),-100)</f>
        <v>-100</v>
      </c>
      <c r="BS390">
        <f>IF(Table2912[[#This Row],[CH4 '[% GP']]]&lt;AA$10,_xlfn.NORM.DIST(Table2912[[#This Row],[CH4 '[% GP']]],AA$6,AA$2,FALSE),-100)</f>
        <v>-100</v>
      </c>
      <c r="BT390">
        <f>IF(Table2912[[#This Row],[CH4 '[g/g DDM']]]&lt;AB$10,_xlfn.NORM.DIST(Table2912[[#This Row],[CH4 '[g/g DDM']]],AB$6,AB$2,FALSE),-100)</f>
        <v>-100</v>
      </c>
    </row>
    <row r="391" spans="1:72" x14ac:dyDescent="0.25">
      <c r="A391" s="12" t="s">
        <v>86</v>
      </c>
      <c r="B391" s="13">
        <v>1046</v>
      </c>
      <c r="C391" s="104" t="s">
        <v>416</v>
      </c>
      <c r="D391" s="104" t="s">
        <v>417</v>
      </c>
      <c r="E391" s="104" t="s">
        <v>418</v>
      </c>
      <c r="F391" s="104" t="s">
        <v>419</v>
      </c>
      <c r="G391" s="32" t="s">
        <v>73</v>
      </c>
      <c r="H391" s="32" t="s">
        <v>74</v>
      </c>
      <c r="I391" s="104" t="s">
        <v>75</v>
      </c>
      <c r="J391" s="100">
        <v>3</v>
      </c>
      <c r="K391" s="100"/>
      <c r="L391" s="100"/>
      <c r="M391" t="s">
        <v>419</v>
      </c>
      <c r="N391" t="s">
        <v>98</v>
      </c>
      <c r="O391" s="18">
        <v>309.03289328932931</v>
      </c>
      <c r="P391" s="18">
        <v>8.1910593051337006</v>
      </c>
      <c r="Q391" s="97">
        <v>0.67986885680830667</v>
      </c>
      <c r="R391" s="97">
        <v>0.14909950264863528</v>
      </c>
      <c r="S391" s="97">
        <v>9.7329443899586518E-2</v>
      </c>
      <c r="T391" s="97">
        <v>2.2096093191898574E-2</v>
      </c>
      <c r="U391" s="97">
        <v>1.3043799580519354E-3</v>
      </c>
      <c r="V391" s="97">
        <v>1.8445756706167386E-2</v>
      </c>
      <c r="W391" s="97">
        <v>3.1855966787353772E-2</v>
      </c>
      <c r="X391" s="51">
        <f t="shared" si="26"/>
        <v>7.4949277764978923</v>
      </c>
      <c r="Y391" s="18">
        <v>871.02875626208015</v>
      </c>
      <c r="Z391" s="18">
        <v>61.391397904988096</v>
      </c>
      <c r="AA391" s="18">
        <f t="shared" si="27"/>
        <v>19.865651598294733</v>
      </c>
      <c r="AB391" s="18">
        <f t="shared" si="28"/>
        <v>70.481482343295099</v>
      </c>
      <c r="AC391" s="18">
        <f>$CP$15*Table2912[[#This Row],[DMD '[mg/g']]]+$CS$15*Table2912[[#This Row],[CH4 '[ml/g']]]+$CR$15*Table2912[[#This Row],[CH4 '[% GP']]]+$CQ$15*Table2912[[#This Row],[CH4 '[g/g DDM']]]</f>
        <v>14.66847727312053</v>
      </c>
      <c r="AD391" s="18">
        <f>_xlfn.RANK.AVG(Table2912[[#This Row],[Index]],Table2912[Index])</f>
        <v>275</v>
      </c>
      <c r="AE39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7.5873602415083994</v>
      </c>
      <c r="AF391" s="18">
        <f>Table2912[[#This Row],[CH4 '[ml/g']]]/Table2912[[#This Row],[APB]]</f>
        <v>8.0912723201321501</v>
      </c>
      <c r="AG391" s="18">
        <f>Table2912[[#This Row],[Propionate '[%']]]/Table2912[[#This Row],[Acetate '[%']]]</f>
        <v>0.21930626937170447</v>
      </c>
      <c r="AH391" s="51"/>
      <c r="AI391" s="18"/>
      <c r="AJ391" s="18"/>
      <c r="AK391" s="18">
        <f>(Table2912[[#This Row],[DMD '[mg/g']]]-$AK$15)/$AK$15*100</f>
        <v>77.656146197066434</v>
      </c>
      <c r="AL391" s="18">
        <f>(Table2912[[#This Row],[CH4 '[ml/g']]]-AL$15)/AL$15*100</f>
        <v>56.084291086095497</v>
      </c>
      <c r="AM391" s="18">
        <f>(Table2912[[#This Row],[CH4 '[% GP']]]-AM$15)/AM$15*100</f>
        <v>27.980922683770526</v>
      </c>
      <c r="AN391" s="18">
        <f>(Table2912[[#This Row],[CH4 '[g/g DDM']]]-AN$15)/AN$15*100</f>
        <v>37.617416042893886</v>
      </c>
      <c r="AO391" s="18"/>
      <c r="AP391" s="18"/>
      <c r="AR391">
        <f>_xlfn.NORM.DIST(Table2912[[#This Row],[GP '[ml/g']]],O$6,O$2,FALSE)</f>
        <v>4.5191049379431966E-3</v>
      </c>
      <c r="AS391">
        <f>_xlfn.NORM.DIST(Table2912[[#This Row],[SCFA '[mmol/g']]],P$6,P$2,FALSE)</f>
        <v>0.12854517235675503</v>
      </c>
      <c r="AT391">
        <f>_xlfn.NORM.DIST(Table2912[[#This Row],[Acetate '[%']]],Q$6,Q$2,FALSE)</f>
        <v>13.638062517936726</v>
      </c>
      <c r="AU391">
        <f>_xlfn.NORM.DIST(Table2912[[#This Row],[Propionate '[%']]],R$6,R$2,FALSE)</f>
        <v>10.608929520921253</v>
      </c>
      <c r="AV391">
        <f>_xlfn.NORM.DIST(Table2912[[#This Row],[Butyrate '[%']]],S$6,S$2,FALSE)</f>
        <v>22.296494796898433</v>
      </c>
      <c r="AW391">
        <f>_xlfn.NORM.DIST(Table2912[[#This Row],[Valerate '[%']]],T$6,T$2,FALSE)</f>
        <v>53.43382375707597</v>
      </c>
      <c r="AX391">
        <f>_xlfn.NORM.DIST(Table2912[[#This Row],[Caproate '[%']]],U$6,U$2,FALSE)</f>
        <v>406.74017606170582</v>
      </c>
      <c r="AY391">
        <f>_xlfn.NORM.DIST(Table2912[[#This Row],[Isobutyrate '[%']]],V$6,V$2,FALSE)</f>
        <v>70.224042196727567</v>
      </c>
      <c r="AZ391">
        <f>_xlfn.NORM.DIST(Table2912[[#This Row],[Isovalerate '[%']]],W$6,W$2,FALSE)</f>
        <v>41.035954722970573</v>
      </c>
      <c r="BA391">
        <f>_xlfn.NORM.DIST(Table2912[[#This Row],[CH4 '[g/mmol SCFA']]],X$6,X$2,FALSE)</f>
        <v>0.1977074571675522</v>
      </c>
      <c r="BB391">
        <f>_xlfn.NORM.DIST(Table2912[[#This Row],[DMD '[mg/g']]],Y$6,Y$2,FALSE)</f>
        <v>2.2909677134276669E-3</v>
      </c>
      <c r="BC391">
        <f>_xlfn.NORM.DIST(Table2912[[#This Row],[CH4 '[ml/g']]],Z$6,Z$2,FALSE)</f>
        <v>8.1817080767308988E-3</v>
      </c>
      <c r="BD391">
        <f>_xlfn.NORM.DIST(Table2912[[#This Row],[CH4 '[% GP']]],AA$6,AA$2,FALSE)</f>
        <v>5.9204938332045876E-2</v>
      </c>
      <c r="BE391">
        <f>_xlfn.NORM.DIST(Table2912[[#This Row],[CH4 '[g/g DDM']]],AB$6,AB$2,FALSE)</f>
        <v>1.2150879029841202E-2</v>
      </c>
      <c r="BG391">
        <f>IF(Table2912[[#This Row],[GP '[ml/g']]]&lt;O$10,_xlfn.NORM.DIST(Table2912[[#This Row],[GP '[ml/g']]],O$6,O$2,FALSE),-100)</f>
        <v>-100</v>
      </c>
      <c r="BH391">
        <f>IF(Table2912[[#This Row],[SCFA '[mmol/g']]]&lt;P$10,_xlfn.NORM.DIST(Table2912[[#This Row],[SCFA '[mmol/g']]],P$6,P$2,FALSE),-100)</f>
        <v>-100</v>
      </c>
      <c r="BI391">
        <f>IF(Table2912[[#This Row],[Acetate '[%']]]&lt;Q$10,_xlfn.NORM.DIST(Table2912[[#This Row],[Acetate '[%']]],Q$6,Q$2,FALSE),-100)</f>
        <v>-100</v>
      </c>
      <c r="BJ391">
        <f>IF(Table2912[[#This Row],[Propionate '[%']]]&lt;R$10,_xlfn.NORM.DIST(Table2912[[#This Row],[Propionate '[%']]],R$6,R$2,FALSE),-100)</f>
        <v>-100</v>
      </c>
      <c r="BK391">
        <f>IF(Table2912[[#This Row],[Butyrate '[%']]]&lt;S$10,_xlfn.NORM.DIST(Table2912[[#This Row],[Butyrate '[%']]],S$6,S$2,FALSE),-100)</f>
        <v>-100</v>
      </c>
      <c r="BL391">
        <f>IF(Table2912[[#This Row],[Valerate '[%']]]&lt;T$10,_xlfn.NORM.DIST(Table2912[[#This Row],[Valerate '[%']]],T$6,T$2,FALSE),-100)</f>
        <v>-100</v>
      </c>
      <c r="BM391">
        <f>IF(Table2912[[#This Row],[Caproate '[%']]]&lt;U$10,_xlfn.NORM.DIST(Table2912[[#This Row],[Caproate '[%']]],U$6,U$2,FALSE),-100)</f>
        <v>-100</v>
      </c>
      <c r="BN391">
        <f>IF(Table2912[[#This Row],[Isobutyrate '[%']]]&lt;V$10,_xlfn.NORM.DIST(Table2912[[#This Row],[Isobutyrate '[%']]],V$6,V$2,FALSE),-100)</f>
        <v>-100</v>
      </c>
      <c r="BO391">
        <f>IF(Table2912[[#This Row],[Isovalerate '[%']]]&lt;W$10,_xlfn.NORM.DIST(Table2912[[#This Row],[Isovalerate '[%']]],W$6,W$2,FALSE),-100)</f>
        <v>-100</v>
      </c>
      <c r="BP391">
        <f>IF(Table2912[[#This Row],[CH4 '[g/mmol SCFA']]]&lt;X$10,_xlfn.NORM.DIST(Table2912[[#This Row],[CH4 '[g/mmol SCFA']]],X$6,X$2,FALSE),-100)</f>
        <v>-100</v>
      </c>
      <c r="BQ391">
        <f>IF(Table2912[[#This Row],[DMD '[mg/g']]]&gt;Y$10,_xlfn.NORM.DIST(Table2912[[#This Row],[DMD '[mg/g']]],Y$6,Y$2,FALSE),-100)</f>
        <v>-100</v>
      </c>
      <c r="BR391">
        <f>IF(Table2912[[#This Row],[CH4 '[ml/g']]]&lt;Z$10,_xlfn.NORM.DIST(Table2912[[#This Row],[CH4 '[ml/g']]],Z$6,Z$2,FALSE),-100)</f>
        <v>-100</v>
      </c>
      <c r="BS391">
        <f>IF(Table2912[[#This Row],[CH4 '[% GP']]]&lt;AA$10,_xlfn.NORM.DIST(Table2912[[#This Row],[CH4 '[% GP']]],AA$6,AA$2,FALSE),-100)</f>
        <v>-100</v>
      </c>
      <c r="BT391">
        <f>IF(Table2912[[#This Row],[CH4 '[g/g DDM']]]&lt;AB$10,_xlfn.NORM.DIST(Table2912[[#This Row],[CH4 '[g/g DDM']]],AB$6,AB$2,FALSE),-100)</f>
        <v>-100</v>
      </c>
    </row>
    <row r="392" spans="1:72" x14ac:dyDescent="0.25">
      <c r="A392" s="12" t="s">
        <v>70</v>
      </c>
      <c r="B392" s="13">
        <v>989</v>
      </c>
      <c r="C392" s="96" t="s">
        <v>447</v>
      </c>
      <c r="D392" s="96"/>
      <c r="E392" s="96"/>
      <c r="F392" s="96" t="s">
        <v>448</v>
      </c>
      <c r="G392" t="s">
        <v>73</v>
      </c>
      <c r="H392" t="s">
        <v>74</v>
      </c>
      <c r="I392" t="s">
        <v>75</v>
      </c>
      <c r="J392" s="100">
        <v>3</v>
      </c>
      <c r="K392" s="100"/>
      <c r="L392" s="100"/>
      <c r="M392" t="s">
        <v>448</v>
      </c>
      <c r="N392" t="s">
        <v>80</v>
      </c>
      <c r="O392" s="18">
        <v>304.03140770252412</v>
      </c>
      <c r="P392" s="18">
        <v>7.2527249368796234</v>
      </c>
      <c r="Q392" s="97">
        <v>0.67917292164997523</v>
      </c>
      <c r="R392" s="97">
        <v>0.15940276680260412</v>
      </c>
      <c r="S392" s="97">
        <v>0.10397406092684827</v>
      </c>
      <c r="T392" s="97">
        <v>1.6216815216597558E-2</v>
      </c>
      <c r="U392" s="97">
        <v>1.2387032671023863E-3</v>
      </c>
      <c r="V392" s="97">
        <v>1.3860986864186128E-2</v>
      </c>
      <c r="W392" s="97">
        <v>2.6133745272686144E-2</v>
      </c>
      <c r="X392" s="51">
        <f t="shared" si="26"/>
        <v>6.407090083934083</v>
      </c>
      <c r="Y392" s="18">
        <v>871.14738236338803</v>
      </c>
      <c r="Z392" s="18">
        <v>46.468862024582883</v>
      </c>
      <c r="AA392" s="18">
        <f t="shared" si="27"/>
        <v>15.28423078909327</v>
      </c>
      <c r="AB392" s="18">
        <f t="shared" si="28"/>
        <v>53.342135860541433</v>
      </c>
      <c r="AC392" s="18">
        <f>$CP$15*Table2912[[#This Row],[DMD '[mg/g']]]+$CS$15*Table2912[[#This Row],[CH4 '[ml/g']]]+$CR$15*Table2912[[#This Row],[CH4 '[% GP']]]+$CQ$15*Table2912[[#This Row],[CH4 '[g/g DDM']]]</f>
        <v>22.378627843496652</v>
      </c>
      <c r="AD392" s="18">
        <f>_xlfn.RANK.AVG(Table2912[[#This Row],[Index]],Table2912[Index])</f>
        <v>127</v>
      </c>
      <c r="AE39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6.8360540715738143</v>
      </c>
      <c r="AF392" s="18">
        <f>Table2912[[#This Row],[CH4 '[ml/g']]]/Table2912[[#This Row],[APB]]</f>
        <v>6.797614755245009</v>
      </c>
      <c r="AG392" s="18">
        <f>Table2912[[#This Row],[Propionate '[%']]]/Table2912[[#This Row],[Acetate '[%']]]</f>
        <v>0.23470129877285567</v>
      </c>
      <c r="AH392" s="51"/>
      <c r="AI392" s="18"/>
      <c r="AJ392" s="18"/>
      <c r="AK392" s="18">
        <f>(Table2912[[#This Row],[DMD '[mg/g']]]-$AK$15)/$AK$15*100</f>
        <v>77.680341329368588</v>
      </c>
      <c r="AL392" s="18">
        <f>(Table2912[[#This Row],[CH4 '[ml/g']]]-AL$15)/AL$15*100</f>
        <v>18.144555006057082</v>
      </c>
      <c r="AM392" s="18">
        <f>(Table2912[[#This Row],[CH4 '[% GP']]]-AM$15)/AM$15*100</f>
        <v>-1.5340650055615861</v>
      </c>
      <c r="AN392" s="18">
        <f>(Table2912[[#This Row],[CH4 '[g/g DDM']]]-AN$15)/AN$15*100</f>
        <v>4.1522774390829831</v>
      </c>
      <c r="AO392" s="18"/>
      <c r="AP392" s="18"/>
      <c r="AR392">
        <f>_xlfn.NORM.DIST(Table2912[[#This Row],[GP '[ml/g']]],O$6,O$2,FALSE)</f>
        <v>4.9434145719941093E-3</v>
      </c>
      <c r="AS392">
        <f>_xlfn.NORM.DIST(Table2912[[#This Row],[SCFA '[mmol/g']]],P$6,P$2,FALSE)</f>
        <v>0.27850255419335507</v>
      </c>
      <c r="AT392">
        <f>_xlfn.NORM.DIST(Table2912[[#This Row],[Acetate '[%']]],Q$6,Q$2,FALSE)</f>
        <v>13.713315613617658</v>
      </c>
      <c r="AU392">
        <f>_xlfn.NORM.DIST(Table2912[[#This Row],[Propionate '[%']]],R$6,R$2,FALSE)</f>
        <v>14.632291863930698</v>
      </c>
      <c r="AV392">
        <f>_xlfn.NORM.DIST(Table2912[[#This Row],[Butyrate '[%']]],S$6,S$2,FALSE)</f>
        <v>18.788863185276146</v>
      </c>
      <c r="AW392">
        <f>_xlfn.NORM.DIST(Table2912[[#This Row],[Valerate '[%']]],T$6,T$2,FALSE)</f>
        <v>74.424333122147502</v>
      </c>
      <c r="AX392">
        <f>_xlfn.NORM.DIST(Table2912[[#This Row],[Caproate '[%']]],U$6,U$2,FALSE)</f>
        <v>405.03401520403099</v>
      </c>
      <c r="AY392">
        <f>_xlfn.NORM.DIST(Table2912[[#This Row],[Isobutyrate '[%']]],V$6,V$2,FALSE)</f>
        <v>85.403158649173619</v>
      </c>
      <c r="AZ392">
        <f>_xlfn.NORM.DIST(Table2912[[#This Row],[Isovalerate '[%']]],W$6,W$2,FALSE)</f>
        <v>44.52518869533565</v>
      </c>
      <c r="BA392">
        <f>_xlfn.NORM.DIST(Table2912[[#This Row],[CH4 '[g/mmol SCFA']]],X$6,X$2,FALSE)</f>
        <v>0.29613194207097526</v>
      </c>
      <c r="BB392">
        <f>_xlfn.NORM.DIST(Table2912[[#This Row],[DMD '[mg/g']]],Y$6,Y$2,FALSE)</f>
        <v>2.2895873912242978E-3</v>
      </c>
      <c r="BC392">
        <f>_xlfn.NORM.DIST(Table2912[[#This Row],[CH4 '[ml/g']]],Z$6,Z$2,FALSE)</f>
        <v>3.0601179099949589E-2</v>
      </c>
      <c r="BD392">
        <f>_xlfn.NORM.DIST(Table2912[[#This Row],[CH4 '[% GP']]],AA$6,AA$2,FALSE)</f>
        <v>0.13007698999910966</v>
      </c>
      <c r="BE392">
        <f>_xlfn.NORM.DIST(Table2912[[#This Row],[CH4 '[g/g DDM']]],AB$6,AB$2,FALSE)</f>
        <v>3.2852115979006044E-2</v>
      </c>
      <c r="BG392">
        <f>IF(Table2912[[#This Row],[GP '[ml/g']]]&lt;O$10,_xlfn.NORM.DIST(Table2912[[#This Row],[GP '[ml/g']]],O$6,O$2,FALSE),-100)</f>
        <v>-100</v>
      </c>
      <c r="BH392">
        <f>IF(Table2912[[#This Row],[SCFA '[mmol/g']]]&lt;P$10,_xlfn.NORM.DIST(Table2912[[#This Row],[SCFA '[mmol/g']]],P$6,P$2,FALSE),-100)</f>
        <v>-100</v>
      </c>
      <c r="BI392">
        <f>IF(Table2912[[#This Row],[Acetate '[%']]]&lt;Q$10,_xlfn.NORM.DIST(Table2912[[#This Row],[Acetate '[%']]],Q$6,Q$2,FALSE),-100)</f>
        <v>-100</v>
      </c>
      <c r="BJ392">
        <f>IF(Table2912[[#This Row],[Propionate '[%']]]&lt;R$10,_xlfn.NORM.DIST(Table2912[[#This Row],[Propionate '[%']]],R$6,R$2,FALSE),-100)</f>
        <v>-100</v>
      </c>
      <c r="BK392">
        <f>IF(Table2912[[#This Row],[Butyrate '[%']]]&lt;S$10,_xlfn.NORM.DIST(Table2912[[#This Row],[Butyrate '[%']]],S$6,S$2,FALSE),-100)</f>
        <v>-100</v>
      </c>
      <c r="BL392">
        <f>IF(Table2912[[#This Row],[Valerate '[%']]]&lt;T$10,_xlfn.NORM.DIST(Table2912[[#This Row],[Valerate '[%']]],T$6,T$2,FALSE),-100)</f>
        <v>-100</v>
      </c>
      <c r="BM392">
        <f>IF(Table2912[[#This Row],[Caproate '[%']]]&lt;U$10,_xlfn.NORM.DIST(Table2912[[#This Row],[Caproate '[%']]],U$6,U$2,FALSE),-100)</f>
        <v>-100</v>
      </c>
      <c r="BN392">
        <f>IF(Table2912[[#This Row],[Isobutyrate '[%']]]&lt;V$10,_xlfn.NORM.DIST(Table2912[[#This Row],[Isobutyrate '[%']]],V$6,V$2,FALSE),-100)</f>
        <v>-100</v>
      </c>
      <c r="BO392">
        <f>IF(Table2912[[#This Row],[Isovalerate '[%']]]&lt;W$10,_xlfn.NORM.DIST(Table2912[[#This Row],[Isovalerate '[%']]],W$6,W$2,FALSE),-100)</f>
        <v>-100</v>
      </c>
      <c r="BP392">
        <f>IF(Table2912[[#This Row],[CH4 '[g/mmol SCFA']]]&lt;X$10,_xlfn.NORM.DIST(Table2912[[#This Row],[CH4 '[g/mmol SCFA']]],X$6,X$2,FALSE),-100)</f>
        <v>-100</v>
      </c>
      <c r="BQ392">
        <f>IF(Table2912[[#This Row],[DMD '[mg/g']]]&gt;Y$10,_xlfn.NORM.DIST(Table2912[[#This Row],[DMD '[mg/g']]],Y$6,Y$2,FALSE),-100)</f>
        <v>-100</v>
      </c>
      <c r="BR392">
        <f>IF(Table2912[[#This Row],[CH4 '[ml/g']]]&lt;Z$10,_xlfn.NORM.DIST(Table2912[[#This Row],[CH4 '[ml/g']]],Z$6,Z$2,FALSE),-100)</f>
        <v>-100</v>
      </c>
      <c r="BS392">
        <f>IF(Table2912[[#This Row],[CH4 '[% GP']]]&lt;AA$10,_xlfn.NORM.DIST(Table2912[[#This Row],[CH4 '[% GP']]],AA$6,AA$2,FALSE),-100)</f>
        <v>-100</v>
      </c>
      <c r="BT392">
        <f>IF(Table2912[[#This Row],[CH4 '[g/g DDM']]]&lt;AB$10,_xlfn.NORM.DIST(Table2912[[#This Row],[CH4 '[g/g DDM']]],AB$6,AB$2,FALSE),-100)</f>
        <v>-100</v>
      </c>
    </row>
    <row r="393" spans="1:72" x14ac:dyDescent="0.25">
      <c r="A393" s="12" t="s">
        <v>70</v>
      </c>
      <c r="B393" s="13">
        <v>991</v>
      </c>
      <c r="C393" s="96" t="s">
        <v>399</v>
      </c>
      <c r="D393" s="96"/>
      <c r="E393" s="96"/>
      <c r="F393" s="96" t="s">
        <v>400</v>
      </c>
      <c r="G393" t="s">
        <v>73</v>
      </c>
      <c r="H393" t="s">
        <v>74</v>
      </c>
      <c r="I393" t="s">
        <v>75</v>
      </c>
      <c r="J393" s="70">
        <v>1</v>
      </c>
      <c r="K393" s="70"/>
      <c r="L393" s="70"/>
      <c r="M393" t="s">
        <v>400</v>
      </c>
      <c r="N393" t="s">
        <v>85</v>
      </c>
      <c r="O393" s="18">
        <v>282.45019841269902</v>
      </c>
      <c r="P393" s="18">
        <v>6.9804632248939162</v>
      </c>
      <c r="Q393" s="97">
        <v>0.66331010684111724</v>
      </c>
      <c r="R393" s="97">
        <v>0.14497555963905528</v>
      </c>
      <c r="S393" s="97">
        <v>0.12709402142320797</v>
      </c>
      <c r="T393" s="97">
        <v>1.986775815989604E-2</v>
      </c>
      <c r="U393" s="97">
        <v>1.8637966322507678E-3</v>
      </c>
      <c r="V393" s="97">
        <v>1.4640192698952517E-2</v>
      </c>
      <c r="W393" s="97">
        <v>2.8248564605520311E-2</v>
      </c>
      <c r="X393" s="51">
        <f t="shared" si="26"/>
        <v>5.4369960741858945</v>
      </c>
      <c r="Y393" s="18">
        <v>871.82888923813005</v>
      </c>
      <c r="Z393" s="18">
        <v>37.952751149747229</v>
      </c>
      <c r="AA393" s="18">
        <f t="shared" si="27"/>
        <v>13.436970964450513</v>
      </c>
      <c r="AB393" s="18">
        <f t="shared" si="28"/>
        <v>43.532339451280642</v>
      </c>
      <c r="AC393" s="18">
        <f>$CP$15*Table2912[[#This Row],[DMD '[mg/g']]]+$CS$15*Table2912[[#This Row],[CH4 '[ml/g']]]+$CR$15*Table2912[[#This Row],[CH4 '[% GP']]]+$CQ$15*Table2912[[#This Row],[CH4 '[g/g DDM']]]</f>
        <v>26.606203612477223</v>
      </c>
      <c r="AD393" s="18">
        <f>_xlfn.RANK.AVG(Table2912[[#This Row],[Index]],Table2912[Index])</f>
        <v>76</v>
      </c>
      <c r="AE39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6.5293835127222968</v>
      </c>
      <c r="AF393" s="18">
        <f>Table2912[[#This Row],[CH4 '[ml/g']]]/Table2912[[#This Row],[APB]]</f>
        <v>5.8126086598830495</v>
      </c>
      <c r="AG393" s="18">
        <f>Table2912[[#This Row],[Propionate '[%']]]/Table2912[[#This Row],[Acetate '[%']]]</f>
        <v>0.21856377302838428</v>
      </c>
      <c r="AH393" s="51"/>
      <c r="AI393" s="18"/>
      <c r="AJ393" s="18"/>
      <c r="AK393" s="18">
        <f>(Table2912[[#This Row],[DMD '[mg/g']]]-$AK$15)/$AK$15*100</f>
        <v>77.819342348684003</v>
      </c>
      <c r="AL393" s="18">
        <f>(Table2912[[#This Row],[CH4 '[ml/g']]]-AL$15)/AL$15*100</f>
        <v>-3.5071938393835378</v>
      </c>
      <c r="AM393" s="18">
        <f>(Table2912[[#This Row],[CH4 '[% GP']]]-AM$15)/AM$15*100</f>
        <v>-13.434707459934133</v>
      </c>
      <c r="AN393" s="18">
        <f>(Table2912[[#This Row],[CH4 '[g/g DDM']]]-AN$15)/AN$15*100</f>
        <v>-15.00167319966595</v>
      </c>
      <c r="AO393" s="18"/>
      <c r="AP393" s="18"/>
      <c r="AR393">
        <f>_xlfn.NORM.DIST(Table2912[[#This Row],[GP '[ml/g']]],O$6,O$2,FALSE)</f>
        <v>6.5827707032738532E-3</v>
      </c>
      <c r="AS393">
        <f>_xlfn.NORM.DIST(Table2912[[#This Row],[SCFA '[mmol/g']]],P$6,P$2,FALSE)</f>
        <v>0.31078894627542331</v>
      </c>
      <c r="AT393">
        <f>_xlfn.NORM.DIST(Table2912[[#This Row],[Acetate '[%']]],Q$6,Q$2,FALSE)</f>
        <v>13.216057882867808</v>
      </c>
      <c r="AU393">
        <f>_xlfn.NORM.DIST(Table2912[[#This Row],[Propionate '[%']]],R$6,R$2,FALSE)</f>
        <v>8.8489681378940208</v>
      </c>
      <c r="AV393">
        <f>_xlfn.NORM.DIST(Table2912[[#This Row],[Butyrate '[%']]],S$6,S$2,FALSE)</f>
        <v>3.2905550079492145</v>
      </c>
      <c r="AW393">
        <f>_xlfn.NORM.DIST(Table2912[[#This Row],[Valerate '[%']]],T$6,T$2,FALSE)</f>
        <v>70.606520203770344</v>
      </c>
      <c r="AX393">
        <f>_xlfn.NORM.DIST(Table2912[[#This Row],[Caproate '[%']]],U$6,U$2,FALSE)</f>
        <v>351.45365869511937</v>
      </c>
      <c r="AY393">
        <f>_xlfn.NORM.DIST(Table2912[[#This Row],[Isobutyrate '[%']]],V$6,V$2,FALSE)</f>
        <v>89.107908566151423</v>
      </c>
      <c r="AZ393">
        <f>_xlfn.NORM.DIST(Table2912[[#This Row],[Isovalerate '[%']]],W$6,W$2,FALSE)</f>
        <v>45.393109058289383</v>
      </c>
      <c r="BA393">
        <f>_xlfn.NORM.DIST(Table2912[[#This Row],[CH4 '[g/mmol SCFA']]],X$6,X$2,FALSE)</f>
        <v>0.24379855378421753</v>
      </c>
      <c r="BB393">
        <f>_xlfn.NORM.DIST(Table2912[[#This Row],[DMD '[mg/g']]],Y$6,Y$2,FALSE)</f>
        <v>2.2816403018146437E-3</v>
      </c>
      <c r="BC393">
        <f>_xlfn.NORM.DIST(Table2912[[#This Row],[CH4 '[ml/g']]],Z$6,Z$2,FALSE)</f>
        <v>3.213222661244463E-2</v>
      </c>
      <c r="BD393">
        <f>_xlfn.NORM.DIST(Table2912[[#This Row],[CH4 '[% GP']]],AA$6,AA$2,FALSE)</f>
        <v>9.0777701171318906E-2</v>
      </c>
      <c r="BE393">
        <f>_xlfn.NORM.DIST(Table2912[[#This Row],[CH4 '[g/g DDM']]],AB$6,AB$2,FALSE)</f>
        <v>2.3687091339549628E-2</v>
      </c>
      <c r="BG393">
        <f>IF(Table2912[[#This Row],[GP '[ml/g']]]&lt;O$10,_xlfn.NORM.DIST(Table2912[[#This Row],[GP '[ml/g']]],O$6,O$2,FALSE),-100)</f>
        <v>-100</v>
      </c>
      <c r="BH393">
        <f>IF(Table2912[[#This Row],[SCFA '[mmol/g']]]&lt;P$10,_xlfn.NORM.DIST(Table2912[[#This Row],[SCFA '[mmol/g']]],P$6,P$2,FALSE),-100)</f>
        <v>-100</v>
      </c>
      <c r="BI393">
        <f>IF(Table2912[[#This Row],[Acetate '[%']]]&lt;Q$10,_xlfn.NORM.DIST(Table2912[[#This Row],[Acetate '[%']]],Q$6,Q$2,FALSE),-100)</f>
        <v>-100</v>
      </c>
      <c r="BJ393">
        <f>IF(Table2912[[#This Row],[Propionate '[%']]]&lt;R$10,_xlfn.NORM.DIST(Table2912[[#This Row],[Propionate '[%']]],R$6,R$2,FALSE),-100)</f>
        <v>8.8489681378940208</v>
      </c>
      <c r="BK393">
        <f>IF(Table2912[[#This Row],[Butyrate '[%']]]&lt;S$10,_xlfn.NORM.DIST(Table2912[[#This Row],[Butyrate '[%']]],S$6,S$2,FALSE),-100)</f>
        <v>-100</v>
      </c>
      <c r="BL393">
        <f>IF(Table2912[[#This Row],[Valerate '[%']]]&lt;T$10,_xlfn.NORM.DIST(Table2912[[#This Row],[Valerate '[%']]],T$6,T$2,FALSE),-100)</f>
        <v>-100</v>
      </c>
      <c r="BM393">
        <f>IF(Table2912[[#This Row],[Caproate '[%']]]&lt;U$10,_xlfn.NORM.DIST(Table2912[[#This Row],[Caproate '[%']]],U$6,U$2,FALSE),-100)</f>
        <v>-100</v>
      </c>
      <c r="BN393">
        <f>IF(Table2912[[#This Row],[Isobutyrate '[%']]]&lt;V$10,_xlfn.NORM.DIST(Table2912[[#This Row],[Isobutyrate '[%']]],V$6,V$2,FALSE),-100)</f>
        <v>-100</v>
      </c>
      <c r="BO393">
        <f>IF(Table2912[[#This Row],[Isovalerate '[%']]]&lt;W$10,_xlfn.NORM.DIST(Table2912[[#This Row],[Isovalerate '[%']]],W$6,W$2,FALSE),-100)</f>
        <v>-100</v>
      </c>
      <c r="BP393">
        <f>IF(Table2912[[#This Row],[CH4 '[g/mmol SCFA']]]&lt;X$10,_xlfn.NORM.DIST(Table2912[[#This Row],[CH4 '[g/mmol SCFA']]],X$6,X$2,FALSE),-100)</f>
        <v>-100</v>
      </c>
      <c r="BQ393">
        <f>IF(Table2912[[#This Row],[DMD '[mg/g']]]&gt;Y$10,_xlfn.NORM.DIST(Table2912[[#This Row],[DMD '[mg/g']]],Y$6,Y$2,FALSE),-100)</f>
        <v>-100</v>
      </c>
      <c r="BR393">
        <f>IF(Table2912[[#This Row],[CH4 '[ml/g']]]&lt;Z$10,_xlfn.NORM.DIST(Table2912[[#This Row],[CH4 '[ml/g']]],Z$6,Z$2,FALSE),-100)</f>
        <v>-100</v>
      </c>
      <c r="BS393">
        <f>IF(Table2912[[#This Row],[CH4 '[% GP']]]&lt;AA$10,_xlfn.NORM.DIST(Table2912[[#This Row],[CH4 '[% GP']]],AA$6,AA$2,FALSE),-100)</f>
        <v>-100</v>
      </c>
      <c r="BT393">
        <f>IF(Table2912[[#This Row],[CH4 '[g/g DDM']]]&lt;AB$10,_xlfn.NORM.DIST(Table2912[[#This Row],[CH4 '[g/g DDM']]],AB$6,AB$2,FALSE),-100)</f>
        <v>-100</v>
      </c>
    </row>
    <row r="394" spans="1:72" x14ac:dyDescent="0.25">
      <c r="A394" s="12" t="s">
        <v>200</v>
      </c>
      <c r="B394" s="13">
        <v>1204</v>
      </c>
      <c r="C394" s="113" t="s">
        <v>482</v>
      </c>
      <c r="D394" s="113" t="s">
        <v>262</v>
      </c>
      <c r="E394" s="113" t="s">
        <v>411</v>
      </c>
      <c r="F394" s="113" t="s">
        <v>412</v>
      </c>
      <c r="G394" t="s">
        <v>73</v>
      </c>
      <c r="H394" t="s">
        <v>74</v>
      </c>
      <c r="I394" t="s">
        <v>75</v>
      </c>
      <c r="J394" s="70">
        <v>1</v>
      </c>
      <c r="K394" s="70"/>
      <c r="L394" s="70"/>
      <c r="M394" t="s">
        <v>483</v>
      </c>
      <c r="N394" t="s">
        <v>352</v>
      </c>
      <c r="O394" s="18">
        <v>285.21032215647597</v>
      </c>
      <c r="P394" s="18">
        <v>8.9577813498164787</v>
      </c>
      <c r="Q394" s="97">
        <v>0.62911082769496018</v>
      </c>
      <c r="R394" s="97">
        <v>0.18813139401865797</v>
      </c>
      <c r="S394" s="97">
        <v>0.10146183458015294</v>
      </c>
      <c r="T394" s="97">
        <v>2.2727521258577577E-2</v>
      </c>
      <c r="U394" s="97">
        <v>5.0839066937056424E-3</v>
      </c>
      <c r="V394" s="97">
        <v>1.9517020484942249E-2</v>
      </c>
      <c r="W394" s="97">
        <v>3.3967495269003577E-2</v>
      </c>
      <c r="X394" s="51">
        <f t="shared" si="26"/>
        <v>5.0551106989575203</v>
      </c>
      <c r="Y394" s="18">
        <v>874.77955171777103</v>
      </c>
      <c r="Z394" s="18">
        <v>45.282576340379421</v>
      </c>
      <c r="AA394" s="18">
        <f t="shared" si="27"/>
        <v>15.87690655723739</v>
      </c>
      <c r="AB394" s="18">
        <f t="shared" si="28"/>
        <v>51.764557426450772</v>
      </c>
      <c r="AC394" s="18">
        <f>$CP$15*Table2912[[#This Row],[DMD '[mg/g']]]+$CS$15*Table2912[[#This Row],[CH4 '[ml/g']]]+$CR$15*Table2912[[#This Row],[CH4 '[% GP']]]+$CQ$15*Table2912[[#This Row],[CH4 '[g/g DDM']]]</f>
        <v>23.087776417928076</v>
      </c>
      <c r="AD394" s="18">
        <f>_xlfn.RANK.AVG(Table2912[[#This Row],[Index]],Table2912[Index])</f>
        <v>114</v>
      </c>
      <c r="AE39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8.2295500614690908</v>
      </c>
      <c r="AF394" s="18">
        <f>Table2912[[#This Row],[CH4 '[ml/g']]]/Table2912[[#This Row],[APB]]</f>
        <v>5.50243646398037</v>
      </c>
      <c r="AG394" s="18">
        <f>Table2912[[#This Row],[Propionate '[%']]]/Table2912[[#This Row],[Acetate '[%']]]</f>
        <v>0.29904332549475382</v>
      </c>
      <c r="AH394" s="51"/>
      <c r="AI394" s="18"/>
      <c r="AJ394" s="18"/>
      <c r="AK394" s="18">
        <f>(Table2912[[#This Row],[DMD '[mg/g']]]-$AK$15)/$AK$15*100</f>
        <v>78.421163265723365</v>
      </c>
      <c r="AL394" s="18">
        <f>(Table2912[[#This Row],[CH4 '[ml/g']]]-AL$15)/AL$15*100</f>
        <v>15.128488156902687</v>
      </c>
      <c r="AM394" s="18">
        <f>(Table2912[[#This Row],[CH4 '[% GP']]]-AM$15)/AM$15*100</f>
        <v>2.2841430851263667</v>
      </c>
      <c r="AN394" s="18">
        <f>(Table2912[[#This Row],[CH4 '[g/g DDM']]]-AN$15)/AN$15*100</f>
        <v>1.072003578679358</v>
      </c>
      <c r="AO394" s="18"/>
      <c r="AP394" s="18"/>
      <c r="AR394">
        <f>_xlfn.NORM.DIST(Table2912[[#This Row],[GP '[ml/g']]],O$6,O$2,FALSE)</f>
        <v>6.4042227924774328E-3</v>
      </c>
      <c r="AS394">
        <f>_xlfn.NORM.DIST(Table2912[[#This Row],[SCFA '[mmol/g']]],P$6,P$2,FALSE)</f>
        <v>4.3371932127254237E-2</v>
      </c>
      <c r="AT394">
        <f>_xlfn.NORM.DIST(Table2912[[#This Row],[Acetate '[%']]],Q$6,Q$2,FALSE)</f>
        <v>4.2356082179942431</v>
      </c>
      <c r="AU394">
        <f>_xlfn.NORM.DIST(Table2912[[#This Row],[Propionate '[%']]],R$6,R$2,FALSE)</f>
        <v>13.28394410802607</v>
      </c>
      <c r="AV394">
        <f>_xlfn.NORM.DIST(Table2912[[#This Row],[Butyrate '[%']]],S$6,S$2,FALSE)</f>
        <v>20.394746769665943</v>
      </c>
      <c r="AW394">
        <f>_xlfn.NORM.DIST(Table2912[[#This Row],[Valerate '[%']]],T$6,T$2,FALSE)</f>
        <v>47.726939371948269</v>
      </c>
      <c r="AX394">
        <f>_xlfn.NORM.DIST(Table2912[[#This Row],[Caproate '[%']]],U$6,U$2,FALSE)</f>
        <v>0.26988491157199845</v>
      </c>
      <c r="AY394">
        <f>_xlfn.NORM.DIST(Table2912[[#This Row],[Isobutyrate '[%']]],V$6,V$2,FALSE)</f>
        <v>57.468518176994642</v>
      </c>
      <c r="AZ394">
        <f>_xlfn.NORM.DIST(Table2912[[#This Row],[Isovalerate '[%']]],W$6,W$2,FALSE)</f>
        <v>35.769113604466618</v>
      </c>
      <c r="BA394">
        <f>_xlfn.NORM.DIST(Table2912[[#This Row],[CH4 '[g/mmol SCFA']]],X$6,X$2,FALSE)</f>
        <v>0.19564899016257375</v>
      </c>
      <c r="BB394">
        <f>_xlfn.NORM.DIST(Table2912[[#This Row],[DMD '[mg/g']]],Y$6,Y$2,FALSE)</f>
        <v>2.2469061040982807E-3</v>
      </c>
      <c r="BC394">
        <f>_xlfn.NORM.DIST(Table2912[[#This Row],[CH4 '[ml/g']]],Z$6,Z$2,FALSE)</f>
        <v>3.176950172249611E-2</v>
      </c>
      <c r="BD394">
        <f>_xlfn.NORM.DIST(Table2912[[#This Row],[CH4 '[% GP']]],AA$6,AA$2,FALSE)</f>
        <v>0.13443586151863723</v>
      </c>
      <c r="BE394">
        <f>_xlfn.NORM.DIST(Table2912[[#This Row],[CH4 '[g/g DDM']]],AB$6,AB$2,FALSE)</f>
        <v>3.2571867705426173E-2</v>
      </c>
      <c r="BG394">
        <f>IF(Table2912[[#This Row],[GP '[ml/g']]]&lt;O$10,_xlfn.NORM.DIST(Table2912[[#This Row],[GP '[ml/g']]],O$6,O$2,FALSE),-100)</f>
        <v>-100</v>
      </c>
      <c r="BH394">
        <f>IF(Table2912[[#This Row],[SCFA '[mmol/g']]]&lt;P$10,_xlfn.NORM.DIST(Table2912[[#This Row],[SCFA '[mmol/g']]],P$6,P$2,FALSE),-100)</f>
        <v>-100</v>
      </c>
      <c r="BI394">
        <f>IF(Table2912[[#This Row],[Acetate '[%']]]&lt;Q$10,_xlfn.NORM.DIST(Table2912[[#This Row],[Acetate '[%']]],Q$6,Q$2,FALSE),-100)</f>
        <v>4.2356082179942431</v>
      </c>
      <c r="BJ394">
        <f>IF(Table2912[[#This Row],[Propionate '[%']]]&lt;R$10,_xlfn.NORM.DIST(Table2912[[#This Row],[Propionate '[%']]],R$6,R$2,FALSE),-100)</f>
        <v>-100</v>
      </c>
      <c r="BK394">
        <f>IF(Table2912[[#This Row],[Butyrate '[%']]]&lt;S$10,_xlfn.NORM.DIST(Table2912[[#This Row],[Butyrate '[%']]],S$6,S$2,FALSE),-100)</f>
        <v>-100</v>
      </c>
      <c r="BL394">
        <f>IF(Table2912[[#This Row],[Valerate '[%']]]&lt;T$10,_xlfn.NORM.DIST(Table2912[[#This Row],[Valerate '[%']]],T$6,T$2,FALSE),-100)</f>
        <v>-100</v>
      </c>
      <c r="BM394">
        <f>IF(Table2912[[#This Row],[Caproate '[%']]]&lt;U$10,_xlfn.NORM.DIST(Table2912[[#This Row],[Caproate '[%']]],U$6,U$2,FALSE),-100)</f>
        <v>-100</v>
      </c>
      <c r="BN394">
        <f>IF(Table2912[[#This Row],[Isobutyrate '[%']]]&lt;V$10,_xlfn.NORM.DIST(Table2912[[#This Row],[Isobutyrate '[%']]],V$6,V$2,FALSE),-100)</f>
        <v>-100</v>
      </c>
      <c r="BO394">
        <f>IF(Table2912[[#This Row],[Isovalerate '[%']]]&lt;W$10,_xlfn.NORM.DIST(Table2912[[#This Row],[Isovalerate '[%']]],W$6,W$2,FALSE),-100)</f>
        <v>-100</v>
      </c>
      <c r="BP394">
        <f>IF(Table2912[[#This Row],[CH4 '[g/mmol SCFA']]]&lt;X$10,_xlfn.NORM.DIST(Table2912[[#This Row],[CH4 '[g/mmol SCFA']]],X$6,X$2,FALSE),-100)</f>
        <v>-100</v>
      </c>
      <c r="BQ394">
        <f>IF(Table2912[[#This Row],[DMD '[mg/g']]]&gt;Y$10,_xlfn.NORM.DIST(Table2912[[#This Row],[DMD '[mg/g']]],Y$6,Y$2,FALSE),-100)</f>
        <v>-100</v>
      </c>
      <c r="BR394">
        <f>IF(Table2912[[#This Row],[CH4 '[ml/g']]]&lt;Z$10,_xlfn.NORM.DIST(Table2912[[#This Row],[CH4 '[ml/g']]],Z$6,Z$2,FALSE),-100)</f>
        <v>-100</v>
      </c>
      <c r="BS394">
        <f>IF(Table2912[[#This Row],[CH4 '[% GP']]]&lt;AA$10,_xlfn.NORM.DIST(Table2912[[#This Row],[CH4 '[% GP']]],AA$6,AA$2,FALSE),-100)</f>
        <v>-100</v>
      </c>
      <c r="BT394">
        <f>IF(Table2912[[#This Row],[CH4 '[g/g DDM']]]&lt;AB$10,_xlfn.NORM.DIST(Table2912[[#This Row],[CH4 '[g/g DDM']]],AB$6,AB$2,FALSE),-100)</f>
        <v>-100</v>
      </c>
    </row>
    <row r="395" spans="1:72" x14ac:dyDescent="0.25">
      <c r="A395" s="12" t="s">
        <v>200</v>
      </c>
      <c r="B395" s="13">
        <v>1201</v>
      </c>
      <c r="C395" s="113" t="s">
        <v>484</v>
      </c>
      <c r="D395" s="113" t="s">
        <v>262</v>
      </c>
      <c r="E395" s="113" t="s">
        <v>411</v>
      </c>
      <c r="F395" s="113" t="s">
        <v>412</v>
      </c>
      <c r="G395" t="s">
        <v>73</v>
      </c>
      <c r="H395" t="s">
        <v>74</v>
      </c>
      <c r="I395" t="s">
        <v>75</v>
      </c>
      <c r="J395" s="70">
        <v>3</v>
      </c>
      <c r="K395" s="70"/>
      <c r="L395" s="70"/>
      <c r="M395" t="s">
        <v>485</v>
      </c>
      <c r="N395" t="s">
        <v>237</v>
      </c>
      <c r="O395" s="18">
        <v>243.13584864391927</v>
      </c>
      <c r="P395" s="18">
        <v>6.6855414868328102</v>
      </c>
      <c r="Q395" s="97">
        <v>0.65426170312938026</v>
      </c>
      <c r="R395" s="97">
        <v>0.17946422684399199</v>
      </c>
      <c r="S395" s="97">
        <v>9.9292654168595285E-2</v>
      </c>
      <c r="T395" s="97">
        <v>1.5232483226483897E-2</v>
      </c>
      <c r="U395" s="97">
        <v>2.8401487568336329E-3</v>
      </c>
      <c r="V395" s="97">
        <v>1.6798259206729775E-2</v>
      </c>
      <c r="W395" s="97">
        <v>3.2110524667985085E-2</v>
      </c>
      <c r="X395" s="51">
        <f t="shared" si="26"/>
        <v>6.8752529265421298</v>
      </c>
      <c r="Y395" s="18">
        <v>875.79281592747839</v>
      </c>
      <c r="Z395" s="18">
        <v>45.964788672866099</v>
      </c>
      <c r="AA395" s="18">
        <f t="shared" si="27"/>
        <v>18.904982103310932</v>
      </c>
      <c r="AB395" s="18">
        <f t="shared" si="28"/>
        <v>52.483632928855059</v>
      </c>
      <c r="AC395" s="18">
        <f>$CP$15*Table2912[[#This Row],[DMD '[mg/g']]]+$CS$15*Table2912[[#This Row],[CH4 '[ml/g']]]+$CR$15*Table2912[[#This Row],[CH4 '[% GP']]]+$CQ$15*Table2912[[#This Row],[CH4 '[g/g DDM']]]</f>
        <v>21.999641328323662</v>
      </c>
      <c r="AD395" s="18">
        <f>_xlfn.RANK.AVG(Table2912[[#This Row],[Index]],Table2912[Index])</f>
        <v>133</v>
      </c>
      <c r="AE39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6.2377344522671336</v>
      </c>
      <c r="AF395" s="18">
        <f>Table2912[[#This Row],[CH4 '[ml/g']]]/Table2912[[#This Row],[APB]]</f>
        <v>7.3688274203721482</v>
      </c>
      <c r="AG395" s="18">
        <f>Table2912[[#This Row],[Propionate '[%']]]/Table2912[[#This Row],[Acetate '[%']]]</f>
        <v>0.27430036938674818</v>
      </c>
      <c r="AH395" s="51"/>
      <c r="AI395" s="18"/>
      <c r="AJ395" s="18"/>
      <c r="AK395" s="18">
        <f>(Table2912[[#This Row],[DMD '[mg/g']]]-$AK$15)/$AK$15*100</f>
        <v>78.627829938071287</v>
      </c>
      <c r="AL395" s="18">
        <f>(Table2912[[#This Row],[CH4 '[ml/g']]]-AL$15)/AL$15*100</f>
        <v>16.862975917731521</v>
      </c>
      <c r="AM395" s="18">
        <f>(Table2912[[#This Row],[CH4 '[% GP']]]-AM$15)/AM$15*100</f>
        <v>21.791980541407952</v>
      </c>
      <c r="AN395" s="18">
        <f>(Table2912[[#This Row],[CH4 '[g/g DDM']]]-AN$15)/AN$15*100</f>
        <v>2.4760221845683632</v>
      </c>
      <c r="AO395" s="18"/>
      <c r="AP395" s="18"/>
      <c r="AR395">
        <f>_xlfn.NORM.DIST(Table2912[[#This Row],[GP '[ml/g']]],O$6,O$2,FALSE)</f>
        <v>7.2818819034630574E-3</v>
      </c>
      <c r="AS395">
        <f>_xlfn.NORM.DIST(Table2912[[#This Row],[SCFA '[mmol/g']]],P$6,P$2,FALSE)</f>
        <v>0.33021583838972957</v>
      </c>
      <c r="AT395">
        <f>_xlfn.NORM.DIST(Table2912[[#This Row],[Acetate '[%']]],Q$6,Q$2,FALSE)</f>
        <v>11.257514654227405</v>
      </c>
      <c r="AU395">
        <f>_xlfn.NORM.DIST(Table2912[[#This Row],[Propionate '[%']]],R$6,R$2,FALSE)</f>
        <v>15.954346334602173</v>
      </c>
      <c r="AV395">
        <f>_xlfn.NORM.DIST(Table2912[[#This Row],[Butyrate '[%']]],S$6,S$2,FALSE)</f>
        <v>21.524052499512415</v>
      </c>
      <c r="AW395">
        <f>_xlfn.NORM.DIST(Table2912[[#This Row],[Valerate '[%']]],T$6,T$2,FALSE)</f>
        <v>69.277474968874458</v>
      </c>
      <c r="AX395">
        <f>_xlfn.NORM.DIST(Table2912[[#This Row],[Caproate '[%']]],U$6,U$2,FALSE)</f>
        <v>124.84918308271243</v>
      </c>
      <c r="AY395">
        <f>_xlfn.NORM.DIST(Table2912[[#This Row],[Isobutyrate '[%']]],V$6,V$2,FALSE)</f>
        <v>85.249837469497493</v>
      </c>
      <c r="AZ395">
        <f>_xlfn.NORM.DIST(Table2912[[#This Row],[Isovalerate '[%']]],W$6,W$2,FALSE)</f>
        <v>40.485890124277738</v>
      </c>
      <c r="BA395">
        <f>_xlfn.NORM.DIST(Table2912[[#This Row],[CH4 '[g/mmol SCFA']]],X$6,X$2,FALSE)</f>
        <v>0.26976377688106984</v>
      </c>
      <c r="BB395">
        <f>_xlfn.NORM.DIST(Table2912[[#This Row],[DMD '[mg/g']]],Y$6,Y$2,FALSE)</f>
        <v>2.2348608708035959E-3</v>
      </c>
      <c r="BC395">
        <f>_xlfn.NORM.DIST(Table2912[[#This Row],[CH4 '[ml/g']]],Z$6,Z$2,FALSE)</f>
        <v>3.113000963241409E-2</v>
      </c>
      <c r="BD395">
        <f>_xlfn.NORM.DIST(Table2912[[#This Row],[CH4 '[% GP']]],AA$6,AA$2,FALSE)</f>
        <v>8.5146639800937507E-2</v>
      </c>
      <c r="BE395">
        <f>_xlfn.NORM.DIST(Table2912[[#This Row],[CH4 '[g/g DDM']]],AB$6,AB$2,FALSE)</f>
        <v>3.2767824966980962E-2</v>
      </c>
      <c r="BG395">
        <f>IF(Table2912[[#This Row],[GP '[ml/g']]]&lt;O$10,_xlfn.NORM.DIST(Table2912[[#This Row],[GP '[ml/g']]],O$6,O$2,FALSE),-100)</f>
        <v>-100</v>
      </c>
      <c r="BH395">
        <f>IF(Table2912[[#This Row],[SCFA '[mmol/g']]]&lt;P$10,_xlfn.NORM.DIST(Table2912[[#This Row],[SCFA '[mmol/g']]],P$6,P$2,FALSE),-100)</f>
        <v>-100</v>
      </c>
      <c r="BI395">
        <f>IF(Table2912[[#This Row],[Acetate '[%']]]&lt;Q$10,_xlfn.NORM.DIST(Table2912[[#This Row],[Acetate '[%']]],Q$6,Q$2,FALSE),-100)</f>
        <v>-100</v>
      </c>
      <c r="BJ395">
        <f>IF(Table2912[[#This Row],[Propionate '[%']]]&lt;R$10,_xlfn.NORM.DIST(Table2912[[#This Row],[Propionate '[%']]],R$6,R$2,FALSE),-100)</f>
        <v>-100</v>
      </c>
      <c r="BK395">
        <f>IF(Table2912[[#This Row],[Butyrate '[%']]]&lt;S$10,_xlfn.NORM.DIST(Table2912[[#This Row],[Butyrate '[%']]],S$6,S$2,FALSE),-100)</f>
        <v>-100</v>
      </c>
      <c r="BL395">
        <f>IF(Table2912[[#This Row],[Valerate '[%']]]&lt;T$10,_xlfn.NORM.DIST(Table2912[[#This Row],[Valerate '[%']]],T$6,T$2,FALSE),-100)</f>
        <v>-100</v>
      </c>
      <c r="BM395">
        <f>IF(Table2912[[#This Row],[Caproate '[%']]]&lt;U$10,_xlfn.NORM.DIST(Table2912[[#This Row],[Caproate '[%']]],U$6,U$2,FALSE),-100)</f>
        <v>-100</v>
      </c>
      <c r="BN395">
        <f>IF(Table2912[[#This Row],[Isobutyrate '[%']]]&lt;V$10,_xlfn.NORM.DIST(Table2912[[#This Row],[Isobutyrate '[%']]],V$6,V$2,FALSE),-100)</f>
        <v>-100</v>
      </c>
      <c r="BO395">
        <f>IF(Table2912[[#This Row],[Isovalerate '[%']]]&lt;W$10,_xlfn.NORM.DIST(Table2912[[#This Row],[Isovalerate '[%']]],W$6,W$2,FALSE),-100)</f>
        <v>-100</v>
      </c>
      <c r="BP395">
        <f>IF(Table2912[[#This Row],[CH4 '[g/mmol SCFA']]]&lt;X$10,_xlfn.NORM.DIST(Table2912[[#This Row],[CH4 '[g/mmol SCFA']]],X$6,X$2,FALSE),-100)</f>
        <v>-100</v>
      </c>
      <c r="BQ395">
        <f>IF(Table2912[[#This Row],[DMD '[mg/g']]]&gt;Y$10,_xlfn.NORM.DIST(Table2912[[#This Row],[DMD '[mg/g']]],Y$6,Y$2,FALSE),-100)</f>
        <v>-100</v>
      </c>
      <c r="BR395">
        <f>IF(Table2912[[#This Row],[CH4 '[ml/g']]]&lt;Z$10,_xlfn.NORM.DIST(Table2912[[#This Row],[CH4 '[ml/g']]],Z$6,Z$2,FALSE),-100)</f>
        <v>-100</v>
      </c>
      <c r="BS395">
        <f>IF(Table2912[[#This Row],[CH4 '[% GP']]]&lt;AA$10,_xlfn.NORM.DIST(Table2912[[#This Row],[CH4 '[% GP']]],AA$6,AA$2,FALSE),-100)</f>
        <v>-100</v>
      </c>
      <c r="BT395">
        <f>IF(Table2912[[#This Row],[CH4 '[g/g DDM']]]&lt;AB$10,_xlfn.NORM.DIST(Table2912[[#This Row],[CH4 '[g/g DDM']]],AB$6,AB$2,FALSE),-100)</f>
        <v>-100</v>
      </c>
    </row>
    <row r="396" spans="1:72" x14ac:dyDescent="0.25">
      <c r="A396" s="12" t="s">
        <v>200</v>
      </c>
      <c r="B396" s="13">
        <v>1190</v>
      </c>
      <c r="C396" s="113" t="s">
        <v>486</v>
      </c>
      <c r="D396" s="113" t="s">
        <v>487</v>
      </c>
      <c r="E396" s="113" t="s">
        <v>488</v>
      </c>
      <c r="F396" s="113" t="s">
        <v>489</v>
      </c>
      <c r="G396" s="128" t="s">
        <v>490</v>
      </c>
      <c r="H396" s="128" t="s">
        <v>491</v>
      </c>
      <c r="I396" s="99" t="s">
        <v>48</v>
      </c>
      <c r="J396" s="70">
        <v>2</v>
      </c>
      <c r="K396" s="70"/>
      <c r="L396" s="70"/>
      <c r="M396" t="s">
        <v>492</v>
      </c>
      <c r="N396" t="s">
        <v>208</v>
      </c>
      <c r="O396" s="18">
        <v>248.84520997375378</v>
      </c>
      <c r="P396" s="18">
        <v>6.4065349662319893</v>
      </c>
      <c r="Q396" s="97">
        <v>0.71770166078890074</v>
      </c>
      <c r="R396" s="97">
        <v>0.17356502462213347</v>
      </c>
      <c r="S396" s="97">
        <v>6.3377567512122979E-2</v>
      </c>
      <c r="T396" s="97">
        <v>1.1303426584191451E-2</v>
      </c>
      <c r="U396" s="97">
        <v>1.8863693045017774E-4</v>
      </c>
      <c r="V396" s="97">
        <v>1.290761492304536E-2</v>
      </c>
      <c r="W396" s="97">
        <v>2.095606863915575E-2</v>
      </c>
      <c r="X396" s="51">
        <f t="shared" si="26"/>
        <v>5.2726559392957242</v>
      </c>
      <c r="Y396" s="18">
        <v>875.84463256322238</v>
      </c>
      <c r="Z396" s="18">
        <v>33.779454640008829</v>
      </c>
      <c r="AA396" s="18">
        <f t="shared" si="27"/>
        <v>13.574484573591599</v>
      </c>
      <c r="AB396" s="18">
        <f t="shared" si="28"/>
        <v>38.567861677876387</v>
      </c>
      <c r="AC396" s="18">
        <f>$CP$15*Table2912[[#This Row],[DMD '[mg/g']]]+$CS$15*Table2912[[#This Row],[CH4 '[ml/g']]]+$CR$15*Table2912[[#This Row],[CH4 '[% GP']]]+$CQ$15*Table2912[[#This Row],[CH4 '[g/g DDM']]]</f>
        <v>28.700429695072941</v>
      </c>
      <c r="AD396" s="18">
        <f>_xlfn.RANK.AVG(Table2912[[#This Row],[Index]],Table2912[Index])</f>
        <v>59</v>
      </c>
      <c r="AE39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6.1159617866646219</v>
      </c>
      <c r="AF396" s="18">
        <f>Table2912[[#This Row],[CH4 '[ml/g']]]/Table2912[[#This Row],[APB]]</f>
        <v>5.5231631292501362</v>
      </c>
      <c r="AG396" s="18">
        <f>Table2912[[#This Row],[Propionate '[%']]]/Table2912[[#This Row],[Acetate '[%']]]</f>
        <v>0.24183450325494588</v>
      </c>
      <c r="AH396" s="51"/>
      <c r="AI396" s="18"/>
      <c r="AJ396" s="18"/>
      <c r="AK396" s="18">
        <f>(Table2912[[#This Row],[DMD '[mg/g']]]-$AK$15)/$AK$15*100</f>
        <v>78.638398525788958</v>
      </c>
      <c r="AL396" s="18">
        <f>(Table2912[[#This Row],[CH4 '[ml/g']]]-AL$15)/AL$15*100</f>
        <v>-14.117573297149056</v>
      </c>
      <c r="AM396" s="18">
        <f>(Table2912[[#This Row],[CH4 '[% GP']]]-AM$15)/AM$15*100</f>
        <v>-12.548800521902345</v>
      </c>
      <c r="AN396" s="18">
        <f>(Table2912[[#This Row],[CH4 '[g/g DDM']]]-AN$15)/AN$15*100</f>
        <v>-24.694979589713313</v>
      </c>
      <c r="AO396" s="18"/>
      <c r="AP396" s="18"/>
      <c r="AR396">
        <f>_xlfn.NORM.DIST(Table2912[[#This Row],[GP '[ml/g']]],O$6,O$2,FALSE)</f>
        <v>7.4220448661928232E-3</v>
      </c>
      <c r="AS396">
        <f>_xlfn.NORM.DIST(Table2912[[#This Row],[SCFA '[mmol/g']]],P$6,P$2,FALSE)</f>
        <v>0.33076519186411629</v>
      </c>
      <c r="AT396">
        <f>_xlfn.NORM.DIST(Table2912[[#This Row],[Acetate '[%']]],Q$6,Q$2,FALSE)</f>
        <v>4.1071109694747054</v>
      </c>
      <c r="AU396">
        <f>_xlfn.NORM.DIST(Table2912[[#This Row],[Propionate '[%']]],R$6,R$2,FALSE)</f>
        <v>16.748278795362697</v>
      </c>
      <c r="AV396">
        <f>_xlfn.NORM.DIST(Table2912[[#This Row],[Butyrate '[%']]],S$6,S$2,FALSE)</f>
        <v>5.3784160010560758</v>
      </c>
      <c r="AW396">
        <f>_xlfn.NORM.DIST(Table2912[[#This Row],[Valerate '[%']]],T$6,T$2,FALSE)</f>
        <v>36.190046130371023</v>
      </c>
      <c r="AX396">
        <f>_xlfn.NORM.DIST(Table2912[[#This Row],[Caproate '[%']]],U$6,U$2,FALSE)</f>
        <v>205.88445390847019</v>
      </c>
      <c r="AY396">
        <f>_xlfn.NORM.DIST(Table2912[[#This Row],[Isobutyrate '[%']]],V$6,V$2,FALSE)</f>
        <v>77.730318822601134</v>
      </c>
      <c r="AZ396">
        <f>_xlfn.NORM.DIST(Table2912[[#This Row],[Isovalerate '[%']]],W$6,W$2,FALSE)</f>
        <v>33.247239029483467</v>
      </c>
      <c r="BA396">
        <f>_xlfn.NORM.DIST(Table2912[[#This Row],[CH4 '[g/mmol SCFA']]],X$6,X$2,FALSE)</f>
        <v>0.22398824514559773</v>
      </c>
      <c r="BB396">
        <f>_xlfn.NORM.DIST(Table2912[[#This Row],[DMD '[mg/g']]],Y$6,Y$2,FALSE)</f>
        <v>2.2342433421697972E-3</v>
      </c>
      <c r="BC396">
        <f>_xlfn.NORM.DIST(Table2912[[#This Row],[CH4 '[ml/g']]],Z$6,Z$2,FALSE)</f>
        <v>2.7303368651128677E-2</v>
      </c>
      <c r="BD396">
        <f>_xlfn.NORM.DIST(Table2912[[#This Row],[CH4 '[% GP']]],AA$6,AA$2,FALSE)</f>
        <v>9.4499687350043951E-2</v>
      </c>
      <c r="BE396">
        <f>_xlfn.NORM.DIST(Table2912[[#This Row],[CH4 '[g/g DDM']]],AB$6,AB$2,FALSE)</f>
        <v>1.5653767718536254E-2</v>
      </c>
      <c r="BG396">
        <f>IF(Table2912[[#This Row],[GP '[ml/g']]]&lt;O$10,_xlfn.NORM.DIST(Table2912[[#This Row],[GP '[ml/g']]],O$6,O$2,FALSE),-100)</f>
        <v>-100</v>
      </c>
      <c r="BH396">
        <f>IF(Table2912[[#This Row],[SCFA '[mmol/g']]]&lt;P$10,_xlfn.NORM.DIST(Table2912[[#This Row],[SCFA '[mmol/g']]],P$6,P$2,FALSE),-100)</f>
        <v>-100</v>
      </c>
      <c r="BI396">
        <f>IF(Table2912[[#This Row],[Acetate '[%']]]&lt;Q$10,_xlfn.NORM.DIST(Table2912[[#This Row],[Acetate '[%']]],Q$6,Q$2,FALSE),-100)</f>
        <v>-100</v>
      </c>
      <c r="BJ396">
        <f>IF(Table2912[[#This Row],[Propionate '[%']]]&lt;R$10,_xlfn.NORM.DIST(Table2912[[#This Row],[Propionate '[%']]],R$6,R$2,FALSE),-100)</f>
        <v>-100</v>
      </c>
      <c r="BK396">
        <f>IF(Table2912[[#This Row],[Butyrate '[%']]]&lt;S$10,_xlfn.NORM.DIST(Table2912[[#This Row],[Butyrate '[%']]],S$6,S$2,FALSE),-100)</f>
        <v>5.3784160010560758</v>
      </c>
      <c r="BL396">
        <f>IF(Table2912[[#This Row],[Valerate '[%']]]&lt;T$10,_xlfn.NORM.DIST(Table2912[[#This Row],[Valerate '[%']]],T$6,T$2,FALSE),-100)</f>
        <v>36.190046130371023</v>
      </c>
      <c r="BM396">
        <f>IF(Table2912[[#This Row],[Caproate '[%']]]&lt;U$10,_xlfn.NORM.DIST(Table2912[[#This Row],[Caproate '[%']]],U$6,U$2,FALSE),-100)</f>
        <v>205.88445390847019</v>
      </c>
      <c r="BN396">
        <f>IF(Table2912[[#This Row],[Isobutyrate '[%']]]&lt;V$10,_xlfn.NORM.DIST(Table2912[[#This Row],[Isobutyrate '[%']]],V$6,V$2,FALSE),-100)</f>
        <v>-100</v>
      </c>
      <c r="BO396">
        <f>IF(Table2912[[#This Row],[Isovalerate '[%']]]&lt;W$10,_xlfn.NORM.DIST(Table2912[[#This Row],[Isovalerate '[%']]],W$6,W$2,FALSE),-100)</f>
        <v>-100</v>
      </c>
      <c r="BP396">
        <f>IF(Table2912[[#This Row],[CH4 '[g/mmol SCFA']]]&lt;X$10,_xlfn.NORM.DIST(Table2912[[#This Row],[CH4 '[g/mmol SCFA']]],X$6,X$2,FALSE),-100)</f>
        <v>-100</v>
      </c>
      <c r="BQ396">
        <f>IF(Table2912[[#This Row],[DMD '[mg/g']]]&gt;Y$10,_xlfn.NORM.DIST(Table2912[[#This Row],[DMD '[mg/g']]],Y$6,Y$2,FALSE),-100)</f>
        <v>-100</v>
      </c>
      <c r="BR396">
        <f>IF(Table2912[[#This Row],[CH4 '[ml/g']]]&lt;Z$10,_xlfn.NORM.DIST(Table2912[[#This Row],[CH4 '[ml/g']]],Z$6,Z$2,FALSE),-100)</f>
        <v>-100</v>
      </c>
      <c r="BS396">
        <f>IF(Table2912[[#This Row],[CH4 '[% GP']]]&lt;AA$10,_xlfn.NORM.DIST(Table2912[[#This Row],[CH4 '[% GP']]],AA$6,AA$2,FALSE),-100)</f>
        <v>-100</v>
      </c>
      <c r="BT396">
        <f>IF(Table2912[[#This Row],[CH4 '[g/g DDM']]]&lt;AB$10,_xlfn.NORM.DIST(Table2912[[#This Row],[CH4 '[g/g DDM']]],AB$6,AB$2,FALSE),-100)</f>
        <v>-100</v>
      </c>
    </row>
    <row r="397" spans="1:72" x14ac:dyDescent="0.25">
      <c r="A397" s="12" t="s">
        <v>200</v>
      </c>
      <c r="B397" s="13">
        <v>1207</v>
      </c>
      <c r="C397" s="113" t="s">
        <v>480</v>
      </c>
      <c r="D397" s="113" t="s">
        <v>262</v>
      </c>
      <c r="E397" s="113" t="s">
        <v>411</v>
      </c>
      <c r="F397" s="113" t="s">
        <v>412</v>
      </c>
      <c r="G397" t="s">
        <v>73</v>
      </c>
      <c r="H397" t="s">
        <v>74</v>
      </c>
      <c r="I397" t="s">
        <v>75</v>
      </c>
      <c r="J397" s="70">
        <v>2</v>
      </c>
      <c r="K397" s="70"/>
      <c r="L397" s="70"/>
      <c r="M397" t="s">
        <v>481</v>
      </c>
      <c r="N397" t="s">
        <v>352</v>
      </c>
      <c r="O397" s="18">
        <v>277.38468941382337</v>
      </c>
      <c r="P397" s="18">
        <v>7.4567137441153175</v>
      </c>
      <c r="Q397" s="97">
        <v>0.63956392699984455</v>
      </c>
      <c r="R397" s="97">
        <v>0.18076550361788471</v>
      </c>
      <c r="S397" s="97">
        <v>0.10356997901587676</v>
      </c>
      <c r="T397" s="97">
        <v>1.9516521453130875E-2</v>
      </c>
      <c r="U397" s="97">
        <v>4.5274815500217225E-3</v>
      </c>
      <c r="V397" s="97">
        <v>1.8412509765829713E-2</v>
      </c>
      <c r="W397" s="97">
        <v>3.3644077597411851E-2</v>
      </c>
      <c r="X397" s="51">
        <f t="shared" si="26"/>
        <v>7.0552987115892556</v>
      </c>
      <c r="Y397" s="18">
        <v>875.9990070685609</v>
      </c>
      <c r="Z397" s="18">
        <v>52.609342871546694</v>
      </c>
      <c r="AA397" s="18">
        <f t="shared" si="27"/>
        <v>18.966202850893517</v>
      </c>
      <c r="AB397" s="18">
        <f t="shared" si="28"/>
        <v>60.056395551860682</v>
      </c>
      <c r="AC397" s="18">
        <f>$CP$15*Table2912[[#This Row],[DMD '[mg/g']]]+$CS$15*Table2912[[#This Row],[CH4 '[ml/g']]]+$CR$15*Table2912[[#This Row],[CH4 '[% GP']]]+$CQ$15*Table2912[[#This Row],[CH4 '[g/g DDM']]]</f>
        <v>19.227064812586434</v>
      </c>
      <c r="AD397" s="18">
        <f>_xlfn.RANK.AVG(Table2912[[#This Row],[Index]],Table2912[Index])</f>
        <v>176</v>
      </c>
      <c r="AE39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6.8892534259949372</v>
      </c>
      <c r="AF397" s="18">
        <f>Table2912[[#This Row],[CH4 '[ml/g']]]/Table2912[[#This Row],[APB]]</f>
        <v>7.6364359994419742</v>
      </c>
      <c r="AG397" s="18">
        <f>Table2912[[#This Row],[Propionate '[%']]]/Table2912[[#This Row],[Acetate '[%']]]</f>
        <v>0.28263867924172126</v>
      </c>
      <c r="AH397" s="51"/>
      <c r="AI397" s="18"/>
      <c r="AJ397" s="18"/>
      <c r="AK397" s="18">
        <f>(Table2912[[#This Row],[DMD '[mg/g']]]-$AK$15)/$AK$15*100</f>
        <v>78.669884948587693</v>
      </c>
      <c r="AL397" s="18">
        <f>(Table2912[[#This Row],[CH4 '[ml/g']]]-AL$15)/AL$15*100</f>
        <v>33.756393677810479</v>
      </c>
      <c r="AM397" s="18">
        <f>(Table2912[[#This Row],[CH4 '[% GP']]]-AM$15)/AM$15*100</f>
        <v>22.186384305323852</v>
      </c>
      <c r="AN397" s="18">
        <f>(Table2912[[#This Row],[CH4 '[g/g DDM']]]-AN$15)/AN$15*100</f>
        <v>17.262090664346587</v>
      </c>
      <c r="AO397" s="18"/>
      <c r="AP397" s="18"/>
      <c r="AR397">
        <f>_xlfn.NORM.DIST(Table2912[[#This Row],[GP '[ml/g']]],O$6,O$2,FALSE)</f>
        <v>6.875429346154668E-3</v>
      </c>
      <c r="AS397">
        <f>_xlfn.NORM.DIST(Table2912[[#This Row],[SCFA '[mmol/g']]],P$6,P$2,FALSE)</f>
        <v>0.24800624098330626</v>
      </c>
      <c r="AT397">
        <f>_xlfn.NORM.DIST(Table2912[[#This Row],[Acetate '[%']]],Q$6,Q$2,FALSE)</f>
        <v>6.9919634848741676</v>
      </c>
      <c r="AU397">
        <f>_xlfn.NORM.DIST(Table2912[[#This Row],[Propionate '[%']]],R$6,R$2,FALSE)</f>
        <v>15.653890885771194</v>
      </c>
      <c r="AV397">
        <f>_xlfn.NORM.DIST(Table2912[[#This Row],[Butyrate '[%']]],S$6,S$2,FALSE)</f>
        <v>19.065400642507452</v>
      </c>
      <c r="AW397">
        <f>_xlfn.NORM.DIST(Table2912[[#This Row],[Valerate '[%']]],T$6,T$2,FALSE)</f>
        <v>72.52987606818283</v>
      </c>
      <c r="AX397">
        <f>_xlfn.NORM.DIST(Table2912[[#This Row],[Caproate '[%']]],U$6,U$2,FALSE)</f>
        <v>2.0147513145131746</v>
      </c>
      <c r="AY397">
        <f>_xlfn.NORM.DIST(Table2912[[#This Row],[Isobutyrate '[%']]],V$6,V$2,FALSE)</f>
        <v>70.596044372221272</v>
      </c>
      <c r="AZ397">
        <f>_xlfn.NORM.DIST(Table2912[[#This Row],[Isovalerate '[%']]],W$6,W$2,FALSE)</f>
        <v>36.666888101372479</v>
      </c>
      <c r="BA397">
        <f>_xlfn.NORM.DIST(Table2912[[#This Row],[CH4 '[g/mmol SCFA']]],X$6,X$2,FALSE)</f>
        <v>0.25195516270775253</v>
      </c>
      <c r="BB397">
        <f>_xlfn.NORM.DIST(Table2912[[#This Row],[DMD '[mg/g']]],Y$6,Y$2,FALSE)</f>
        <v>2.2324026854306646E-3</v>
      </c>
      <c r="BC397">
        <f>_xlfn.NORM.DIST(Table2912[[#This Row],[CH4 '[ml/g']]],Z$6,Z$2,FALSE)</f>
        <v>2.1507869776055333E-2</v>
      </c>
      <c r="BD397">
        <f>_xlfn.NORM.DIST(Table2912[[#This Row],[CH4 '[% GP']]],AA$6,AA$2,FALSE)</f>
        <v>8.3459206143277009E-2</v>
      </c>
      <c r="BE397">
        <f>_xlfn.NORM.DIST(Table2912[[#This Row],[CH4 '[g/g DDM']]],AB$6,AB$2,FALSE)</f>
        <v>2.8210991105182166E-2</v>
      </c>
      <c r="BG397">
        <f>IF(Table2912[[#This Row],[GP '[ml/g']]]&lt;O$10,_xlfn.NORM.DIST(Table2912[[#This Row],[GP '[ml/g']]],O$6,O$2,FALSE),-100)</f>
        <v>-100</v>
      </c>
      <c r="BH397">
        <f>IF(Table2912[[#This Row],[SCFA '[mmol/g']]]&lt;P$10,_xlfn.NORM.DIST(Table2912[[#This Row],[SCFA '[mmol/g']]],P$6,P$2,FALSE),-100)</f>
        <v>-100</v>
      </c>
      <c r="BI397">
        <f>IF(Table2912[[#This Row],[Acetate '[%']]]&lt;Q$10,_xlfn.NORM.DIST(Table2912[[#This Row],[Acetate '[%']]],Q$6,Q$2,FALSE),-100)</f>
        <v>6.9919634848741676</v>
      </c>
      <c r="BJ397">
        <f>IF(Table2912[[#This Row],[Propionate '[%']]]&lt;R$10,_xlfn.NORM.DIST(Table2912[[#This Row],[Propionate '[%']]],R$6,R$2,FALSE),-100)</f>
        <v>-100</v>
      </c>
      <c r="BK397">
        <f>IF(Table2912[[#This Row],[Butyrate '[%']]]&lt;S$10,_xlfn.NORM.DIST(Table2912[[#This Row],[Butyrate '[%']]],S$6,S$2,FALSE),-100)</f>
        <v>-100</v>
      </c>
      <c r="BL397">
        <f>IF(Table2912[[#This Row],[Valerate '[%']]]&lt;T$10,_xlfn.NORM.DIST(Table2912[[#This Row],[Valerate '[%']]],T$6,T$2,FALSE),-100)</f>
        <v>-100</v>
      </c>
      <c r="BM397">
        <f>IF(Table2912[[#This Row],[Caproate '[%']]]&lt;U$10,_xlfn.NORM.DIST(Table2912[[#This Row],[Caproate '[%']]],U$6,U$2,FALSE),-100)</f>
        <v>-100</v>
      </c>
      <c r="BN397">
        <f>IF(Table2912[[#This Row],[Isobutyrate '[%']]]&lt;V$10,_xlfn.NORM.DIST(Table2912[[#This Row],[Isobutyrate '[%']]],V$6,V$2,FALSE),-100)</f>
        <v>-100</v>
      </c>
      <c r="BO397">
        <f>IF(Table2912[[#This Row],[Isovalerate '[%']]]&lt;W$10,_xlfn.NORM.DIST(Table2912[[#This Row],[Isovalerate '[%']]],W$6,W$2,FALSE),-100)</f>
        <v>-100</v>
      </c>
      <c r="BP397">
        <f>IF(Table2912[[#This Row],[CH4 '[g/mmol SCFA']]]&lt;X$10,_xlfn.NORM.DIST(Table2912[[#This Row],[CH4 '[g/mmol SCFA']]],X$6,X$2,FALSE),-100)</f>
        <v>-100</v>
      </c>
      <c r="BQ397">
        <f>IF(Table2912[[#This Row],[DMD '[mg/g']]]&gt;Y$10,_xlfn.NORM.DIST(Table2912[[#This Row],[DMD '[mg/g']]],Y$6,Y$2,FALSE),-100)</f>
        <v>-100</v>
      </c>
      <c r="BR397">
        <f>IF(Table2912[[#This Row],[CH4 '[ml/g']]]&lt;Z$10,_xlfn.NORM.DIST(Table2912[[#This Row],[CH4 '[ml/g']]],Z$6,Z$2,FALSE),-100)</f>
        <v>-100</v>
      </c>
      <c r="BS397">
        <f>IF(Table2912[[#This Row],[CH4 '[% GP']]]&lt;AA$10,_xlfn.NORM.DIST(Table2912[[#This Row],[CH4 '[% GP']]],AA$6,AA$2,FALSE),-100)</f>
        <v>-100</v>
      </c>
      <c r="BT397">
        <f>IF(Table2912[[#This Row],[CH4 '[g/g DDM']]]&lt;AB$10,_xlfn.NORM.DIST(Table2912[[#This Row],[CH4 '[g/g DDM']]],AB$6,AB$2,FALSE),-100)</f>
        <v>-100</v>
      </c>
    </row>
    <row r="398" spans="1:72" x14ac:dyDescent="0.25">
      <c r="A398" s="12" t="s">
        <v>86</v>
      </c>
      <c r="B398" s="13">
        <v>1078</v>
      </c>
      <c r="C398" s="104" t="s">
        <v>493</v>
      </c>
      <c r="D398" s="104" t="s">
        <v>494</v>
      </c>
      <c r="E398" s="104" t="s">
        <v>495</v>
      </c>
      <c r="F398" s="104" t="s">
        <v>496</v>
      </c>
      <c r="G398" s="32" t="s">
        <v>73</v>
      </c>
      <c r="H398" s="32" t="s">
        <v>74</v>
      </c>
      <c r="I398" s="104" t="s">
        <v>75</v>
      </c>
      <c r="J398" s="107">
        <v>3</v>
      </c>
      <c r="K398" s="107"/>
      <c r="L398" s="107"/>
      <c r="M398" t="s">
        <v>496</v>
      </c>
      <c r="N398" t="s">
        <v>99</v>
      </c>
      <c r="O398" s="18">
        <v>292.61678767876793</v>
      </c>
      <c r="P398" s="18">
        <v>7.1607524361903652</v>
      </c>
      <c r="Q398" s="97">
        <v>0.68530341707464348</v>
      </c>
      <c r="R398" s="97">
        <v>0.16134843547275013</v>
      </c>
      <c r="S398" s="97">
        <v>8.4619454703719676E-2</v>
      </c>
      <c r="T398" s="97">
        <v>2.2488328947348764E-2</v>
      </c>
      <c r="U398" s="97">
        <v>7.8108019828189868E-4</v>
      </c>
      <c r="V398" s="97">
        <v>1.710710097827909E-2</v>
      </c>
      <c r="W398" s="97">
        <v>2.8352182624976845E-2</v>
      </c>
      <c r="X398" s="51">
        <f t="shared" si="26"/>
        <v>8.6387435693683443</v>
      </c>
      <c r="Y398" s="18">
        <v>876.22807645656076</v>
      </c>
      <c r="Z398" s="18">
        <v>61.859904059978227</v>
      </c>
      <c r="AA398" s="18">
        <f t="shared" si="27"/>
        <v>21.14024439632885</v>
      </c>
      <c r="AB398" s="18">
        <f t="shared" si="28"/>
        <v>70.597947865512097</v>
      </c>
      <c r="AC398" s="18">
        <f>$CP$15*Table2912[[#This Row],[DMD '[mg/g']]]+$CS$15*Table2912[[#This Row],[CH4 '[ml/g']]]+$CR$15*Table2912[[#This Row],[CH4 '[% GP']]]+$CQ$15*Table2912[[#This Row],[CH4 '[g/g DDM']]]</f>
        <v>14.737316326783215</v>
      </c>
      <c r="AD398" s="18">
        <f>_xlfn.RANK.AVG(Table2912[[#This Row],[Index]],Table2912[Index])</f>
        <v>274</v>
      </c>
      <c r="AE39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6.6686032821525956</v>
      </c>
      <c r="AF398" s="18">
        <f>Table2912[[#This Row],[CH4 '[ml/g']]]/Table2912[[#This Row],[APB]]</f>
        <v>9.2762909177002548</v>
      </c>
      <c r="AG398" s="18">
        <f>Table2912[[#This Row],[Propionate '[%']]]/Table2912[[#This Row],[Acetate '[%']]]</f>
        <v>0.23544087400220273</v>
      </c>
      <c r="AH398" s="51"/>
      <c r="AI398" s="18"/>
      <c r="AJ398" s="18"/>
      <c r="AK398" s="18">
        <f>(Table2912[[#This Row],[DMD '[mg/g']]]-$AK$15)/$AK$15*100</f>
        <v>78.716606235791119</v>
      </c>
      <c r="AL398" s="18">
        <f>(Table2912[[#This Row],[CH4 '[ml/g']]]-AL$15)/AL$15*100</f>
        <v>57.27544251066935</v>
      </c>
      <c r="AM398" s="18">
        <f>(Table2912[[#This Row],[CH4 '[% GP']]]-AM$15)/AM$15*100</f>
        <v>36.1922598015773</v>
      </c>
      <c r="AN398" s="18">
        <f>(Table2912[[#This Row],[CH4 '[g/g DDM']]]-AN$15)/AN$15*100</f>
        <v>37.844818811574648</v>
      </c>
      <c r="AO398" s="18"/>
      <c r="AP398" s="18"/>
      <c r="AR398">
        <f>_xlfn.NORM.DIST(Table2912[[#This Row],[GP '[ml/g']]],O$6,O$2,FALSE)</f>
        <v>5.8704691563891999E-3</v>
      </c>
      <c r="AS398">
        <f>_xlfn.NORM.DIST(Table2912[[#This Row],[SCFA '[mmol/g']]],P$6,P$2,FALSE)</f>
        <v>0.29068728588966858</v>
      </c>
      <c r="AT398">
        <f>_xlfn.NORM.DIST(Table2912[[#This Row],[Acetate '[%']]],Q$6,Q$2,FALSE)</f>
        <v>12.798145876884208</v>
      </c>
      <c r="AU398">
        <f>_xlfn.NORM.DIST(Table2912[[#This Row],[Propionate '[%']]],R$6,R$2,FALSE)</f>
        <v>15.223498275178157</v>
      </c>
      <c r="AV398">
        <f>_xlfn.NORM.DIST(Table2912[[#This Row],[Butyrate '[%']]],S$6,S$2,FALSE)</f>
        <v>20.531221129584925</v>
      </c>
      <c r="AW398">
        <f>_xlfn.NORM.DIST(Table2912[[#This Row],[Valerate '[%']]],T$6,T$2,FALSE)</f>
        <v>49.901323420125472</v>
      </c>
      <c r="AX398">
        <f>_xlfn.NORM.DIST(Table2912[[#This Row],[Caproate '[%']]],U$6,U$2,FALSE)</f>
        <v>347.2730468709787</v>
      </c>
      <c r="AY398">
        <f>_xlfn.NORM.DIST(Table2912[[#This Row],[Isobutyrate '[%']]],V$6,V$2,FALSE)</f>
        <v>83.079334163372053</v>
      </c>
      <c r="AZ398">
        <f>_xlfn.NORM.DIST(Table2912[[#This Row],[Isovalerate '[%']]],W$6,W$2,FALSE)</f>
        <v>45.36839643598514</v>
      </c>
      <c r="BA398">
        <f>_xlfn.NORM.DIST(Table2912[[#This Row],[CH4 '[g/mmol SCFA']]],X$6,X$2,FALSE)</f>
        <v>6.3603773664753643E-2</v>
      </c>
      <c r="BB398">
        <f>_xlfn.NORM.DIST(Table2912[[#This Row],[DMD '[mg/g']]],Y$6,Y$2,FALSE)</f>
        <v>2.2296689799686238E-3</v>
      </c>
      <c r="BC398">
        <f>_xlfn.NORM.DIST(Table2912[[#This Row],[CH4 '[ml/g']]],Z$6,Z$2,FALSE)</f>
        <v>7.6526618409514767E-3</v>
      </c>
      <c r="BD398">
        <f>_xlfn.NORM.DIST(Table2912[[#This Row],[CH4 '[% GP']]],AA$6,AA$2,FALSE)</f>
        <v>3.1076573867925731E-2</v>
      </c>
      <c r="BE398">
        <f>_xlfn.NORM.DIST(Table2912[[#This Row],[CH4 '[g/g DDM']]],AB$6,AB$2,FALSE)</f>
        <v>1.1987072486773602E-2</v>
      </c>
      <c r="BG398">
        <f>IF(Table2912[[#This Row],[GP '[ml/g']]]&lt;O$10,_xlfn.NORM.DIST(Table2912[[#This Row],[GP '[ml/g']]],O$6,O$2,FALSE),-100)</f>
        <v>-100</v>
      </c>
      <c r="BH398">
        <f>IF(Table2912[[#This Row],[SCFA '[mmol/g']]]&lt;P$10,_xlfn.NORM.DIST(Table2912[[#This Row],[SCFA '[mmol/g']]],P$6,P$2,FALSE),-100)</f>
        <v>-100</v>
      </c>
      <c r="BI398">
        <f>IF(Table2912[[#This Row],[Acetate '[%']]]&lt;Q$10,_xlfn.NORM.DIST(Table2912[[#This Row],[Acetate '[%']]],Q$6,Q$2,FALSE),-100)</f>
        <v>-100</v>
      </c>
      <c r="BJ398">
        <f>IF(Table2912[[#This Row],[Propionate '[%']]]&lt;R$10,_xlfn.NORM.DIST(Table2912[[#This Row],[Propionate '[%']]],R$6,R$2,FALSE),-100)</f>
        <v>-100</v>
      </c>
      <c r="BK398">
        <f>IF(Table2912[[#This Row],[Butyrate '[%']]]&lt;S$10,_xlfn.NORM.DIST(Table2912[[#This Row],[Butyrate '[%']]],S$6,S$2,FALSE),-100)</f>
        <v>-100</v>
      </c>
      <c r="BL398">
        <f>IF(Table2912[[#This Row],[Valerate '[%']]]&lt;T$10,_xlfn.NORM.DIST(Table2912[[#This Row],[Valerate '[%']]],T$6,T$2,FALSE),-100)</f>
        <v>-100</v>
      </c>
      <c r="BM398">
        <f>IF(Table2912[[#This Row],[Caproate '[%']]]&lt;U$10,_xlfn.NORM.DIST(Table2912[[#This Row],[Caproate '[%']]],U$6,U$2,FALSE),-100)</f>
        <v>-100</v>
      </c>
      <c r="BN398">
        <f>IF(Table2912[[#This Row],[Isobutyrate '[%']]]&lt;V$10,_xlfn.NORM.DIST(Table2912[[#This Row],[Isobutyrate '[%']]],V$6,V$2,FALSE),-100)</f>
        <v>-100</v>
      </c>
      <c r="BO398">
        <f>IF(Table2912[[#This Row],[Isovalerate '[%']]]&lt;W$10,_xlfn.NORM.DIST(Table2912[[#This Row],[Isovalerate '[%']]],W$6,W$2,FALSE),-100)</f>
        <v>-100</v>
      </c>
      <c r="BP398">
        <f>IF(Table2912[[#This Row],[CH4 '[g/mmol SCFA']]]&lt;X$10,_xlfn.NORM.DIST(Table2912[[#This Row],[CH4 '[g/mmol SCFA']]],X$6,X$2,FALSE),-100)</f>
        <v>-100</v>
      </c>
      <c r="BQ398">
        <f>IF(Table2912[[#This Row],[DMD '[mg/g']]]&gt;Y$10,_xlfn.NORM.DIST(Table2912[[#This Row],[DMD '[mg/g']]],Y$6,Y$2,FALSE),-100)</f>
        <v>-100</v>
      </c>
      <c r="BR398">
        <f>IF(Table2912[[#This Row],[CH4 '[ml/g']]]&lt;Z$10,_xlfn.NORM.DIST(Table2912[[#This Row],[CH4 '[ml/g']]],Z$6,Z$2,FALSE),-100)</f>
        <v>-100</v>
      </c>
      <c r="BS398">
        <f>IF(Table2912[[#This Row],[CH4 '[% GP']]]&lt;AA$10,_xlfn.NORM.DIST(Table2912[[#This Row],[CH4 '[% GP']]],AA$6,AA$2,FALSE),-100)</f>
        <v>-100</v>
      </c>
      <c r="BT398">
        <f>IF(Table2912[[#This Row],[CH4 '[g/g DDM']]]&lt;AB$10,_xlfn.NORM.DIST(Table2912[[#This Row],[CH4 '[g/g DDM']]],AB$6,AB$2,FALSE),-100)</f>
        <v>-100</v>
      </c>
    </row>
    <row r="399" spans="1:72" x14ac:dyDescent="0.25">
      <c r="A399" s="12" t="s">
        <v>86</v>
      </c>
      <c r="B399" s="13">
        <v>1093</v>
      </c>
      <c r="C399" s="104" t="s">
        <v>449</v>
      </c>
      <c r="D399" s="104" t="s">
        <v>450</v>
      </c>
      <c r="E399" s="104" t="s">
        <v>451</v>
      </c>
      <c r="F399" s="104" t="s">
        <v>452</v>
      </c>
      <c r="G399" s="32" t="s">
        <v>143</v>
      </c>
      <c r="H399" s="32" t="s">
        <v>144</v>
      </c>
      <c r="I399" s="32" t="s">
        <v>52</v>
      </c>
      <c r="J399" s="107">
        <v>2</v>
      </c>
      <c r="K399" s="107"/>
      <c r="L399" s="107"/>
      <c r="M399" t="s">
        <v>452</v>
      </c>
      <c r="N399" t="s">
        <v>98</v>
      </c>
      <c r="O399" s="18">
        <v>282.34011857707532</v>
      </c>
      <c r="P399" s="18">
        <v>7.3683574879227054</v>
      </c>
      <c r="Q399" s="97">
        <v>0.66819035818372552</v>
      </c>
      <c r="R399" s="97">
        <v>0.16305807358462432</v>
      </c>
      <c r="S399" s="97">
        <v>8.7902536913097712E-2</v>
      </c>
      <c r="T399" s="97">
        <v>2.4327842417491682E-2</v>
      </c>
      <c r="U399" s="97">
        <v>9.8078965566624301E-4</v>
      </c>
      <c r="V399" s="97">
        <v>2.0722626091050557E-2</v>
      </c>
      <c r="W399" s="97">
        <v>3.4817773154344048E-2</v>
      </c>
      <c r="X399" s="51">
        <f t="shared" si="26"/>
        <v>7.7623072549369381</v>
      </c>
      <c r="Y399" s="18">
        <v>876.37241985068067</v>
      </c>
      <c r="Z399" s="18">
        <v>57.195454785471327</v>
      </c>
      <c r="AA399" s="18">
        <f t="shared" si="27"/>
        <v>20.257643537773639</v>
      </c>
      <c r="AB399" s="18">
        <f t="shared" si="28"/>
        <v>65.26386897846065</v>
      </c>
      <c r="AC399" s="18">
        <f>$CP$15*Table2912[[#This Row],[DMD '[mg/g']]]+$CS$15*Table2912[[#This Row],[CH4 '[ml/g']]]+$CR$15*Table2912[[#This Row],[CH4 '[% GP']]]+$CQ$15*Table2912[[#This Row],[CH4 '[g/g DDM']]]</f>
        <v>16.967388206792968</v>
      </c>
      <c r="AD399" s="18">
        <f>_xlfn.RANK.AVG(Table2912[[#This Row],[Index]],Table2912[Index])</f>
        <v>233</v>
      </c>
      <c r="AE39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6.7726329226153519</v>
      </c>
      <c r="AF399" s="18">
        <f>Table2912[[#This Row],[CH4 '[ml/g']]]/Table2912[[#This Row],[APB]]</f>
        <v>8.4450841259213654</v>
      </c>
      <c r="AG399" s="18">
        <f>Table2912[[#This Row],[Propionate '[%']]]/Table2912[[#This Row],[Acetate '[%']]]</f>
        <v>0.24402937215054799</v>
      </c>
      <c r="AH399" s="51"/>
      <c r="AI399" s="18"/>
      <c r="AJ399" s="18"/>
      <c r="AK399" s="18">
        <f>(Table2912[[#This Row],[DMD '[mg/g']]]-$AK$15)/$AK$15*100</f>
        <v>78.746046700235027</v>
      </c>
      <c r="AL399" s="18">
        <f>(Table2912[[#This Row],[CH4 '[ml/g']]]-AL$15)/AL$15*100</f>
        <v>45.416333854352089</v>
      </c>
      <c r="AM399" s="18">
        <f>(Table2912[[#This Row],[CH4 '[% GP']]]-AM$15)/AM$15*100</f>
        <v>30.506260946695541</v>
      </c>
      <c r="AN399" s="18">
        <f>(Table2912[[#This Row],[CH4 '[g/g DDM']]]-AN$15)/AN$15*100</f>
        <v>27.429854071906302</v>
      </c>
      <c r="AO399" s="18"/>
      <c r="AP399" s="18"/>
      <c r="AR399">
        <f>_xlfn.NORM.DIST(Table2912[[#This Row],[GP '[ml/g']]],O$6,O$2,FALSE)</f>
        <v>6.5896279453436365E-3</v>
      </c>
      <c r="AS399">
        <f>_xlfn.NORM.DIST(Table2912[[#This Row],[SCFA '[mmol/g']]],P$6,P$2,FALSE)</f>
        <v>0.26171095081254392</v>
      </c>
      <c r="AT399">
        <f>_xlfn.NORM.DIST(Table2912[[#This Row],[Acetate '[%']]],Q$6,Q$2,FALSE)</f>
        <v>13.817356464491665</v>
      </c>
      <c r="AU399">
        <f>_xlfn.NORM.DIST(Table2912[[#This Row],[Propionate '[%']]],R$6,R$2,FALSE)</f>
        <v>15.675660578892954</v>
      </c>
      <c r="AV399">
        <f>_xlfn.NORM.DIST(Table2912[[#This Row],[Butyrate '[%']]],S$6,S$2,FALSE)</f>
        <v>22.083303814143129</v>
      </c>
      <c r="AW399">
        <f>_xlfn.NORM.DIST(Table2912[[#This Row],[Valerate '[%']]],T$6,T$2,FALSE)</f>
        <v>33.516097142875552</v>
      </c>
      <c r="AX399">
        <f>_xlfn.NORM.DIST(Table2912[[#This Row],[Caproate '[%']]],U$6,U$2,FALSE)</f>
        <v>381.47682280129317</v>
      </c>
      <c r="AY399">
        <f>_xlfn.NORM.DIST(Table2912[[#This Row],[Isobutyrate '[%']]],V$6,V$2,FALSE)</f>
        <v>42.757645068644919</v>
      </c>
      <c r="AZ399">
        <f>_xlfn.NORM.DIST(Table2912[[#This Row],[Isovalerate '[%']]],W$6,W$2,FALSE)</f>
        <v>33.296155110953116</v>
      </c>
      <c r="BA399">
        <f>_xlfn.NORM.DIST(Table2912[[#This Row],[CH4 '[g/mmol SCFA']]],X$6,X$2,FALSE)</f>
        <v>0.16187015327509294</v>
      </c>
      <c r="BB399">
        <f>_xlfn.NORM.DIST(Table2912[[#This Row],[DMD '[mg/g']]],Y$6,Y$2,FALSE)</f>
        <v>2.2279449029112531E-3</v>
      </c>
      <c r="BC399">
        <f>_xlfn.NORM.DIST(Table2912[[#This Row],[CH4 '[ml/g']]],Z$6,Z$2,FALSE)</f>
        <v>1.3895408701868834E-2</v>
      </c>
      <c r="BD399">
        <f>_xlfn.NORM.DIST(Table2912[[#This Row],[CH4 '[% GP']]],AA$6,AA$2,FALSE)</f>
        <v>4.9526298543962295E-2</v>
      </c>
      <c r="BE399">
        <f>_xlfn.NORM.DIST(Table2912[[#This Row],[CH4 '[g/g DDM']]],AB$6,AB$2,FALSE)</f>
        <v>2.0309543387156043E-2</v>
      </c>
      <c r="BG399">
        <f>IF(Table2912[[#This Row],[GP '[ml/g']]]&lt;O$10,_xlfn.NORM.DIST(Table2912[[#This Row],[GP '[ml/g']]],O$6,O$2,FALSE),-100)</f>
        <v>-100</v>
      </c>
      <c r="BH399">
        <f>IF(Table2912[[#This Row],[SCFA '[mmol/g']]]&lt;P$10,_xlfn.NORM.DIST(Table2912[[#This Row],[SCFA '[mmol/g']]],P$6,P$2,FALSE),-100)</f>
        <v>-100</v>
      </c>
      <c r="BI399">
        <f>IF(Table2912[[#This Row],[Acetate '[%']]]&lt;Q$10,_xlfn.NORM.DIST(Table2912[[#This Row],[Acetate '[%']]],Q$6,Q$2,FALSE),-100)</f>
        <v>-100</v>
      </c>
      <c r="BJ399">
        <f>IF(Table2912[[#This Row],[Propionate '[%']]]&lt;R$10,_xlfn.NORM.DIST(Table2912[[#This Row],[Propionate '[%']]],R$6,R$2,FALSE),-100)</f>
        <v>-100</v>
      </c>
      <c r="BK399">
        <f>IF(Table2912[[#This Row],[Butyrate '[%']]]&lt;S$10,_xlfn.NORM.DIST(Table2912[[#This Row],[Butyrate '[%']]],S$6,S$2,FALSE),-100)</f>
        <v>-100</v>
      </c>
      <c r="BL399">
        <f>IF(Table2912[[#This Row],[Valerate '[%']]]&lt;T$10,_xlfn.NORM.DIST(Table2912[[#This Row],[Valerate '[%']]],T$6,T$2,FALSE),-100)</f>
        <v>-100</v>
      </c>
      <c r="BM399">
        <f>IF(Table2912[[#This Row],[Caproate '[%']]]&lt;U$10,_xlfn.NORM.DIST(Table2912[[#This Row],[Caproate '[%']]],U$6,U$2,FALSE),-100)</f>
        <v>-100</v>
      </c>
      <c r="BN399">
        <f>IF(Table2912[[#This Row],[Isobutyrate '[%']]]&lt;V$10,_xlfn.NORM.DIST(Table2912[[#This Row],[Isobutyrate '[%']]],V$6,V$2,FALSE),-100)</f>
        <v>-100</v>
      </c>
      <c r="BO399">
        <f>IF(Table2912[[#This Row],[Isovalerate '[%']]]&lt;W$10,_xlfn.NORM.DIST(Table2912[[#This Row],[Isovalerate '[%']]],W$6,W$2,FALSE),-100)</f>
        <v>-100</v>
      </c>
      <c r="BP399">
        <f>IF(Table2912[[#This Row],[CH4 '[g/mmol SCFA']]]&lt;X$10,_xlfn.NORM.DIST(Table2912[[#This Row],[CH4 '[g/mmol SCFA']]],X$6,X$2,FALSE),-100)</f>
        <v>-100</v>
      </c>
      <c r="BQ399">
        <f>IF(Table2912[[#This Row],[DMD '[mg/g']]]&gt;Y$10,_xlfn.NORM.DIST(Table2912[[#This Row],[DMD '[mg/g']]],Y$6,Y$2,FALSE),-100)</f>
        <v>-100</v>
      </c>
      <c r="BR399">
        <f>IF(Table2912[[#This Row],[CH4 '[ml/g']]]&lt;Z$10,_xlfn.NORM.DIST(Table2912[[#This Row],[CH4 '[ml/g']]],Z$6,Z$2,FALSE),-100)</f>
        <v>-100</v>
      </c>
      <c r="BS399">
        <f>IF(Table2912[[#This Row],[CH4 '[% GP']]]&lt;AA$10,_xlfn.NORM.DIST(Table2912[[#This Row],[CH4 '[% GP']]],AA$6,AA$2,FALSE),-100)</f>
        <v>-100</v>
      </c>
      <c r="BT399">
        <f>IF(Table2912[[#This Row],[CH4 '[g/g DDM']]]&lt;AB$10,_xlfn.NORM.DIST(Table2912[[#This Row],[CH4 '[g/g DDM']]],AB$6,AB$2,FALSE),-100)</f>
        <v>-100</v>
      </c>
    </row>
    <row r="400" spans="1:72" x14ac:dyDescent="0.25">
      <c r="A400" s="12" t="s">
        <v>70</v>
      </c>
      <c r="B400" s="13">
        <v>997</v>
      </c>
      <c r="C400" s="96" t="s">
        <v>334</v>
      </c>
      <c r="D400" s="96"/>
      <c r="E400" s="96"/>
      <c r="F400" s="96" t="s">
        <v>335</v>
      </c>
      <c r="G400" t="s">
        <v>73</v>
      </c>
      <c r="H400" t="s">
        <v>74</v>
      </c>
      <c r="I400" t="s">
        <v>75</v>
      </c>
      <c r="J400" s="100">
        <v>2</v>
      </c>
      <c r="K400" s="100"/>
      <c r="L400" s="100"/>
      <c r="M400" t="s">
        <v>335</v>
      </c>
      <c r="N400" t="s">
        <v>85</v>
      </c>
      <c r="O400" s="18">
        <v>282.46792328042426</v>
      </c>
      <c r="P400" s="18">
        <v>6.9337513262646047</v>
      </c>
      <c r="Q400" s="97">
        <v>0.6867531790729644</v>
      </c>
      <c r="R400" s="97">
        <v>0.13761529334112865</v>
      </c>
      <c r="S400" s="97">
        <v>0.11164725161368963</v>
      </c>
      <c r="T400" s="97">
        <v>1.588872609412903E-2</v>
      </c>
      <c r="U400" s="97">
        <v>1.8558666568012693E-3</v>
      </c>
      <c r="V400" s="97">
        <v>1.5546771637144919E-2</v>
      </c>
      <c r="W400" s="97">
        <v>3.0692911584142276E-2</v>
      </c>
      <c r="X400" s="51">
        <f t="shared" si="26"/>
        <v>6.0718147050041846</v>
      </c>
      <c r="Y400" s="18">
        <v>876.42639319266164</v>
      </c>
      <c r="Z400" s="18">
        <v>42.100453263655695</v>
      </c>
      <c r="AA400" s="18">
        <f t="shared" si="27"/>
        <v>14.904507660453833</v>
      </c>
      <c r="AB400" s="18">
        <f t="shared" si="28"/>
        <v>48.036496379680457</v>
      </c>
      <c r="AC400" s="18">
        <f>$CP$15*Table2912[[#This Row],[DMD '[mg/g']]]+$CS$15*Table2912[[#This Row],[CH4 '[ml/g']]]+$CR$15*Table2912[[#This Row],[CH4 '[% GP']]]+$CQ$15*Table2912[[#This Row],[CH4 '[g/g DDM']]]</f>
        <v>24.881993010905212</v>
      </c>
      <c r="AD400" s="18">
        <f>_xlfn.RANK.AVG(Table2912[[#This Row],[Index]],Table2912[Index])</f>
        <v>92</v>
      </c>
      <c r="AE40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6.4901002678821627</v>
      </c>
      <c r="AF400" s="18">
        <f>Table2912[[#This Row],[CH4 '[ml/g']]]/Table2912[[#This Row],[APB]]</f>
        <v>6.4868725483333458</v>
      </c>
      <c r="AG400" s="18">
        <f>Table2912[[#This Row],[Propionate '[%']]]/Table2912[[#This Row],[Acetate '[%']]]</f>
        <v>0.20038537502934173</v>
      </c>
      <c r="AH400" s="51"/>
      <c r="AI400" s="18"/>
      <c r="AJ400" s="18"/>
      <c r="AK400" s="18">
        <f>(Table2912[[#This Row],[DMD '[mg/g']]]-$AK$15)/$AK$15*100</f>
        <v>78.757055172532603</v>
      </c>
      <c r="AL400" s="18">
        <f>(Table2912[[#This Row],[CH4 '[ml/g']]]-AL$15)/AL$15*100</f>
        <v>7.038113258650494</v>
      </c>
      <c r="AM400" s="18">
        <f>(Table2912[[#This Row],[CH4 '[% GP']]]-AM$15)/AM$15*100</f>
        <v>-3.9803636395220674</v>
      </c>
      <c r="AN400" s="18">
        <f>(Table2912[[#This Row],[CH4 '[g/g DDM']]]-AN$15)/AN$15*100</f>
        <v>-6.2071584231610144</v>
      </c>
      <c r="AO400" s="18"/>
      <c r="AP400" s="18"/>
      <c r="AR400">
        <f>_xlfn.NORM.DIST(Table2912[[#This Row],[GP '[ml/g']]],O$6,O$2,FALSE)</f>
        <v>6.5816646084049437E-3</v>
      </c>
      <c r="AS400">
        <f>_xlfn.NORM.DIST(Table2912[[#This Row],[SCFA '[mmol/g']]],P$6,P$2,FALSE)</f>
        <v>0.3150559857553375</v>
      </c>
      <c r="AT400">
        <f>_xlfn.NORM.DIST(Table2912[[#This Row],[Acetate '[%']]],Q$6,Q$2,FALSE)</f>
        <v>12.505570829533784</v>
      </c>
      <c r="AU400">
        <f>_xlfn.NORM.DIST(Table2912[[#This Row],[Propionate '[%']]],R$6,R$2,FALSE)</f>
        <v>5.9398520059812743</v>
      </c>
      <c r="AV400">
        <f>_xlfn.NORM.DIST(Table2912[[#This Row],[Butyrate '[%']]],S$6,S$2,FALSE)</f>
        <v>12.839721834977425</v>
      </c>
      <c r="AW400">
        <f>_xlfn.NORM.DIST(Table2912[[#This Row],[Valerate '[%']]],T$6,T$2,FALSE)</f>
        <v>72.962709576193944</v>
      </c>
      <c r="AX400">
        <f>_xlfn.NORM.DIST(Table2912[[#This Row],[Caproate '[%']]],U$6,U$2,FALSE)</f>
        <v>352.98436008648628</v>
      </c>
      <c r="AY400">
        <f>_xlfn.NORM.DIST(Table2912[[#This Row],[Isobutyrate '[%']]],V$6,V$2,FALSE)</f>
        <v>90.037588514480817</v>
      </c>
      <c r="AZ400">
        <f>_xlfn.NORM.DIST(Table2912[[#This Row],[Isovalerate '[%']]],W$6,W$2,FALSE)</f>
        <v>43.181682085218291</v>
      </c>
      <c r="BA400">
        <f>_xlfn.NORM.DIST(Table2912[[#This Row],[CH4 '[g/mmol SCFA']]],X$6,X$2,FALSE)</f>
        <v>0.29375311121876929</v>
      </c>
      <c r="BB400">
        <f>_xlfn.NORM.DIST(Table2912[[#This Row],[DMD '[mg/g']]],Y$6,Y$2,FALSE)</f>
        <v>2.2272999361390251E-3</v>
      </c>
      <c r="BC400">
        <f>_xlfn.NORM.DIST(Table2912[[#This Row],[CH4 '[ml/g']]],Z$6,Z$2,FALSE)</f>
        <v>3.3447779922334955E-2</v>
      </c>
      <c r="BD400">
        <f>_xlfn.NORM.DIST(Table2912[[#This Row],[CH4 '[% GP']]],AA$6,AA$2,FALSE)</f>
        <v>0.12470565960975187</v>
      </c>
      <c r="BE400">
        <f>_xlfn.NORM.DIST(Table2912[[#This Row],[CH4 '[g/g DDM']]],AB$6,AB$2,FALSE)</f>
        <v>2.9848604271636769E-2</v>
      </c>
      <c r="BG400">
        <f>IF(Table2912[[#This Row],[GP '[ml/g']]]&lt;O$10,_xlfn.NORM.DIST(Table2912[[#This Row],[GP '[ml/g']]],O$6,O$2,FALSE),-100)</f>
        <v>-100</v>
      </c>
      <c r="BH400">
        <f>IF(Table2912[[#This Row],[SCFA '[mmol/g']]]&lt;P$10,_xlfn.NORM.DIST(Table2912[[#This Row],[SCFA '[mmol/g']]],P$6,P$2,FALSE),-100)</f>
        <v>-100</v>
      </c>
      <c r="BI400">
        <f>IF(Table2912[[#This Row],[Acetate '[%']]]&lt;Q$10,_xlfn.NORM.DIST(Table2912[[#This Row],[Acetate '[%']]],Q$6,Q$2,FALSE),-100)</f>
        <v>-100</v>
      </c>
      <c r="BJ400">
        <f>IF(Table2912[[#This Row],[Propionate '[%']]]&lt;R$10,_xlfn.NORM.DIST(Table2912[[#This Row],[Propionate '[%']]],R$6,R$2,FALSE),-100)</f>
        <v>5.9398520059812743</v>
      </c>
      <c r="BK400">
        <f>IF(Table2912[[#This Row],[Butyrate '[%']]]&lt;S$10,_xlfn.NORM.DIST(Table2912[[#This Row],[Butyrate '[%']]],S$6,S$2,FALSE),-100)</f>
        <v>-100</v>
      </c>
      <c r="BL400">
        <f>IF(Table2912[[#This Row],[Valerate '[%']]]&lt;T$10,_xlfn.NORM.DIST(Table2912[[#This Row],[Valerate '[%']]],T$6,T$2,FALSE),-100)</f>
        <v>-100</v>
      </c>
      <c r="BM400">
        <f>IF(Table2912[[#This Row],[Caproate '[%']]]&lt;U$10,_xlfn.NORM.DIST(Table2912[[#This Row],[Caproate '[%']]],U$6,U$2,FALSE),-100)</f>
        <v>-100</v>
      </c>
      <c r="BN400">
        <f>IF(Table2912[[#This Row],[Isobutyrate '[%']]]&lt;V$10,_xlfn.NORM.DIST(Table2912[[#This Row],[Isobutyrate '[%']]],V$6,V$2,FALSE),-100)</f>
        <v>-100</v>
      </c>
      <c r="BO400">
        <f>IF(Table2912[[#This Row],[Isovalerate '[%']]]&lt;W$10,_xlfn.NORM.DIST(Table2912[[#This Row],[Isovalerate '[%']]],W$6,W$2,FALSE),-100)</f>
        <v>-100</v>
      </c>
      <c r="BP400">
        <f>IF(Table2912[[#This Row],[CH4 '[g/mmol SCFA']]]&lt;X$10,_xlfn.NORM.DIST(Table2912[[#This Row],[CH4 '[g/mmol SCFA']]],X$6,X$2,FALSE),-100)</f>
        <v>-100</v>
      </c>
      <c r="BQ400">
        <f>IF(Table2912[[#This Row],[DMD '[mg/g']]]&gt;Y$10,_xlfn.NORM.DIST(Table2912[[#This Row],[DMD '[mg/g']]],Y$6,Y$2,FALSE),-100)</f>
        <v>-100</v>
      </c>
      <c r="BR400">
        <f>IF(Table2912[[#This Row],[CH4 '[ml/g']]]&lt;Z$10,_xlfn.NORM.DIST(Table2912[[#This Row],[CH4 '[ml/g']]],Z$6,Z$2,FALSE),-100)</f>
        <v>-100</v>
      </c>
      <c r="BS400">
        <f>IF(Table2912[[#This Row],[CH4 '[% GP']]]&lt;AA$10,_xlfn.NORM.DIST(Table2912[[#This Row],[CH4 '[% GP']]],AA$6,AA$2,FALSE),-100)</f>
        <v>-100</v>
      </c>
      <c r="BT400">
        <f>IF(Table2912[[#This Row],[CH4 '[g/g DDM']]]&lt;AB$10,_xlfn.NORM.DIST(Table2912[[#This Row],[CH4 '[g/g DDM']]],AB$6,AB$2,FALSE),-100)</f>
        <v>-100</v>
      </c>
    </row>
    <row r="401" spans="1:72" x14ac:dyDescent="0.25">
      <c r="A401" s="12" t="s">
        <v>200</v>
      </c>
      <c r="B401" s="13">
        <v>1199</v>
      </c>
      <c r="C401" s="119" t="s">
        <v>453</v>
      </c>
      <c r="D401" s="119" t="s">
        <v>454</v>
      </c>
      <c r="E401" s="119" t="s">
        <v>455</v>
      </c>
      <c r="F401" s="119" t="s">
        <v>456</v>
      </c>
      <c r="G401" t="s">
        <v>457</v>
      </c>
      <c r="H401" t="s">
        <v>458</v>
      </c>
      <c r="I401" s="53" t="s">
        <v>48</v>
      </c>
      <c r="J401" s="100">
        <v>1</v>
      </c>
      <c r="K401" s="100"/>
      <c r="L401" s="100"/>
      <c r="M401" t="s">
        <v>459</v>
      </c>
      <c r="N401" t="s">
        <v>363</v>
      </c>
      <c r="O401" s="18">
        <v>257.88085199824354</v>
      </c>
      <c r="P401" s="18">
        <v>7.0162471772003556</v>
      </c>
      <c r="Q401" s="97">
        <v>0.67856199238079284</v>
      </c>
      <c r="R401" s="97">
        <v>0.19454263686225953</v>
      </c>
      <c r="S401" s="97">
        <v>9.1314598253422696E-2</v>
      </c>
      <c r="T401" s="97">
        <v>1.0513157883780967E-2</v>
      </c>
      <c r="U401" s="97">
        <v>6.6422587583660697E-4</v>
      </c>
      <c r="V401" s="97">
        <v>9.0907981854407814E-3</v>
      </c>
      <c r="W401" s="97">
        <v>1.5312590558466496E-2</v>
      </c>
      <c r="X401" s="51">
        <f t="shared" si="26"/>
        <v>5.5430154088270989</v>
      </c>
      <c r="Y401" s="18">
        <v>877.70336934216539</v>
      </c>
      <c r="Z401" s="18">
        <v>38.89116621536121</v>
      </c>
      <c r="AA401" s="18">
        <f t="shared" si="27"/>
        <v>15.081060076389891</v>
      </c>
      <c r="AB401" s="18">
        <f t="shared" si="28"/>
        <v>44.310148022457703</v>
      </c>
      <c r="AC401" s="18">
        <f>$CP$15*Table2912[[#This Row],[DMD '[mg/g']]]+$CS$15*Table2912[[#This Row],[CH4 '[ml/g']]]+$CR$15*Table2912[[#This Row],[CH4 '[% GP']]]+$CQ$15*Table2912[[#This Row],[CH4 '[g/g DDM']]]</f>
        <v>26.293567706256447</v>
      </c>
      <c r="AD401" s="18">
        <f>_xlfn.RANK.AVG(Table2912[[#This Row],[Index]],Table2912[Index])</f>
        <v>78</v>
      </c>
      <c r="AE40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6.7666036825598912</v>
      </c>
      <c r="AF401" s="18">
        <f>Table2912[[#This Row],[CH4 '[ml/g']]]/Table2912[[#This Row],[APB]]</f>
        <v>5.7475164853526923</v>
      </c>
      <c r="AG401" s="18">
        <f>Table2912[[#This Row],[Propionate '[%']]]/Table2912[[#This Row],[Acetate '[%']]]</f>
        <v>0.28669839903601146</v>
      </c>
      <c r="AH401" s="51"/>
      <c r="AI401" s="18"/>
      <c r="AJ401" s="18"/>
      <c r="AK401" s="18">
        <f>(Table2912[[#This Row],[DMD '[mg/g']]]-$AK$15)/$AK$15*100</f>
        <v>79.017508871535568</v>
      </c>
      <c r="AL401" s="18">
        <f>(Table2912[[#This Row],[CH4 '[ml/g']]]-AL$15)/AL$15*100</f>
        <v>-1.1213245603103363</v>
      </c>
      <c r="AM401" s="18">
        <f>(Table2912[[#This Row],[CH4 '[% GP']]]-AM$15)/AM$15*100</f>
        <v>-2.8429561408682034</v>
      </c>
      <c r="AN401" s="18">
        <f>(Table2912[[#This Row],[CH4 '[g/g DDM']]]-AN$15)/AN$15*100</f>
        <v>-13.482976342241168</v>
      </c>
      <c r="AO401" s="18"/>
      <c r="AP401" s="18"/>
      <c r="AR401">
        <f>_xlfn.NORM.DIST(Table2912[[#This Row],[GP '[ml/g']]],O$6,O$2,FALSE)</f>
        <v>7.4723519029062518E-3</v>
      </c>
      <c r="AS401">
        <f>_xlfn.NORM.DIST(Table2912[[#This Row],[SCFA '[mmol/g']]],P$6,P$2,FALSE)</f>
        <v>0.30724364503414381</v>
      </c>
      <c r="AT401">
        <f>_xlfn.NORM.DIST(Table2912[[#This Row],[Acetate '[%']]],Q$6,Q$2,FALSE)</f>
        <v>13.772920270177783</v>
      </c>
      <c r="AU401">
        <f>_xlfn.NORM.DIST(Table2912[[#This Row],[Propionate '[%']]],R$6,R$2,FALSE)</f>
        <v>10.648644353787716</v>
      </c>
      <c r="AV401">
        <f>_xlfn.NORM.DIST(Table2912[[#This Row],[Butyrate '[%']]],S$6,S$2,FALSE)</f>
        <v>22.931138956846819</v>
      </c>
      <c r="AW401">
        <f>_xlfn.NORM.DIST(Table2912[[#This Row],[Valerate '[%']]],T$6,T$2,FALSE)</f>
        <v>29.606594328648232</v>
      </c>
      <c r="AX401">
        <f>_xlfn.NORM.DIST(Table2912[[#This Row],[Caproate '[%']]],U$6,U$2,FALSE)</f>
        <v>322.43554213425193</v>
      </c>
      <c r="AY401">
        <f>_xlfn.NORM.DIST(Table2912[[#This Row],[Isobutyrate '[%']]],V$6,V$2,FALSE)</f>
        <v>33.49592281827092</v>
      </c>
      <c r="AZ401">
        <f>_xlfn.NORM.DIST(Table2912[[#This Row],[Isovalerate '[%']]],W$6,W$2,FALSE)</f>
        <v>16.27531113517545</v>
      </c>
      <c r="BA401">
        <f>_xlfn.NORM.DIST(Table2912[[#This Row],[CH4 '[g/mmol SCFA']]],X$6,X$2,FALSE)</f>
        <v>0.25545610884537545</v>
      </c>
      <c r="BB401">
        <f>_xlfn.NORM.DIST(Table2912[[#This Row],[DMD '[mg/g']]],Y$6,Y$2,FALSE)</f>
        <v>2.2119943315151709E-3</v>
      </c>
      <c r="BC401">
        <f>_xlfn.NORM.DIST(Table2912[[#This Row],[CH4 '[ml/g']]],Z$6,Z$2,FALSE)</f>
        <v>3.2771517473740089E-2</v>
      </c>
      <c r="BD401">
        <f>_xlfn.NORM.DIST(Table2912[[#This Row],[CH4 '[% GP']]],AA$6,AA$2,FALSE)</f>
        <v>0.12743526188877316</v>
      </c>
      <c r="BE401">
        <f>_xlfn.NORM.DIST(Table2912[[#This Row],[CH4 '[g/g DDM']]],AB$6,AB$2,FALSE)</f>
        <v>2.4895425136010785E-2</v>
      </c>
      <c r="BG401">
        <f>IF(Table2912[[#This Row],[GP '[ml/g']]]&lt;O$10,_xlfn.NORM.DIST(Table2912[[#This Row],[GP '[ml/g']]],O$6,O$2,FALSE),-100)</f>
        <v>-100</v>
      </c>
      <c r="BH401">
        <f>IF(Table2912[[#This Row],[SCFA '[mmol/g']]]&lt;P$10,_xlfn.NORM.DIST(Table2912[[#This Row],[SCFA '[mmol/g']]],P$6,P$2,FALSE),-100)</f>
        <v>-100</v>
      </c>
      <c r="BI401">
        <f>IF(Table2912[[#This Row],[Acetate '[%']]]&lt;Q$10,_xlfn.NORM.DIST(Table2912[[#This Row],[Acetate '[%']]],Q$6,Q$2,FALSE),-100)</f>
        <v>-100</v>
      </c>
      <c r="BJ401">
        <f>IF(Table2912[[#This Row],[Propionate '[%']]]&lt;R$10,_xlfn.NORM.DIST(Table2912[[#This Row],[Propionate '[%']]],R$6,R$2,FALSE),-100)</f>
        <v>-100</v>
      </c>
      <c r="BK401">
        <f>IF(Table2912[[#This Row],[Butyrate '[%']]]&lt;S$10,_xlfn.NORM.DIST(Table2912[[#This Row],[Butyrate '[%']]],S$6,S$2,FALSE),-100)</f>
        <v>-100</v>
      </c>
      <c r="BL401">
        <f>IF(Table2912[[#This Row],[Valerate '[%']]]&lt;T$10,_xlfn.NORM.DIST(Table2912[[#This Row],[Valerate '[%']]],T$6,T$2,FALSE),-100)</f>
        <v>29.606594328648232</v>
      </c>
      <c r="BM401">
        <f>IF(Table2912[[#This Row],[Caproate '[%']]]&lt;U$10,_xlfn.NORM.DIST(Table2912[[#This Row],[Caproate '[%']]],U$6,U$2,FALSE),-100)</f>
        <v>-100</v>
      </c>
      <c r="BN401">
        <f>IF(Table2912[[#This Row],[Isobutyrate '[%']]]&lt;V$10,_xlfn.NORM.DIST(Table2912[[#This Row],[Isobutyrate '[%']]],V$6,V$2,FALSE),-100)</f>
        <v>33.49592281827092</v>
      </c>
      <c r="BO401">
        <f>IF(Table2912[[#This Row],[Isovalerate '[%']]]&lt;W$10,_xlfn.NORM.DIST(Table2912[[#This Row],[Isovalerate '[%']]],W$6,W$2,FALSE),-100)</f>
        <v>16.27531113517545</v>
      </c>
      <c r="BP401">
        <f>IF(Table2912[[#This Row],[CH4 '[g/mmol SCFA']]]&lt;X$10,_xlfn.NORM.DIST(Table2912[[#This Row],[CH4 '[g/mmol SCFA']]],X$6,X$2,FALSE),-100)</f>
        <v>-100</v>
      </c>
      <c r="BQ401">
        <f>IF(Table2912[[#This Row],[DMD '[mg/g']]]&gt;Y$10,_xlfn.NORM.DIST(Table2912[[#This Row],[DMD '[mg/g']]],Y$6,Y$2,FALSE),-100)</f>
        <v>-100</v>
      </c>
      <c r="BR401">
        <f>IF(Table2912[[#This Row],[CH4 '[ml/g']]]&lt;Z$10,_xlfn.NORM.DIST(Table2912[[#This Row],[CH4 '[ml/g']]],Z$6,Z$2,FALSE),-100)</f>
        <v>-100</v>
      </c>
      <c r="BS401">
        <f>IF(Table2912[[#This Row],[CH4 '[% GP']]]&lt;AA$10,_xlfn.NORM.DIST(Table2912[[#This Row],[CH4 '[% GP']]],AA$6,AA$2,FALSE),-100)</f>
        <v>-100</v>
      </c>
      <c r="BT401">
        <f>IF(Table2912[[#This Row],[CH4 '[g/g DDM']]]&lt;AB$10,_xlfn.NORM.DIST(Table2912[[#This Row],[CH4 '[g/g DDM']]],AB$6,AB$2,FALSE),-100)</f>
        <v>-100</v>
      </c>
    </row>
    <row r="402" spans="1:72" x14ac:dyDescent="0.25">
      <c r="A402" s="12" t="s">
        <v>200</v>
      </c>
      <c r="B402" s="13">
        <v>1152</v>
      </c>
      <c r="C402" s="117" t="s">
        <v>497</v>
      </c>
      <c r="D402" s="117" t="s">
        <v>408</v>
      </c>
      <c r="E402" s="117" t="s">
        <v>213</v>
      </c>
      <c r="F402" s="117" t="s">
        <v>214</v>
      </c>
      <c r="G402" t="s">
        <v>73</v>
      </c>
      <c r="H402" t="s">
        <v>74</v>
      </c>
      <c r="I402" t="s">
        <v>75</v>
      </c>
      <c r="J402" s="70">
        <v>3</v>
      </c>
      <c r="K402" s="70"/>
      <c r="L402" s="70"/>
      <c r="M402" t="s">
        <v>498</v>
      </c>
      <c r="N402" t="s">
        <v>245</v>
      </c>
      <c r="O402" s="18">
        <v>320.81567460317365</v>
      </c>
      <c r="P402" s="18">
        <v>7.210363027538226</v>
      </c>
      <c r="Q402" s="97">
        <v>0.65884043962064887</v>
      </c>
      <c r="R402" s="97">
        <v>0.17694738196080295</v>
      </c>
      <c r="S402" s="97">
        <v>9.5531357335616643E-2</v>
      </c>
      <c r="T402" s="97">
        <v>1.9853313562318814E-2</v>
      </c>
      <c r="U402" s="97">
        <v>1.6864086727567389E-3</v>
      </c>
      <c r="V402" s="97">
        <v>1.6257654865046413E-2</v>
      </c>
      <c r="W402" s="97">
        <v>3.0883443982809462E-2</v>
      </c>
      <c r="X402" s="51">
        <f t="shared" si="26"/>
        <v>8.1337391791723697</v>
      </c>
      <c r="Y402" s="18">
        <v>878.19925287116882</v>
      </c>
      <c r="Z402" s="18">
        <v>58.647212253143579</v>
      </c>
      <c r="AA402" s="18">
        <f t="shared" si="27"/>
        <v>18.280656743373292</v>
      </c>
      <c r="AB402" s="18">
        <f t="shared" si="28"/>
        <v>66.781214014249542</v>
      </c>
      <c r="AC402" s="18">
        <f>$CP$15*Table2912[[#This Row],[DMD '[mg/g']]]+$CS$15*Table2912[[#This Row],[CH4 '[ml/g']]]+$CR$15*Table2912[[#This Row],[CH4 '[% GP']]]+$CQ$15*Table2912[[#This Row],[CH4 '[g/g DDM']]]</f>
        <v>17.176310637593375</v>
      </c>
      <c r="AD402" s="18">
        <f>_xlfn.RANK.AVG(Table2912[[#This Row],[Index]],Table2912[Index])</f>
        <v>226</v>
      </c>
      <c r="AE40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6.7151493745008883</v>
      </c>
      <c r="AF402" s="18">
        <f>Table2912[[#This Row],[CH4 '[ml/g']]]/Table2912[[#This Row],[APB]]</f>
        <v>8.7335677856760423</v>
      </c>
      <c r="AG402" s="18">
        <f>Table2912[[#This Row],[Propionate '[%']]]/Table2912[[#This Row],[Acetate '[%']]]</f>
        <v>0.26857395405583601</v>
      </c>
      <c r="AH402" s="51"/>
      <c r="AI402" s="18"/>
      <c r="AJ402" s="18"/>
      <c r="AK402" s="18">
        <f>(Table2912[[#This Row],[DMD '[mg/g']]]-$AK$15)/$AK$15*100</f>
        <v>79.118649914345013</v>
      </c>
      <c r="AL402" s="18">
        <f>(Table2912[[#This Row],[CH4 '[ml/g']]]-AL$15)/AL$15*100</f>
        <v>49.107348278250015</v>
      </c>
      <c r="AM402" s="18">
        <f>(Table2912[[#This Row],[CH4 '[% GP']]]-AM$15)/AM$15*100</f>
        <v>17.769875591849939</v>
      </c>
      <c r="AN402" s="18">
        <f>(Table2912[[#This Row],[CH4 '[g/g DDM']]]-AN$15)/AN$15*100</f>
        <v>30.392520237945646</v>
      </c>
      <c r="AO402" s="18"/>
      <c r="AP402" s="18"/>
      <c r="AR402">
        <f>_xlfn.NORM.DIST(Table2912[[#This Row],[GP '[ml/g']]],O$6,O$2,FALSE)</f>
        <v>3.5329501136317446E-3</v>
      </c>
      <c r="AS402">
        <f>_xlfn.NORM.DIST(Table2912[[#This Row],[SCFA '[mmol/g']]],P$6,P$2,FALSE)</f>
        <v>0.28425770024044522</v>
      </c>
      <c r="AT402">
        <f>_xlfn.NORM.DIST(Table2912[[#This Row],[Acetate '[%']]],Q$6,Q$2,FALSE)</f>
        <v>12.364766896277317</v>
      </c>
      <c r="AU402">
        <f>_xlfn.NORM.DIST(Table2912[[#This Row],[Propionate '[%']]],R$6,R$2,FALSE)</f>
        <v>16.411642689573263</v>
      </c>
      <c r="AV402">
        <f>_xlfn.NORM.DIST(Table2912[[#This Row],[Butyrate '[%']]],S$6,S$2,FALSE)</f>
        <v>22.770214815761388</v>
      </c>
      <c r="AW402">
        <f>_xlfn.NORM.DIST(Table2912[[#This Row],[Valerate '[%']]],T$6,T$2,FALSE)</f>
        <v>70.691074417565829</v>
      </c>
      <c r="AX402">
        <f>_xlfn.NORM.DIST(Table2912[[#This Row],[Caproate '[%']]],U$6,U$2,FALSE)</f>
        <v>381.32639726402027</v>
      </c>
      <c r="AY402">
        <f>_xlfn.NORM.DIST(Table2912[[#This Row],[Isobutyrate '[%']]],V$6,V$2,FALSE)</f>
        <v>88.14677474265811</v>
      </c>
      <c r="AZ402">
        <f>_xlfn.NORM.DIST(Table2912[[#This Row],[Isovalerate '[%']]],W$6,W$2,FALSE)</f>
        <v>42.874114470619723</v>
      </c>
      <c r="BA402">
        <f>_xlfn.NORM.DIST(Table2912[[#This Row],[CH4 '[g/mmol SCFA']]],X$6,X$2,FALSE)</f>
        <v>0.11478242019379167</v>
      </c>
      <c r="BB402">
        <f>_xlfn.NORM.DIST(Table2912[[#This Row],[DMD '[mg/g']]],Y$6,Y$2,FALSE)</f>
        <v>2.2060273433313661E-3</v>
      </c>
      <c r="BC402">
        <f>_xlfn.NORM.DIST(Table2912[[#This Row],[CH4 '[ml/g']]],Z$6,Z$2,FALSE)</f>
        <v>1.1732382394044455E-2</v>
      </c>
      <c r="BD402">
        <f>_xlfn.NORM.DIST(Table2912[[#This Row],[CH4 '[% GP']]],AA$6,AA$2,FALSE)</f>
        <v>0.10191141645590686</v>
      </c>
      <c r="BE402">
        <f>_xlfn.NORM.DIST(Table2912[[#This Row],[CH4 '[g/g DDM']]],AB$6,AB$2,FALSE)</f>
        <v>1.7827472023670327E-2</v>
      </c>
      <c r="BG402">
        <f>IF(Table2912[[#This Row],[GP '[ml/g']]]&lt;O$10,_xlfn.NORM.DIST(Table2912[[#This Row],[GP '[ml/g']]],O$6,O$2,FALSE),-100)</f>
        <v>-100</v>
      </c>
      <c r="BH402">
        <f>IF(Table2912[[#This Row],[SCFA '[mmol/g']]]&lt;P$10,_xlfn.NORM.DIST(Table2912[[#This Row],[SCFA '[mmol/g']]],P$6,P$2,FALSE),-100)</f>
        <v>-100</v>
      </c>
      <c r="BI402">
        <f>IF(Table2912[[#This Row],[Acetate '[%']]]&lt;Q$10,_xlfn.NORM.DIST(Table2912[[#This Row],[Acetate '[%']]],Q$6,Q$2,FALSE),-100)</f>
        <v>-100</v>
      </c>
      <c r="BJ402">
        <f>IF(Table2912[[#This Row],[Propionate '[%']]]&lt;R$10,_xlfn.NORM.DIST(Table2912[[#This Row],[Propionate '[%']]],R$6,R$2,FALSE),-100)</f>
        <v>-100</v>
      </c>
      <c r="BK402">
        <f>IF(Table2912[[#This Row],[Butyrate '[%']]]&lt;S$10,_xlfn.NORM.DIST(Table2912[[#This Row],[Butyrate '[%']]],S$6,S$2,FALSE),-100)</f>
        <v>-100</v>
      </c>
      <c r="BL402">
        <f>IF(Table2912[[#This Row],[Valerate '[%']]]&lt;T$10,_xlfn.NORM.DIST(Table2912[[#This Row],[Valerate '[%']]],T$6,T$2,FALSE),-100)</f>
        <v>-100</v>
      </c>
      <c r="BM402">
        <f>IF(Table2912[[#This Row],[Caproate '[%']]]&lt;U$10,_xlfn.NORM.DIST(Table2912[[#This Row],[Caproate '[%']]],U$6,U$2,FALSE),-100)</f>
        <v>-100</v>
      </c>
      <c r="BN402">
        <f>IF(Table2912[[#This Row],[Isobutyrate '[%']]]&lt;V$10,_xlfn.NORM.DIST(Table2912[[#This Row],[Isobutyrate '[%']]],V$6,V$2,FALSE),-100)</f>
        <v>-100</v>
      </c>
      <c r="BO402">
        <f>IF(Table2912[[#This Row],[Isovalerate '[%']]]&lt;W$10,_xlfn.NORM.DIST(Table2912[[#This Row],[Isovalerate '[%']]],W$6,W$2,FALSE),-100)</f>
        <v>-100</v>
      </c>
      <c r="BP402">
        <f>IF(Table2912[[#This Row],[CH4 '[g/mmol SCFA']]]&lt;X$10,_xlfn.NORM.DIST(Table2912[[#This Row],[CH4 '[g/mmol SCFA']]],X$6,X$2,FALSE),-100)</f>
        <v>-100</v>
      </c>
      <c r="BQ402">
        <f>IF(Table2912[[#This Row],[DMD '[mg/g']]]&gt;Y$10,_xlfn.NORM.DIST(Table2912[[#This Row],[DMD '[mg/g']]],Y$6,Y$2,FALSE),-100)</f>
        <v>-100</v>
      </c>
      <c r="BR402">
        <f>IF(Table2912[[#This Row],[CH4 '[ml/g']]]&lt;Z$10,_xlfn.NORM.DIST(Table2912[[#This Row],[CH4 '[ml/g']]],Z$6,Z$2,FALSE),-100)</f>
        <v>-100</v>
      </c>
      <c r="BS402">
        <f>IF(Table2912[[#This Row],[CH4 '[% GP']]]&lt;AA$10,_xlfn.NORM.DIST(Table2912[[#This Row],[CH4 '[% GP']]],AA$6,AA$2,FALSE),-100)</f>
        <v>-100</v>
      </c>
      <c r="BT402">
        <f>IF(Table2912[[#This Row],[CH4 '[g/g DDM']]]&lt;AB$10,_xlfn.NORM.DIST(Table2912[[#This Row],[CH4 '[g/g DDM']]],AB$6,AB$2,FALSE),-100)</f>
        <v>-100</v>
      </c>
    </row>
    <row r="403" spans="1:72" x14ac:dyDescent="0.25">
      <c r="A403" s="12" t="s">
        <v>70</v>
      </c>
      <c r="B403" s="13">
        <v>1004</v>
      </c>
      <c r="C403" s="96" t="s">
        <v>499</v>
      </c>
      <c r="D403" s="96"/>
      <c r="E403" s="96"/>
      <c r="F403" s="96" t="s">
        <v>500</v>
      </c>
      <c r="G403" t="s">
        <v>73</v>
      </c>
      <c r="H403" t="s">
        <v>74</v>
      </c>
      <c r="I403" t="s">
        <v>75</v>
      </c>
      <c r="J403" s="100">
        <v>3</v>
      </c>
      <c r="K403" s="100"/>
      <c r="L403" s="100"/>
      <c r="M403" t="s">
        <v>500</v>
      </c>
      <c r="N403" t="s">
        <v>81</v>
      </c>
      <c r="O403" s="18">
        <v>320.04223534558258</v>
      </c>
      <c r="P403" s="18">
        <v>9.0078740157480333</v>
      </c>
      <c r="Q403" s="97">
        <v>0.65104472219232534</v>
      </c>
      <c r="R403" s="97">
        <v>0.17642588119044561</v>
      </c>
      <c r="S403" s="97">
        <v>9.8223459032494326E-2</v>
      </c>
      <c r="T403" s="97">
        <v>1.9274306889034976E-2</v>
      </c>
      <c r="U403" s="97">
        <v>1.1773389366147272E-3</v>
      </c>
      <c r="V403" s="97">
        <v>2.049227072719639E-2</v>
      </c>
      <c r="W403" s="97">
        <v>3.3362021031888595E-2</v>
      </c>
      <c r="X403" s="51">
        <f t="shared" si="26"/>
        <v>5.7811939037952254</v>
      </c>
      <c r="Y403" s="18">
        <v>878.39020122484703</v>
      </c>
      <c r="Z403" s="18">
        <v>52.076266345997944</v>
      </c>
      <c r="AA403" s="18">
        <f t="shared" si="27"/>
        <v>16.271685607296746</v>
      </c>
      <c r="AB403" s="18">
        <f t="shared" si="28"/>
        <v>59.286028320194859</v>
      </c>
      <c r="AC403" s="18">
        <f>$CP$15*Table2912[[#This Row],[DMD '[mg/g']]]+$CS$15*Table2912[[#This Row],[CH4 '[ml/g']]]+$CR$15*Table2912[[#This Row],[CH4 '[% GP']]]+$CQ$15*Table2912[[#This Row],[CH4 '[g/g DDM']]]</f>
        <v>20.530469659359852</v>
      </c>
      <c r="AD403" s="18">
        <f>_xlfn.RANK.AVG(Table2912[[#This Row],[Index]],Table2912[Index])</f>
        <v>153</v>
      </c>
      <c r="AE40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8.3385354913627054</v>
      </c>
      <c r="AF403" s="18">
        <f>Table2912[[#This Row],[CH4 '[ml/g']]]/Table2912[[#This Row],[APB]]</f>
        <v>6.2452533061638986</v>
      </c>
      <c r="AG403" s="18">
        <f>Table2912[[#This Row],[Propionate '[%']]]/Table2912[[#This Row],[Acetate '[%']]]</f>
        <v>0.27098888167981733</v>
      </c>
      <c r="AH403" s="51"/>
      <c r="AI403" s="18"/>
      <c r="AJ403" s="18"/>
      <c r="AK403" s="18">
        <f>(Table2912[[#This Row],[DMD '[mg/g']]]-$AK$15)/$AK$15*100</f>
        <v>79.157595986323997</v>
      </c>
      <c r="AL403" s="18">
        <f>(Table2912[[#This Row],[CH4 '[ml/g']]]-AL$15)/AL$15*100</f>
        <v>32.401075597031685</v>
      </c>
      <c r="AM403" s="18">
        <f>(Table2912[[#This Row],[CH4 '[% GP']]]-AM$15)/AM$15*100</f>
        <v>4.8274368116284334</v>
      </c>
      <c r="AN403" s="18">
        <f>(Table2912[[#This Row],[CH4 '[g/g DDM']]]-AN$15)/AN$15*100</f>
        <v>15.757923267446582</v>
      </c>
      <c r="AO403" s="18"/>
      <c r="AP403" s="18"/>
      <c r="AR403">
        <f>_xlfn.NORM.DIST(Table2912[[#This Row],[GP '[ml/g']]],O$6,O$2,FALSE)</f>
        <v>3.5958830045332182E-3</v>
      </c>
      <c r="AS403">
        <f>_xlfn.NORM.DIST(Table2912[[#This Row],[SCFA '[mmol/g']]],P$6,P$2,FALSE)</f>
        <v>3.9829095021708776E-2</v>
      </c>
      <c r="AT403">
        <f>_xlfn.NORM.DIST(Table2912[[#This Row],[Acetate '[%']]],Q$6,Q$2,FALSE)</f>
        <v>10.37729755836973</v>
      </c>
      <c r="AU403">
        <f>_xlfn.NORM.DIST(Table2912[[#This Row],[Propionate '[%']]],R$6,R$2,FALSE)</f>
        <v>16.484871407844629</v>
      </c>
      <c r="AV403">
        <f>_xlfn.NORM.DIST(Table2912[[#This Row],[Butyrate '[%']]],S$6,S$2,FALSE)</f>
        <v>21.976332188460376</v>
      </c>
      <c r="AW403">
        <f>_xlfn.NORM.DIST(Table2912[[#This Row],[Valerate '[%']]],T$6,T$2,FALSE)</f>
        <v>73.687077892531235</v>
      </c>
      <c r="AX403">
        <f>_xlfn.NORM.DIST(Table2912[[#This Row],[Caproate '[%']]],U$6,U$2,FALSE)</f>
        <v>401.81359397289509</v>
      </c>
      <c r="AY403">
        <f>_xlfn.NORM.DIST(Table2912[[#This Row],[Isobutyrate '[%']]],V$6,V$2,FALSE)</f>
        <v>45.503185031248464</v>
      </c>
      <c r="AZ403">
        <f>_xlfn.NORM.DIST(Table2912[[#This Row],[Isovalerate '[%']]],W$6,W$2,FALSE)</f>
        <v>37.426758282628597</v>
      </c>
      <c r="BA403">
        <f>_xlfn.NORM.DIST(Table2912[[#This Row],[CH4 '[g/mmol SCFA']]],X$6,X$2,FALSE)</f>
        <v>0.27732858386177567</v>
      </c>
      <c r="BB403">
        <f>_xlfn.NORM.DIST(Table2912[[#This Row],[DMD '[mg/g']]],Y$6,Y$2,FALSE)</f>
        <v>2.2037262273816843E-3</v>
      </c>
      <c r="BC403">
        <f>_xlfn.NORM.DIST(Table2912[[#This Row],[CH4 '[ml/g']]],Z$6,Z$2,FALSE)</f>
        <v>2.2411486743595353E-2</v>
      </c>
      <c r="BD403">
        <f>_xlfn.NORM.DIST(Table2912[[#This Row],[CH4 '[% GP']]],AA$6,AA$2,FALSE)</f>
        <v>0.13439940923265872</v>
      </c>
      <c r="BE403">
        <f>_xlfn.NORM.DIST(Table2912[[#This Row],[CH4 '[g/g DDM']]],AB$6,AB$2,FALSE)</f>
        <v>2.9157494182373723E-2</v>
      </c>
      <c r="BG403">
        <f>IF(Table2912[[#This Row],[GP '[ml/g']]]&lt;O$10,_xlfn.NORM.DIST(Table2912[[#This Row],[GP '[ml/g']]],O$6,O$2,FALSE),-100)</f>
        <v>-100</v>
      </c>
      <c r="BH403">
        <f>IF(Table2912[[#This Row],[SCFA '[mmol/g']]]&lt;P$10,_xlfn.NORM.DIST(Table2912[[#This Row],[SCFA '[mmol/g']]],P$6,P$2,FALSE),-100)</f>
        <v>-100</v>
      </c>
      <c r="BI403">
        <f>IF(Table2912[[#This Row],[Acetate '[%']]]&lt;Q$10,_xlfn.NORM.DIST(Table2912[[#This Row],[Acetate '[%']]],Q$6,Q$2,FALSE),-100)</f>
        <v>-100</v>
      </c>
      <c r="BJ403">
        <f>IF(Table2912[[#This Row],[Propionate '[%']]]&lt;R$10,_xlfn.NORM.DIST(Table2912[[#This Row],[Propionate '[%']]],R$6,R$2,FALSE),-100)</f>
        <v>-100</v>
      </c>
      <c r="BK403">
        <f>IF(Table2912[[#This Row],[Butyrate '[%']]]&lt;S$10,_xlfn.NORM.DIST(Table2912[[#This Row],[Butyrate '[%']]],S$6,S$2,FALSE),-100)</f>
        <v>-100</v>
      </c>
      <c r="BL403">
        <f>IF(Table2912[[#This Row],[Valerate '[%']]]&lt;T$10,_xlfn.NORM.DIST(Table2912[[#This Row],[Valerate '[%']]],T$6,T$2,FALSE),-100)</f>
        <v>-100</v>
      </c>
      <c r="BM403">
        <f>IF(Table2912[[#This Row],[Caproate '[%']]]&lt;U$10,_xlfn.NORM.DIST(Table2912[[#This Row],[Caproate '[%']]],U$6,U$2,FALSE),-100)</f>
        <v>-100</v>
      </c>
      <c r="BN403">
        <f>IF(Table2912[[#This Row],[Isobutyrate '[%']]]&lt;V$10,_xlfn.NORM.DIST(Table2912[[#This Row],[Isobutyrate '[%']]],V$6,V$2,FALSE),-100)</f>
        <v>-100</v>
      </c>
      <c r="BO403">
        <f>IF(Table2912[[#This Row],[Isovalerate '[%']]]&lt;W$10,_xlfn.NORM.DIST(Table2912[[#This Row],[Isovalerate '[%']]],W$6,W$2,FALSE),-100)</f>
        <v>-100</v>
      </c>
      <c r="BP403">
        <f>IF(Table2912[[#This Row],[CH4 '[g/mmol SCFA']]]&lt;X$10,_xlfn.NORM.DIST(Table2912[[#This Row],[CH4 '[g/mmol SCFA']]],X$6,X$2,FALSE),-100)</f>
        <v>-100</v>
      </c>
      <c r="BQ403">
        <f>IF(Table2912[[#This Row],[DMD '[mg/g']]]&gt;Y$10,_xlfn.NORM.DIST(Table2912[[#This Row],[DMD '[mg/g']]],Y$6,Y$2,FALSE),-100)</f>
        <v>-100</v>
      </c>
      <c r="BR403">
        <f>IF(Table2912[[#This Row],[CH4 '[ml/g']]]&lt;Z$10,_xlfn.NORM.DIST(Table2912[[#This Row],[CH4 '[ml/g']]],Z$6,Z$2,FALSE),-100)</f>
        <v>-100</v>
      </c>
      <c r="BS403">
        <f>IF(Table2912[[#This Row],[CH4 '[% GP']]]&lt;AA$10,_xlfn.NORM.DIST(Table2912[[#This Row],[CH4 '[% GP']]],AA$6,AA$2,FALSE),-100)</f>
        <v>-100</v>
      </c>
      <c r="BT403">
        <f>IF(Table2912[[#This Row],[CH4 '[g/g DDM']]]&lt;AB$10,_xlfn.NORM.DIST(Table2912[[#This Row],[CH4 '[g/g DDM']]],AB$6,AB$2,FALSE),-100)</f>
        <v>-100</v>
      </c>
    </row>
    <row r="404" spans="1:72" x14ac:dyDescent="0.25">
      <c r="A404" s="12" t="s">
        <v>200</v>
      </c>
      <c r="B404" s="13">
        <v>1255</v>
      </c>
      <c r="C404" s="113" t="s">
        <v>501</v>
      </c>
      <c r="D404" s="113" t="s">
        <v>432</v>
      </c>
      <c r="E404" s="113" t="s">
        <v>502</v>
      </c>
      <c r="F404" s="114" t="s">
        <v>503</v>
      </c>
      <c r="G404" t="s">
        <v>73</v>
      </c>
      <c r="H404" t="s">
        <v>74</v>
      </c>
      <c r="I404" t="s">
        <v>75</v>
      </c>
      <c r="J404" s="100">
        <v>3</v>
      </c>
      <c r="K404" s="100"/>
      <c r="L404" s="100"/>
      <c r="M404" t="s">
        <v>504</v>
      </c>
      <c r="N404" t="s">
        <v>208</v>
      </c>
      <c r="O404" s="18">
        <v>248.81430776014122</v>
      </c>
      <c r="P404" s="18">
        <v>5.7467038811245317</v>
      </c>
      <c r="Q404" s="97">
        <v>0.69550871909382384</v>
      </c>
      <c r="R404" s="97">
        <v>0.14695100807536429</v>
      </c>
      <c r="S404" s="97">
        <v>0.10474040286452752</v>
      </c>
      <c r="T404" s="97">
        <v>1.6583118331989881E-2</v>
      </c>
      <c r="U404" s="97">
        <v>1.5459178955203429E-3</v>
      </c>
      <c r="V404" s="97">
        <v>1.2389834512938069E-2</v>
      </c>
      <c r="W404" s="97">
        <v>2.2280999225836047E-2</v>
      </c>
      <c r="X404" s="51">
        <f t="shared" si="26"/>
        <v>7.4184574593484998</v>
      </c>
      <c r="Y404" s="18">
        <v>878.44872713730615</v>
      </c>
      <c r="Z404" s="18">
        <v>42.631678273595256</v>
      </c>
      <c r="AA404" s="18">
        <f t="shared" si="27"/>
        <v>17.133933597859048</v>
      </c>
      <c r="AB404" s="18">
        <f t="shared" si="28"/>
        <v>48.530639246895625</v>
      </c>
      <c r="AC404" s="18">
        <f>$CP$15*Table2912[[#This Row],[DMD '[mg/g']]]+$CS$15*Table2912[[#This Row],[CH4 '[ml/g']]]+$CR$15*Table2912[[#This Row],[CH4 '[% GP']]]+$CQ$15*Table2912[[#This Row],[CH4 '[g/g DDM']]]</f>
        <v>24.197400165173214</v>
      </c>
      <c r="AD404" s="18">
        <f>_xlfn.RANK.AVG(Table2912[[#This Row],[Index]],Table2912[Index])</f>
        <v>100</v>
      </c>
      <c r="AE40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5.4432786634664145</v>
      </c>
      <c r="AF404" s="18">
        <f>Table2912[[#This Row],[CH4 '[ml/g']]]/Table2912[[#This Row],[APB]]</f>
        <v>7.8319852628023181</v>
      </c>
      <c r="AG404" s="18">
        <f>Table2912[[#This Row],[Propionate '[%']]]/Table2912[[#This Row],[Acetate '[%']]]</f>
        <v>0.21128564465277488</v>
      </c>
      <c r="AH404" s="51"/>
      <c r="AI404" s="18"/>
      <c r="AJ404" s="18"/>
      <c r="AK404" s="18">
        <f>(Table2912[[#This Row],[DMD '[mg/g']]]-$AK$15)/$AK$15*100</f>
        <v>79.169533006755756</v>
      </c>
      <c r="AL404" s="18">
        <f>(Table2912[[#This Row],[CH4 '[ml/g']]]-AL$15)/AL$15*100</f>
        <v>8.3887239616669742</v>
      </c>
      <c r="AM404" s="18">
        <f>(Table2912[[#This Row],[CH4 '[% GP']]]-AM$15)/AM$15*100</f>
        <v>10.382315938969167</v>
      </c>
      <c r="AN404" s="18">
        <f>(Table2912[[#This Row],[CH4 '[g/g DDM']]]-AN$15)/AN$15*100</f>
        <v>-5.2423281971031024</v>
      </c>
      <c r="AO404" s="18"/>
      <c r="AP404" s="18"/>
      <c r="AR404">
        <f>_xlfn.NORM.DIST(Table2912[[#This Row],[GP '[ml/g']]],O$6,O$2,FALSE)</f>
        <v>7.4215079100930191E-3</v>
      </c>
      <c r="AS404">
        <f>_xlfn.NORM.DIST(Table2912[[#This Row],[SCFA '[mmol/g']]],P$6,P$2,FALSE)</f>
        <v>0.2676999907488386</v>
      </c>
      <c r="AT404">
        <f>_xlfn.NORM.DIST(Table2912[[#This Row],[Acetate '[%']]],Q$6,Q$2,FALSE)</f>
        <v>10.291085267363368</v>
      </c>
      <c r="AU404">
        <f>_xlfn.NORM.DIST(Table2912[[#This Row],[Propionate '[%']]],R$6,R$2,FALSE)</f>
        <v>9.6886196577575614</v>
      </c>
      <c r="AV404">
        <f>_xlfn.NORM.DIST(Table2912[[#This Row],[Butyrate '[%']]],S$6,S$2,FALSE)</f>
        <v>18.248085856534733</v>
      </c>
      <c r="AW404">
        <f>_xlfn.NORM.DIST(Table2912[[#This Row],[Valerate '[%']]],T$6,T$2,FALSE)</f>
        <v>75.727475928583559</v>
      </c>
      <c r="AX404">
        <f>_xlfn.NORM.DIST(Table2912[[#This Row],[Caproate '[%']]],U$6,U$2,FALSE)</f>
        <v>397.43613992176938</v>
      </c>
      <c r="AY404">
        <f>_xlfn.NORM.DIST(Table2912[[#This Row],[Isobutyrate '[%']]],V$6,V$2,FALSE)</f>
        <v>72.433344023730854</v>
      </c>
      <c r="AZ404">
        <f>_xlfn.NORM.DIST(Table2912[[#This Row],[Isovalerate '[%']]],W$6,W$2,FALSE)</f>
        <v>37.03307386633989</v>
      </c>
      <c r="BA404">
        <f>_xlfn.NORM.DIST(Table2912[[#This Row],[CH4 '[g/mmol SCFA']]],X$6,X$2,FALSE)</f>
        <v>0.20782159150768703</v>
      </c>
      <c r="BB404">
        <f>_xlfn.NORM.DIST(Table2912[[#This Row],[DMD '[mg/g']]],Y$6,Y$2,FALSE)</f>
        <v>2.2030205538572673E-3</v>
      </c>
      <c r="BC404">
        <f>_xlfn.NORM.DIST(Table2912[[#This Row],[CH4 '[ml/g']]],Z$6,Z$2,FALSE)</f>
        <v>3.332667869811385E-2</v>
      </c>
      <c r="BD404">
        <f>_xlfn.NORM.DIST(Table2912[[#This Row],[CH4 '[% GP']]],AA$6,AA$2,FALSE)</f>
        <v>0.12627048089462897</v>
      </c>
      <c r="BE404">
        <f>_xlfn.NORM.DIST(Table2912[[#This Row],[CH4 '[g/g DDM']]],AB$6,AB$2,FALSE)</f>
        <v>3.0360095851242479E-2</v>
      </c>
      <c r="BG404">
        <f>IF(Table2912[[#This Row],[GP '[ml/g']]]&lt;O$10,_xlfn.NORM.DIST(Table2912[[#This Row],[GP '[ml/g']]],O$6,O$2,FALSE),-100)</f>
        <v>-100</v>
      </c>
      <c r="BH404">
        <f>IF(Table2912[[#This Row],[SCFA '[mmol/g']]]&lt;P$10,_xlfn.NORM.DIST(Table2912[[#This Row],[SCFA '[mmol/g']]],P$6,P$2,FALSE),-100)</f>
        <v>-100</v>
      </c>
      <c r="BI404">
        <f>IF(Table2912[[#This Row],[Acetate '[%']]]&lt;Q$10,_xlfn.NORM.DIST(Table2912[[#This Row],[Acetate '[%']]],Q$6,Q$2,FALSE),-100)</f>
        <v>-100</v>
      </c>
      <c r="BJ404">
        <f>IF(Table2912[[#This Row],[Propionate '[%']]]&lt;R$10,_xlfn.NORM.DIST(Table2912[[#This Row],[Propionate '[%']]],R$6,R$2,FALSE),-100)</f>
        <v>9.6886196577575614</v>
      </c>
      <c r="BK404">
        <f>IF(Table2912[[#This Row],[Butyrate '[%']]]&lt;S$10,_xlfn.NORM.DIST(Table2912[[#This Row],[Butyrate '[%']]],S$6,S$2,FALSE),-100)</f>
        <v>-100</v>
      </c>
      <c r="BL404">
        <f>IF(Table2912[[#This Row],[Valerate '[%']]]&lt;T$10,_xlfn.NORM.DIST(Table2912[[#This Row],[Valerate '[%']]],T$6,T$2,FALSE),-100)</f>
        <v>-100</v>
      </c>
      <c r="BM404">
        <f>IF(Table2912[[#This Row],[Caproate '[%']]]&lt;U$10,_xlfn.NORM.DIST(Table2912[[#This Row],[Caproate '[%']]],U$6,U$2,FALSE),-100)</f>
        <v>-100</v>
      </c>
      <c r="BN404">
        <f>IF(Table2912[[#This Row],[Isobutyrate '[%']]]&lt;V$10,_xlfn.NORM.DIST(Table2912[[#This Row],[Isobutyrate '[%']]],V$6,V$2,FALSE),-100)</f>
        <v>-100</v>
      </c>
      <c r="BO404">
        <f>IF(Table2912[[#This Row],[Isovalerate '[%']]]&lt;W$10,_xlfn.NORM.DIST(Table2912[[#This Row],[Isovalerate '[%']]],W$6,W$2,FALSE),-100)</f>
        <v>-100</v>
      </c>
      <c r="BP404">
        <f>IF(Table2912[[#This Row],[CH4 '[g/mmol SCFA']]]&lt;X$10,_xlfn.NORM.DIST(Table2912[[#This Row],[CH4 '[g/mmol SCFA']]],X$6,X$2,FALSE),-100)</f>
        <v>-100</v>
      </c>
      <c r="BQ404">
        <f>IF(Table2912[[#This Row],[DMD '[mg/g']]]&gt;Y$10,_xlfn.NORM.DIST(Table2912[[#This Row],[DMD '[mg/g']]],Y$6,Y$2,FALSE),-100)</f>
        <v>-100</v>
      </c>
      <c r="BR404">
        <f>IF(Table2912[[#This Row],[CH4 '[ml/g']]]&lt;Z$10,_xlfn.NORM.DIST(Table2912[[#This Row],[CH4 '[ml/g']]],Z$6,Z$2,FALSE),-100)</f>
        <v>-100</v>
      </c>
      <c r="BS404">
        <f>IF(Table2912[[#This Row],[CH4 '[% GP']]]&lt;AA$10,_xlfn.NORM.DIST(Table2912[[#This Row],[CH4 '[% GP']]],AA$6,AA$2,FALSE),-100)</f>
        <v>-100</v>
      </c>
      <c r="BT404">
        <f>IF(Table2912[[#This Row],[CH4 '[g/g DDM']]]&lt;AB$10,_xlfn.NORM.DIST(Table2912[[#This Row],[CH4 '[g/g DDM']]],AB$6,AB$2,FALSE),-100)</f>
        <v>-100</v>
      </c>
    </row>
    <row r="405" spans="1:72" x14ac:dyDescent="0.25">
      <c r="A405" s="12" t="s">
        <v>200</v>
      </c>
      <c r="B405" s="13">
        <v>1147</v>
      </c>
      <c r="C405" s="117" t="s">
        <v>211</v>
      </c>
      <c r="D405" s="117" t="s">
        <v>212</v>
      </c>
      <c r="E405" s="117" t="s">
        <v>213</v>
      </c>
      <c r="F405" s="117" t="s">
        <v>214</v>
      </c>
      <c r="G405" t="s">
        <v>73</v>
      </c>
      <c r="H405" t="s">
        <v>74</v>
      </c>
      <c r="I405" t="s">
        <v>75</v>
      </c>
      <c r="J405" s="70">
        <v>1</v>
      </c>
      <c r="K405" s="70"/>
      <c r="L405" s="70"/>
      <c r="M405" t="s">
        <v>215</v>
      </c>
      <c r="N405" t="s">
        <v>245</v>
      </c>
      <c r="O405" s="18">
        <v>307.70617529880479</v>
      </c>
      <c r="P405" s="18">
        <v>7.4509795463814035</v>
      </c>
      <c r="Q405" s="97">
        <v>0.68264861582872016</v>
      </c>
      <c r="R405" s="97">
        <v>0.16602689708998997</v>
      </c>
      <c r="S405" s="97">
        <v>8.7131157481787028E-2</v>
      </c>
      <c r="T405" s="97">
        <v>1.7162663939310634E-2</v>
      </c>
      <c r="U405" s="97">
        <v>8.7060070883125944E-4</v>
      </c>
      <c r="V405" s="97">
        <v>1.5806116756892703E-2</v>
      </c>
      <c r="W405" s="97">
        <v>3.035394819446828E-2</v>
      </c>
      <c r="X405" s="51">
        <f t="shared" si="26"/>
        <v>7.485704554256456</v>
      </c>
      <c r="Y405" s="18">
        <v>878.60238834687493</v>
      </c>
      <c r="Z405" s="18">
        <v>55.775831524018976</v>
      </c>
      <c r="AA405" s="18">
        <f t="shared" si="27"/>
        <v>18.126328296744983</v>
      </c>
      <c r="AB405" s="18">
        <f t="shared" si="28"/>
        <v>63.482449244149464</v>
      </c>
      <c r="AC405" s="18">
        <f>$CP$15*Table2912[[#This Row],[DMD '[mg/g']]]+$CS$15*Table2912[[#This Row],[CH4 '[ml/g']]]+$CR$15*Table2912[[#This Row],[CH4 '[% GP']]]+$CQ$15*Table2912[[#This Row],[CH4 '[g/g DDM']]]</f>
        <v>18.462425561258996</v>
      </c>
      <c r="AD405" s="18">
        <f>_xlfn.RANK.AVG(Table2912[[#This Row],[Index]],Table2912[Index])</f>
        <v>192</v>
      </c>
      <c r="AE40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6.9726763605213886</v>
      </c>
      <c r="AF405" s="18">
        <f>Table2912[[#This Row],[CH4 '[ml/g']]]/Table2912[[#This Row],[APB]]</f>
        <v>7.9991998251655962</v>
      </c>
      <c r="AG405" s="18">
        <f>Table2912[[#This Row],[Propionate '[%']]]/Table2912[[#This Row],[Acetate '[%']]]</f>
        <v>0.24320989340678151</v>
      </c>
      <c r="AH405" s="51"/>
      <c r="AI405" s="18"/>
      <c r="AJ405" s="18"/>
      <c r="AK405" s="18">
        <f>(Table2912[[#This Row],[DMD '[mg/g']]]-$AK$15)/$AK$15*100</f>
        <v>79.20087394483123</v>
      </c>
      <c r="AL405" s="18">
        <f>(Table2912[[#This Row],[CH4 '[ml/g']]]-AL$15)/AL$15*100</f>
        <v>41.80701890250738</v>
      </c>
      <c r="AM405" s="18">
        <f>(Table2912[[#This Row],[CH4 '[% GP']]]-AM$15)/AM$15*100</f>
        <v>16.77564205774631</v>
      </c>
      <c r="AN405" s="18">
        <f>(Table2912[[#This Row],[CH4 '[g/g DDM']]]-AN$15)/AN$15*100</f>
        <v>23.951573357978535</v>
      </c>
      <c r="AO405" s="18"/>
      <c r="AP405" s="18"/>
      <c r="AR405">
        <f>_xlfn.NORM.DIST(Table2912[[#This Row],[GP '[ml/g']]],O$6,O$2,FALSE)</f>
        <v>4.6319426902368252E-3</v>
      </c>
      <c r="AS405">
        <f>_xlfn.NORM.DIST(Table2912[[#This Row],[SCFA '[mmol/g']]],P$6,P$2,FALSE)</f>
        <v>0.24891448117427475</v>
      </c>
      <c r="AT405">
        <f>_xlfn.NORM.DIST(Table2912[[#This Row],[Acetate '[%']]],Q$6,Q$2,FALSE)</f>
        <v>13.262138284274684</v>
      </c>
      <c r="AU405">
        <f>_xlfn.NORM.DIST(Table2912[[#This Row],[Propionate '[%']]],R$6,R$2,FALSE)</f>
        <v>16.29132954698748</v>
      </c>
      <c r="AV405">
        <f>_xlfn.NORM.DIST(Table2912[[#This Row],[Butyrate '[%']]],S$6,S$2,FALSE)</f>
        <v>21.778597373464866</v>
      </c>
      <c r="AW405">
        <f>_xlfn.NORM.DIST(Table2912[[#This Row],[Valerate '[%']]],T$6,T$2,FALSE)</f>
        <v>77.037221283385549</v>
      </c>
      <c r="AX405">
        <f>_xlfn.NORM.DIST(Table2912[[#This Row],[Caproate '[%']]],U$6,U$2,FALSE)</f>
        <v>364.07173128317623</v>
      </c>
      <c r="AY405">
        <f>_xlfn.NORM.DIST(Table2912[[#This Row],[Isobutyrate '[%']]],V$6,V$2,FALSE)</f>
        <v>89.61070071495223</v>
      </c>
      <c r="AZ405">
        <f>_xlfn.NORM.DIST(Table2912[[#This Row],[Isovalerate '[%']]],W$6,W$2,FALSE)</f>
        <v>43.683454435167313</v>
      </c>
      <c r="BA405">
        <f>_xlfn.NORM.DIST(Table2912[[#This Row],[CH4 '[g/mmol SCFA']]],X$6,X$2,FALSE)</f>
        <v>0.19893503319115952</v>
      </c>
      <c r="BB405">
        <f>_xlfn.NORM.DIST(Table2912[[#This Row],[DMD '[mg/g']]],Y$6,Y$2,FALSE)</f>
        <v>2.2011669488786224E-3</v>
      </c>
      <c r="BC405">
        <f>_xlfn.NORM.DIST(Table2912[[#This Row],[CH4 '[ml/g']]],Z$6,Z$2,FALSE)</f>
        <v>1.6161666589700641E-2</v>
      </c>
      <c r="BD405">
        <f>_xlfn.NORM.DIST(Table2912[[#This Row],[CH4 '[% GP']]],AA$6,AA$2,FALSE)</f>
        <v>0.10581371397363371</v>
      </c>
      <c r="BE405">
        <f>_xlfn.NORM.DIST(Table2912[[#This Row],[CH4 '[g/g DDM']]],AB$6,AB$2,FALSE)</f>
        <v>2.3201156569566086E-2</v>
      </c>
      <c r="BG405">
        <f>IF(Table2912[[#This Row],[GP '[ml/g']]]&lt;O$10,_xlfn.NORM.DIST(Table2912[[#This Row],[GP '[ml/g']]],O$6,O$2,FALSE),-100)</f>
        <v>-100</v>
      </c>
      <c r="BH405">
        <f>IF(Table2912[[#This Row],[SCFA '[mmol/g']]]&lt;P$10,_xlfn.NORM.DIST(Table2912[[#This Row],[SCFA '[mmol/g']]],P$6,P$2,FALSE),-100)</f>
        <v>-100</v>
      </c>
      <c r="BI405">
        <f>IF(Table2912[[#This Row],[Acetate '[%']]]&lt;Q$10,_xlfn.NORM.DIST(Table2912[[#This Row],[Acetate '[%']]],Q$6,Q$2,FALSE),-100)</f>
        <v>-100</v>
      </c>
      <c r="BJ405">
        <f>IF(Table2912[[#This Row],[Propionate '[%']]]&lt;R$10,_xlfn.NORM.DIST(Table2912[[#This Row],[Propionate '[%']]],R$6,R$2,FALSE),-100)</f>
        <v>-100</v>
      </c>
      <c r="BK405">
        <f>IF(Table2912[[#This Row],[Butyrate '[%']]]&lt;S$10,_xlfn.NORM.DIST(Table2912[[#This Row],[Butyrate '[%']]],S$6,S$2,FALSE),-100)</f>
        <v>-100</v>
      </c>
      <c r="BL405">
        <f>IF(Table2912[[#This Row],[Valerate '[%']]]&lt;T$10,_xlfn.NORM.DIST(Table2912[[#This Row],[Valerate '[%']]],T$6,T$2,FALSE),-100)</f>
        <v>-100</v>
      </c>
      <c r="BM405">
        <f>IF(Table2912[[#This Row],[Caproate '[%']]]&lt;U$10,_xlfn.NORM.DIST(Table2912[[#This Row],[Caproate '[%']]],U$6,U$2,FALSE),-100)</f>
        <v>-100</v>
      </c>
      <c r="BN405">
        <f>IF(Table2912[[#This Row],[Isobutyrate '[%']]]&lt;V$10,_xlfn.NORM.DIST(Table2912[[#This Row],[Isobutyrate '[%']]],V$6,V$2,FALSE),-100)</f>
        <v>-100</v>
      </c>
      <c r="BO405">
        <f>IF(Table2912[[#This Row],[Isovalerate '[%']]]&lt;W$10,_xlfn.NORM.DIST(Table2912[[#This Row],[Isovalerate '[%']]],W$6,W$2,FALSE),-100)</f>
        <v>-100</v>
      </c>
      <c r="BP405">
        <f>IF(Table2912[[#This Row],[CH4 '[g/mmol SCFA']]]&lt;X$10,_xlfn.NORM.DIST(Table2912[[#This Row],[CH4 '[g/mmol SCFA']]],X$6,X$2,FALSE),-100)</f>
        <v>-100</v>
      </c>
      <c r="BQ405">
        <f>IF(Table2912[[#This Row],[DMD '[mg/g']]]&gt;Y$10,_xlfn.NORM.DIST(Table2912[[#This Row],[DMD '[mg/g']]],Y$6,Y$2,FALSE),-100)</f>
        <v>-100</v>
      </c>
      <c r="BR405">
        <f>IF(Table2912[[#This Row],[CH4 '[ml/g']]]&lt;Z$10,_xlfn.NORM.DIST(Table2912[[#This Row],[CH4 '[ml/g']]],Z$6,Z$2,FALSE),-100)</f>
        <v>-100</v>
      </c>
      <c r="BS405">
        <f>IF(Table2912[[#This Row],[CH4 '[% GP']]]&lt;AA$10,_xlfn.NORM.DIST(Table2912[[#This Row],[CH4 '[% GP']]],AA$6,AA$2,FALSE),-100)</f>
        <v>-100</v>
      </c>
      <c r="BT405">
        <f>IF(Table2912[[#This Row],[CH4 '[g/g DDM']]]&lt;AB$10,_xlfn.NORM.DIST(Table2912[[#This Row],[CH4 '[g/g DDM']]],AB$6,AB$2,FALSE),-100)</f>
        <v>-100</v>
      </c>
    </row>
    <row r="406" spans="1:72" x14ac:dyDescent="0.25">
      <c r="A406" s="12" t="s">
        <v>86</v>
      </c>
      <c r="B406" s="13">
        <v>1069</v>
      </c>
      <c r="C406" s="104" t="s">
        <v>505</v>
      </c>
      <c r="D406" s="104" t="s">
        <v>506</v>
      </c>
      <c r="E406" s="104" t="s">
        <v>507</v>
      </c>
      <c r="F406" s="104" t="s">
        <v>508</v>
      </c>
      <c r="G406" s="32" t="s">
        <v>73</v>
      </c>
      <c r="H406" s="32" t="s">
        <v>74</v>
      </c>
      <c r="I406" s="104" t="s">
        <v>106</v>
      </c>
      <c r="J406" s="100">
        <v>3</v>
      </c>
      <c r="K406" s="100"/>
      <c r="L406" s="100"/>
      <c r="M406" t="s">
        <v>508</v>
      </c>
      <c r="N406" t="s">
        <v>98</v>
      </c>
      <c r="O406" s="18">
        <v>287.46381142098249</v>
      </c>
      <c r="P406" s="18">
        <v>7.7495172226385982</v>
      </c>
      <c r="Q406" s="97">
        <v>0.65430134205132173</v>
      </c>
      <c r="R406" s="97">
        <v>0.15525005918549181</v>
      </c>
      <c r="S406" s="97">
        <v>0.10259257318575053</v>
      </c>
      <c r="T406" s="97">
        <v>2.6982456573893251E-2</v>
      </c>
      <c r="U406" s="97">
        <v>1.9865579798257543E-3</v>
      </c>
      <c r="V406" s="97">
        <v>2.2284256908304705E-2</v>
      </c>
      <c r="W406" s="97">
        <v>3.6602754115412223E-2</v>
      </c>
      <c r="X406" s="51">
        <f t="shared" si="26"/>
        <v>8.12147199173228</v>
      </c>
      <c r="Y406" s="18">
        <v>879.80859838971924</v>
      </c>
      <c r="Z406" s="18">
        <v>62.937487073106297</v>
      </c>
      <c r="AA406" s="18">
        <f t="shared" si="27"/>
        <v>21.894055728961359</v>
      </c>
      <c r="AB406" s="18">
        <f t="shared" si="28"/>
        <v>71.535430761075105</v>
      </c>
      <c r="AC406" s="18">
        <f>$CP$15*Table2912[[#This Row],[DMD '[mg/g']]]+$CS$15*Table2912[[#This Row],[CH4 '[ml/g']]]+$CR$15*Table2912[[#This Row],[CH4 '[% GP']]]+$CQ$15*Table2912[[#This Row],[CH4 '[g/g DDM']]]</f>
        <v>14.510551988325204</v>
      </c>
      <c r="AD406" s="18">
        <f>_xlfn.RANK.AVG(Table2912[[#This Row],[Index]],Table2912[Index])</f>
        <v>280</v>
      </c>
      <c r="AE40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7.0686754393136813</v>
      </c>
      <c r="AF406" s="18">
        <f>Table2912[[#This Row],[CH4 '[ml/g']]]/Table2912[[#This Row],[APB]]</f>
        <v>8.9037171975768477</v>
      </c>
      <c r="AG406" s="18">
        <f>Table2912[[#This Row],[Propionate '[%']]]/Table2912[[#This Row],[Acetate '[%']]]</f>
        <v>0.23727608245271548</v>
      </c>
      <c r="AH406" s="51"/>
      <c r="AI406" s="18"/>
      <c r="AJ406" s="18"/>
      <c r="AK406" s="18">
        <f>(Table2912[[#This Row],[DMD '[mg/g']]]-$AK$15)/$AK$15*100</f>
        <v>79.446894097639415</v>
      </c>
      <c r="AL406" s="18">
        <f>(Table2912[[#This Row],[CH4 '[ml/g']]]-AL$15)/AL$15*100</f>
        <v>60.01513872919849</v>
      </c>
      <c r="AM406" s="18">
        <f>(Table2912[[#This Row],[CH4 '[% GP']]]-AM$15)/AM$15*100</f>
        <v>41.048555070949313</v>
      </c>
      <c r="AN406" s="18">
        <f>(Table2912[[#This Row],[CH4 '[g/g DDM']]]-AN$15)/AN$15*100</f>
        <v>39.675285047278955</v>
      </c>
      <c r="AO406" s="18"/>
      <c r="AP406" s="18"/>
      <c r="AR406">
        <f>_xlfn.NORM.DIST(Table2912[[#This Row],[GP '[ml/g']]],O$6,O$2,FALSE)</f>
        <v>6.2496222231531347E-3</v>
      </c>
      <c r="AS406">
        <f>_xlfn.NORM.DIST(Table2912[[#This Row],[SCFA '[mmol/g']]],P$6,P$2,FALSE)</f>
        <v>0.19961499326340271</v>
      </c>
      <c r="AT406">
        <f>_xlfn.NORM.DIST(Table2912[[#This Row],[Acetate '[%']]],Q$6,Q$2,FALSE)</f>
        <v>11.2679145278164</v>
      </c>
      <c r="AU406">
        <f>_xlfn.NORM.DIST(Table2912[[#This Row],[Propionate '[%']]],R$6,R$2,FALSE)</f>
        <v>13.147874599502183</v>
      </c>
      <c r="AV406">
        <f>_xlfn.NORM.DIST(Table2912[[#This Row],[Butyrate '[%']]],S$6,S$2,FALSE)</f>
        <v>19.706856202361475</v>
      </c>
      <c r="AW406">
        <f>_xlfn.NORM.DIST(Table2912[[#This Row],[Valerate '[%']]],T$6,T$2,FALSE)</f>
        <v>15.076442827669492</v>
      </c>
      <c r="AX406">
        <f>_xlfn.NORM.DIST(Table2912[[#This Row],[Caproate '[%']]],U$6,U$2,FALSE)</f>
        <v>325.85578198031612</v>
      </c>
      <c r="AY406">
        <f>_xlfn.NORM.DIST(Table2912[[#This Row],[Isobutyrate '[%']]],V$6,V$2,FALSE)</f>
        <v>26.106533894018472</v>
      </c>
      <c r="AZ406">
        <f>_xlfn.NORM.DIST(Table2912[[#This Row],[Isovalerate '[%']]],W$6,W$2,FALSE)</f>
        <v>27.786308634345051</v>
      </c>
      <c r="BA406">
        <f>_xlfn.NORM.DIST(Table2912[[#This Row],[CH4 '[g/mmol SCFA']]],X$6,X$2,FALSE)</f>
        <v>0.1162352081436821</v>
      </c>
      <c r="BB406">
        <f>_xlfn.NORM.DIST(Table2912[[#This Row],[DMD '[mg/g']]],Y$6,Y$2,FALSE)</f>
        <v>2.1865747700422532E-3</v>
      </c>
      <c r="BC406">
        <f>_xlfn.NORM.DIST(Table2912[[#This Row],[CH4 '[ml/g']]],Z$6,Z$2,FALSE)</f>
        <v>6.5235965458586651E-3</v>
      </c>
      <c r="BD406">
        <f>_xlfn.NORM.DIST(Table2912[[#This Row],[CH4 '[% GP']]],AA$6,AA$2,FALSE)</f>
        <v>1.94545221977615E-2</v>
      </c>
      <c r="BE406">
        <f>_xlfn.NORM.DIST(Table2912[[#This Row],[CH4 '[g/g DDM']]],AB$6,AB$2,FALSE)</f>
        <v>1.0710511432747373E-2</v>
      </c>
      <c r="BG406">
        <f>IF(Table2912[[#This Row],[GP '[ml/g']]]&lt;O$10,_xlfn.NORM.DIST(Table2912[[#This Row],[GP '[ml/g']]],O$6,O$2,FALSE),-100)</f>
        <v>-100</v>
      </c>
      <c r="BH406">
        <f>IF(Table2912[[#This Row],[SCFA '[mmol/g']]]&lt;P$10,_xlfn.NORM.DIST(Table2912[[#This Row],[SCFA '[mmol/g']]],P$6,P$2,FALSE),-100)</f>
        <v>-100</v>
      </c>
      <c r="BI406">
        <f>IF(Table2912[[#This Row],[Acetate '[%']]]&lt;Q$10,_xlfn.NORM.DIST(Table2912[[#This Row],[Acetate '[%']]],Q$6,Q$2,FALSE),-100)</f>
        <v>-100</v>
      </c>
      <c r="BJ406">
        <f>IF(Table2912[[#This Row],[Propionate '[%']]]&lt;R$10,_xlfn.NORM.DIST(Table2912[[#This Row],[Propionate '[%']]],R$6,R$2,FALSE),-100)</f>
        <v>-100</v>
      </c>
      <c r="BK406">
        <f>IF(Table2912[[#This Row],[Butyrate '[%']]]&lt;S$10,_xlfn.NORM.DIST(Table2912[[#This Row],[Butyrate '[%']]],S$6,S$2,FALSE),-100)</f>
        <v>-100</v>
      </c>
      <c r="BL406">
        <f>IF(Table2912[[#This Row],[Valerate '[%']]]&lt;T$10,_xlfn.NORM.DIST(Table2912[[#This Row],[Valerate '[%']]],T$6,T$2,FALSE),-100)</f>
        <v>-100</v>
      </c>
      <c r="BM406">
        <f>IF(Table2912[[#This Row],[Caproate '[%']]]&lt;U$10,_xlfn.NORM.DIST(Table2912[[#This Row],[Caproate '[%']]],U$6,U$2,FALSE),-100)</f>
        <v>-100</v>
      </c>
      <c r="BN406">
        <f>IF(Table2912[[#This Row],[Isobutyrate '[%']]]&lt;V$10,_xlfn.NORM.DIST(Table2912[[#This Row],[Isobutyrate '[%']]],V$6,V$2,FALSE),-100)</f>
        <v>-100</v>
      </c>
      <c r="BO406">
        <f>IF(Table2912[[#This Row],[Isovalerate '[%']]]&lt;W$10,_xlfn.NORM.DIST(Table2912[[#This Row],[Isovalerate '[%']]],W$6,W$2,FALSE),-100)</f>
        <v>-100</v>
      </c>
      <c r="BP406">
        <f>IF(Table2912[[#This Row],[CH4 '[g/mmol SCFA']]]&lt;X$10,_xlfn.NORM.DIST(Table2912[[#This Row],[CH4 '[g/mmol SCFA']]],X$6,X$2,FALSE),-100)</f>
        <v>-100</v>
      </c>
      <c r="BQ406">
        <f>IF(Table2912[[#This Row],[DMD '[mg/g']]]&gt;Y$10,_xlfn.NORM.DIST(Table2912[[#This Row],[DMD '[mg/g']]],Y$6,Y$2,FALSE),-100)</f>
        <v>-100</v>
      </c>
      <c r="BR406">
        <f>IF(Table2912[[#This Row],[CH4 '[ml/g']]]&lt;Z$10,_xlfn.NORM.DIST(Table2912[[#This Row],[CH4 '[ml/g']]],Z$6,Z$2,FALSE),-100)</f>
        <v>-100</v>
      </c>
      <c r="BS406">
        <f>IF(Table2912[[#This Row],[CH4 '[% GP']]]&lt;AA$10,_xlfn.NORM.DIST(Table2912[[#This Row],[CH4 '[% GP']]],AA$6,AA$2,FALSE),-100)</f>
        <v>-100</v>
      </c>
      <c r="BT406">
        <f>IF(Table2912[[#This Row],[CH4 '[g/g DDM']]]&lt;AB$10,_xlfn.NORM.DIST(Table2912[[#This Row],[CH4 '[g/g DDM']]],AB$6,AB$2,FALSE),-100)</f>
        <v>-100</v>
      </c>
    </row>
    <row r="407" spans="1:72" x14ac:dyDescent="0.25">
      <c r="A407" s="12" t="s">
        <v>200</v>
      </c>
      <c r="B407" s="13">
        <v>1259</v>
      </c>
      <c r="C407" s="113" t="s">
        <v>509</v>
      </c>
      <c r="D407" s="113" t="s">
        <v>510</v>
      </c>
      <c r="E407" s="113" t="s">
        <v>511</v>
      </c>
      <c r="F407" s="114" t="s">
        <v>512</v>
      </c>
      <c r="G407" t="s">
        <v>73</v>
      </c>
      <c r="H407" t="s">
        <v>74</v>
      </c>
      <c r="I407" t="s">
        <v>75</v>
      </c>
      <c r="J407" s="70">
        <v>3</v>
      </c>
      <c r="K407" s="70"/>
      <c r="L407" s="70"/>
      <c r="M407" t="s">
        <v>513</v>
      </c>
      <c r="N407" t="s">
        <v>208</v>
      </c>
      <c r="O407" s="18">
        <v>256.474404761904</v>
      </c>
      <c r="P407" s="18">
        <v>6.9729855816634023</v>
      </c>
      <c r="Q407" s="97">
        <v>0.68673817391996117</v>
      </c>
      <c r="R407" s="97">
        <v>0.15368351671621999</v>
      </c>
      <c r="S407" s="97">
        <v>8.5875136406709282E-2</v>
      </c>
      <c r="T407" s="97">
        <v>1.8154628661665208E-2</v>
      </c>
      <c r="U407" s="97">
        <v>6.2350705760742743E-4</v>
      </c>
      <c r="V407" s="97">
        <v>1.927645701813336E-2</v>
      </c>
      <c r="W407" s="97">
        <v>3.5648580219703407E-2</v>
      </c>
      <c r="X407" s="51">
        <f t="shared" si="26"/>
        <v>6.1912107117117499</v>
      </c>
      <c r="Y407" s="18">
        <v>880.29881681456516</v>
      </c>
      <c r="Z407" s="18">
        <v>43.171223025806043</v>
      </c>
      <c r="AA407" s="18">
        <f t="shared" si="27"/>
        <v>16.832565832790884</v>
      </c>
      <c r="AB407" s="18">
        <f t="shared" si="28"/>
        <v>49.041555209655648</v>
      </c>
      <c r="AC407" s="18">
        <f>$CP$15*Table2912[[#This Row],[DMD '[mg/g']]]+$CS$15*Table2912[[#This Row],[CH4 '[ml/g']]]+$CR$15*Table2912[[#This Row],[CH4 '[% GP']]]+$CQ$15*Table2912[[#This Row],[CH4 '[g/g DDM']]]</f>
        <v>24.254291566892</v>
      </c>
      <c r="AD407" s="18">
        <f>_xlfn.RANK.AVG(Table2912[[#This Row],[Index]],Table2912[Index])</f>
        <v>98</v>
      </c>
      <c r="AE40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6.4590544193106334</v>
      </c>
      <c r="AF407" s="18">
        <f>Table2912[[#This Row],[CH4 '[ml/g']]]/Table2912[[#This Row],[APB]]</f>
        <v>6.6838302053528222</v>
      </c>
      <c r="AG407" s="18">
        <f>Table2912[[#This Row],[Propionate '[%']]]/Table2912[[#This Row],[Acetate '[%']]]</f>
        <v>0.22378764215040081</v>
      </c>
      <c r="AH407" s="51"/>
      <c r="AI407" s="18"/>
      <c r="AJ407" s="18"/>
      <c r="AK407" s="18">
        <f>(Table2912[[#This Row],[DMD '[mg/g']]]-$AK$15)/$AK$15*100</f>
        <v>79.546879678513534</v>
      </c>
      <c r="AL407" s="18">
        <f>(Table2912[[#This Row],[CH4 '[ml/g']]]-AL$15)/AL$15*100</f>
        <v>9.7604871570315375</v>
      </c>
      <c r="AM407" s="18">
        <f>(Table2912[[#This Row],[CH4 '[% GP']]]-AM$15)/AM$15*100</f>
        <v>8.4408077810449527</v>
      </c>
      <c r="AN407" s="18">
        <f>(Table2912[[#This Row],[CH4 '[g/g DDM']]]-AN$15)/AN$15*100</f>
        <v>-4.2447479494624893</v>
      </c>
      <c r="AO407" s="18"/>
      <c r="AP407" s="18"/>
      <c r="AR407">
        <f>_xlfn.NORM.DIST(Table2912[[#This Row],[GP '[ml/g']]],O$6,O$2,FALSE)</f>
        <v>7.4785902462922533E-3</v>
      </c>
      <c r="AS407">
        <f>_xlfn.NORM.DIST(Table2912[[#This Row],[SCFA '[mmol/g']]],P$6,P$2,FALSE)</f>
        <v>0.31149989446680482</v>
      </c>
      <c r="AT407">
        <f>_xlfn.NORM.DIST(Table2912[[#This Row],[Acetate '[%']]],Q$6,Q$2,FALSE)</f>
        <v>12.508730940141222</v>
      </c>
      <c r="AU407">
        <f>_xlfn.NORM.DIST(Table2912[[#This Row],[Propionate '[%']]],R$6,R$2,FALSE)</f>
        <v>12.528065405660849</v>
      </c>
      <c r="AV407">
        <f>_xlfn.NORM.DIST(Table2912[[#This Row],[Butyrate '[%']]],S$6,S$2,FALSE)</f>
        <v>21.201271841721461</v>
      </c>
      <c r="AW407">
        <f>_xlfn.NORM.DIST(Table2912[[#This Row],[Valerate '[%']]],T$6,T$2,FALSE)</f>
        <v>77.038372322215565</v>
      </c>
      <c r="AX407">
        <f>_xlfn.NORM.DIST(Table2912[[#This Row],[Caproate '[%']]],U$6,U$2,FALSE)</f>
        <v>313.15781123529115</v>
      </c>
      <c r="AY407">
        <f>_xlfn.NORM.DIST(Table2912[[#This Row],[Isobutyrate '[%']]],V$6,V$2,FALSE)</f>
        <v>60.422063372748504</v>
      </c>
      <c r="AZ407">
        <f>_xlfn.NORM.DIST(Table2912[[#This Row],[Isovalerate '[%']]],W$6,W$2,FALSE)</f>
        <v>30.765192423001178</v>
      </c>
      <c r="BA407">
        <f>_xlfn.NORM.DIST(Table2912[[#This Row],[CH4 '[g/mmol SCFA']]],X$6,X$2,FALSE)</f>
        <v>0.29671562479677838</v>
      </c>
      <c r="BB407">
        <f>_xlfn.NORM.DIST(Table2912[[#This Row],[DMD '[mg/g']]],Y$6,Y$2,FALSE)</f>
        <v>2.1806235684509209E-3</v>
      </c>
      <c r="BC407">
        <f>_xlfn.NORM.DIST(Table2912[[#This Row],[CH4 '[ml/g']]],Z$6,Z$2,FALSE)</f>
        <v>3.3136541754730159E-2</v>
      </c>
      <c r="BD407">
        <f>_xlfn.NORM.DIST(Table2912[[#This Row],[CH4 '[% GP']]],AA$6,AA$2,FALSE)</f>
        <v>0.13030394893926206</v>
      </c>
      <c r="BE407">
        <f>_xlfn.NORM.DIST(Table2912[[#This Row],[CH4 '[g/g DDM']]],AB$6,AB$2,FALSE)</f>
        <v>3.0844418254273649E-2</v>
      </c>
      <c r="BG407">
        <f>IF(Table2912[[#This Row],[GP '[ml/g']]]&lt;O$10,_xlfn.NORM.DIST(Table2912[[#This Row],[GP '[ml/g']]],O$6,O$2,FALSE),-100)</f>
        <v>-100</v>
      </c>
      <c r="BH407">
        <f>IF(Table2912[[#This Row],[SCFA '[mmol/g']]]&lt;P$10,_xlfn.NORM.DIST(Table2912[[#This Row],[SCFA '[mmol/g']]],P$6,P$2,FALSE),-100)</f>
        <v>-100</v>
      </c>
      <c r="BI407">
        <f>IF(Table2912[[#This Row],[Acetate '[%']]]&lt;Q$10,_xlfn.NORM.DIST(Table2912[[#This Row],[Acetate '[%']]],Q$6,Q$2,FALSE),-100)</f>
        <v>-100</v>
      </c>
      <c r="BJ407">
        <f>IF(Table2912[[#This Row],[Propionate '[%']]]&lt;R$10,_xlfn.NORM.DIST(Table2912[[#This Row],[Propionate '[%']]],R$6,R$2,FALSE),-100)</f>
        <v>-100</v>
      </c>
      <c r="BK407">
        <f>IF(Table2912[[#This Row],[Butyrate '[%']]]&lt;S$10,_xlfn.NORM.DIST(Table2912[[#This Row],[Butyrate '[%']]],S$6,S$2,FALSE),-100)</f>
        <v>-100</v>
      </c>
      <c r="BL407">
        <f>IF(Table2912[[#This Row],[Valerate '[%']]]&lt;T$10,_xlfn.NORM.DIST(Table2912[[#This Row],[Valerate '[%']]],T$6,T$2,FALSE),-100)</f>
        <v>-100</v>
      </c>
      <c r="BM407">
        <f>IF(Table2912[[#This Row],[Caproate '[%']]]&lt;U$10,_xlfn.NORM.DIST(Table2912[[#This Row],[Caproate '[%']]],U$6,U$2,FALSE),-100)</f>
        <v>-100</v>
      </c>
      <c r="BN407">
        <f>IF(Table2912[[#This Row],[Isobutyrate '[%']]]&lt;V$10,_xlfn.NORM.DIST(Table2912[[#This Row],[Isobutyrate '[%']]],V$6,V$2,FALSE),-100)</f>
        <v>-100</v>
      </c>
      <c r="BO407">
        <f>IF(Table2912[[#This Row],[Isovalerate '[%']]]&lt;W$10,_xlfn.NORM.DIST(Table2912[[#This Row],[Isovalerate '[%']]],W$6,W$2,FALSE),-100)</f>
        <v>-100</v>
      </c>
      <c r="BP407">
        <f>IF(Table2912[[#This Row],[CH4 '[g/mmol SCFA']]]&lt;X$10,_xlfn.NORM.DIST(Table2912[[#This Row],[CH4 '[g/mmol SCFA']]],X$6,X$2,FALSE),-100)</f>
        <v>-100</v>
      </c>
      <c r="BQ407">
        <f>IF(Table2912[[#This Row],[DMD '[mg/g']]]&gt;Y$10,_xlfn.NORM.DIST(Table2912[[#This Row],[DMD '[mg/g']]],Y$6,Y$2,FALSE),-100)</f>
        <v>-100</v>
      </c>
      <c r="BR407">
        <f>IF(Table2912[[#This Row],[CH4 '[ml/g']]]&lt;Z$10,_xlfn.NORM.DIST(Table2912[[#This Row],[CH4 '[ml/g']]],Z$6,Z$2,FALSE),-100)</f>
        <v>-100</v>
      </c>
      <c r="BS407">
        <f>IF(Table2912[[#This Row],[CH4 '[% GP']]]&lt;AA$10,_xlfn.NORM.DIST(Table2912[[#This Row],[CH4 '[% GP']]],AA$6,AA$2,FALSE),-100)</f>
        <v>-100</v>
      </c>
      <c r="BT407">
        <f>IF(Table2912[[#This Row],[CH4 '[g/g DDM']]]&lt;AB$10,_xlfn.NORM.DIST(Table2912[[#This Row],[CH4 '[g/g DDM']]],AB$6,AB$2,FALSE),-100)</f>
        <v>-100</v>
      </c>
    </row>
    <row r="408" spans="1:72" x14ac:dyDescent="0.25">
      <c r="A408" s="12" t="s">
        <v>86</v>
      </c>
      <c r="B408" s="13">
        <v>1078</v>
      </c>
      <c r="C408" s="104" t="s">
        <v>493</v>
      </c>
      <c r="D408" s="104" t="s">
        <v>494</v>
      </c>
      <c r="E408" s="104" t="s">
        <v>495</v>
      </c>
      <c r="F408" s="104" t="s">
        <v>496</v>
      </c>
      <c r="G408" s="32" t="s">
        <v>73</v>
      </c>
      <c r="H408" s="32" t="s">
        <v>74</v>
      </c>
      <c r="I408" s="104" t="s">
        <v>75</v>
      </c>
      <c r="J408" s="107">
        <v>2</v>
      </c>
      <c r="K408" s="107"/>
      <c r="L408" s="107"/>
      <c r="M408" t="s">
        <v>496</v>
      </c>
      <c r="N408" t="s">
        <v>124</v>
      </c>
      <c r="O408" s="18">
        <v>300.57677165354437</v>
      </c>
      <c r="P408" s="18">
        <v>7.1774447605227003</v>
      </c>
      <c r="Q408" s="97">
        <v>0.67897107892280406</v>
      </c>
      <c r="R408" s="97">
        <v>0.15776831375630726</v>
      </c>
      <c r="S408" s="97">
        <v>8.7790165759557157E-2</v>
      </c>
      <c r="T408" s="97">
        <v>2.3804041874370036E-2</v>
      </c>
      <c r="U408" s="97">
        <v>1.0588662754839597E-3</v>
      </c>
      <c r="V408" s="97">
        <v>1.7445280679536858E-2</v>
      </c>
      <c r="W408" s="97">
        <v>3.3162252731940615E-2</v>
      </c>
      <c r="X408" s="51">
        <f t="shared" si="26"/>
        <v>7.5008707857490258</v>
      </c>
      <c r="Y408" s="18">
        <v>880.39319436367828</v>
      </c>
      <c r="Z408" s="18">
        <v>53.837085720532137</v>
      </c>
      <c r="AA408" s="18">
        <f t="shared" si="27"/>
        <v>17.911259550883294</v>
      </c>
      <c r="AB408" s="18">
        <f t="shared" si="28"/>
        <v>61.151183431675626</v>
      </c>
      <c r="AC408" s="18">
        <f>$CP$15*Table2912[[#This Row],[DMD '[mg/g']]]+$CS$15*Table2912[[#This Row],[CH4 '[ml/g']]]+$CR$15*Table2912[[#This Row],[CH4 '[% GP']]]+$CQ$15*Table2912[[#This Row],[CH4 '[g/g DDM']]]</f>
        <v>19.537189870512243</v>
      </c>
      <c r="AD408" s="18">
        <f>_xlfn.RANK.AVG(Table2912[[#This Row],[Index]],Table2912[Index])</f>
        <v>172</v>
      </c>
      <c r="AE40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6.6357598351639862</v>
      </c>
      <c r="AF408" s="18">
        <f>Table2912[[#This Row],[CH4 '[ml/g']]]/Table2912[[#This Row],[APB]]</f>
        <v>8.1131757414185692</v>
      </c>
      <c r="AG408" s="18">
        <f>Table2912[[#This Row],[Propionate '[%']]]/Table2912[[#This Row],[Acetate '[%']]]</f>
        <v>0.2323638202773064</v>
      </c>
      <c r="AH408" s="51"/>
      <c r="AI408" s="18"/>
      <c r="AJ408" s="18"/>
      <c r="AK408" s="18">
        <f>(Table2912[[#This Row],[DMD '[mg/g']]]-$AK$15)/$AK$15*100</f>
        <v>79.566129044900592</v>
      </c>
      <c r="AL408" s="18">
        <f>(Table2912[[#This Row],[CH4 '[ml/g']]]-AL$15)/AL$15*100</f>
        <v>36.877863114236945</v>
      </c>
      <c r="AM408" s="18">
        <f>(Table2912[[#This Row],[CH4 '[% GP']]]-AM$15)/AM$15*100</f>
        <v>15.390099962656759</v>
      </c>
      <c r="AN408" s="18">
        <f>(Table2912[[#This Row],[CH4 '[g/g DDM']]]-AN$15)/AN$15*100</f>
        <v>19.399700063669094</v>
      </c>
      <c r="AO408" s="18"/>
      <c r="AP408" s="18"/>
      <c r="AR408">
        <f>_xlfn.NORM.DIST(Table2912[[#This Row],[GP '[ml/g']]],O$6,O$2,FALSE)</f>
        <v>5.2326019787783413E-3</v>
      </c>
      <c r="AS408">
        <f>_xlfn.NORM.DIST(Table2912[[#This Row],[SCFA '[mmol/g']]],P$6,P$2,FALSE)</f>
        <v>0.28856301721165994</v>
      </c>
      <c r="AT408">
        <f>_xlfn.NORM.DIST(Table2912[[#This Row],[Acetate '[%']]],Q$6,Q$2,FALSE)</f>
        <v>13.733680528366056</v>
      </c>
      <c r="AU408">
        <f>_xlfn.NORM.DIST(Table2912[[#This Row],[Propionate '[%']]],R$6,R$2,FALSE)</f>
        <v>14.080265650299417</v>
      </c>
      <c r="AV408">
        <f>_xlfn.NORM.DIST(Table2912[[#This Row],[Butyrate '[%']]],S$6,S$2,FALSE)</f>
        <v>22.04137119648033</v>
      </c>
      <c r="AW408">
        <f>_xlfn.NORM.DIST(Table2912[[#This Row],[Valerate '[%']]],T$6,T$2,FALSE)</f>
        <v>38.02832533239841</v>
      </c>
      <c r="AX408">
        <f>_xlfn.NORM.DIST(Table2912[[#This Row],[Caproate '[%']]],U$6,U$2,FALSE)</f>
        <v>391.30743050418113</v>
      </c>
      <c r="AY408">
        <f>_xlfn.NORM.DIST(Table2912[[#This Row],[Isobutyrate '[%']]],V$6,V$2,FALSE)</f>
        <v>80.315949097987996</v>
      </c>
      <c r="AZ408">
        <f>_xlfn.NORM.DIST(Table2912[[#This Row],[Isovalerate '[%']]],W$6,W$2,FALSE)</f>
        <v>37.950755929460072</v>
      </c>
      <c r="BA408">
        <f>_xlfn.NORM.DIST(Table2912[[#This Row],[CH4 '[g/mmol SCFA']]],X$6,X$2,FALSE)</f>
        <v>0.19691554909533651</v>
      </c>
      <c r="BB408">
        <f>_xlfn.NORM.DIST(Table2912[[#This Row],[DMD '[mg/g']]],Y$6,Y$2,FALSE)</f>
        <v>2.1794764830399063E-3</v>
      </c>
      <c r="BC408">
        <f>_xlfn.NORM.DIST(Table2912[[#This Row],[CH4 '[ml/g']]],Z$6,Z$2,FALSE)</f>
        <v>1.9414296730288435E-2</v>
      </c>
      <c r="BD408">
        <f>_xlfn.NORM.DIST(Table2912[[#This Row],[CH4 '[% GP']]],AA$6,AA$2,FALSE)</f>
        <v>0.11099840161589028</v>
      </c>
      <c r="BE408">
        <f>_xlfn.NORM.DIST(Table2912[[#This Row],[CH4 '[g/g DDM']]],AB$6,AB$2,FALSE)</f>
        <v>2.6732783514322685E-2</v>
      </c>
      <c r="BG408">
        <f>IF(Table2912[[#This Row],[GP '[ml/g']]]&lt;O$10,_xlfn.NORM.DIST(Table2912[[#This Row],[GP '[ml/g']]],O$6,O$2,FALSE),-100)</f>
        <v>-100</v>
      </c>
      <c r="BH408">
        <f>IF(Table2912[[#This Row],[SCFA '[mmol/g']]]&lt;P$10,_xlfn.NORM.DIST(Table2912[[#This Row],[SCFA '[mmol/g']]],P$6,P$2,FALSE),-100)</f>
        <v>-100</v>
      </c>
      <c r="BI408">
        <f>IF(Table2912[[#This Row],[Acetate '[%']]]&lt;Q$10,_xlfn.NORM.DIST(Table2912[[#This Row],[Acetate '[%']]],Q$6,Q$2,FALSE),-100)</f>
        <v>-100</v>
      </c>
      <c r="BJ408">
        <f>IF(Table2912[[#This Row],[Propionate '[%']]]&lt;R$10,_xlfn.NORM.DIST(Table2912[[#This Row],[Propionate '[%']]],R$6,R$2,FALSE),-100)</f>
        <v>-100</v>
      </c>
      <c r="BK408">
        <f>IF(Table2912[[#This Row],[Butyrate '[%']]]&lt;S$10,_xlfn.NORM.DIST(Table2912[[#This Row],[Butyrate '[%']]],S$6,S$2,FALSE),-100)</f>
        <v>-100</v>
      </c>
      <c r="BL408">
        <f>IF(Table2912[[#This Row],[Valerate '[%']]]&lt;T$10,_xlfn.NORM.DIST(Table2912[[#This Row],[Valerate '[%']]],T$6,T$2,FALSE),-100)</f>
        <v>-100</v>
      </c>
      <c r="BM408">
        <f>IF(Table2912[[#This Row],[Caproate '[%']]]&lt;U$10,_xlfn.NORM.DIST(Table2912[[#This Row],[Caproate '[%']]],U$6,U$2,FALSE),-100)</f>
        <v>-100</v>
      </c>
      <c r="BN408">
        <f>IF(Table2912[[#This Row],[Isobutyrate '[%']]]&lt;V$10,_xlfn.NORM.DIST(Table2912[[#This Row],[Isobutyrate '[%']]],V$6,V$2,FALSE),-100)</f>
        <v>-100</v>
      </c>
      <c r="BO408">
        <f>IF(Table2912[[#This Row],[Isovalerate '[%']]]&lt;W$10,_xlfn.NORM.DIST(Table2912[[#This Row],[Isovalerate '[%']]],W$6,W$2,FALSE),-100)</f>
        <v>-100</v>
      </c>
      <c r="BP408">
        <f>IF(Table2912[[#This Row],[CH4 '[g/mmol SCFA']]]&lt;X$10,_xlfn.NORM.DIST(Table2912[[#This Row],[CH4 '[g/mmol SCFA']]],X$6,X$2,FALSE),-100)</f>
        <v>-100</v>
      </c>
      <c r="BQ408">
        <f>IF(Table2912[[#This Row],[DMD '[mg/g']]]&gt;Y$10,_xlfn.NORM.DIST(Table2912[[#This Row],[DMD '[mg/g']]],Y$6,Y$2,FALSE),-100)</f>
        <v>-100</v>
      </c>
      <c r="BR408">
        <f>IF(Table2912[[#This Row],[CH4 '[ml/g']]]&lt;Z$10,_xlfn.NORM.DIST(Table2912[[#This Row],[CH4 '[ml/g']]],Z$6,Z$2,FALSE),-100)</f>
        <v>-100</v>
      </c>
      <c r="BS408">
        <f>IF(Table2912[[#This Row],[CH4 '[% GP']]]&lt;AA$10,_xlfn.NORM.DIST(Table2912[[#This Row],[CH4 '[% GP']]],AA$6,AA$2,FALSE),-100)</f>
        <v>-100</v>
      </c>
      <c r="BT408">
        <f>IF(Table2912[[#This Row],[CH4 '[g/g DDM']]]&lt;AB$10,_xlfn.NORM.DIST(Table2912[[#This Row],[CH4 '[g/g DDM']]],AB$6,AB$2,FALSE),-100)</f>
        <v>-100</v>
      </c>
    </row>
    <row r="409" spans="1:72" x14ac:dyDescent="0.25">
      <c r="A409" s="12" t="s">
        <v>86</v>
      </c>
      <c r="B409" s="13">
        <v>1072</v>
      </c>
      <c r="C409" s="32">
        <v>17488</v>
      </c>
      <c r="D409" s="104" t="s">
        <v>161</v>
      </c>
      <c r="E409" t="s">
        <v>242</v>
      </c>
      <c r="F409" t="s">
        <v>147</v>
      </c>
      <c r="G409" s="32" t="s">
        <v>73</v>
      </c>
      <c r="H409" s="32" t="s">
        <v>74</v>
      </c>
      <c r="I409" s="105" t="s">
        <v>44</v>
      </c>
      <c r="J409" s="70">
        <v>1</v>
      </c>
      <c r="K409" s="70"/>
      <c r="L409" s="70"/>
      <c r="M409" t="s">
        <v>147</v>
      </c>
      <c r="N409" t="s">
        <v>145</v>
      </c>
      <c r="O409" s="18">
        <v>250.10515714918134</v>
      </c>
      <c r="P409" s="18">
        <v>6.8989154493138543</v>
      </c>
      <c r="Q409" s="97">
        <v>0.64278015972908642</v>
      </c>
      <c r="R409" s="97">
        <v>0.16466889054010153</v>
      </c>
      <c r="S409" s="97">
        <v>9.4297388325902246E-2</v>
      </c>
      <c r="T409" s="97">
        <v>2.7890581556931623E-2</v>
      </c>
      <c r="U409" s="97">
        <v>4.3912241426790418E-4</v>
      </c>
      <c r="V409" s="97">
        <v>2.3891010691569944E-2</v>
      </c>
      <c r="W409" s="97">
        <v>4.6032846742140539E-2</v>
      </c>
      <c r="X409" s="51">
        <f t="shared" si="26"/>
        <v>5.6260015624804529</v>
      </c>
      <c r="Y409" s="18">
        <v>880.40423564268769</v>
      </c>
      <c r="Z409" s="18">
        <v>38.81330909726028</v>
      </c>
      <c r="AA409" s="18">
        <f t="shared" si="27"/>
        <v>15.518795989524174</v>
      </c>
      <c r="AB409" s="18">
        <f t="shared" si="28"/>
        <v>44.085781878283321</v>
      </c>
      <c r="AC409" s="18">
        <f>$CP$15*Table2912[[#This Row],[DMD '[mg/g']]]+$CS$15*Table2912[[#This Row],[CH4 '[ml/g']]]+$CR$15*Table2912[[#This Row],[CH4 '[% GP']]]+$CQ$15*Table2912[[#This Row],[CH4 '[g/g DDM']]]</f>
        <v>26.458744110014926</v>
      </c>
      <c r="AD409" s="18">
        <f>_xlfn.RANK.AVG(Table2912[[#This Row],[Index]],Table2912[Index])</f>
        <v>77</v>
      </c>
      <c r="AE40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6.2210724365874146</v>
      </c>
      <c r="AF409" s="18">
        <f>Table2912[[#This Row],[CH4 '[ml/g']]]/Table2912[[#This Row],[APB]]</f>
        <v>6.2390061348572594</v>
      </c>
      <c r="AG409" s="18">
        <f>Table2912[[#This Row],[Propionate '[%']]]/Table2912[[#This Row],[Acetate '[%']]]</f>
        <v>0.25618228572814816</v>
      </c>
      <c r="AH409" s="51"/>
      <c r="AI409" s="18"/>
      <c r="AJ409" s="18"/>
      <c r="AK409" s="18">
        <f>(Table2912[[#This Row],[DMD '[mg/g']]]-$AK$15)/$AK$15*100</f>
        <v>79.568381038378192</v>
      </c>
      <c r="AL409" s="18">
        <f>(Table2912[[#This Row],[CH4 '[ml/g']]]-AL$15)/AL$15*100</f>
        <v>-1.319272049689832</v>
      </c>
      <c r="AM409" s="18">
        <f>(Table2912[[#This Row],[CH4 '[% GP']]]-AM$15)/AM$15*100</f>
        <v>-2.2920473900337038E-2</v>
      </c>
      <c r="AN409" s="18">
        <f>(Table2912[[#This Row],[CH4 '[g/g DDM']]]-AN$15)/AN$15*100</f>
        <v>-13.921058629704907</v>
      </c>
      <c r="AO409" s="18"/>
      <c r="AP409" s="18"/>
      <c r="AR409">
        <f>_xlfn.NORM.DIST(Table2912[[#This Row],[GP '[ml/g']]],O$6,O$2,FALSE)</f>
        <v>7.441843104248334E-3</v>
      </c>
      <c r="AS409">
        <f>_xlfn.NORM.DIST(Table2912[[#This Row],[SCFA '[mmol/g']]],P$6,P$2,FALSE)</f>
        <v>0.31796192776198973</v>
      </c>
      <c r="AT409">
        <f>_xlfn.NORM.DIST(Table2912[[#This Row],[Acetate '[%']]],Q$6,Q$2,FALSE)</f>
        <v>7.9391597684529343</v>
      </c>
      <c r="AU409">
        <f>_xlfn.NORM.DIST(Table2912[[#This Row],[Propionate '[%']]],R$6,R$2,FALSE)</f>
        <v>16.037808112454666</v>
      </c>
      <c r="AV409">
        <f>_xlfn.NORM.DIST(Table2912[[#This Row],[Butyrate '[%']]],S$6,S$2,FALSE)</f>
        <v>22.957555293760333</v>
      </c>
      <c r="AW409">
        <f>_xlfn.NORM.DIST(Table2912[[#This Row],[Valerate '[%']]],T$6,T$2,FALSE)</f>
        <v>10.793598626816859</v>
      </c>
      <c r="AX409">
        <f>_xlfn.NORM.DIST(Table2912[[#This Row],[Caproate '[%']]],U$6,U$2,FALSE)</f>
        <v>268.51593031468877</v>
      </c>
      <c r="AY409">
        <f>_xlfn.NORM.DIST(Table2912[[#This Row],[Isobutyrate '[%']]],V$6,V$2,FALSE)</f>
        <v>13.798582506185983</v>
      </c>
      <c r="AZ409">
        <f>_xlfn.NORM.DIST(Table2912[[#This Row],[Isovalerate '[%']]],W$6,W$2,FALSE)</f>
        <v>5.3823513289740408</v>
      </c>
      <c r="BA409">
        <f>_xlfn.NORM.DIST(Table2912[[#This Row],[CH4 '[g/mmol SCFA']]],X$6,X$2,FALSE)</f>
        <v>0.26381626171788464</v>
      </c>
      <c r="BB409">
        <f>_xlfn.NORM.DIST(Table2912[[#This Row],[DMD '[mg/g']]],Y$6,Y$2,FALSE)</f>
        <v>2.1793422565826734E-3</v>
      </c>
      <c r="BC409">
        <f>_xlfn.NORM.DIST(Table2912[[#This Row],[CH4 '[ml/g']]],Z$6,Z$2,FALSE)</f>
        <v>3.2725729624382423E-2</v>
      </c>
      <c r="BD409">
        <f>_xlfn.NORM.DIST(Table2912[[#This Row],[CH4 '[% GP']]],AA$6,AA$2,FALSE)</f>
        <v>0.13241763111176785</v>
      </c>
      <c r="BE409">
        <f>_xlfn.NORM.DIST(Table2912[[#This Row],[CH4 '[g/g DDM']]],AB$6,AB$2,FALSE)</f>
        <v>2.4551013223958532E-2</v>
      </c>
      <c r="BG409">
        <f>IF(Table2912[[#This Row],[GP '[ml/g']]]&lt;O$10,_xlfn.NORM.DIST(Table2912[[#This Row],[GP '[ml/g']]],O$6,O$2,FALSE),-100)</f>
        <v>-100</v>
      </c>
      <c r="BH409">
        <f>IF(Table2912[[#This Row],[SCFA '[mmol/g']]]&lt;P$10,_xlfn.NORM.DIST(Table2912[[#This Row],[SCFA '[mmol/g']]],P$6,P$2,FALSE),-100)</f>
        <v>-100</v>
      </c>
      <c r="BI409">
        <f>IF(Table2912[[#This Row],[Acetate '[%']]]&lt;Q$10,_xlfn.NORM.DIST(Table2912[[#This Row],[Acetate '[%']]],Q$6,Q$2,FALSE),-100)</f>
        <v>7.9391597684529343</v>
      </c>
      <c r="BJ409">
        <f>IF(Table2912[[#This Row],[Propionate '[%']]]&lt;R$10,_xlfn.NORM.DIST(Table2912[[#This Row],[Propionate '[%']]],R$6,R$2,FALSE),-100)</f>
        <v>-100</v>
      </c>
      <c r="BK409">
        <f>IF(Table2912[[#This Row],[Butyrate '[%']]]&lt;S$10,_xlfn.NORM.DIST(Table2912[[#This Row],[Butyrate '[%']]],S$6,S$2,FALSE),-100)</f>
        <v>-100</v>
      </c>
      <c r="BL409">
        <f>IF(Table2912[[#This Row],[Valerate '[%']]]&lt;T$10,_xlfn.NORM.DIST(Table2912[[#This Row],[Valerate '[%']]],T$6,T$2,FALSE),-100)</f>
        <v>-100</v>
      </c>
      <c r="BM409">
        <f>IF(Table2912[[#This Row],[Caproate '[%']]]&lt;U$10,_xlfn.NORM.DIST(Table2912[[#This Row],[Caproate '[%']]],U$6,U$2,FALSE),-100)</f>
        <v>-100</v>
      </c>
      <c r="BN409">
        <f>IF(Table2912[[#This Row],[Isobutyrate '[%']]]&lt;V$10,_xlfn.NORM.DIST(Table2912[[#This Row],[Isobutyrate '[%']]],V$6,V$2,FALSE),-100)</f>
        <v>-100</v>
      </c>
      <c r="BO409">
        <f>IF(Table2912[[#This Row],[Isovalerate '[%']]]&lt;W$10,_xlfn.NORM.DIST(Table2912[[#This Row],[Isovalerate '[%']]],W$6,W$2,FALSE),-100)</f>
        <v>-100</v>
      </c>
      <c r="BP409">
        <f>IF(Table2912[[#This Row],[CH4 '[g/mmol SCFA']]]&lt;X$10,_xlfn.NORM.DIST(Table2912[[#This Row],[CH4 '[g/mmol SCFA']]],X$6,X$2,FALSE),-100)</f>
        <v>-100</v>
      </c>
      <c r="BQ409">
        <f>IF(Table2912[[#This Row],[DMD '[mg/g']]]&gt;Y$10,_xlfn.NORM.DIST(Table2912[[#This Row],[DMD '[mg/g']]],Y$6,Y$2,FALSE),-100)</f>
        <v>-100</v>
      </c>
      <c r="BR409">
        <f>IF(Table2912[[#This Row],[CH4 '[ml/g']]]&lt;Z$10,_xlfn.NORM.DIST(Table2912[[#This Row],[CH4 '[ml/g']]],Z$6,Z$2,FALSE),-100)</f>
        <v>-100</v>
      </c>
      <c r="BS409">
        <f>IF(Table2912[[#This Row],[CH4 '[% GP']]]&lt;AA$10,_xlfn.NORM.DIST(Table2912[[#This Row],[CH4 '[% GP']]],AA$6,AA$2,FALSE),-100)</f>
        <v>-100</v>
      </c>
      <c r="BT409">
        <f>IF(Table2912[[#This Row],[CH4 '[g/g DDM']]]&lt;AB$10,_xlfn.NORM.DIST(Table2912[[#This Row],[CH4 '[g/g DDM']]],AB$6,AB$2,FALSE),-100)</f>
        <v>-100</v>
      </c>
    </row>
    <row r="410" spans="1:72" x14ac:dyDescent="0.25">
      <c r="A410" s="12" t="s">
        <v>200</v>
      </c>
      <c r="B410" s="13">
        <v>1215</v>
      </c>
      <c r="C410" s="113" t="s">
        <v>429</v>
      </c>
      <c r="D410" s="113" t="s">
        <v>391</v>
      </c>
      <c r="E410" s="113" t="s">
        <v>392</v>
      </c>
      <c r="F410" s="113" t="s">
        <v>393</v>
      </c>
      <c r="G410" t="s">
        <v>143</v>
      </c>
      <c r="H410" t="s">
        <v>144</v>
      </c>
      <c r="I410" t="s">
        <v>52</v>
      </c>
      <c r="J410" s="70">
        <v>2</v>
      </c>
      <c r="K410" s="70"/>
      <c r="L410" s="70"/>
      <c r="M410" t="s">
        <v>430</v>
      </c>
      <c r="N410" t="s">
        <v>208</v>
      </c>
      <c r="O410" s="18">
        <v>354.96371391076121</v>
      </c>
      <c r="P410" s="18">
        <v>8.6056786252516808</v>
      </c>
      <c r="Q410" s="97">
        <v>0.68753030234155377</v>
      </c>
      <c r="R410" s="97">
        <v>0.17205120192765616</v>
      </c>
      <c r="S410" s="97">
        <v>9.5716292996169072E-2</v>
      </c>
      <c r="T410" s="97">
        <v>1.2155954069768457E-2</v>
      </c>
      <c r="U410" s="97">
        <v>2.5405837167368148E-3</v>
      </c>
      <c r="V410" s="97">
        <v>1.1375447754773602E-2</v>
      </c>
      <c r="W410" s="97">
        <v>1.8630217193342458E-2</v>
      </c>
      <c r="X410" s="51">
        <f t="shared" si="26"/>
        <v>6.9748438731257982</v>
      </c>
      <c r="Y410" s="18">
        <v>881.10284243411706</v>
      </c>
      <c r="Z410" s="18">
        <v>60.023264833426332</v>
      </c>
      <c r="AA410" s="18">
        <f t="shared" si="27"/>
        <v>16.909690337676693</v>
      </c>
      <c r="AB410" s="18">
        <f t="shared" si="28"/>
        <v>68.122881850667127</v>
      </c>
      <c r="AC410" s="18">
        <f>$CP$15*Table2912[[#This Row],[DMD '[mg/g']]]+$CS$15*Table2912[[#This Row],[CH4 '[ml/g']]]+$CR$15*Table2912[[#This Row],[CH4 '[% GP']]]+$CQ$15*Table2912[[#This Row],[CH4 '[g/g DDM']]]</f>
        <v>17.371163219778623</v>
      </c>
      <c r="AD410" s="18">
        <f>_xlfn.RANK.AVG(Table2912[[#This Row],[Index]],Table2912[Index])</f>
        <v>219</v>
      </c>
      <c r="AE41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8.2209858346766858</v>
      </c>
      <c r="AF410" s="18">
        <f>Table2912[[#This Row],[CH4 '[ml/g']]]/Table2912[[#This Row],[APB]]</f>
        <v>7.3012246998704287</v>
      </c>
      <c r="AG410" s="18">
        <f>Table2912[[#This Row],[Propionate '[%']]]/Table2912[[#This Row],[Acetate '[%']]]</f>
        <v>0.25024526386937918</v>
      </c>
      <c r="AH410" s="51"/>
      <c r="AI410" s="18"/>
      <c r="AJ410" s="18"/>
      <c r="AK410" s="18">
        <f>(Table2912[[#This Row],[DMD '[mg/g']]]-$AK$15)/$AK$15*100</f>
        <v>79.710869778709849</v>
      </c>
      <c r="AL410" s="18">
        <f>(Table2912[[#This Row],[CH4 '[ml/g']]]-AL$15)/AL$15*100</f>
        <v>52.605887142327177</v>
      </c>
      <c r="AM410" s="18">
        <f>(Table2912[[#This Row],[CH4 '[% GP']]]-AM$15)/AM$15*100</f>
        <v>8.937668669195336</v>
      </c>
      <c r="AN410" s="18">
        <f>(Table2912[[#This Row],[CH4 '[g/g DDM']]]-AN$15)/AN$15*100</f>
        <v>33.012170885137415</v>
      </c>
      <c r="AO410" s="18"/>
      <c r="AP410" s="18"/>
      <c r="AR410">
        <f>_xlfn.NORM.DIST(Table2912[[#This Row],[GP '[ml/g']]],O$6,O$2,FALSE)</f>
        <v>1.3138845955206972E-3</v>
      </c>
      <c r="AS410">
        <f>_xlfn.NORM.DIST(Table2912[[#This Row],[SCFA '[mmol/g']]],P$6,P$2,FALSE)</f>
        <v>7.5153447903708565E-2</v>
      </c>
      <c r="AT410">
        <f>_xlfn.NORM.DIST(Table2912[[#This Row],[Acetate '[%']]],Q$6,Q$2,FALSE)</f>
        <v>12.338298395980264</v>
      </c>
      <c r="AU410">
        <f>_xlfn.NORM.DIST(Table2912[[#This Row],[Propionate '[%']]],R$6,R$2,FALSE)</f>
        <v>16.790579551480366</v>
      </c>
      <c r="AV410">
        <f>_xlfn.NORM.DIST(Table2912[[#This Row],[Butyrate '[%']]],S$6,S$2,FALSE)</f>
        <v>22.732328508429134</v>
      </c>
      <c r="AW410">
        <f>_xlfn.NORM.DIST(Table2912[[#This Row],[Valerate '[%']]],T$6,T$2,FALSE)</f>
        <v>43.773736202485956</v>
      </c>
      <c r="AX410">
        <f>_xlfn.NORM.DIST(Table2912[[#This Row],[Caproate '[%']]],U$6,U$2,FALSE)</f>
        <v>190.58910386429079</v>
      </c>
      <c r="AY410">
        <f>_xlfn.NORM.DIST(Table2912[[#This Row],[Isobutyrate '[%']]],V$6,V$2,FALSE)</f>
        <v>60.624951977213883</v>
      </c>
      <c r="AZ410">
        <f>_xlfn.NORM.DIST(Table2912[[#This Row],[Isovalerate '[%']]],W$6,W$2,FALSE)</f>
        <v>26.039349530838756</v>
      </c>
      <c r="BA410">
        <f>_xlfn.NORM.DIST(Table2912[[#This Row],[CH4 '[g/mmol SCFA']]],X$6,X$2,FALSE)</f>
        <v>0.26034197018195121</v>
      </c>
      <c r="BB410">
        <f>_xlfn.NORM.DIST(Table2912[[#This Row],[DMD '[mg/g']]],Y$6,Y$2,FALSE)</f>
        <v>2.1708374803625493E-3</v>
      </c>
      <c r="BC410">
        <f>_xlfn.NORM.DIST(Table2912[[#This Row],[CH4 '[ml/g']]],Z$6,Z$2,FALSE)</f>
        <v>9.8576380051548333E-3</v>
      </c>
      <c r="BD410">
        <f>_xlfn.NORM.DIST(Table2912[[#This Row],[CH4 '[% GP']]],AA$6,AA$2,FALSE)</f>
        <v>0.12938713955788361</v>
      </c>
      <c r="BE410">
        <f>_xlfn.NORM.DIST(Table2912[[#This Row],[CH4 '[g/g DDM']]],AB$6,AB$2,FALSE)</f>
        <v>1.5681417624682264E-2</v>
      </c>
      <c r="BG410">
        <f>IF(Table2912[[#This Row],[GP '[ml/g']]]&lt;O$10,_xlfn.NORM.DIST(Table2912[[#This Row],[GP '[ml/g']]],O$6,O$2,FALSE),-100)</f>
        <v>-100</v>
      </c>
      <c r="BH410">
        <f>IF(Table2912[[#This Row],[SCFA '[mmol/g']]]&lt;P$10,_xlfn.NORM.DIST(Table2912[[#This Row],[SCFA '[mmol/g']]],P$6,P$2,FALSE),-100)</f>
        <v>-100</v>
      </c>
      <c r="BI410">
        <f>IF(Table2912[[#This Row],[Acetate '[%']]]&lt;Q$10,_xlfn.NORM.DIST(Table2912[[#This Row],[Acetate '[%']]],Q$6,Q$2,FALSE),-100)</f>
        <v>-100</v>
      </c>
      <c r="BJ410">
        <f>IF(Table2912[[#This Row],[Propionate '[%']]]&lt;R$10,_xlfn.NORM.DIST(Table2912[[#This Row],[Propionate '[%']]],R$6,R$2,FALSE),-100)</f>
        <v>-100</v>
      </c>
      <c r="BK410">
        <f>IF(Table2912[[#This Row],[Butyrate '[%']]]&lt;S$10,_xlfn.NORM.DIST(Table2912[[#This Row],[Butyrate '[%']]],S$6,S$2,FALSE),-100)</f>
        <v>-100</v>
      </c>
      <c r="BL410">
        <f>IF(Table2912[[#This Row],[Valerate '[%']]]&lt;T$10,_xlfn.NORM.DIST(Table2912[[#This Row],[Valerate '[%']]],T$6,T$2,FALSE),-100)</f>
        <v>43.773736202485956</v>
      </c>
      <c r="BM410">
        <f>IF(Table2912[[#This Row],[Caproate '[%']]]&lt;U$10,_xlfn.NORM.DIST(Table2912[[#This Row],[Caproate '[%']]],U$6,U$2,FALSE),-100)</f>
        <v>-100</v>
      </c>
      <c r="BN410">
        <f>IF(Table2912[[#This Row],[Isobutyrate '[%']]]&lt;V$10,_xlfn.NORM.DIST(Table2912[[#This Row],[Isobutyrate '[%']]],V$6,V$2,FALSE),-100)</f>
        <v>-100</v>
      </c>
      <c r="BO410">
        <f>IF(Table2912[[#This Row],[Isovalerate '[%']]]&lt;W$10,_xlfn.NORM.DIST(Table2912[[#This Row],[Isovalerate '[%']]],W$6,W$2,FALSE),-100)</f>
        <v>26.039349530838756</v>
      </c>
      <c r="BP410">
        <f>IF(Table2912[[#This Row],[CH4 '[g/mmol SCFA']]]&lt;X$10,_xlfn.NORM.DIST(Table2912[[#This Row],[CH4 '[g/mmol SCFA']]],X$6,X$2,FALSE),-100)</f>
        <v>-100</v>
      </c>
      <c r="BQ410">
        <f>IF(Table2912[[#This Row],[DMD '[mg/g']]]&gt;Y$10,_xlfn.NORM.DIST(Table2912[[#This Row],[DMD '[mg/g']]],Y$6,Y$2,FALSE),-100)</f>
        <v>-100</v>
      </c>
      <c r="BR410">
        <f>IF(Table2912[[#This Row],[CH4 '[ml/g']]]&lt;Z$10,_xlfn.NORM.DIST(Table2912[[#This Row],[CH4 '[ml/g']]],Z$6,Z$2,FALSE),-100)</f>
        <v>-100</v>
      </c>
      <c r="BS410">
        <f>IF(Table2912[[#This Row],[CH4 '[% GP']]]&lt;AA$10,_xlfn.NORM.DIST(Table2912[[#This Row],[CH4 '[% GP']]],AA$6,AA$2,FALSE),-100)</f>
        <v>-100</v>
      </c>
      <c r="BT410">
        <f>IF(Table2912[[#This Row],[CH4 '[g/g DDM']]]&lt;AB$10,_xlfn.NORM.DIST(Table2912[[#This Row],[CH4 '[g/g DDM']]],AB$6,AB$2,FALSE),-100)</f>
        <v>-100</v>
      </c>
    </row>
    <row r="411" spans="1:72" x14ac:dyDescent="0.25">
      <c r="A411" s="12" t="s">
        <v>200</v>
      </c>
      <c r="B411" s="13">
        <v>1199</v>
      </c>
      <c r="C411" s="119" t="s">
        <v>453</v>
      </c>
      <c r="D411" s="119" t="s">
        <v>454</v>
      </c>
      <c r="E411" s="119" t="s">
        <v>455</v>
      </c>
      <c r="F411" s="119" t="s">
        <v>456</v>
      </c>
      <c r="G411" t="s">
        <v>457</v>
      </c>
      <c r="H411" t="s">
        <v>458</v>
      </c>
      <c r="I411" s="53" t="s">
        <v>48</v>
      </c>
      <c r="J411" s="100">
        <v>3</v>
      </c>
      <c r="K411" s="100"/>
      <c r="L411" s="100"/>
      <c r="M411" t="s">
        <v>459</v>
      </c>
      <c r="N411" t="s">
        <v>352</v>
      </c>
      <c r="O411" s="18">
        <v>290.50319664903014</v>
      </c>
      <c r="P411" s="18">
        <v>7.6838334089936655</v>
      </c>
      <c r="Q411" s="97">
        <v>0.67406727560819724</v>
      </c>
      <c r="R411" s="97">
        <v>0.16513714939566748</v>
      </c>
      <c r="S411" s="97">
        <v>0.10573524798543843</v>
      </c>
      <c r="T411" s="97">
        <v>1.3873333448301557E-2</v>
      </c>
      <c r="U411" s="97">
        <v>8.8871106452160587E-4</v>
      </c>
      <c r="V411" s="97">
        <v>1.4237122172833787E-2</v>
      </c>
      <c r="W411" s="97">
        <v>2.6061160325039814E-2</v>
      </c>
      <c r="X411" s="51">
        <f t="shared" si="26"/>
        <v>5.9510668591095515</v>
      </c>
      <c r="Y411" s="18">
        <v>881.21980109159585</v>
      </c>
      <c r="Z411" s="18">
        <v>45.727006351180968</v>
      </c>
      <c r="AA411" s="18">
        <f t="shared" si="27"/>
        <v>15.740620715587445</v>
      </c>
      <c r="AB411" s="18">
        <f t="shared" si="28"/>
        <v>51.890579733384826</v>
      </c>
      <c r="AC411" s="18">
        <f>$CP$15*Table2912[[#This Row],[DMD '[mg/g']]]+$CS$15*Table2912[[#This Row],[CH4 '[ml/g']]]+$CR$15*Table2912[[#This Row],[CH4 '[% GP']]]+$CQ$15*Table2912[[#This Row],[CH4 '[g/g DDM']]]</f>
        <v>23.624456929099615</v>
      </c>
      <c r="AD411" s="18">
        <f>_xlfn.RANK.AVG(Table2912[[#This Row],[Index]],Table2912[Index])</f>
        <v>105</v>
      </c>
      <c r="AE41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7.2607590287987565</v>
      </c>
      <c r="AF411" s="18">
        <f>Table2912[[#This Row],[CH4 '[ml/g']]]/Table2912[[#This Row],[APB]]</f>
        <v>6.2978272891045375</v>
      </c>
      <c r="AG411" s="18">
        <f>Table2912[[#This Row],[Propionate '[%']]]/Table2912[[#This Row],[Acetate '[%']]]</f>
        <v>0.24498615401061796</v>
      </c>
      <c r="AH411" s="51"/>
      <c r="AI411" s="18"/>
      <c r="AJ411" s="18"/>
      <c r="AK411" s="18">
        <f>(Table2912[[#This Row],[DMD '[mg/g']]]-$AK$15)/$AK$15*100</f>
        <v>79.734724817022524</v>
      </c>
      <c r="AL411" s="18">
        <f>(Table2912[[#This Row],[CH4 '[ml/g']]]-AL$15)/AL$15*100</f>
        <v>16.258427293989985</v>
      </c>
      <c r="AM411" s="18">
        <f>(Table2912[[#This Row],[CH4 '[% GP']]]-AM$15)/AM$15*100</f>
        <v>1.4061458205115247</v>
      </c>
      <c r="AN411" s="18">
        <f>(Table2912[[#This Row],[CH4 '[g/g DDM']]]-AN$15)/AN$15*100</f>
        <v>1.3180662843352473</v>
      </c>
      <c r="AO411" s="18"/>
      <c r="AP411" s="18"/>
      <c r="AQ411" t="e">
        <f t="shared" ref="AQ411:AQ474" si="29">(AB411-$AR$10)/$AR$10%</f>
        <v>#DIV/0!</v>
      </c>
      <c r="AR411">
        <f>_xlfn.NORM.DIST(Table2912[[#This Row],[GP '[ml/g']]],O$6,O$2,FALSE)</f>
        <v>6.029925833535627E-3</v>
      </c>
      <c r="AS411">
        <f>_xlfn.NORM.DIST(Table2912[[#This Row],[SCFA '[mmol/g']]],P$6,P$2,FALSE)</f>
        <v>0.2106657422488436</v>
      </c>
      <c r="AT411">
        <f>_xlfn.NORM.DIST(Table2912[[#This Row],[Acetate '[%']]],Q$6,Q$2,FALSE)</f>
        <v>14.019202675785928</v>
      </c>
      <c r="AU411">
        <f>_xlfn.NORM.DIST(Table2912[[#This Row],[Propionate '[%']]],R$6,R$2,FALSE)</f>
        <v>16.130728517510114</v>
      </c>
      <c r="AV411">
        <f>_xlfn.NORM.DIST(Table2912[[#This Row],[Butyrate '[%']]],S$6,S$2,FALSE)</f>
        <v>17.51799633872702</v>
      </c>
      <c r="AW411">
        <f>_xlfn.NORM.DIST(Table2912[[#This Row],[Valerate '[%']]],T$6,T$2,FALSE)</f>
        <v>59.099934088548018</v>
      </c>
      <c r="AX411">
        <f>_xlfn.NORM.DIST(Table2912[[#This Row],[Caproate '[%']]],U$6,U$2,FALSE)</f>
        <v>367.19524411030113</v>
      </c>
      <c r="AY411">
        <f>_xlfn.NORM.DIST(Table2912[[#This Row],[Isobutyrate '[%']]],V$6,V$2,FALSE)</f>
        <v>87.510011548104615</v>
      </c>
      <c r="AZ411">
        <f>_xlfn.NORM.DIST(Table2912[[#This Row],[Isovalerate '[%']]],W$6,W$2,FALSE)</f>
        <v>44.449913353587888</v>
      </c>
      <c r="BA411">
        <f>_xlfn.NORM.DIST(Table2912[[#This Row],[CH4 '[g/mmol SCFA']]],X$6,X$2,FALSE)</f>
        <v>0.28845351667012803</v>
      </c>
      <c r="BB411">
        <f>_xlfn.NORM.DIST(Table2912[[#This Row],[DMD '[mg/g']]],Y$6,Y$2,FALSE)</f>
        <v>2.1694113549850761E-3</v>
      </c>
      <c r="BC411">
        <f>_xlfn.NORM.DIST(Table2912[[#This Row],[CH4 '[ml/g']]],Z$6,Z$2,FALSE)</f>
        <v>3.1363114563491855E-2</v>
      </c>
      <c r="BD411">
        <f>_xlfn.NORM.DIST(Table2912[[#This Row],[CH4 '[% GP']]],AA$6,AA$2,FALSE)</f>
        <v>0.13389477651974532</v>
      </c>
      <c r="BE411">
        <f>_xlfn.NORM.DIST(Table2912[[#This Row],[CH4 '[g/g DDM']]],AB$6,AB$2,FALSE)</f>
        <v>3.2614389161335737E-2</v>
      </c>
      <c r="BG411">
        <f>IF(Table2912[[#This Row],[GP '[ml/g']]]&lt;O$10,_xlfn.NORM.DIST(Table2912[[#This Row],[GP '[ml/g']]],O$6,O$2,FALSE),-100)</f>
        <v>-100</v>
      </c>
      <c r="BH411">
        <f>IF(Table2912[[#This Row],[SCFA '[mmol/g']]]&lt;P$10,_xlfn.NORM.DIST(Table2912[[#This Row],[SCFA '[mmol/g']]],P$6,P$2,FALSE),-100)</f>
        <v>-100</v>
      </c>
      <c r="BI411">
        <f>IF(Table2912[[#This Row],[Acetate '[%']]]&lt;Q$10,_xlfn.NORM.DIST(Table2912[[#This Row],[Acetate '[%']]],Q$6,Q$2,FALSE),-100)</f>
        <v>-100</v>
      </c>
      <c r="BJ411">
        <f>IF(Table2912[[#This Row],[Propionate '[%']]]&lt;R$10,_xlfn.NORM.DIST(Table2912[[#This Row],[Propionate '[%']]],R$6,R$2,FALSE),-100)</f>
        <v>-100</v>
      </c>
      <c r="BK411">
        <f>IF(Table2912[[#This Row],[Butyrate '[%']]]&lt;S$10,_xlfn.NORM.DIST(Table2912[[#This Row],[Butyrate '[%']]],S$6,S$2,FALSE),-100)</f>
        <v>-100</v>
      </c>
      <c r="BL411">
        <f>IF(Table2912[[#This Row],[Valerate '[%']]]&lt;T$10,_xlfn.NORM.DIST(Table2912[[#This Row],[Valerate '[%']]],T$6,T$2,FALSE),-100)</f>
        <v>-100</v>
      </c>
      <c r="BM411">
        <f>IF(Table2912[[#This Row],[Caproate '[%']]]&lt;U$10,_xlfn.NORM.DIST(Table2912[[#This Row],[Caproate '[%']]],U$6,U$2,FALSE),-100)</f>
        <v>-100</v>
      </c>
      <c r="BN411">
        <f>IF(Table2912[[#This Row],[Isobutyrate '[%']]]&lt;V$10,_xlfn.NORM.DIST(Table2912[[#This Row],[Isobutyrate '[%']]],V$6,V$2,FALSE),-100)</f>
        <v>-100</v>
      </c>
      <c r="BO411">
        <f>IF(Table2912[[#This Row],[Isovalerate '[%']]]&lt;W$10,_xlfn.NORM.DIST(Table2912[[#This Row],[Isovalerate '[%']]],W$6,W$2,FALSE),-100)</f>
        <v>-100</v>
      </c>
      <c r="BP411">
        <f>IF(Table2912[[#This Row],[CH4 '[g/mmol SCFA']]]&lt;X$10,_xlfn.NORM.DIST(Table2912[[#This Row],[CH4 '[g/mmol SCFA']]],X$6,X$2,FALSE),-100)</f>
        <v>-100</v>
      </c>
      <c r="BQ411">
        <f>IF(Table2912[[#This Row],[DMD '[mg/g']]]&gt;Y$10,_xlfn.NORM.DIST(Table2912[[#This Row],[DMD '[mg/g']]],Y$6,Y$2,FALSE),-100)</f>
        <v>-100</v>
      </c>
      <c r="BR411">
        <f>IF(Table2912[[#This Row],[CH4 '[ml/g']]]&lt;Z$10,_xlfn.NORM.DIST(Table2912[[#This Row],[CH4 '[ml/g']]],Z$6,Z$2,FALSE),-100)</f>
        <v>-100</v>
      </c>
      <c r="BS411">
        <f>IF(Table2912[[#This Row],[CH4 '[% GP']]]&lt;AA$10,_xlfn.NORM.DIST(Table2912[[#This Row],[CH4 '[% GP']]],AA$6,AA$2,FALSE),-100)</f>
        <v>-100</v>
      </c>
      <c r="BT411">
        <f>IF(Table2912[[#This Row],[CH4 '[g/g DDM']]]&lt;AB$10,_xlfn.NORM.DIST(Table2912[[#This Row],[CH4 '[g/g DDM']]],AB$6,AB$2,FALSE),-100)</f>
        <v>-100</v>
      </c>
    </row>
    <row r="412" spans="1:72" x14ac:dyDescent="0.25">
      <c r="A412" s="12" t="s">
        <v>200</v>
      </c>
      <c r="B412" s="13">
        <v>1205</v>
      </c>
      <c r="C412" s="113" t="s">
        <v>514</v>
      </c>
      <c r="D412" s="113" t="s">
        <v>262</v>
      </c>
      <c r="E412" s="113" t="s">
        <v>411</v>
      </c>
      <c r="F412" s="113" t="s">
        <v>412</v>
      </c>
      <c r="G412" t="s">
        <v>73</v>
      </c>
      <c r="H412" t="s">
        <v>74</v>
      </c>
      <c r="I412" t="s">
        <v>75</v>
      </c>
      <c r="J412" s="70">
        <v>2</v>
      </c>
      <c r="K412" s="70"/>
      <c r="L412" s="70"/>
      <c r="M412" t="s">
        <v>515</v>
      </c>
      <c r="N412" t="s">
        <v>352</v>
      </c>
      <c r="O412" s="18">
        <v>286.61701940035209</v>
      </c>
      <c r="P412" s="18">
        <v>7.131227954144622</v>
      </c>
      <c r="Q412" s="97">
        <v>0.64258335770387687</v>
      </c>
      <c r="R412" s="97">
        <v>0.17505088091208018</v>
      </c>
      <c r="S412" s="97">
        <v>0.10559817674286459</v>
      </c>
      <c r="T412" s="97">
        <v>1.9817192010202017E-2</v>
      </c>
      <c r="U412" s="97">
        <v>4.5215757336967907E-3</v>
      </c>
      <c r="V412" s="97">
        <v>1.8423982210170518E-2</v>
      </c>
      <c r="W412" s="97">
        <v>3.4004834687108992E-2</v>
      </c>
      <c r="X412" s="51">
        <f t="shared" si="26"/>
        <v>7.2612285721551117</v>
      </c>
      <c r="Y412" s="18">
        <v>881.39329805996476</v>
      </c>
      <c r="Z412" s="18">
        <v>51.781476175186171</v>
      </c>
      <c r="AA412" s="18">
        <f t="shared" si="27"/>
        <v>18.066434534669703</v>
      </c>
      <c r="AB412" s="18">
        <f t="shared" si="28"/>
        <v>58.749568767044636</v>
      </c>
      <c r="AC412" s="18">
        <f>$CP$15*Table2912[[#This Row],[DMD '[mg/g']]]+$CS$15*Table2912[[#This Row],[CH4 '[ml/g']]]+$CR$15*Table2912[[#This Row],[CH4 '[% GP']]]+$CQ$15*Table2912[[#This Row],[CH4 '[g/g DDM']]]</f>
        <v>20.45151350157127</v>
      </c>
      <c r="AD412" s="18">
        <f>_xlfn.RANK.AVG(Table2912[[#This Row],[Index]],Table2912[Index])</f>
        <v>154</v>
      </c>
      <c r="AE41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6.583780808579287</v>
      </c>
      <c r="AF412" s="18">
        <f>Table2912[[#This Row],[CH4 '[ml/g']]]/Table2912[[#This Row],[APB]]</f>
        <v>7.8650060931114272</v>
      </c>
      <c r="AG412" s="18">
        <f>Table2912[[#This Row],[Propionate '[%']]]/Table2912[[#This Row],[Acetate '[%']]]</f>
        <v>0.27241738960931705</v>
      </c>
      <c r="AH412" s="51"/>
      <c r="AI412" s="18"/>
      <c r="AJ412" s="18"/>
      <c r="AK412" s="18">
        <f>(Table2912[[#This Row],[DMD '[mg/g']]]-$AK$15)/$AK$15*100</f>
        <v>79.770111481992771</v>
      </c>
      <c r="AL412" s="18">
        <f>(Table2912[[#This Row],[CH4 '[ml/g']]]-AL$15)/AL$15*100</f>
        <v>31.651587616622528</v>
      </c>
      <c r="AM412" s="18">
        <f>(Table2912[[#This Row],[CH4 '[% GP']]]-AM$15)/AM$15*100</f>
        <v>16.38978716164743</v>
      </c>
      <c r="AN412" s="18">
        <f>(Table2912[[#This Row],[CH4 '[g/g DDM']]]-AN$15)/AN$15*100</f>
        <v>14.710468318124247</v>
      </c>
      <c r="AO412" s="18"/>
      <c r="AP412" s="18"/>
      <c r="AQ412" t="e">
        <f t="shared" si="29"/>
        <v>#DIV/0!</v>
      </c>
      <c r="AR412">
        <f>_xlfn.NORM.DIST(Table2912[[#This Row],[GP '[ml/g']]],O$6,O$2,FALSE)</f>
        <v>6.3085944275335622E-3</v>
      </c>
      <c r="AS412">
        <f>_xlfn.NORM.DIST(Table2912[[#This Row],[SCFA '[mmol/g']]],P$6,P$2,FALSE)</f>
        <v>0.29434320472165781</v>
      </c>
      <c r="AT412">
        <f>_xlfn.NORM.DIST(Table2912[[#This Row],[Acetate '[%']]],Q$6,Q$2,FALSE)</f>
        <v>7.8805742601764006</v>
      </c>
      <c r="AU412">
        <f>_xlfn.NORM.DIST(Table2912[[#This Row],[Propionate '[%']]],R$6,R$2,FALSE)</f>
        <v>16.641037250738968</v>
      </c>
      <c r="AV412">
        <f>_xlfn.NORM.DIST(Table2912[[#This Row],[Butyrate '[%']]],S$6,S$2,FALSE)</f>
        <v>17.620278869036092</v>
      </c>
      <c r="AW412">
        <f>_xlfn.NORM.DIST(Table2912[[#This Row],[Valerate '[%']]],T$6,T$2,FALSE)</f>
        <v>70.900525271957392</v>
      </c>
      <c r="AX412">
        <f>_xlfn.NORM.DIST(Table2912[[#This Row],[Caproate '[%']]],U$6,U$2,FALSE)</f>
        <v>2.0546485145064803</v>
      </c>
      <c r="AY412">
        <f>_xlfn.NORM.DIST(Table2912[[#This Row],[Isobutyrate '[%']]],V$6,V$2,FALSE)</f>
        <v>70.46790582445432</v>
      </c>
      <c r="AZ412">
        <f>_xlfn.NORM.DIST(Table2912[[#This Row],[Isovalerate '[%']]],W$6,W$2,FALSE)</f>
        <v>35.66377391457916</v>
      </c>
      <c r="BA412">
        <f>_xlfn.NORM.DIST(Table2912[[#This Row],[CH4 '[g/mmol SCFA']]],X$6,X$2,FALSE)</f>
        <v>0.22793270565403367</v>
      </c>
      <c r="BB412">
        <f>_xlfn.NORM.DIST(Table2912[[#This Row],[DMD '[mg/g']]],Y$6,Y$2,FALSE)</f>
        <v>2.167294642432442E-3</v>
      </c>
      <c r="BC412">
        <f>_xlfn.NORM.DIST(Table2912[[#This Row],[CH4 '[ml/g']]],Z$6,Z$2,FALSE)</f>
        <v>2.2907660357314782E-2</v>
      </c>
      <c r="BD412">
        <f>_xlfn.NORM.DIST(Table2912[[#This Row],[CH4 '[% GP']]],AA$6,AA$2,FALSE)</f>
        <v>0.10728959017125882</v>
      </c>
      <c r="BE412">
        <f>_xlfn.NORM.DIST(Table2912[[#This Row],[CH4 '[g/g DDM']]],AB$6,AB$2,FALSE)</f>
        <v>2.9764468091018074E-2</v>
      </c>
      <c r="BG412">
        <f>IF(Table2912[[#This Row],[GP '[ml/g']]]&lt;O$10,_xlfn.NORM.DIST(Table2912[[#This Row],[GP '[ml/g']]],O$6,O$2,FALSE),-100)</f>
        <v>-100</v>
      </c>
      <c r="BH412">
        <f>IF(Table2912[[#This Row],[SCFA '[mmol/g']]]&lt;P$10,_xlfn.NORM.DIST(Table2912[[#This Row],[SCFA '[mmol/g']]],P$6,P$2,FALSE),-100)</f>
        <v>-100</v>
      </c>
      <c r="BI412">
        <f>IF(Table2912[[#This Row],[Acetate '[%']]]&lt;Q$10,_xlfn.NORM.DIST(Table2912[[#This Row],[Acetate '[%']]],Q$6,Q$2,FALSE),-100)</f>
        <v>7.8805742601764006</v>
      </c>
      <c r="BJ412">
        <f>IF(Table2912[[#This Row],[Propionate '[%']]]&lt;R$10,_xlfn.NORM.DIST(Table2912[[#This Row],[Propionate '[%']]],R$6,R$2,FALSE),-100)</f>
        <v>-100</v>
      </c>
      <c r="BK412">
        <f>IF(Table2912[[#This Row],[Butyrate '[%']]]&lt;S$10,_xlfn.NORM.DIST(Table2912[[#This Row],[Butyrate '[%']]],S$6,S$2,FALSE),-100)</f>
        <v>-100</v>
      </c>
      <c r="BL412">
        <f>IF(Table2912[[#This Row],[Valerate '[%']]]&lt;T$10,_xlfn.NORM.DIST(Table2912[[#This Row],[Valerate '[%']]],T$6,T$2,FALSE),-100)</f>
        <v>-100</v>
      </c>
      <c r="BM412">
        <f>IF(Table2912[[#This Row],[Caproate '[%']]]&lt;U$10,_xlfn.NORM.DIST(Table2912[[#This Row],[Caproate '[%']]],U$6,U$2,FALSE),-100)</f>
        <v>-100</v>
      </c>
      <c r="BN412">
        <f>IF(Table2912[[#This Row],[Isobutyrate '[%']]]&lt;V$10,_xlfn.NORM.DIST(Table2912[[#This Row],[Isobutyrate '[%']]],V$6,V$2,FALSE),-100)</f>
        <v>-100</v>
      </c>
      <c r="BO412">
        <f>IF(Table2912[[#This Row],[Isovalerate '[%']]]&lt;W$10,_xlfn.NORM.DIST(Table2912[[#This Row],[Isovalerate '[%']]],W$6,W$2,FALSE),-100)</f>
        <v>-100</v>
      </c>
      <c r="BP412">
        <f>IF(Table2912[[#This Row],[CH4 '[g/mmol SCFA']]]&lt;X$10,_xlfn.NORM.DIST(Table2912[[#This Row],[CH4 '[g/mmol SCFA']]],X$6,X$2,FALSE),-100)</f>
        <v>-100</v>
      </c>
      <c r="BQ412">
        <f>IF(Table2912[[#This Row],[DMD '[mg/g']]]&gt;Y$10,_xlfn.NORM.DIST(Table2912[[#This Row],[DMD '[mg/g']]],Y$6,Y$2,FALSE),-100)</f>
        <v>-100</v>
      </c>
      <c r="BR412">
        <f>IF(Table2912[[#This Row],[CH4 '[ml/g']]]&lt;Z$10,_xlfn.NORM.DIST(Table2912[[#This Row],[CH4 '[ml/g']]],Z$6,Z$2,FALSE),-100)</f>
        <v>-100</v>
      </c>
      <c r="BS412">
        <f>IF(Table2912[[#This Row],[CH4 '[% GP']]]&lt;AA$10,_xlfn.NORM.DIST(Table2912[[#This Row],[CH4 '[% GP']]],AA$6,AA$2,FALSE),-100)</f>
        <v>-100</v>
      </c>
      <c r="BT412">
        <f>IF(Table2912[[#This Row],[CH4 '[g/g DDM']]]&lt;AB$10,_xlfn.NORM.DIST(Table2912[[#This Row],[CH4 '[g/g DDM']]],AB$6,AB$2,FALSE),-100)</f>
        <v>-100</v>
      </c>
    </row>
    <row r="413" spans="1:72" x14ac:dyDescent="0.25">
      <c r="A413" s="12" t="s">
        <v>200</v>
      </c>
      <c r="B413" s="13">
        <v>1204</v>
      </c>
      <c r="C413" s="113" t="s">
        <v>482</v>
      </c>
      <c r="D413" s="113" t="s">
        <v>262</v>
      </c>
      <c r="E413" s="113" t="s">
        <v>411</v>
      </c>
      <c r="F413" s="113" t="s">
        <v>412</v>
      </c>
      <c r="G413" s="32" t="s">
        <v>73</v>
      </c>
      <c r="H413" s="32" t="s">
        <v>74</v>
      </c>
      <c r="I413" s="104" t="s">
        <v>44</v>
      </c>
      <c r="J413" s="70">
        <v>3</v>
      </c>
      <c r="K413" s="70"/>
      <c r="L413" s="70"/>
      <c r="M413" t="s">
        <v>483</v>
      </c>
      <c r="N413" t="s">
        <v>245</v>
      </c>
      <c r="O413" s="18">
        <v>321.05778652668465</v>
      </c>
      <c r="P413" s="18">
        <v>7.8298420491263307</v>
      </c>
      <c r="Q413" s="97">
        <v>0.62481512274788376</v>
      </c>
      <c r="R413" s="97">
        <v>0.18251215472297366</v>
      </c>
      <c r="S413" s="97">
        <v>0.10461763250201012</v>
      </c>
      <c r="T413" s="97">
        <v>2.2789554500530714E-2</v>
      </c>
      <c r="U413" s="97">
        <v>4.3538607793998825E-3</v>
      </c>
      <c r="V413" s="97">
        <v>2.1289128840903816E-2</v>
      </c>
      <c r="W413" s="97">
        <v>3.9622545906298018E-2</v>
      </c>
      <c r="X413" s="51">
        <f t="shared" si="26"/>
        <v>8.3786126160043342</v>
      </c>
      <c r="Y413" s="18">
        <v>881.79608774002838</v>
      </c>
      <c r="Z413" s="18">
        <v>65.603213374131101</v>
      </c>
      <c r="AA413" s="18">
        <f t="shared" si="27"/>
        <v>20.433459684578779</v>
      </c>
      <c r="AB413" s="18">
        <f t="shared" si="28"/>
        <v>74.397260643633373</v>
      </c>
      <c r="AC413" s="18">
        <f>$CP$15*Table2912[[#This Row],[DMD '[mg/g']]]+$CS$15*Table2912[[#This Row],[CH4 '[ml/g']]]+$CR$15*Table2912[[#This Row],[CH4 '[% GP']]]+$CQ$15*Table2912[[#This Row],[CH4 '[g/g DDM']]]</f>
        <v>14.102153696978775</v>
      </c>
      <c r="AD413" s="18">
        <f>_xlfn.RANK.AVG(Table2912[[#This Row],[Index]],Table2912[Index])</f>
        <v>288</v>
      </c>
      <c r="AE41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7.1403846025922846</v>
      </c>
      <c r="AF413" s="18">
        <f>Table2912[[#This Row],[CH4 '[ml/g']]]/Table2912[[#This Row],[APB]]</f>
        <v>9.1876302223712365</v>
      </c>
      <c r="AG413" s="18">
        <f>Table2912[[#This Row],[Propionate '[%']]]/Table2912[[#This Row],[Acetate '[%']]]</f>
        <v>0.29210585352079943</v>
      </c>
      <c r="AH413" s="51"/>
      <c r="AI413" s="18"/>
      <c r="AJ413" s="18"/>
      <c r="AK413" s="18">
        <f>(Table2912[[#This Row],[DMD '[mg/g']]]-$AK$15)/$AK$15*100</f>
        <v>79.852264983554676</v>
      </c>
      <c r="AL413" s="18">
        <f>(Table2912[[#This Row],[CH4 '[ml/g']]]-AL$15)/AL$15*100</f>
        <v>66.792602903722681</v>
      </c>
      <c r="AM413" s="18">
        <f>(Table2912[[#This Row],[CH4 '[% GP']]]-AM$15)/AM$15*100</f>
        <v>31.638925162590603</v>
      </c>
      <c r="AN413" s="18">
        <f>(Table2912[[#This Row],[CH4 '[g/g DDM']]]-AN$15)/AN$15*100</f>
        <v>45.263102166018562</v>
      </c>
      <c r="AO413" s="18"/>
      <c r="AP413" s="18"/>
      <c r="AQ413" t="e">
        <f t="shared" si="29"/>
        <v>#DIV/0!</v>
      </c>
      <c r="AR413">
        <f>_xlfn.NORM.DIST(Table2912[[#This Row],[GP '[ml/g']]],O$6,O$2,FALSE)</f>
        <v>3.513325476635543E-3</v>
      </c>
      <c r="AS413">
        <f>_xlfn.NORM.DIST(Table2912[[#This Row],[SCFA '[mmol/g']]],P$6,P$2,FALSE)</f>
        <v>0.18612498276695258</v>
      </c>
      <c r="AT413">
        <f>_xlfn.NORM.DIST(Table2912[[#This Row],[Acetate '[%']]],Q$6,Q$2,FALSE)</f>
        <v>3.3147508932833416</v>
      </c>
      <c r="AU413">
        <f>_xlfn.NORM.DIST(Table2912[[#This Row],[Propionate '[%']]],R$6,R$2,FALSE)</f>
        <v>15.18769198153803</v>
      </c>
      <c r="AV413">
        <f>_xlfn.NORM.DIST(Table2912[[#This Row],[Butyrate '[%']]],S$6,S$2,FALSE)</f>
        <v>18.33607505288272</v>
      </c>
      <c r="AW413">
        <f>_xlfn.NORM.DIST(Table2912[[#This Row],[Valerate '[%']]],T$6,T$2,FALSE)</f>
        <v>47.162079571314742</v>
      </c>
      <c r="AX413">
        <f>_xlfn.NORM.DIST(Table2912[[#This Row],[Caproate '[%']]],U$6,U$2,FALSE)</f>
        <v>3.5318436236504183</v>
      </c>
      <c r="AY413">
        <f>_xlfn.NORM.DIST(Table2912[[#This Row],[Isobutyrate '[%']]],V$6,V$2,FALSE)</f>
        <v>36.269245722468135</v>
      </c>
      <c r="AZ413">
        <f>_xlfn.NORM.DIST(Table2912[[#This Row],[Isovalerate '[%']]],W$6,W$2,FALSE)</f>
        <v>18.623538447850908</v>
      </c>
      <c r="BA413">
        <f>_xlfn.NORM.DIST(Table2912[[#This Row],[CH4 '[g/mmol SCFA']]],X$6,X$2,FALSE)</f>
        <v>8.7748463751951833E-2</v>
      </c>
      <c r="BB413">
        <f>_xlfn.NORM.DIST(Table2912[[#This Row],[DMD '[mg/g']]],Y$6,Y$2,FALSE)</f>
        <v>2.1623750442322843E-3</v>
      </c>
      <c r="BC413">
        <f>_xlfn.NORM.DIST(Table2912[[#This Row],[CH4 '[ml/g']]],Z$6,Z$2,FALSE)</f>
        <v>4.2433148133796308E-3</v>
      </c>
      <c r="BD413">
        <f>_xlfn.NORM.DIST(Table2912[[#This Row],[CH4 '[% GP']]],AA$6,AA$2,FALSE)</f>
        <v>4.5456265082603309E-2</v>
      </c>
      <c r="BE413">
        <f>_xlfn.NORM.DIST(Table2912[[#This Row],[CH4 '[g/g DDM']]],AB$6,AB$2,FALSE)</f>
        <v>7.3200630761633655E-3</v>
      </c>
      <c r="BG413">
        <f>IF(Table2912[[#This Row],[GP '[ml/g']]]&lt;O$10,_xlfn.NORM.DIST(Table2912[[#This Row],[GP '[ml/g']]],O$6,O$2,FALSE),-100)</f>
        <v>-100</v>
      </c>
      <c r="BH413">
        <f>IF(Table2912[[#This Row],[SCFA '[mmol/g']]]&lt;P$10,_xlfn.NORM.DIST(Table2912[[#This Row],[SCFA '[mmol/g']]],P$6,P$2,FALSE),-100)</f>
        <v>-100</v>
      </c>
      <c r="BI413">
        <f>IF(Table2912[[#This Row],[Acetate '[%']]]&lt;Q$10,_xlfn.NORM.DIST(Table2912[[#This Row],[Acetate '[%']]],Q$6,Q$2,FALSE),-100)</f>
        <v>3.3147508932833416</v>
      </c>
      <c r="BJ413">
        <f>IF(Table2912[[#This Row],[Propionate '[%']]]&lt;R$10,_xlfn.NORM.DIST(Table2912[[#This Row],[Propionate '[%']]],R$6,R$2,FALSE),-100)</f>
        <v>-100</v>
      </c>
      <c r="BK413">
        <f>IF(Table2912[[#This Row],[Butyrate '[%']]]&lt;S$10,_xlfn.NORM.DIST(Table2912[[#This Row],[Butyrate '[%']]],S$6,S$2,FALSE),-100)</f>
        <v>-100</v>
      </c>
      <c r="BL413">
        <f>IF(Table2912[[#This Row],[Valerate '[%']]]&lt;T$10,_xlfn.NORM.DIST(Table2912[[#This Row],[Valerate '[%']]],T$6,T$2,FALSE),-100)</f>
        <v>-100</v>
      </c>
      <c r="BM413">
        <f>IF(Table2912[[#This Row],[Caproate '[%']]]&lt;U$10,_xlfn.NORM.DIST(Table2912[[#This Row],[Caproate '[%']]],U$6,U$2,FALSE),-100)</f>
        <v>-100</v>
      </c>
      <c r="BN413">
        <f>IF(Table2912[[#This Row],[Isobutyrate '[%']]]&lt;V$10,_xlfn.NORM.DIST(Table2912[[#This Row],[Isobutyrate '[%']]],V$6,V$2,FALSE),-100)</f>
        <v>-100</v>
      </c>
      <c r="BO413">
        <f>IF(Table2912[[#This Row],[Isovalerate '[%']]]&lt;W$10,_xlfn.NORM.DIST(Table2912[[#This Row],[Isovalerate '[%']]],W$6,W$2,FALSE),-100)</f>
        <v>-100</v>
      </c>
      <c r="BP413">
        <f>IF(Table2912[[#This Row],[CH4 '[g/mmol SCFA']]]&lt;X$10,_xlfn.NORM.DIST(Table2912[[#This Row],[CH4 '[g/mmol SCFA']]],X$6,X$2,FALSE),-100)</f>
        <v>-100</v>
      </c>
      <c r="BQ413">
        <f>IF(Table2912[[#This Row],[DMD '[mg/g']]]&gt;Y$10,_xlfn.NORM.DIST(Table2912[[#This Row],[DMD '[mg/g']]],Y$6,Y$2,FALSE),-100)</f>
        <v>-100</v>
      </c>
      <c r="BR413">
        <f>IF(Table2912[[#This Row],[CH4 '[ml/g']]]&lt;Z$10,_xlfn.NORM.DIST(Table2912[[#This Row],[CH4 '[ml/g']]],Z$6,Z$2,FALSE),-100)</f>
        <v>-100</v>
      </c>
      <c r="BS413">
        <f>IF(Table2912[[#This Row],[CH4 '[% GP']]]&lt;AA$10,_xlfn.NORM.DIST(Table2912[[#This Row],[CH4 '[% GP']]],AA$6,AA$2,FALSE),-100)</f>
        <v>-100</v>
      </c>
      <c r="BT413">
        <f>IF(Table2912[[#This Row],[CH4 '[g/g DDM']]]&lt;AB$10,_xlfn.NORM.DIST(Table2912[[#This Row],[CH4 '[g/g DDM']]],AB$6,AB$2,FALSE),-100)</f>
        <v>-100</v>
      </c>
    </row>
    <row r="414" spans="1:72" x14ac:dyDescent="0.25">
      <c r="A414" s="12" t="s">
        <v>70</v>
      </c>
      <c r="B414" s="13">
        <v>1004</v>
      </c>
      <c r="C414" s="96" t="s">
        <v>499</v>
      </c>
      <c r="D414" s="96"/>
      <c r="E414" s="96"/>
      <c r="F414" s="96" t="s">
        <v>500</v>
      </c>
      <c r="G414" t="s">
        <v>73</v>
      </c>
      <c r="H414" t="s">
        <v>74</v>
      </c>
      <c r="I414" t="s">
        <v>75</v>
      </c>
      <c r="J414" s="100">
        <v>1</v>
      </c>
      <c r="K414" s="100"/>
      <c r="L414" s="100"/>
      <c r="M414" t="s">
        <v>500</v>
      </c>
      <c r="N414" t="s">
        <v>85</v>
      </c>
      <c r="O414" s="18">
        <v>304.61233355162648</v>
      </c>
      <c r="P414" s="18">
        <v>8.1515273832789319</v>
      </c>
      <c r="Q414" s="97">
        <v>0.65040911649837652</v>
      </c>
      <c r="R414" s="97">
        <v>0.1723177841879342</v>
      </c>
      <c r="S414" s="97">
        <v>9.9001269714888054E-2</v>
      </c>
      <c r="T414" s="97">
        <v>2.1288631030088594E-2</v>
      </c>
      <c r="U414" s="97">
        <v>1.8108042893079527E-3</v>
      </c>
      <c r="V414" s="97">
        <v>1.9417618529699712E-2</v>
      </c>
      <c r="W414" s="97">
        <v>3.5754775749704953E-2</v>
      </c>
      <c r="X414" s="51">
        <f t="shared" si="26"/>
        <v>5.3265919041704786</v>
      </c>
      <c r="Y414" s="18">
        <v>882.04193894083551</v>
      </c>
      <c r="Z414" s="18">
        <v>43.419859766397522</v>
      </c>
      <c r="AA414" s="18">
        <f t="shared" si="27"/>
        <v>14.254137138882006</v>
      </c>
      <c r="AB414" s="18">
        <f t="shared" si="28"/>
        <v>49.226525235904894</v>
      </c>
      <c r="AC414" s="18">
        <f>$CP$15*Table2912[[#This Row],[DMD '[mg/g']]]+$CS$15*Table2912[[#This Row],[CH4 '[ml/g']]]+$CR$15*Table2912[[#This Row],[CH4 '[% GP']]]+$CQ$15*Table2912[[#This Row],[CH4 '[g/g DDM']]]</f>
        <v>25.105925557369382</v>
      </c>
      <c r="AD414" s="18">
        <f>_xlfn.RANK.AVG(Table2912[[#This Row],[Index]],Table2912[Index])</f>
        <v>90</v>
      </c>
      <c r="AE41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7.5134924209649618</v>
      </c>
      <c r="AF414" s="18">
        <f>Table2912[[#This Row],[CH4 '[ml/g']]]/Table2912[[#This Row],[APB]]</f>
        <v>5.7789184221764458</v>
      </c>
      <c r="AG414" s="18">
        <f>Table2912[[#This Row],[Propionate '[%']]]/Table2912[[#This Row],[Acetate '[%']]]</f>
        <v>0.26493752903656342</v>
      </c>
      <c r="AH414" s="51"/>
      <c r="AI414" s="18"/>
      <c r="AJ414" s="18"/>
      <c r="AK414" s="18">
        <f>(Table2912[[#This Row],[DMD '[mg/g']]]-$AK$15)/$AK$15*100</f>
        <v>79.902409110897551</v>
      </c>
      <c r="AL414" s="18">
        <f>(Table2912[[#This Row],[CH4 '[ml/g']]]-AL$15)/AL$15*100</f>
        <v>10.392632550645798</v>
      </c>
      <c r="AM414" s="18">
        <f>(Table2912[[#This Row],[CH4 '[% GP']]]-AM$15)/AM$15*100</f>
        <v>-8.170259904703336</v>
      </c>
      <c r="AN414" s="18">
        <f>(Table2912[[#This Row],[CH4 '[g/g DDM']]]-AN$15)/AN$15*100</f>
        <v>-3.8835878800158361</v>
      </c>
      <c r="AO414" s="18"/>
      <c r="AP414" s="18"/>
      <c r="AQ414" t="e">
        <f t="shared" si="29"/>
        <v>#DIV/0!</v>
      </c>
      <c r="AR414">
        <f>_xlfn.NORM.DIST(Table2912[[#This Row],[GP '[ml/g']]],O$6,O$2,FALSE)</f>
        <v>4.8943625411889983E-3</v>
      </c>
      <c r="AS414">
        <f>_xlfn.NORM.DIST(Table2912[[#This Row],[SCFA '[mmol/g']]],P$6,P$2,FALSE)</f>
        <v>0.1344526266131536</v>
      </c>
      <c r="AT414">
        <f>_xlfn.NORM.DIST(Table2912[[#This Row],[Acetate '[%']]],Q$6,Q$2,FALSE)</f>
        <v>10.196259837127274</v>
      </c>
      <c r="AU414">
        <f>_xlfn.NORM.DIST(Table2912[[#This Row],[Propionate '[%']]],R$6,R$2,FALSE)</f>
        <v>16.788066094624689</v>
      </c>
      <c r="AV414">
        <f>_xlfn.NORM.DIST(Table2912[[#This Row],[Butyrate '[%']]],S$6,S$2,FALSE)</f>
        <v>21.654556169453397</v>
      </c>
      <c r="AW414">
        <f>_xlfn.NORM.DIST(Table2912[[#This Row],[Valerate '[%']]],T$6,T$2,FALSE)</f>
        <v>60.401648889117574</v>
      </c>
      <c r="AX414">
        <f>_xlfn.NORM.DIST(Table2912[[#This Row],[Caproate '[%']]],U$6,U$2,FALSE)</f>
        <v>361.36091703289503</v>
      </c>
      <c r="AY414">
        <f>_xlfn.NORM.DIST(Table2912[[#This Row],[Isobutyrate '[%']]],V$6,V$2,FALSE)</f>
        <v>58.692045430732811</v>
      </c>
      <c r="AZ414">
        <f>_xlfn.NORM.DIST(Table2912[[#This Row],[Isovalerate '[%']]],W$6,W$2,FALSE)</f>
        <v>30.436221452911212</v>
      </c>
      <c r="BA414">
        <f>_xlfn.NORM.DIST(Table2912[[#This Row],[CH4 '[g/mmol SCFA']]],X$6,X$2,FALSE)</f>
        <v>0.23068716977806436</v>
      </c>
      <c r="BB414">
        <f>_xlfn.NORM.DIST(Table2912[[#This Row],[DMD '[mg/g']]],Y$6,Y$2,FALSE)</f>
        <v>2.1593685541415205E-3</v>
      </c>
      <c r="BC414">
        <f>_xlfn.NORM.DIST(Table2912[[#This Row],[CH4 '[ml/g']]],Z$6,Z$2,FALSE)</f>
        <v>3.3026452132323268E-2</v>
      </c>
      <c r="BD414">
        <f>_xlfn.NORM.DIST(Table2912[[#This Row],[CH4 '[% GP']]],AA$6,AA$2,FALSE)</f>
        <v>0.11166819864221961</v>
      </c>
      <c r="BE414">
        <f>_xlfn.NORM.DIST(Table2912[[#This Row],[CH4 '[g/g DDM']]],AB$6,AB$2,FALSE)</f>
        <v>3.1008123063911978E-2</v>
      </c>
      <c r="BG414">
        <f>IF(Table2912[[#This Row],[GP '[ml/g']]]&lt;O$10,_xlfn.NORM.DIST(Table2912[[#This Row],[GP '[ml/g']]],O$6,O$2,FALSE),-100)</f>
        <v>-100</v>
      </c>
      <c r="BH414">
        <f>IF(Table2912[[#This Row],[SCFA '[mmol/g']]]&lt;P$10,_xlfn.NORM.DIST(Table2912[[#This Row],[SCFA '[mmol/g']]],P$6,P$2,FALSE),-100)</f>
        <v>-100</v>
      </c>
      <c r="BI414">
        <f>IF(Table2912[[#This Row],[Acetate '[%']]]&lt;Q$10,_xlfn.NORM.DIST(Table2912[[#This Row],[Acetate '[%']]],Q$6,Q$2,FALSE),-100)</f>
        <v>-100</v>
      </c>
      <c r="BJ414">
        <f>IF(Table2912[[#This Row],[Propionate '[%']]]&lt;R$10,_xlfn.NORM.DIST(Table2912[[#This Row],[Propionate '[%']]],R$6,R$2,FALSE),-100)</f>
        <v>-100</v>
      </c>
      <c r="BK414">
        <f>IF(Table2912[[#This Row],[Butyrate '[%']]]&lt;S$10,_xlfn.NORM.DIST(Table2912[[#This Row],[Butyrate '[%']]],S$6,S$2,FALSE),-100)</f>
        <v>-100</v>
      </c>
      <c r="BL414">
        <f>IF(Table2912[[#This Row],[Valerate '[%']]]&lt;T$10,_xlfn.NORM.DIST(Table2912[[#This Row],[Valerate '[%']]],T$6,T$2,FALSE),-100)</f>
        <v>-100</v>
      </c>
      <c r="BM414">
        <f>IF(Table2912[[#This Row],[Caproate '[%']]]&lt;U$10,_xlfn.NORM.DIST(Table2912[[#This Row],[Caproate '[%']]],U$6,U$2,FALSE),-100)</f>
        <v>-100</v>
      </c>
      <c r="BN414">
        <f>IF(Table2912[[#This Row],[Isobutyrate '[%']]]&lt;V$10,_xlfn.NORM.DIST(Table2912[[#This Row],[Isobutyrate '[%']]],V$6,V$2,FALSE),-100)</f>
        <v>-100</v>
      </c>
      <c r="BO414">
        <f>IF(Table2912[[#This Row],[Isovalerate '[%']]]&lt;W$10,_xlfn.NORM.DIST(Table2912[[#This Row],[Isovalerate '[%']]],W$6,W$2,FALSE),-100)</f>
        <v>-100</v>
      </c>
      <c r="BP414">
        <f>IF(Table2912[[#This Row],[CH4 '[g/mmol SCFA']]]&lt;X$10,_xlfn.NORM.DIST(Table2912[[#This Row],[CH4 '[g/mmol SCFA']]],X$6,X$2,FALSE),-100)</f>
        <v>-100</v>
      </c>
      <c r="BQ414">
        <f>IF(Table2912[[#This Row],[DMD '[mg/g']]]&gt;Y$10,_xlfn.NORM.DIST(Table2912[[#This Row],[DMD '[mg/g']]],Y$6,Y$2,FALSE),-100)</f>
        <v>-100</v>
      </c>
      <c r="BR414">
        <f>IF(Table2912[[#This Row],[CH4 '[ml/g']]]&lt;Z$10,_xlfn.NORM.DIST(Table2912[[#This Row],[CH4 '[ml/g']]],Z$6,Z$2,FALSE),-100)</f>
        <v>-100</v>
      </c>
      <c r="BS414">
        <f>IF(Table2912[[#This Row],[CH4 '[% GP']]]&lt;AA$10,_xlfn.NORM.DIST(Table2912[[#This Row],[CH4 '[% GP']]],AA$6,AA$2,FALSE),-100)</f>
        <v>-100</v>
      </c>
      <c r="BT414">
        <f>IF(Table2912[[#This Row],[CH4 '[g/g DDM']]]&lt;AB$10,_xlfn.NORM.DIST(Table2912[[#This Row],[CH4 '[g/g DDM']]],AB$6,AB$2,FALSE),-100)</f>
        <v>-100</v>
      </c>
    </row>
    <row r="415" spans="1:72" x14ac:dyDescent="0.25">
      <c r="A415" s="12" t="s">
        <v>200</v>
      </c>
      <c r="B415" s="13">
        <v>1190</v>
      </c>
      <c r="C415" s="113" t="s">
        <v>486</v>
      </c>
      <c r="D415" s="113" t="s">
        <v>487</v>
      </c>
      <c r="E415" s="113" t="s">
        <v>488</v>
      </c>
      <c r="F415" s="113" t="s">
        <v>489</v>
      </c>
      <c r="G415" s="128" t="s">
        <v>490</v>
      </c>
      <c r="H415" s="128" t="s">
        <v>491</v>
      </c>
      <c r="I415" s="99" t="s">
        <v>48</v>
      </c>
      <c r="J415" s="70">
        <v>3</v>
      </c>
      <c r="K415" s="70"/>
      <c r="L415" s="70"/>
      <c r="M415" t="s">
        <v>492</v>
      </c>
      <c r="N415" t="s">
        <v>352</v>
      </c>
      <c r="O415" s="18">
        <v>247.1303954053468</v>
      </c>
      <c r="P415" s="18">
        <v>6.8965098299094336</v>
      </c>
      <c r="Q415" s="97">
        <v>0.69566470748386489</v>
      </c>
      <c r="R415" s="97">
        <v>0.16582053458464788</v>
      </c>
      <c r="S415" s="97">
        <v>8.2173571851828123E-2</v>
      </c>
      <c r="T415" s="97">
        <v>1.3292548165468201E-2</v>
      </c>
      <c r="U415" s="97">
        <v>3.5233260197626556E-4</v>
      </c>
      <c r="V415" s="97">
        <v>1.5374513540782498E-2</v>
      </c>
      <c r="W415" s="97">
        <v>2.7321791771432225E-2</v>
      </c>
      <c r="X415" s="51">
        <f t="shared" si="26"/>
        <v>4.9979671313721559</v>
      </c>
      <c r="Y415" s="18">
        <v>882.3818927955067</v>
      </c>
      <c r="Z415" s="18">
        <v>34.468529451072328</v>
      </c>
      <c r="AA415" s="18">
        <f t="shared" si="27"/>
        <v>13.947507102287663</v>
      </c>
      <c r="AB415" s="18">
        <f t="shared" si="28"/>
        <v>39.063051647480329</v>
      </c>
      <c r="AC415" s="18">
        <f>$CP$15*Table2912[[#This Row],[DMD '[mg/g']]]+$CS$15*Table2912[[#This Row],[CH4 '[ml/g']]]+$CR$15*Table2912[[#This Row],[CH4 '[% GP']]]+$CQ$15*Table2912[[#This Row],[CH4 '[g/g DDM']]]</f>
        <v>28.907685883162785</v>
      </c>
      <c r="AD415" s="18">
        <f>_xlfn.RANK.AVG(Table2912[[#This Row],[Index]],Table2912[Index])</f>
        <v>58</v>
      </c>
      <c r="AE41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6.5079522862823076</v>
      </c>
      <c r="AF415" s="18">
        <f>Table2912[[#This Row],[CH4 '[ml/g']]]/Table2912[[#This Row],[APB]]</f>
        <v>5.296370952769017</v>
      </c>
      <c r="AG415" s="18">
        <f>Table2912[[#This Row],[Propionate '[%']]]/Table2912[[#This Row],[Acetate '[%']]]</f>
        <v>0.23836272388231494</v>
      </c>
      <c r="AH415" s="51"/>
      <c r="AI415" s="18"/>
      <c r="AJ415" s="18"/>
      <c r="AK415" s="18">
        <f>(Table2912[[#This Row],[DMD '[mg/g']]]-$AK$15)/$AK$15*100</f>
        <v>79.971746536638705</v>
      </c>
      <c r="AL415" s="18">
        <f>(Table2912[[#This Row],[CH4 '[ml/g']]]-AL$15)/AL$15*100</f>
        <v>-12.36563805767811</v>
      </c>
      <c r="AM415" s="18">
        <f>(Table2912[[#This Row],[CH4 '[% GP']]]-AM$15)/AM$15*100</f>
        <v>-10.145669309812959</v>
      </c>
      <c r="AN415" s="18">
        <f>(Table2912[[#This Row],[CH4 '[g/g DDM']]]-AN$15)/AN$15*100</f>
        <v>-23.728104861748168</v>
      </c>
      <c r="AO415" s="18"/>
      <c r="AP415" s="18"/>
      <c r="AQ415" t="e">
        <f t="shared" si="29"/>
        <v>#DIV/0!</v>
      </c>
      <c r="AR415">
        <f>_xlfn.NORM.DIST(Table2912[[#This Row],[GP '[ml/g']]],O$6,O$2,FALSE)</f>
        <v>7.388555976038963E-3</v>
      </c>
      <c r="AS415">
        <f>_xlfn.NORM.DIST(Table2912[[#This Row],[SCFA '[mmol/g']]],P$6,P$2,FALSE)</f>
        <v>0.31815367204645734</v>
      </c>
      <c r="AT415">
        <f>_xlfn.NORM.DIST(Table2912[[#This Row],[Acetate '[%']]],Q$6,Q$2,FALSE)</f>
        <v>10.24660572833565</v>
      </c>
      <c r="AU415">
        <f>_xlfn.NORM.DIST(Table2912[[#This Row],[Propionate '[%']]],R$6,R$2,FALSE)</f>
        <v>16.255969344190454</v>
      </c>
      <c r="AV415">
        <f>_xlfn.NORM.DIST(Table2912[[#This Row],[Butyrate '[%']]],S$6,S$2,FALSE)</f>
        <v>18.997491355630856</v>
      </c>
      <c r="AW415">
        <f>_xlfn.NORM.DIST(Table2912[[#This Row],[Valerate '[%']]],T$6,T$2,FALSE)</f>
        <v>54.061997217965192</v>
      </c>
      <c r="AX415">
        <f>_xlfn.NORM.DIST(Table2912[[#This Row],[Caproate '[%']]],U$6,U$2,FALSE)</f>
        <v>246.72526624041052</v>
      </c>
      <c r="AY415">
        <f>_xlfn.NORM.DIST(Table2912[[#This Row],[Isobutyrate '[%']]],V$6,V$2,FALSE)</f>
        <v>90.150932159824933</v>
      </c>
      <c r="AZ415">
        <f>_xlfn.NORM.DIST(Table2912[[#This Row],[Isovalerate '[%']]],W$6,W$2,FALSE)</f>
        <v>45.333182000120544</v>
      </c>
      <c r="BA415">
        <f>_xlfn.NORM.DIST(Table2912[[#This Row],[CH4 '[g/mmol SCFA']]],X$6,X$2,FALSE)</f>
        <v>0.18799739450440278</v>
      </c>
      <c r="BB415">
        <f>_xlfn.NORM.DIST(Table2912[[#This Row],[DMD '[mg/g']]],Y$6,Y$2,FALSE)</f>
        <v>2.1552067112643094E-3</v>
      </c>
      <c r="BC415">
        <f>_xlfn.NORM.DIST(Table2912[[#This Row],[CH4 '[ml/g']]],Z$6,Z$2,FALSE)</f>
        <v>2.82859933735066E-2</v>
      </c>
      <c r="BD415">
        <f>_xlfn.NORM.DIST(Table2912[[#This Row],[CH4 '[% GP']]],AA$6,AA$2,FALSE)</f>
        <v>0.10424452123924637</v>
      </c>
      <c r="BE415">
        <f>_xlfn.NORM.DIST(Table2912[[#This Row],[CH4 '[g/g DDM']]],AB$6,AB$2,FALSE)</f>
        <v>1.6436959892598007E-2</v>
      </c>
      <c r="BG415">
        <f>IF(Table2912[[#This Row],[GP '[ml/g']]]&lt;O$10,_xlfn.NORM.DIST(Table2912[[#This Row],[GP '[ml/g']]],O$6,O$2,FALSE),-100)</f>
        <v>-100</v>
      </c>
      <c r="BH415">
        <f>IF(Table2912[[#This Row],[SCFA '[mmol/g']]]&lt;P$10,_xlfn.NORM.DIST(Table2912[[#This Row],[SCFA '[mmol/g']]],P$6,P$2,FALSE),-100)</f>
        <v>-100</v>
      </c>
      <c r="BI415">
        <f>IF(Table2912[[#This Row],[Acetate '[%']]]&lt;Q$10,_xlfn.NORM.DIST(Table2912[[#This Row],[Acetate '[%']]],Q$6,Q$2,FALSE),-100)</f>
        <v>-100</v>
      </c>
      <c r="BJ415">
        <f>IF(Table2912[[#This Row],[Propionate '[%']]]&lt;R$10,_xlfn.NORM.DIST(Table2912[[#This Row],[Propionate '[%']]],R$6,R$2,FALSE),-100)</f>
        <v>-100</v>
      </c>
      <c r="BK415">
        <f>IF(Table2912[[#This Row],[Butyrate '[%']]]&lt;S$10,_xlfn.NORM.DIST(Table2912[[#This Row],[Butyrate '[%']]],S$6,S$2,FALSE),-100)</f>
        <v>-100</v>
      </c>
      <c r="BL415">
        <f>IF(Table2912[[#This Row],[Valerate '[%']]]&lt;T$10,_xlfn.NORM.DIST(Table2912[[#This Row],[Valerate '[%']]],T$6,T$2,FALSE),-100)</f>
        <v>-100</v>
      </c>
      <c r="BM415">
        <f>IF(Table2912[[#This Row],[Caproate '[%']]]&lt;U$10,_xlfn.NORM.DIST(Table2912[[#This Row],[Caproate '[%']]],U$6,U$2,FALSE),-100)</f>
        <v>246.72526624041052</v>
      </c>
      <c r="BN415">
        <f>IF(Table2912[[#This Row],[Isobutyrate '[%']]]&lt;V$10,_xlfn.NORM.DIST(Table2912[[#This Row],[Isobutyrate '[%']]],V$6,V$2,FALSE),-100)</f>
        <v>-100</v>
      </c>
      <c r="BO415">
        <f>IF(Table2912[[#This Row],[Isovalerate '[%']]]&lt;W$10,_xlfn.NORM.DIST(Table2912[[#This Row],[Isovalerate '[%']]],W$6,W$2,FALSE),-100)</f>
        <v>-100</v>
      </c>
      <c r="BP415">
        <f>IF(Table2912[[#This Row],[CH4 '[g/mmol SCFA']]]&lt;X$10,_xlfn.NORM.DIST(Table2912[[#This Row],[CH4 '[g/mmol SCFA']]],X$6,X$2,FALSE),-100)</f>
        <v>-100</v>
      </c>
      <c r="BQ415">
        <f>IF(Table2912[[#This Row],[DMD '[mg/g']]]&gt;Y$10,_xlfn.NORM.DIST(Table2912[[#This Row],[DMD '[mg/g']]],Y$6,Y$2,FALSE),-100)</f>
        <v>-100</v>
      </c>
      <c r="BR415">
        <f>IF(Table2912[[#This Row],[CH4 '[ml/g']]]&lt;Z$10,_xlfn.NORM.DIST(Table2912[[#This Row],[CH4 '[ml/g']]],Z$6,Z$2,FALSE),-100)</f>
        <v>-100</v>
      </c>
      <c r="BS415">
        <f>IF(Table2912[[#This Row],[CH4 '[% GP']]]&lt;AA$10,_xlfn.NORM.DIST(Table2912[[#This Row],[CH4 '[% GP']]],AA$6,AA$2,FALSE),-100)</f>
        <v>-100</v>
      </c>
      <c r="BT415">
        <f>IF(Table2912[[#This Row],[CH4 '[g/g DDM']]]&lt;AB$10,_xlfn.NORM.DIST(Table2912[[#This Row],[CH4 '[g/g DDM']]],AB$6,AB$2,FALSE),-100)</f>
        <v>-100</v>
      </c>
    </row>
    <row r="416" spans="1:72" x14ac:dyDescent="0.25">
      <c r="A416" s="12" t="s">
        <v>86</v>
      </c>
      <c r="B416" s="13">
        <v>1076</v>
      </c>
      <c r="C416" s="104" t="s">
        <v>469</v>
      </c>
      <c r="D416" s="104" t="s">
        <v>377</v>
      </c>
      <c r="E416" s="104" t="s">
        <v>470</v>
      </c>
      <c r="F416" s="104" t="s">
        <v>471</v>
      </c>
      <c r="G416" s="32" t="s">
        <v>73</v>
      </c>
      <c r="H416" s="32" t="s">
        <v>74</v>
      </c>
      <c r="I416" s="105" t="s">
        <v>44</v>
      </c>
      <c r="J416" s="107">
        <v>2</v>
      </c>
      <c r="K416" s="107"/>
      <c r="L416" s="107"/>
      <c r="M416" t="s">
        <v>471</v>
      </c>
      <c r="N416" t="s">
        <v>124</v>
      </c>
      <c r="O416" s="18">
        <v>264.05459127766756</v>
      </c>
      <c r="P416" s="18">
        <v>6.7728285484695743</v>
      </c>
      <c r="Q416" s="97">
        <v>0.66524766731159091</v>
      </c>
      <c r="R416" s="97">
        <v>0.16497054609870354</v>
      </c>
      <c r="S416" s="97">
        <v>7.9996799081557102E-2</v>
      </c>
      <c r="T416" s="97">
        <v>2.3632870324720719E-2</v>
      </c>
      <c r="U416" s="97">
        <v>1.1681732631817585E-3</v>
      </c>
      <c r="V416" s="97">
        <v>2.2406613322942068E-2</v>
      </c>
      <c r="W416" s="97">
        <v>4.2577330597303925E-2</v>
      </c>
      <c r="X416" s="51">
        <f t="shared" si="26"/>
        <v>5.9147742124714453</v>
      </c>
      <c r="Y416" s="18">
        <v>886.5062406729071</v>
      </c>
      <c r="Z416" s="18">
        <v>40.059751643978245</v>
      </c>
      <c r="AA416" s="18">
        <f t="shared" si="27"/>
        <v>15.17101121027404</v>
      </c>
      <c r="AB416" s="18">
        <f t="shared" si="28"/>
        <v>45.188347025702477</v>
      </c>
      <c r="AC416" s="18">
        <f>$CP$15*Table2912[[#This Row],[DMD '[mg/g']]]+$CS$15*Table2912[[#This Row],[CH4 '[ml/g']]]+$CR$15*Table2912[[#This Row],[CH4 '[% GP']]]+$CQ$15*Table2912[[#This Row],[CH4 '[g/g DDM']]]</f>
        <v>26.651952474528414</v>
      </c>
      <c r="AD416" s="18">
        <f>_xlfn.RANK.AVG(Table2912[[#This Row],[Index]],Table2912[Index])</f>
        <v>75</v>
      </c>
      <c r="AE41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6.1647302218504025</v>
      </c>
      <c r="AF416" s="18">
        <f>Table2912[[#This Row],[CH4 '[ml/g']]]/Table2912[[#This Row],[APB]]</f>
        <v>6.4982164997244487</v>
      </c>
      <c r="AG416" s="18">
        <f>Table2912[[#This Row],[Propionate '[%']]]/Table2912[[#This Row],[Acetate '[%']]]</f>
        <v>0.24798365211167903</v>
      </c>
      <c r="AH416" s="51"/>
      <c r="AI416" s="18"/>
      <c r="AJ416" s="18"/>
      <c r="AK416" s="18">
        <f>(Table2912[[#This Row],[DMD '[mg/g']]]-$AK$15)/$AK$15*100</f>
        <v>80.812953838013428</v>
      </c>
      <c r="AL416" s="18">
        <f>(Table2912[[#This Row],[CH4 '[ml/g']]]-AL$15)/AL$15*100</f>
        <v>1.8497403514468054</v>
      </c>
      <c r="AM416" s="18">
        <f>(Table2912[[#This Row],[CH4 '[% GP']]]-AM$15)/AM$15*100</f>
        <v>-2.2634619796027864</v>
      </c>
      <c r="AN416" s="18">
        <f>(Table2912[[#This Row],[CH4 '[g/g DDM']]]-AN$15)/AN$15*100</f>
        <v>-11.768263859190112</v>
      </c>
      <c r="AO416" s="18"/>
      <c r="AP416" s="18"/>
      <c r="AQ416" t="e">
        <f t="shared" si="29"/>
        <v>#DIV/0!</v>
      </c>
      <c r="AR416">
        <f>_xlfn.NORM.DIST(Table2912[[#This Row],[GP '[ml/g']]],O$6,O$2,FALSE)</f>
        <v>7.3840412036459821E-3</v>
      </c>
      <c r="AS416">
        <f>_xlfn.NORM.DIST(Table2912[[#This Row],[SCFA '[mmol/g']]],P$6,P$2,FALSE)</f>
        <v>0.32639403407645406</v>
      </c>
      <c r="AT416">
        <f>_xlfn.NORM.DIST(Table2912[[#This Row],[Acetate '[%']]],Q$6,Q$2,FALSE)</f>
        <v>13.499079610613233</v>
      </c>
      <c r="AU416">
        <f>_xlfn.NORM.DIST(Table2912[[#This Row],[Propionate '[%']]],R$6,R$2,FALSE)</f>
        <v>16.098323130204381</v>
      </c>
      <c r="AV416">
        <f>_xlfn.NORM.DIST(Table2912[[#This Row],[Butyrate '[%']]],S$6,S$2,FALSE)</f>
        <v>17.434359857190348</v>
      </c>
      <c r="AW416">
        <f>_xlfn.NORM.DIST(Table2912[[#This Row],[Valerate '[%']]],T$6,T$2,FALSE)</f>
        <v>39.542171773289795</v>
      </c>
      <c r="AX416">
        <f>_xlfn.NORM.DIST(Table2912[[#This Row],[Caproate '[%']]],U$6,U$2,FALSE)</f>
        <v>401.19984317094844</v>
      </c>
      <c r="AY416">
        <f>_xlfn.NORM.DIST(Table2912[[#This Row],[Isobutyrate '[%']]],V$6,V$2,FALSE)</f>
        <v>24.984812203554299</v>
      </c>
      <c r="AZ416">
        <f>_xlfn.NORM.DIST(Table2912[[#This Row],[Isovalerate '[%']]],W$6,W$2,FALSE)</f>
        <v>11.228544864769578</v>
      </c>
      <c r="BA416">
        <f>_xlfn.NORM.DIST(Table2912[[#This Row],[CH4 '[g/mmol SCFA']]],X$6,X$2,FALSE)</f>
        <v>0.28642542554953071</v>
      </c>
      <c r="BB416">
        <f>_xlfn.NORM.DIST(Table2912[[#This Row],[DMD '[mg/g']]],Y$6,Y$2,FALSE)</f>
        <v>2.1043140177241706E-3</v>
      </c>
      <c r="BC416">
        <f>_xlfn.NORM.DIST(Table2912[[#This Row],[CH4 '[ml/g']]],Z$6,Z$2,FALSE)</f>
        <v>3.3295027095961584E-2</v>
      </c>
      <c r="BD416">
        <f>_xlfn.NORM.DIST(Table2912[[#This Row],[CH4 '[% GP']]],AA$6,AA$2,FALSE)</f>
        <v>0.12867286157253308</v>
      </c>
      <c r="BE416">
        <f>_xlfn.NORM.DIST(Table2912[[#This Row],[CH4 '[g/g DDM']]],AB$6,AB$2,FALSE)</f>
        <v>2.6204432002213843E-2</v>
      </c>
      <c r="BG416">
        <f>IF(Table2912[[#This Row],[GP '[ml/g']]]&lt;O$10,_xlfn.NORM.DIST(Table2912[[#This Row],[GP '[ml/g']]],O$6,O$2,FALSE),-100)</f>
        <v>-100</v>
      </c>
      <c r="BH416">
        <f>IF(Table2912[[#This Row],[SCFA '[mmol/g']]]&lt;P$10,_xlfn.NORM.DIST(Table2912[[#This Row],[SCFA '[mmol/g']]],P$6,P$2,FALSE),-100)</f>
        <v>-100</v>
      </c>
      <c r="BI416">
        <f>IF(Table2912[[#This Row],[Acetate '[%']]]&lt;Q$10,_xlfn.NORM.DIST(Table2912[[#This Row],[Acetate '[%']]],Q$6,Q$2,FALSE),-100)</f>
        <v>-100</v>
      </c>
      <c r="BJ416">
        <f>IF(Table2912[[#This Row],[Propionate '[%']]]&lt;R$10,_xlfn.NORM.DIST(Table2912[[#This Row],[Propionate '[%']]],R$6,R$2,FALSE),-100)</f>
        <v>-100</v>
      </c>
      <c r="BK416">
        <f>IF(Table2912[[#This Row],[Butyrate '[%']]]&lt;S$10,_xlfn.NORM.DIST(Table2912[[#This Row],[Butyrate '[%']]],S$6,S$2,FALSE),-100)</f>
        <v>-100</v>
      </c>
      <c r="BL416">
        <f>IF(Table2912[[#This Row],[Valerate '[%']]]&lt;T$10,_xlfn.NORM.DIST(Table2912[[#This Row],[Valerate '[%']]],T$6,T$2,FALSE),-100)</f>
        <v>-100</v>
      </c>
      <c r="BM416">
        <f>IF(Table2912[[#This Row],[Caproate '[%']]]&lt;U$10,_xlfn.NORM.DIST(Table2912[[#This Row],[Caproate '[%']]],U$6,U$2,FALSE),-100)</f>
        <v>-100</v>
      </c>
      <c r="BN416">
        <f>IF(Table2912[[#This Row],[Isobutyrate '[%']]]&lt;V$10,_xlfn.NORM.DIST(Table2912[[#This Row],[Isobutyrate '[%']]],V$6,V$2,FALSE),-100)</f>
        <v>-100</v>
      </c>
      <c r="BO416">
        <f>IF(Table2912[[#This Row],[Isovalerate '[%']]]&lt;W$10,_xlfn.NORM.DIST(Table2912[[#This Row],[Isovalerate '[%']]],W$6,W$2,FALSE),-100)</f>
        <v>-100</v>
      </c>
      <c r="BP416">
        <f>IF(Table2912[[#This Row],[CH4 '[g/mmol SCFA']]]&lt;X$10,_xlfn.NORM.DIST(Table2912[[#This Row],[CH4 '[g/mmol SCFA']]],X$6,X$2,FALSE),-100)</f>
        <v>-100</v>
      </c>
      <c r="BQ416">
        <f>IF(Table2912[[#This Row],[DMD '[mg/g']]]&gt;Y$10,_xlfn.NORM.DIST(Table2912[[#This Row],[DMD '[mg/g']]],Y$6,Y$2,FALSE),-100)</f>
        <v>-100</v>
      </c>
      <c r="BR416">
        <f>IF(Table2912[[#This Row],[CH4 '[ml/g']]]&lt;Z$10,_xlfn.NORM.DIST(Table2912[[#This Row],[CH4 '[ml/g']]],Z$6,Z$2,FALSE),-100)</f>
        <v>-100</v>
      </c>
      <c r="BS416">
        <f>IF(Table2912[[#This Row],[CH4 '[% GP']]]&lt;AA$10,_xlfn.NORM.DIST(Table2912[[#This Row],[CH4 '[% GP']]],AA$6,AA$2,FALSE),-100)</f>
        <v>-100</v>
      </c>
      <c r="BT416">
        <f>IF(Table2912[[#This Row],[CH4 '[g/g DDM']]]&lt;AB$10,_xlfn.NORM.DIST(Table2912[[#This Row],[CH4 '[g/g DDM']]],AB$6,AB$2,FALSE),-100)</f>
        <v>-100</v>
      </c>
    </row>
    <row r="417" spans="1:72" x14ac:dyDescent="0.25">
      <c r="A417" s="12" t="s">
        <v>200</v>
      </c>
      <c r="B417" s="13">
        <v>1201</v>
      </c>
      <c r="C417" s="113" t="s">
        <v>484</v>
      </c>
      <c r="D417" s="113" t="s">
        <v>262</v>
      </c>
      <c r="E417" s="113" t="s">
        <v>411</v>
      </c>
      <c r="F417" s="113" t="s">
        <v>412</v>
      </c>
      <c r="G417" t="s">
        <v>73</v>
      </c>
      <c r="H417" t="s">
        <v>74</v>
      </c>
      <c r="I417" t="s">
        <v>75</v>
      </c>
      <c r="J417" s="70">
        <v>1</v>
      </c>
      <c r="K417" s="70"/>
      <c r="L417" s="70"/>
      <c r="M417" t="s">
        <v>485</v>
      </c>
      <c r="N417" t="s">
        <v>245</v>
      </c>
      <c r="O417" s="18">
        <v>232.91253842775592</v>
      </c>
      <c r="P417" s="18">
        <v>6.0615733874147644</v>
      </c>
      <c r="Q417" s="97">
        <v>0.63224752623748803</v>
      </c>
      <c r="R417" s="97">
        <v>0.18578878368754626</v>
      </c>
      <c r="S417" s="97">
        <v>0.10875830845087586</v>
      </c>
      <c r="T417" s="97">
        <v>1.7038521423574059E-2</v>
      </c>
      <c r="U417" s="97">
        <v>3.1782751420466031E-3</v>
      </c>
      <c r="V417" s="97">
        <v>1.8264872813716641E-2</v>
      </c>
      <c r="W417" s="97">
        <v>3.4723712244752562E-2</v>
      </c>
      <c r="X417" s="51">
        <f t="shared" si="26"/>
        <v>6.8708269991114372</v>
      </c>
      <c r="Y417" s="18">
        <v>886.79957514842636</v>
      </c>
      <c r="Z417" s="18">
        <v>41.648022087344735</v>
      </c>
      <c r="AA417" s="18">
        <f t="shared" si="27"/>
        <v>17.881399759963109</v>
      </c>
      <c r="AB417" s="18">
        <f t="shared" si="28"/>
        <v>46.964413667399398</v>
      </c>
      <c r="AC417" s="18">
        <f>$CP$15*Table2912[[#This Row],[DMD '[mg/g']]]+$CS$15*Table2912[[#This Row],[CH4 '[ml/g']]]+$CR$15*Table2912[[#This Row],[CH4 '[% GP']]]+$CQ$15*Table2912[[#This Row],[CH4 '[g/g DDM']]]</f>
        <v>25.222175456853847</v>
      </c>
      <c r="AD417" s="18">
        <f>_xlfn.RANK.AVG(Table2912[[#This Row],[Index]],Table2912[Index])</f>
        <v>88</v>
      </c>
      <c r="AE41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5.6178335943466395</v>
      </c>
      <c r="AF417" s="18">
        <f>Table2912[[#This Row],[CH4 '[ml/g']]]/Table2912[[#This Row],[APB]]</f>
        <v>7.4135378679169381</v>
      </c>
      <c r="AG417" s="18">
        <f>Table2912[[#This Row],[Propionate '[%']]]/Table2912[[#This Row],[Acetate '[%']]]</f>
        <v>0.29385450472725033</v>
      </c>
      <c r="AH417" s="51"/>
      <c r="AI417" s="18"/>
      <c r="AJ417" s="18"/>
      <c r="AK417" s="18">
        <f>(Table2912[[#This Row],[DMD '[mg/g']]]-$AK$15)/$AK$15*100</f>
        <v>80.872782715180605</v>
      </c>
      <c r="AL417" s="18">
        <f>(Table2912[[#This Row],[CH4 '[ml/g']]]-AL$15)/AL$15*100</f>
        <v>5.8878315933097758</v>
      </c>
      <c r="AM417" s="18">
        <f>(Table2912[[#This Row],[CH4 '[% GP']]]-AM$15)/AM$15*100</f>
        <v>15.197733577179742</v>
      </c>
      <c r="AN417" s="18">
        <f>(Table2912[[#This Row],[CH4 '[g/g DDM']]]-AN$15)/AN$15*100</f>
        <v>-8.3004352349307347</v>
      </c>
      <c r="AO417" s="18"/>
      <c r="AP417" s="18"/>
      <c r="AQ417" t="e">
        <f t="shared" si="29"/>
        <v>#DIV/0!</v>
      </c>
      <c r="AR417">
        <f>_xlfn.NORM.DIST(Table2912[[#This Row],[GP '[ml/g']]],O$6,O$2,FALSE)</f>
        <v>6.8388588000569883E-3</v>
      </c>
      <c r="AS417">
        <f>_xlfn.NORM.DIST(Table2912[[#This Row],[SCFA '[mmol/g']]],P$6,P$2,FALSE)</f>
        <v>0.30753682283260053</v>
      </c>
      <c r="AT417">
        <f>_xlfn.NORM.DIST(Table2912[[#This Row],[Acetate '[%']]],Q$6,Q$2,FALSE)</f>
        <v>4.9934128028596527</v>
      </c>
      <c r="AU417">
        <f>_xlfn.NORM.DIST(Table2912[[#This Row],[Propionate '[%']]],R$6,R$2,FALSE)</f>
        <v>14.142562083201895</v>
      </c>
      <c r="AV417">
        <f>_xlfn.NORM.DIST(Table2912[[#This Row],[Butyrate '[%']]],S$6,S$2,FALSE)</f>
        <v>15.163848880454557</v>
      </c>
      <c r="AW417">
        <f>_xlfn.NORM.DIST(Table2912[[#This Row],[Valerate '[%']]],T$6,T$2,FALSE)</f>
        <v>76.836473643465283</v>
      </c>
      <c r="AX417">
        <f>_xlfn.NORM.DIST(Table2912[[#This Row],[Caproate '[%']]],U$6,U$2,FALSE)</f>
        <v>69.233099569570328</v>
      </c>
      <c r="AY417">
        <f>_xlfn.NORM.DIST(Table2912[[#This Row],[Isobutyrate '[%']]],V$6,V$2,FALSE)</f>
        <v>72.222644296116485</v>
      </c>
      <c r="AZ417">
        <f>_xlfn.NORM.DIST(Table2912[[#This Row],[Isovalerate '[%']]],W$6,W$2,FALSE)</f>
        <v>33.57657080760292</v>
      </c>
      <c r="BA417">
        <f>_xlfn.NORM.DIST(Table2912[[#This Row],[CH4 '[g/mmol SCFA']]],X$6,X$2,FALSE)</f>
        <v>0.27015575341907694</v>
      </c>
      <c r="BB417">
        <f>_xlfn.NORM.DIST(Table2912[[#This Row],[DMD '[mg/g']]],Y$6,Y$2,FALSE)</f>
        <v>2.1006677884107105E-3</v>
      </c>
      <c r="BC417">
        <f>_xlfn.NORM.DIST(Table2912[[#This Row],[CH4 '[ml/g']]],Z$6,Z$2,FALSE)</f>
        <v>3.3498644689104927E-2</v>
      </c>
      <c r="BD417">
        <f>_xlfn.NORM.DIST(Table2912[[#This Row],[CH4 '[% GP']]],AA$6,AA$2,FALSE)</f>
        <v>0.1116914593394969</v>
      </c>
      <c r="BE417">
        <f>_xlfn.NORM.DIST(Table2912[[#This Row],[CH4 '[g/g DDM']]],AB$6,AB$2,FALSE)</f>
        <v>2.8604997337342505E-2</v>
      </c>
      <c r="BG417">
        <f>IF(Table2912[[#This Row],[GP '[ml/g']]]&lt;O$10,_xlfn.NORM.DIST(Table2912[[#This Row],[GP '[ml/g']]],O$6,O$2,FALSE),-100)</f>
        <v>-100</v>
      </c>
      <c r="BH417">
        <f>IF(Table2912[[#This Row],[SCFA '[mmol/g']]]&lt;P$10,_xlfn.NORM.DIST(Table2912[[#This Row],[SCFA '[mmol/g']]],P$6,P$2,FALSE),-100)</f>
        <v>-100</v>
      </c>
      <c r="BI417">
        <f>IF(Table2912[[#This Row],[Acetate '[%']]]&lt;Q$10,_xlfn.NORM.DIST(Table2912[[#This Row],[Acetate '[%']]],Q$6,Q$2,FALSE),-100)</f>
        <v>4.9934128028596527</v>
      </c>
      <c r="BJ417">
        <f>IF(Table2912[[#This Row],[Propionate '[%']]]&lt;R$10,_xlfn.NORM.DIST(Table2912[[#This Row],[Propionate '[%']]],R$6,R$2,FALSE),-100)</f>
        <v>-100</v>
      </c>
      <c r="BK417">
        <f>IF(Table2912[[#This Row],[Butyrate '[%']]]&lt;S$10,_xlfn.NORM.DIST(Table2912[[#This Row],[Butyrate '[%']]],S$6,S$2,FALSE),-100)</f>
        <v>-100</v>
      </c>
      <c r="BL417">
        <f>IF(Table2912[[#This Row],[Valerate '[%']]]&lt;T$10,_xlfn.NORM.DIST(Table2912[[#This Row],[Valerate '[%']]],T$6,T$2,FALSE),-100)</f>
        <v>-100</v>
      </c>
      <c r="BM417">
        <f>IF(Table2912[[#This Row],[Caproate '[%']]]&lt;U$10,_xlfn.NORM.DIST(Table2912[[#This Row],[Caproate '[%']]],U$6,U$2,FALSE),-100)</f>
        <v>-100</v>
      </c>
      <c r="BN417">
        <f>IF(Table2912[[#This Row],[Isobutyrate '[%']]]&lt;V$10,_xlfn.NORM.DIST(Table2912[[#This Row],[Isobutyrate '[%']]],V$6,V$2,FALSE),-100)</f>
        <v>-100</v>
      </c>
      <c r="BO417">
        <f>IF(Table2912[[#This Row],[Isovalerate '[%']]]&lt;W$10,_xlfn.NORM.DIST(Table2912[[#This Row],[Isovalerate '[%']]],W$6,W$2,FALSE),-100)</f>
        <v>-100</v>
      </c>
      <c r="BP417">
        <f>IF(Table2912[[#This Row],[CH4 '[g/mmol SCFA']]]&lt;X$10,_xlfn.NORM.DIST(Table2912[[#This Row],[CH4 '[g/mmol SCFA']]],X$6,X$2,FALSE),-100)</f>
        <v>-100</v>
      </c>
      <c r="BQ417">
        <f>IF(Table2912[[#This Row],[DMD '[mg/g']]]&gt;Y$10,_xlfn.NORM.DIST(Table2912[[#This Row],[DMD '[mg/g']]],Y$6,Y$2,FALSE),-100)</f>
        <v>-100</v>
      </c>
      <c r="BR417">
        <f>IF(Table2912[[#This Row],[CH4 '[ml/g']]]&lt;Z$10,_xlfn.NORM.DIST(Table2912[[#This Row],[CH4 '[ml/g']]],Z$6,Z$2,FALSE),-100)</f>
        <v>-100</v>
      </c>
      <c r="BS417">
        <f>IF(Table2912[[#This Row],[CH4 '[% GP']]]&lt;AA$10,_xlfn.NORM.DIST(Table2912[[#This Row],[CH4 '[% GP']]],AA$6,AA$2,FALSE),-100)</f>
        <v>-100</v>
      </c>
      <c r="BT417">
        <f>IF(Table2912[[#This Row],[CH4 '[g/g DDM']]]&lt;AB$10,_xlfn.NORM.DIST(Table2912[[#This Row],[CH4 '[g/g DDM']]],AB$6,AB$2,FALSE),-100)</f>
        <v>-100</v>
      </c>
    </row>
    <row r="418" spans="1:72" x14ac:dyDescent="0.25">
      <c r="A418" s="12" t="s">
        <v>200</v>
      </c>
      <c r="B418" s="13">
        <v>1201</v>
      </c>
      <c r="C418" s="113" t="s">
        <v>484</v>
      </c>
      <c r="D418" s="113" t="s">
        <v>262</v>
      </c>
      <c r="E418" s="113" t="s">
        <v>411</v>
      </c>
      <c r="F418" s="113" t="s">
        <v>412</v>
      </c>
      <c r="G418" t="s">
        <v>73</v>
      </c>
      <c r="H418" t="s">
        <v>74</v>
      </c>
      <c r="I418" t="s">
        <v>75</v>
      </c>
      <c r="J418" s="70">
        <v>2</v>
      </c>
      <c r="K418" s="70"/>
      <c r="L418" s="70"/>
      <c r="M418" t="s">
        <v>485</v>
      </c>
      <c r="N418" t="s">
        <v>171</v>
      </c>
      <c r="O418" s="18">
        <v>241.2483595800521</v>
      </c>
      <c r="P418" s="18">
        <v>6.1230104065023685</v>
      </c>
      <c r="Q418" s="97">
        <v>0.65996217327999218</v>
      </c>
      <c r="R418" s="97">
        <v>0.17738231548643479</v>
      </c>
      <c r="S418" s="97">
        <v>9.556059038890119E-2</v>
      </c>
      <c r="T418" s="97">
        <v>1.6055273923767696E-2</v>
      </c>
      <c r="U418" s="97">
        <v>2.9706024492837579E-3</v>
      </c>
      <c r="V418" s="97">
        <v>1.6549324512979927E-2</v>
      </c>
      <c r="W418" s="97">
        <v>3.1519719958640405E-2</v>
      </c>
      <c r="X418" s="51">
        <f t="shared" si="26"/>
        <v>7.4046275974922198</v>
      </c>
      <c r="Y418" s="18">
        <v>887.12280125024154</v>
      </c>
      <c r="Z418" s="18">
        <v>45.33861183571949</v>
      </c>
      <c r="AA418" s="18">
        <f t="shared" si="27"/>
        <v>18.793334766976947</v>
      </c>
      <c r="AB418" s="18">
        <f t="shared" si="28"/>
        <v>51.107481142208037</v>
      </c>
      <c r="AC418" s="18">
        <f>$CP$15*Table2912[[#This Row],[DMD '[mg/g']]]+$CS$15*Table2912[[#This Row],[CH4 '[ml/g']]]+$CR$15*Table2912[[#This Row],[CH4 '[% GP']]]+$CQ$15*Table2912[[#This Row],[CH4 '[g/g DDM']]]</f>
        <v>23.485194729434575</v>
      </c>
      <c r="AD418" s="18">
        <f>_xlfn.RANK.AVG(Table2912[[#This Row],[Index]],Table2912[Index])</f>
        <v>107</v>
      </c>
      <c r="AE41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5.7121875079469913</v>
      </c>
      <c r="AF418" s="18">
        <f>Table2912[[#This Row],[CH4 '[ml/g']]]/Table2912[[#This Row],[APB]]</f>
        <v>7.9371714903691197</v>
      </c>
      <c r="AG418" s="18">
        <f>Table2912[[#This Row],[Propionate '[%']]]/Table2912[[#This Row],[Acetate '[%']]]</f>
        <v>0.26877648851425834</v>
      </c>
      <c r="AH418" s="51"/>
      <c r="AI418" s="18"/>
      <c r="AJ418" s="18"/>
      <c r="AK418" s="18">
        <f>(Table2912[[#This Row],[DMD '[mg/g']]]-$AK$15)/$AK$15*100</f>
        <v>80.938708326919553</v>
      </c>
      <c r="AL418" s="18">
        <f>(Table2912[[#This Row],[CH4 '[ml/g']]]-AL$15)/AL$15*100</f>
        <v>15.270955356938575</v>
      </c>
      <c r="AM418" s="18">
        <f>(Table2912[[#This Row],[CH4 '[% GP']]]-AM$15)/AM$15*100</f>
        <v>21.072712459588018</v>
      </c>
      <c r="AN418" s="18">
        <f>(Table2912[[#This Row],[CH4 '[g/g DDM']]]-AN$15)/AN$15*100</f>
        <v>-0.2109595114003345</v>
      </c>
      <c r="AO418" s="18"/>
      <c r="AP418" s="18"/>
      <c r="AQ418" t="e">
        <f t="shared" si="29"/>
        <v>#DIV/0!</v>
      </c>
      <c r="AR418">
        <f>_xlfn.NORM.DIST(Table2912[[#This Row],[GP '[ml/g']]],O$6,O$2,FALSE)</f>
        <v>7.2179149258903338E-3</v>
      </c>
      <c r="AS418">
        <f>_xlfn.NORM.DIST(Table2912[[#This Row],[SCFA '[mmol/g']]],P$6,P$2,FALSE)</f>
        <v>0.31344430882720048</v>
      </c>
      <c r="AT418">
        <f>_xlfn.NORM.DIST(Table2912[[#This Row],[Acetate '[%']]],Q$6,Q$2,FALSE)</f>
        <v>12.602334653526839</v>
      </c>
      <c r="AU418">
        <f>_xlfn.NORM.DIST(Table2912[[#This Row],[Propionate '[%']]],R$6,R$2,FALSE)</f>
        <v>16.344795073343086</v>
      </c>
      <c r="AV418">
        <f>_xlfn.NORM.DIST(Table2912[[#This Row],[Butyrate '[%']]],S$6,S$2,FALSE)</f>
        <v>22.764394521260165</v>
      </c>
      <c r="AW418">
        <f>_xlfn.NORM.DIST(Table2912[[#This Row],[Valerate '[%']]],T$6,T$2,FALSE)</f>
        <v>73.738373879779161</v>
      </c>
      <c r="AX418">
        <f>_xlfn.NORM.DIST(Table2912[[#This Row],[Caproate '[%']]],U$6,U$2,FALSE)</f>
        <v>100.85793338162632</v>
      </c>
      <c r="AY418">
        <f>_xlfn.NORM.DIST(Table2912[[#This Row],[Isobutyrate '[%']]],V$6,V$2,FALSE)</f>
        <v>86.732448156596874</v>
      </c>
      <c r="AZ418">
        <f>_xlfn.NORM.DIST(Table2912[[#This Row],[Isovalerate '[%']]],W$6,W$2,FALSE)</f>
        <v>41.720237533741077</v>
      </c>
      <c r="BA418">
        <f>_xlfn.NORM.DIST(Table2912[[#This Row],[CH4 '[g/mmol SCFA']]],X$6,X$2,FALSE)</f>
        <v>0.20963249454843422</v>
      </c>
      <c r="BB418">
        <f>_xlfn.NORM.DIST(Table2912[[#This Row],[DMD '[mg/g']]],Y$6,Y$2,FALSE)</f>
        <v>2.0966461517149789E-3</v>
      </c>
      <c r="BC418">
        <f>_xlfn.NORM.DIST(Table2912[[#This Row],[CH4 '[ml/g']]],Z$6,Z$2,FALSE)</f>
        <v>3.172040886205664E-2</v>
      </c>
      <c r="BD418">
        <f>_xlfn.NORM.DIST(Table2912[[#This Row],[CH4 '[% GP']]],AA$6,AA$2,FALSE)</f>
        <v>8.8215191607359827E-2</v>
      </c>
      <c r="BE418">
        <f>_xlfn.NORM.DIST(Table2912[[#This Row],[CH4 '[g/g DDM']]],AB$6,AB$2,FALSE)</f>
        <v>3.2294666441214592E-2</v>
      </c>
      <c r="BG418">
        <f>IF(Table2912[[#This Row],[GP '[ml/g']]]&lt;O$10,_xlfn.NORM.DIST(Table2912[[#This Row],[GP '[ml/g']]],O$6,O$2,FALSE),-100)</f>
        <v>-100</v>
      </c>
      <c r="BH418">
        <f>IF(Table2912[[#This Row],[SCFA '[mmol/g']]]&lt;P$10,_xlfn.NORM.DIST(Table2912[[#This Row],[SCFA '[mmol/g']]],P$6,P$2,FALSE),-100)</f>
        <v>-100</v>
      </c>
      <c r="BI418">
        <f>IF(Table2912[[#This Row],[Acetate '[%']]]&lt;Q$10,_xlfn.NORM.DIST(Table2912[[#This Row],[Acetate '[%']]],Q$6,Q$2,FALSE),-100)</f>
        <v>-100</v>
      </c>
      <c r="BJ418">
        <f>IF(Table2912[[#This Row],[Propionate '[%']]]&lt;R$10,_xlfn.NORM.DIST(Table2912[[#This Row],[Propionate '[%']]],R$6,R$2,FALSE),-100)</f>
        <v>-100</v>
      </c>
      <c r="BK418">
        <f>IF(Table2912[[#This Row],[Butyrate '[%']]]&lt;S$10,_xlfn.NORM.DIST(Table2912[[#This Row],[Butyrate '[%']]],S$6,S$2,FALSE),-100)</f>
        <v>-100</v>
      </c>
      <c r="BL418">
        <f>IF(Table2912[[#This Row],[Valerate '[%']]]&lt;T$10,_xlfn.NORM.DIST(Table2912[[#This Row],[Valerate '[%']]],T$6,T$2,FALSE),-100)</f>
        <v>-100</v>
      </c>
      <c r="BM418">
        <f>IF(Table2912[[#This Row],[Caproate '[%']]]&lt;U$10,_xlfn.NORM.DIST(Table2912[[#This Row],[Caproate '[%']]],U$6,U$2,FALSE),-100)</f>
        <v>-100</v>
      </c>
      <c r="BN418">
        <f>IF(Table2912[[#This Row],[Isobutyrate '[%']]]&lt;V$10,_xlfn.NORM.DIST(Table2912[[#This Row],[Isobutyrate '[%']]],V$6,V$2,FALSE),-100)</f>
        <v>-100</v>
      </c>
      <c r="BO418">
        <f>IF(Table2912[[#This Row],[Isovalerate '[%']]]&lt;W$10,_xlfn.NORM.DIST(Table2912[[#This Row],[Isovalerate '[%']]],W$6,W$2,FALSE),-100)</f>
        <v>-100</v>
      </c>
      <c r="BP418">
        <f>IF(Table2912[[#This Row],[CH4 '[g/mmol SCFA']]]&lt;X$10,_xlfn.NORM.DIST(Table2912[[#This Row],[CH4 '[g/mmol SCFA']]],X$6,X$2,FALSE),-100)</f>
        <v>-100</v>
      </c>
      <c r="BQ418">
        <f>IF(Table2912[[#This Row],[DMD '[mg/g']]]&gt;Y$10,_xlfn.NORM.DIST(Table2912[[#This Row],[DMD '[mg/g']]],Y$6,Y$2,FALSE),-100)</f>
        <v>-100</v>
      </c>
      <c r="BR418">
        <f>IF(Table2912[[#This Row],[CH4 '[ml/g']]]&lt;Z$10,_xlfn.NORM.DIST(Table2912[[#This Row],[CH4 '[ml/g']]],Z$6,Z$2,FALSE),-100)</f>
        <v>-100</v>
      </c>
      <c r="BS418">
        <f>IF(Table2912[[#This Row],[CH4 '[% GP']]]&lt;AA$10,_xlfn.NORM.DIST(Table2912[[#This Row],[CH4 '[% GP']]],AA$6,AA$2,FALSE),-100)</f>
        <v>-100</v>
      </c>
      <c r="BT418">
        <f>IF(Table2912[[#This Row],[CH4 '[g/g DDM']]]&lt;AB$10,_xlfn.NORM.DIST(Table2912[[#This Row],[CH4 '[g/g DDM']]],AB$6,AB$2,FALSE),-100)</f>
        <v>-100</v>
      </c>
    </row>
    <row r="419" spans="1:72" x14ac:dyDescent="0.25">
      <c r="A419" s="12" t="s">
        <v>200</v>
      </c>
      <c r="B419" s="13">
        <v>1190</v>
      </c>
      <c r="C419" s="113" t="s">
        <v>486</v>
      </c>
      <c r="D419" s="113" t="s">
        <v>487</v>
      </c>
      <c r="E419" s="113" t="s">
        <v>488</v>
      </c>
      <c r="F419" s="113" t="s">
        <v>489</v>
      </c>
      <c r="G419" s="129" t="s">
        <v>490</v>
      </c>
      <c r="H419" s="129" t="s">
        <v>491</v>
      </c>
      <c r="I419" s="99" t="s">
        <v>48</v>
      </c>
      <c r="J419" s="70">
        <v>1</v>
      </c>
      <c r="K419" s="70"/>
      <c r="L419" s="70"/>
      <c r="M419" t="s">
        <v>492</v>
      </c>
      <c r="N419" t="s">
        <v>363</v>
      </c>
      <c r="O419" s="18">
        <v>199.71879502292038</v>
      </c>
      <c r="P419" s="18">
        <v>5.8995433466199838</v>
      </c>
      <c r="Q419" s="97">
        <v>0.68912060373245354</v>
      </c>
      <c r="R419" s="97">
        <v>0.2216046697605985</v>
      </c>
      <c r="S419" s="97">
        <v>6.7362682728813655E-2</v>
      </c>
      <c r="T419" s="97">
        <v>8.4714801920204169E-3</v>
      </c>
      <c r="U419" s="97">
        <v>2.0971135540946025E-3</v>
      </c>
      <c r="V419" s="97">
        <v>4.8551840769983957E-3</v>
      </c>
      <c r="W419" s="97">
        <v>6.4882659550206598E-3</v>
      </c>
      <c r="X419" s="51">
        <f t="shared" si="26"/>
        <v>3.0508899355167411</v>
      </c>
      <c r="Y419" s="18">
        <v>887.68355085280336</v>
      </c>
      <c r="Z419" s="18">
        <v>17.998857420347662</v>
      </c>
      <c r="AA419" s="18">
        <f t="shared" si="27"/>
        <v>9.0120999469689647</v>
      </c>
      <c r="AB419" s="18">
        <f t="shared" si="28"/>
        <v>20.276209244900439</v>
      </c>
      <c r="AC419" s="18">
        <f>$CP$15*Table2912[[#This Row],[DMD '[mg/g']]]+$CS$15*Table2912[[#This Row],[CH4 '[ml/g']]]+$CR$15*Table2912[[#This Row],[CH4 '[% GP']]]+$CQ$15*Table2912[[#This Row],[CH4 '[g/g DDM']]]</f>
        <v>37.543448724275947</v>
      </c>
      <c r="AD419" s="18">
        <f>_xlfn.RANK.AVG(Table2912[[#This Row],[Index]],Table2912[Index])</f>
        <v>8</v>
      </c>
      <c r="AE41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5.7702722945378451</v>
      </c>
      <c r="AF419" s="18">
        <f>Table2912[[#This Row],[CH4 '[ml/g']]]/Table2912[[#This Row],[APB]]</f>
        <v>3.1192388333884047</v>
      </c>
      <c r="AG419" s="18">
        <f>Table2912[[#This Row],[Propionate '[%']]]/Table2912[[#This Row],[Acetate '[%']]]</f>
        <v>0.3215760326426621</v>
      </c>
      <c r="AH419" s="51"/>
      <c r="AI419" s="18"/>
      <c r="AJ419" s="18"/>
      <c r="AK419" s="18">
        <f>(Table2912[[#This Row],[DMD '[mg/g']]]-$AK$15)/$AK$15*100</f>
        <v>81.053079537578739</v>
      </c>
      <c r="AL419" s="18">
        <f>(Table2912[[#This Row],[CH4 '[ml/g']]]-AL$15)/AL$15*100</f>
        <v>-54.238883676137739</v>
      </c>
      <c r="AM419" s="18">
        <f>(Table2912[[#This Row],[CH4 '[% GP']]]-AM$15)/AM$15*100</f>
        <v>-41.941150994994125</v>
      </c>
      <c r="AN419" s="18">
        <f>(Table2912[[#This Row],[CH4 '[g/g DDM']]]-AN$15)/AN$15*100</f>
        <v>-60.410033520050078</v>
      </c>
      <c r="AO419" s="18"/>
      <c r="AP419" s="18"/>
      <c r="AQ419" t="e">
        <f t="shared" si="29"/>
        <v>#DIV/0!</v>
      </c>
      <c r="AR419">
        <f>_xlfn.NORM.DIST(Table2912[[#This Row],[GP '[ml/g']]],O$6,O$2,FALSE)</f>
        <v>4.329746578392051E-3</v>
      </c>
      <c r="AS419">
        <f>_xlfn.NORM.DIST(Table2912[[#This Row],[SCFA '[mmol/g']]],P$6,P$2,FALSE)</f>
        <v>0.2888247646507891</v>
      </c>
      <c r="AT419">
        <f>_xlfn.NORM.DIST(Table2912[[#This Row],[Acetate '[%']]],Q$6,Q$2,FALSE)</f>
        <v>11.975034050329798</v>
      </c>
      <c r="AU419">
        <f>_xlfn.NORM.DIST(Table2912[[#This Row],[Propionate '[%']]],R$6,R$2,FALSE)</f>
        <v>1.8770671169576951</v>
      </c>
      <c r="AV419">
        <f>_xlfn.NORM.DIST(Table2912[[#This Row],[Butyrate '[%']]],S$6,S$2,FALSE)</f>
        <v>7.754636525955747</v>
      </c>
      <c r="AW419">
        <f>_xlfn.NORM.DIST(Table2912[[#This Row],[Valerate '[%']]],T$6,T$2,FALSE)</f>
        <v>15.807013762220713</v>
      </c>
      <c r="AX419">
        <f>_xlfn.NORM.DIST(Table2912[[#This Row],[Caproate '[%']]],U$6,U$2,FALSE)</f>
        <v>300.34536924089883</v>
      </c>
      <c r="AY419">
        <f>_xlfn.NORM.DIST(Table2912[[#This Row],[Isobutyrate '[%']]],V$6,V$2,FALSE)</f>
        <v>5.5083179927640211</v>
      </c>
      <c r="AZ419">
        <f>_xlfn.NORM.DIST(Table2912[[#This Row],[Isovalerate '[%']]],W$6,W$2,FALSE)</f>
        <v>2.3278078152679282</v>
      </c>
      <c r="BA419">
        <f>_xlfn.NORM.DIST(Table2912[[#This Row],[CH4 '[g/mmol SCFA']]],X$6,X$2,FALSE)</f>
        <v>1.6325368673812974E-2</v>
      </c>
      <c r="BB419">
        <f>_xlfn.NORM.DIST(Table2912[[#This Row],[DMD '[mg/g']]],Y$6,Y$2,FALSE)</f>
        <v>2.0896597902919445E-3</v>
      </c>
      <c r="BC419">
        <f>_xlfn.NORM.DIST(Table2912[[#This Row],[CH4 '[ml/g']]],Z$6,Z$2,FALSE)</f>
        <v>4.8581183182736E-3</v>
      </c>
      <c r="BD419">
        <f>_xlfn.NORM.DIST(Table2912[[#This Row],[CH4 '[% GP']]],AA$6,AA$2,FALSE)</f>
        <v>7.8805145290756547E-3</v>
      </c>
      <c r="BE419">
        <f>_xlfn.NORM.DIST(Table2912[[#This Row],[CH4 '[g/g DDM']]],AB$6,AB$2,FALSE)</f>
        <v>8.0427120807905459E-4</v>
      </c>
      <c r="BG419">
        <f>IF(Table2912[[#This Row],[GP '[ml/g']]]&lt;O$10,_xlfn.NORM.DIST(Table2912[[#This Row],[GP '[ml/g']]],O$6,O$2,FALSE),-100)</f>
        <v>4.329746578392051E-3</v>
      </c>
      <c r="BH419">
        <f>IF(Table2912[[#This Row],[SCFA '[mmol/g']]]&lt;P$10,_xlfn.NORM.DIST(Table2912[[#This Row],[SCFA '[mmol/g']]],P$6,P$2,FALSE),-100)</f>
        <v>-100</v>
      </c>
      <c r="BI419">
        <f>IF(Table2912[[#This Row],[Acetate '[%']]]&lt;Q$10,_xlfn.NORM.DIST(Table2912[[#This Row],[Acetate '[%']]],Q$6,Q$2,FALSE),-100)</f>
        <v>-100</v>
      </c>
      <c r="BJ419">
        <f>IF(Table2912[[#This Row],[Propionate '[%']]]&lt;R$10,_xlfn.NORM.DIST(Table2912[[#This Row],[Propionate '[%']]],R$6,R$2,FALSE),-100)</f>
        <v>-100</v>
      </c>
      <c r="BK419">
        <f>IF(Table2912[[#This Row],[Butyrate '[%']]]&lt;S$10,_xlfn.NORM.DIST(Table2912[[#This Row],[Butyrate '[%']]],S$6,S$2,FALSE),-100)</f>
        <v>7.754636525955747</v>
      </c>
      <c r="BL419">
        <f>IF(Table2912[[#This Row],[Valerate '[%']]]&lt;T$10,_xlfn.NORM.DIST(Table2912[[#This Row],[Valerate '[%']]],T$6,T$2,FALSE),-100)</f>
        <v>15.807013762220713</v>
      </c>
      <c r="BM419">
        <f>IF(Table2912[[#This Row],[Caproate '[%']]]&lt;U$10,_xlfn.NORM.DIST(Table2912[[#This Row],[Caproate '[%']]],U$6,U$2,FALSE),-100)</f>
        <v>-100</v>
      </c>
      <c r="BN419">
        <f>IF(Table2912[[#This Row],[Isobutyrate '[%']]]&lt;V$10,_xlfn.NORM.DIST(Table2912[[#This Row],[Isobutyrate '[%']]],V$6,V$2,FALSE),-100)</f>
        <v>5.5083179927640211</v>
      </c>
      <c r="BO419">
        <f>IF(Table2912[[#This Row],[Isovalerate '[%']]]&lt;W$10,_xlfn.NORM.DIST(Table2912[[#This Row],[Isovalerate '[%']]],W$6,W$2,FALSE),-100)</f>
        <v>2.3278078152679282</v>
      </c>
      <c r="BP419">
        <f>IF(Table2912[[#This Row],[CH4 '[g/mmol SCFA']]]&lt;X$10,_xlfn.NORM.DIST(Table2912[[#This Row],[CH4 '[g/mmol SCFA']]],X$6,X$2,FALSE),-100)</f>
        <v>1.6325368673812974E-2</v>
      </c>
      <c r="BQ419">
        <f>IF(Table2912[[#This Row],[DMD '[mg/g']]]&gt;Y$10,_xlfn.NORM.DIST(Table2912[[#This Row],[DMD '[mg/g']]],Y$6,Y$2,FALSE),-100)</f>
        <v>-100</v>
      </c>
      <c r="BR419">
        <f>IF(Table2912[[#This Row],[CH4 '[ml/g']]]&lt;Z$10,_xlfn.NORM.DIST(Table2912[[#This Row],[CH4 '[ml/g']]],Z$6,Z$2,FALSE),-100)</f>
        <v>4.8581183182736E-3</v>
      </c>
      <c r="BS419">
        <f>IF(Table2912[[#This Row],[CH4 '[% GP']]]&lt;AA$10,_xlfn.NORM.DIST(Table2912[[#This Row],[CH4 '[% GP']]],AA$6,AA$2,FALSE),-100)</f>
        <v>7.8805145290756547E-3</v>
      </c>
      <c r="BT419">
        <f>IF(Table2912[[#This Row],[CH4 '[g/g DDM']]]&lt;AB$10,_xlfn.NORM.DIST(Table2912[[#This Row],[CH4 '[g/g DDM']]],AB$6,AB$2,FALSE),-100)</f>
        <v>8.0427120807905459E-4</v>
      </c>
    </row>
    <row r="420" spans="1:72" x14ac:dyDescent="0.25">
      <c r="A420" s="12" t="s">
        <v>200</v>
      </c>
      <c r="B420" s="13">
        <v>1151</v>
      </c>
      <c r="C420" s="117" t="s">
        <v>407</v>
      </c>
      <c r="D420" s="117" t="s">
        <v>408</v>
      </c>
      <c r="E420" s="117" t="s">
        <v>213</v>
      </c>
      <c r="F420" s="117" t="s">
        <v>214</v>
      </c>
      <c r="G420" t="s">
        <v>73</v>
      </c>
      <c r="H420" t="s">
        <v>74</v>
      </c>
      <c r="I420" t="s">
        <v>75</v>
      </c>
      <c r="J420" s="70">
        <v>2</v>
      </c>
      <c r="K420" s="70"/>
      <c r="L420" s="70"/>
      <c r="M420" t="s">
        <v>409</v>
      </c>
      <c r="N420" t="s">
        <v>237</v>
      </c>
      <c r="O420" s="18">
        <v>270.2111772486769</v>
      </c>
      <c r="P420" s="18">
        <v>6.401520331275135</v>
      </c>
      <c r="Q420" s="97">
        <v>0.69514666973290185</v>
      </c>
      <c r="R420" s="97">
        <v>0.16537317968286452</v>
      </c>
      <c r="S420" s="97">
        <v>8.5118165927888234E-2</v>
      </c>
      <c r="T420" s="97">
        <v>1.3573907260054476E-2</v>
      </c>
      <c r="U420" s="97">
        <v>1.6980212978553292E-3</v>
      </c>
      <c r="V420" s="97">
        <v>1.3495730891516781E-2</v>
      </c>
      <c r="W420" s="97">
        <v>2.5594325206918879E-2</v>
      </c>
      <c r="X420" s="51">
        <f t="shared" si="26"/>
        <v>7.7597557613568497</v>
      </c>
      <c r="Y420" s="18">
        <v>888.42474254999092</v>
      </c>
      <c r="Z420" s="18">
        <v>49.674234272055237</v>
      </c>
      <c r="AA420" s="18">
        <f t="shared" si="27"/>
        <v>18.383486122907399</v>
      </c>
      <c r="AB420" s="18">
        <f t="shared" si="28"/>
        <v>55.912709195241831</v>
      </c>
      <c r="AC420" s="18">
        <f>$CP$15*Table2912[[#This Row],[DMD '[mg/g']]]+$CS$15*Table2912[[#This Row],[CH4 '[ml/g']]]+$CR$15*Table2912[[#This Row],[CH4 '[% GP']]]+$CQ$15*Table2912[[#This Row],[CH4 '[g/g DDM']]]</f>
        <v>21.99384280532896</v>
      </c>
      <c r="AD420" s="18">
        <f>_xlfn.RANK.AVG(Table2912[[#This Row],[Index]],Table2912[Index])</f>
        <v>134</v>
      </c>
      <c r="AE42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6.0535209812490738</v>
      </c>
      <c r="AF420" s="18">
        <f>Table2912[[#This Row],[CH4 '[ml/g']]]/Table2912[[#This Row],[APB]]</f>
        <v>8.2058415963077298</v>
      </c>
      <c r="AG420" s="18">
        <f>Table2912[[#This Row],[Propionate '[%']]]/Table2912[[#This Row],[Acetate '[%']]]</f>
        <v>0.23789681643214419</v>
      </c>
      <c r="AH420" s="51"/>
      <c r="AI420" s="18"/>
      <c r="AJ420" s="18"/>
      <c r="AK420" s="18">
        <f>(Table2912[[#This Row],[DMD '[mg/g']]]-$AK$15)/$AK$15*100</f>
        <v>81.204253950098362</v>
      </c>
      <c r="AL420" s="18">
        <f>(Table2912[[#This Row],[CH4 '[ml/g']]]-AL$15)/AL$15*100</f>
        <v>26.294039656790481</v>
      </c>
      <c r="AM420" s="18">
        <f>(Table2912[[#This Row],[CH4 '[% GP']]]-AM$15)/AM$15*100</f>
        <v>18.432335557316382</v>
      </c>
      <c r="AN420" s="18">
        <f>(Table2912[[#This Row],[CH4 '[g/g DDM']]]-AN$15)/AN$15*100</f>
        <v>9.1714065536948386</v>
      </c>
      <c r="AO420" s="18"/>
      <c r="AP420" s="18"/>
      <c r="AQ420" t="e">
        <f t="shared" si="29"/>
        <v>#DIV/0!</v>
      </c>
      <c r="AR420">
        <f>_xlfn.NORM.DIST(Table2912[[#This Row],[GP '[ml/g']]],O$6,O$2,FALSE)</f>
        <v>7.2002981929530623E-3</v>
      </c>
      <c r="AS420">
        <f>_xlfn.NORM.DIST(Table2912[[#This Row],[SCFA '[mmol/g']]],P$6,P$2,FALSE)</f>
        <v>0.33061124717703816</v>
      </c>
      <c r="AT420">
        <f>_xlfn.NORM.DIST(Table2912[[#This Row],[Acetate '[%']]],Q$6,Q$2,FALSE)</f>
        <v>10.393862880247035</v>
      </c>
      <c r="AU420">
        <f>_xlfn.NORM.DIST(Table2912[[#This Row],[Propionate '[%']]],R$6,R$2,FALSE)</f>
        <v>16.175387964688181</v>
      </c>
      <c r="AV420">
        <f>_xlfn.NORM.DIST(Table2912[[#This Row],[Butyrate '[%']]],S$6,S$2,FALSE)</f>
        <v>20.807852387129305</v>
      </c>
      <c r="AW420">
        <f>_xlfn.NORM.DIST(Table2912[[#This Row],[Valerate '[%']]],T$6,T$2,FALSE)</f>
        <v>56.536145362904378</v>
      </c>
      <c r="AX420">
        <f>_xlfn.NORM.DIST(Table2912[[#This Row],[Caproate '[%']]],U$6,U$2,FALSE)</f>
        <v>379.67538346049378</v>
      </c>
      <c r="AY420">
        <f>_xlfn.NORM.DIST(Table2912[[#This Row],[Isobutyrate '[%']]],V$6,V$2,FALSE)</f>
        <v>82.831018965809037</v>
      </c>
      <c r="AZ420">
        <f>_xlfn.NORM.DIST(Table2912[[#This Row],[Isovalerate '[%']]],W$6,W$2,FALSE)</f>
        <v>43.897074643344212</v>
      </c>
      <c r="BA420">
        <f>_xlfn.NORM.DIST(Table2912[[#This Row],[CH4 '[g/mmol SCFA']]],X$6,X$2,FALSE)</f>
        <v>0.16220982533066952</v>
      </c>
      <c r="BB420">
        <f>_xlfn.NORM.DIST(Table2912[[#This Row],[DMD '[mg/g']]],Y$6,Y$2,FALSE)</f>
        <v>2.080407384212959E-3</v>
      </c>
      <c r="BC420">
        <f>_xlfn.NORM.DIST(Table2912[[#This Row],[CH4 '[ml/g']]],Z$6,Z$2,FALSE)</f>
        <v>2.6315296885904772E-2</v>
      </c>
      <c r="BD420">
        <f>_xlfn.NORM.DIST(Table2912[[#This Row],[CH4 '[% GP']]],AA$6,AA$2,FALSE)</f>
        <v>9.9241790977586508E-2</v>
      </c>
      <c r="BE420">
        <f>_xlfn.NORM.DIST(Table2912[[#This Row],[CH4 '[g/g DDM']]],AB$6,AB$2,FALSE)</f>
        <v>3.2131005496587893E-2</v>
      </c>
      <c r="BG420">
        <f>IF(Table2912[[#This Row],[GP '[ml/g']]]&lt;O$10,_xlfn.NORM.DIST(Table2912[[#This Row],[GP '[ml/g']]],O$6,O$2,FALSE),-100)</f>
        <v>-100</v>
      </c>
      <c r="BH420">
        <f>IF(Table2912[[#This Row],[SCFA '[mmol/g']]]&lt;P$10,_xlfn.NORM.DIST(Table2912[[#This Row],[SCFA '[mmol/g']]],P$6,P$2,FALSE),-100)</f>
        <v>-100</v>
      </c>
      <c r="BI420">
        <f>IF(Table2912[[#This Row],[Acetate '[%']]]&lt;Q$10,_xlfn.NORM.DIST(Table2912[[#This Row],[Acetate '[%']]],Q$6,Q$2,FALSE),-100)</f>
        <v>-100</v>
      </c>
      <c r="BJ420">
        <f>IF(Table2912[[#This Row],[Propionate '[%']]]&lt;R$10,_xlfn.NORM.DIST(Table2912[[#This Row],[Propionate '[%']]],R$6,R$2,FALSE),-100)</f>
        <v>-100</v>
      </c>
      <c r="BK420">
        <f>IF(Table2912[[#This Row],[Butyrate '[%']]]&lt;S$10,_xlfn.NORM.DIST(Table2912[[#This Row],[Butyrate '[%']]],S$6,S$2,FALSE),-100)</f>
        <v>-100</v>
      </c>
      <c r="BL420">
        <f>IF(Table2912[[#This Row],[Valerate '[%']]]&lt;T$10,_xlfn.NORM.DIST(Table2912[[#This Row],[Valerate '[%']]],T$6,T$2,FALSE),-100)</f>
        <v>-100</v>
      </c>
      <c r="BM420">
        <f>IF(Table2912[[#This Row],[Caproate '[%']]]&lt;U$10,_xlfn.NORM.DIST(Table2912[[#This Row],[Caproate '[%']]],U$6,U$2,FALSE),-100)</f>
        <v>-100</v>
      </c>
      <c r="BN420">
        <f>IF(Table2912[[#This Row],[Isobutyrate '[%']]]&lt;V$10,_xlfn.NORM.DIST(Table2912[[#This Row],[Isobutyrate '[%']]],V$6,V$2,FALSE),-100)</f>
        <v>-100</v>
      </c>
      <c r="BO420">
        <f>IF(Table2912[[#This Row],[Isovalerate '[%']]]&lt;W$10,_xlfn.NORM.DIST(Table2912[[#This Row],[Isovalerate '[%']]],W$6,W$2,FALSE),-100)</f>
        <v>-100</v>
      </c>
      <c r="BP420">
        <f>IF(Table2912[[#This Row],[CH4 '[g/mmol SCFA']]]&lt;X$10,_xlfn.NORM.DIST(Table2912[[#This Row],[CH4 '[g/mmol SCFA']]],X$6,X$2,FALSE),-100)</f>
        <v>-100</v>
      </c>
      <c r="BQ420">
        <f>IF(Table2912[[#This Row],[DMD '[mg/g']]]&gt;Y$10,_xlfn.NORM.DIST(Table2912[[#This Row],[DMD '[mg/g']]],Y$6,Y$2,FALSE),-100)</f>
        <v>-100</v>
      </c>
      <c r="BR420">
        <f>IF(Table2912[[#This Row],[CH4 '[ml/g']]]&lt;Z$10,_xlfn.NORM.DIST(Table2912[[#This Row],[CH4 '[ml/g']]],Z$6,Z$2,FALSE),-100)</f>
        <v>-100</v>
      </c>
      <c r="BS420">
        <f>IF(Table2912[[#This Row],[CH4 '[% GP']]]&lt;AA$10,_xlfn.NORM.DIST(Table2912[[#This Row],[CH4 '[% GP']]],AA$6,AA$2,FALSE),-100)</f>
        <v>-100</v>
      </c>
      <c r="BT420">
        <f>IF(Table2912[[#This Row],[CH4 '[g/g DDM']]]&lt;AB$10,_xlfn.NORM.DIST(Table2912[[#This Row],[CH4 '[g/g DDM']]],AB$6,AB$2,FALSE),-100)</f>
        <v>-100</v>
      </c>
    </row>
    <row r="421" spans="1:72" x14ac:dyDescent="0.25">
      <c r="A421" s="12" t="s">
        <v>200</v>
      </c>
      <c r="B421" s="13">
        <v>1215</v>
      </c>
      <c r="C421" s="113" t="s">
        <v>429</v>
      </c>
      <c r="D421" s="113" t="s">
        <v>391</v>
      </c>
      <c r="E421" s="113" t="s">
        <v>392</v>
      </c>
      <c r="F421" s="113" t="s">
        <v>393</v>
      </c>
      <c r="G421" s="32" t="s">
        <v>73</v>
      </c>
      <c r="H421" s="32" t="s">
        <v>74</v>
      </c>
      <c r="I421" s="104" t="s">
        <v>106</v>
      </c>
      <c r="J421" s="70">
        <v>3</v>
      </c>
      <c r="K421" s="70"/>
      <c r="L421" s="70"/>
      <c r="M421" t="s">
        <v>430</v>
      </c>
      <c r="N421" t="s">
        <v>237</v>
      </c>
      <c r="O421" s="18">
        <v>374.10627347028969</v>
      </c>
      <c r="P421" s="18">
        <v>9.4255025403136745</v>
      </c>
      <c r="Q421" s="97">
        <v>0.67584273799331096</v>
      </c>
      <c r="R421" s="97">
        <v>0.17767800739579975</v>
      </c>
      <c r="S421" s="97">
        <v>9.7927895814427179E-2</v>
      </c>
      <c r="T421" s="97">
        <v>1.2350163375485172E-2</v>
      </c>
      <c r="U421" s="97">
        <v>2.0940159491428098E-3</v>
      </c>
      <c r="V421" s="97">
        <v>1.2511928685678263E-2</v>
      </c>
      <c r="W421" s="97">
        <v>2.1595250786155765E-2</v>
      </c>
      <c r="X421" s="51">
        <f t="shared" si="26"/>
        <v>6.8157450714921781</v>
      </c>
      <c r="Y421" s="18">
        <v>888.66799204771348</v>
      </c>
      <c r="Z421" s="18">
        <v>64.241822485479929</v>
      </c>
      <c r="AA421" s="18">
        <f t="shared" si="27"/>
        <v>17.172078374831585</v>
      </c>
      <c r="AB421" s="18">
        <f t="shared" si="28"/>
        <v>72.290015011625087</v>
      </c>
      <c r="AC421" s="18">
        <f>$CP$15*Table2912[[#This Row],[DMD '[mg/g']]]+$CS$15*Table2912[[#This Row],[CH4 '[ml/g']]]+$CR$15*Table2912[[#This Row],[CH4 '[% GP']]]+$CQ$15*Table2912[[#This Row],[CH4 '[g/g DDM']]]</f>
        <v>16.50729534110782</v>
      </c>
      <c r="AD421" s="18">
        <f>_xlfn.RANK.AVG(Table2912[[#This Row],[Index]],Table2912[Index])</f>
        <v>242</v>
      </c>
      <c r="AE42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8.9678815846419404</v>
      </c>
      <c r="AF421" s="18">
        <f>Table2912[[#This Row],[CH4 '[ml/g']]]/Table2912[[#This Row],[APB]]</f>
        <v>7.1635449107064568</v>
      </c>
      <c r="AG421" s="18">
        <f>Table2912[[#This Row],[Propionate '[%']]]/Table2912[[#This Row],[Acetate '[%']]]</f>
        <v>0.26289844871804818</v>
      </c>
      <c r="AH421" s="51"/>
      <c r="AI421" s="18"/>
      <c r="AJ421" s="18"/>
      <c r="AK421" s="18">
        <f>(Table2912[[#This Row],[DMD '[mg/g']]]-$AK$15)/$AK$15*100</f>
        <v>81.253867430731546</v>
      </c>
      <c r="AL421" s="18">
        <f>(Table2912[[#This Row],[CH4 '[ml/g']]]-AL$15)/AL$15*100</f>
        <v>63.331340593406026</v>
      </c>
      <c r="AM421" s="18">
        <f>(Table2912[[#This Row],[CH4 '[% GP']]]-AM$15)/AM$15*100</f>
        <v>10.628056871671873</v>
      </c>
      <c r="AN421" s="18">
        <f>(Table2912[[#This Row],[CH4 '[g/g DDM']]]-AN$15)/AN$15*100</f>
        <v>41.148635653634798</v>
      </c>
      <c r="AO421" s="18"/>
      <c r="AP421" s="18"/>
      <c r="AQ421" t="e">
        <f t="shared" si="29"/>
        <v>#DIV/0!</v>
      </c>
      <c r="AR421">
        <f>_xlfn.NORM.DIST(Table2912[[#This Row],[GP '[ml/g']]],O$6,O$2,FALSE)</f>
        <v>6.3077517393194109E-4</v>
      </c>
      <c r="AS421">
        <f>_xlfn.NORM.DIST(Table2912[[#This Row],[SCFA '[mmol/g']]],P$6,P$2,FALSE)</f>
        <v>1.8287324774088922E-2</v>
      </c>
      <c r="AT421">
        <f>_xlfn.NORM.DIST(Table2912[[#This Row],[Acetate '[%']]],Q$6,Q$2,FALSE)</f>
        <v>13.963003453753061</v>
      </c>
      <c r="AU421">
        <f>_xlfn.NORM.DIST(Table2912[[#This Row],[Propionate '[%']]],R$6,R$2,FALSE)</f>
        <v>16.296385204114589</v>
      </c>
      <c r="AV421">
        <f>_xlfn.NORM.DIST(Table2912[[#This Row],[Butyrate '[%']]],S$6,S$2,FALSE)</f>
        <v>22.0881756400623</v>
      </c>
      <c r="AW421">
        <f>_xlfn.NORM.DIST(Table2912[[#This Row],[Valerate '[%']]],T$6,T$2,FALSE)</f>
        <v>45.538050161687522</v>
      </c>
      <c r="AX421">
        <f>_xlfn.NORM.DIST(Table2912[[#This Row],[Caproate '[%']]],U$6,U$2,FALSE)</f>
        <v>301.08430697838003</v>
      </c>
      <c r="AY421">
        <f>_xlfn.NORM.DIST(Table2912[[#This Row],[Isobutyrate '[%']]],V$6,V$2,FALSE)</f>
        <v>73.739830641806407</v>
      </c>
      <c r="AZ421">
        <f>_xlfn.NORM.DIST(Table2912[[#This Row],[Isovalerate '[%']]],W$6,W$2,FALSE)</f>
        <v>35.122378028477101</v>
      </c>
      <c r="BA421">
        <f>_xlfn.NORM.DIST(Table2912[[#This Row],[CH4 '[g/mmol SCFA']]],X$6,X$2,FALSE)</f>
        <v>0.27483149219670044</v>
      </c>
      <c r="BB421">
        <f>_xlfn.NORM.DIST(Table2912[[#This Row],[DMD '[mg/g']]],Y$6,Y$2,FALSE)</f>
        <v>2.0773665129187723E-3</v>
      </c>
      <c r="BC421">
        <f>_xlfn.NORM.DIST(Table2912[[#This Row],[CH4 '[ml/g']]],Z$6,Z$2,FALSE)</f>
        <v>5.3188157667040407E-3</v>
      </c>
      <c r="BD421">
        <f>_xlfn.NORM.DIST(Table2912[[#This Row],[CH4 '[% GP']]],AA$6,AA$2,FALSE)</f>
        <v>0.12567610701321638</v>
      </c>
      <c r="BE421">
        <f>_xlfn.NORM.DIST(Table2912[[#This Row],[CH4 '[g/g DDM']]],AB$6,AB$2,FALSE)</f>
        <v>9.7402005624946039E-3</v>
      </c>
      <c r="BG421">
        <f>IF(Table2912[[#This Row],[GP '[ml/g']]]&lt;O$10,_xlfn.NORM.DIST(Table2912[[#This Row],[GP '[ml/g']]],O$6,O$2,FALSE),-100)</f>
        <v>-100</v>
      </c>
      <c r="BH421">
        <f>IF(Table2912[[#This Row],[SCFA '[mmol/g']]]&lt;P$10,_xlfn.NORM.DIST(Table2912[[#This Row],[SCFA '[mmol/g']]],P$6,P$2,FALSE),-100)</f>
        <v>-100</v>
      </c>
      <c r="BI421">
        <f>IF(Table2912[[#This Row],[Acetate '[%']]]&lt;Q$10,_xlfn.NORM.DIST(Table2912[[#This Row],[Acetate '[%']]],Q$6,Q$2,FALSE),-100)</f>
        <v>-100</v>
      </c>
      <c r="BJ421">
        <f>IF(Table2912[[#This Row],[Propionate '[%']]]&lt;R$10,_xlfn.NORM.DIST(Table2912[[#This Row],[Propionate '[%']]],R$6,R$2,FALSE),-100)</f>
        <v>-100</v>
      </c>
      <c r="BK421">
        <f>IF(Table2912[[#This Row],[Butyrate '[%']]]&lt;S$10,_xlfn.NORM.DIST(Table2912[[#This Row],[Butyrate '[%']]],S$6,S$2,FALSE),-100)</f>
        <v>-100</v>
      </c>
      <c r="BL421">
        <f>IF(Table2912[[#This Row],[Valerate '[%']]]&lt;T$10,_xlfn.NORM.DIST(Table2912[[#This Row],[Valerate '[%']]],T$6,T$2,FALSE),-100)</f>
        <v>45.538050161687522</v>
      </c>
      <c r="BM421">
        <f>IF(Table2912[[#This Row],[Caproate '[%']]]&lt;U$10,_xlfn.NORM.DIST(Table2912[[#This Row],[Caproate '[%']]],U$6,U$2,FALSE),-100)</f>
        <v>-100</v>
      </c>
      <c r="BN421">
        <f>IF(Table2912[[#This Row],[Isobutyrate '[%']]]&lt;V$10,_xlfn.NORM.DIST(Table2912[[#This Row],[Isobutyrate '[%']]],V$6,V$2,FALSE),-100)</f>
        <v>-100</v>
      </c>
      <c r="BO421">
        <f>IF(Table2912[[#This Row],[Isovalerate '[%']]]&lt;W$10,_xlfn.NORM.DIST(Table2912[[#This Row],[Isovalerate '[%']]],W$6,W$2,FALSE),-100)</f>
        <v>-100</v>
      </c>
      <c r="BP421">
        <f>IF(Table2912[[#This Row],[CH4 '[g/mmol SCFA']]]&lt;X$10,_xlfn.NORM.DIST(Table2912[[#This Row],[CH4 '[g/mmol SCFA']]],X$6,X$2,FALSE),-100)</f>
        <v>-100</v>
      </c>
      <c r="BQ421">
        <f>IF(Table2912[[#This Row],[DMD '[mg/g']]]&gt;Y$10,_xlfn.NORM.DIST(Table2912[[#This Row],[DMD '[mg/g']]],Y$6,Y$2,FALSE),-100)</f>
        <v>-100</v>
      </c>
      <c r="BR421">
        <f>IF(Table2912[[#This Row],[CH4 '[ml/g']]]&lt;Z$10,_xlfn.NORM.DIST(Table2912[[#This Row],[CH4 '[ml/g']]],Z$6,Z$2,FALSE),-100)</f>
        <v>-100</v>
      </c>
      <c r="BS421">
        <f>IF(Table2912[[#This Row],[CH4 '[% GP']]]&lt;AA$10,_xlfn.NORM.DIST(Table2912[[#This Row],[CH4 '[% GP']]],AA$6,AA$2,FALSE),-100)</f>
        <v>-100</v>
      </c>
      <c r="BT421">
        <f>IF(Table2912[[#This Row],[CH4 '[g/g DDM']]]&lt;AB$10,_xlfn.NORM.DIST(Table2912[[#This Row],[CH4 '[g/g DDM']]],AB$6,AB$2,FALSE),-100)</f>
        <v>-100</v>
      </c>
    </row>
    <row r="422" spans="1:72" x14ac:dyDescent="0.25">
      <c r="A422" s="12" t="s">
        <v>86</v>
      </c>
      <c r="B422" s="13">
        <v>1079</v>
      </c>
      <c r="C422" s="104" t="s">
        <v>516</v>
      </c>
      <c r="D422" s="104" t="s">
        <v>494</v>
      </c>
      <c r="E422" s="104" t="s">
        <v>517</v>
      </c>
      <c r="F422" s="104" t="s">
        <v>518</v>
      </c>
      <c r="G422" s="32" t="s">
        <v>73</v>
      </c>
      <c r="H422" s="32" t="s">
        <v>74</v>
      </c>
      <c r="I422" s="104" t="s">
        <v>75</v>
      </c>
      <c r="J422" s="107">
        <v>3</v>
      </c>
      <c r="K422" s="107"/>
      <c r="L422" s="107"/>
      <c r="M422" t="s">
        <v>518</v>
      </c>
      <c r="N422" t="s">
        <v>99</v>
      </c>
      <c r="O422" s="18">
        <v>293.05415296953771</v>
      </c>
      <c r="P422" s="18">
        <v>6.5512820512820511</v>
      </c>
      <c r="Q422" s="97">
        <v>0.66565753149660001</v>
      </c>
      <c r="R422" s="97">
        <v>0.16167151263648427</v>
      </c>
      <c r="S422" s="97">
        <v>0.1144073169740073</v>
      </c>
      <c r="T422" s="97">
        <v>1.8554093870295496E-2</v>
      </c>
      <c r="U422" s="97">
        <v>1.1106574151174204E-3</v>
      </c>
      <c r="V422" s="97">
        <v>1.4443364407078933E-2</v>
      </c>
      <c r="W422" s="97">
        <v>2.4155523200416536E-2</v>
      </c>
      <c r="X422" s="51">
        <f t="shared" si="26"/>
        <v>9.8206279817054103</v>
      </c>
      <c r="Y422" s="18">
        <v>888.66973482358117</v>
      </c>
      <c r="Z422" s="18">
        <v>64.337703828864932</v>
      </c>
      <c r="AA422" s="18">
        <f t="shared" si="27"/>
        <v>21.954203063470214</v>
      </c>
      <c r="AB422" s="18">
        <f t="shared" si="28"/>
        <v>72.397766355391028</v>
      </c>
      <c r="AC422" s="18">
        <f>$CP$15*Table2912[[#This Row],[DMD '[mg/g']]]+$CS$15*Table2912[[#This Row],[CH4 '[ml/g']]]+$CR$15*Table2912[[#This Row],[CH4 '[% GP']]]+$CQ$15*Table2912[[#This Row],[CH4 '[g/g DDM']]]</f>
        <v>15.031611445298488</v>
      </c>
      <c r="AD422" s="18">
        <f>_xlfn.RANK.AVG(Table2912[[#This Row],[Index]],Table2912[Index])</f>
        <v>268</v>
      </c>
      <c r="AE42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6.1695805195605606</v>
      </c>
      <c r="AF422" s="18">
        <f>Table2912[[#This Row],[CH4 '[ml/g']]]/Table2912[[#This Row],[APB]]</f>
        <v>10.428213656484946</v>
      </c>
      <c r="AG422" s="18">
        <f>Table2912[[#This Row],[Propionate '[%']]]/Table2912[[#This Row],[Acetate '[%']]]</f>
        <v>0.24287490937419079</v>
      </c>
      <c r="AH422" s="51"/>
      <c r="AI422" s="18"/>
      <c r="AJ422" s="18"/>
      <c r="AK422" s="18">
        <f>(Table2912[[#This Row],[DMD '[mg/g']]]-$AK$15)/$AK$15*100</f>
        <v>81.254222889540586</v>
      </c>
      <c r="AL422" s="18">
        <f>(Table2912[[#This Row],[CH4 '[ml/g']]]-AL$15)/AL$15*100</f>
        <v>63.575113695523555</v>
      </c>
      <c r="AM422" s="18">
        <f>(Table2912[[#This Row],[CH4 '[% GP']]]-AM$15)/AM$15*100</f>
        <v>41.436043562294515</v>
      </c>
      <c r="AN422" s="18">
        <f>(Table2912[[#This Row],[CH4 '[g/g DDM']]]-AN$15)/AN$15*100</f>
        <v>41.359023701831532</v>
      </c>
      <c r="AO422" s="18"/>
      <c r="AP422" s="18"/>
      <c r="AQ422" t="e">
        <f t="shared" si="29"/>
        <v>#DIV/0!</v>
      </c>
      <c r="AR422">
        <f>_xlfn.NORM.DIST(Table2912[[#This Row],[GP '[ml/g']]],O$6,O$2,FALSE)</f>
        <v>5.8368583414553895E-3</v>
      </c>
      <c r="AS422">
        <f>_xlfn.NORM.DIST(Table2912[[#This Row],[SCFA '[mmol/g']]],P$6,P$2,FALSE)</f>
        <v>0.33272157233772687</v>
      </c>
      <c r="AT422">
        <f>_xlfn.NORM.DIST(Table2912[[#This Row],[Acetate '[%']]],Q$6,Q$2,FALSE)</f>
        <v>13.551659580688119</v>
      </c>
      <c r="AU422">
        <f>_xlfn.NORM.DIST(Table2912[[#This Row],[Propionate '[%']]],R$6,R$2,FALSE)</f>
        <v>15.314009242391066</v>
      </c>
      <c r="AV422">
        <f>_xlfn.NORM.DIST(Table2912[[#This Row],[Butyrate '[%']]],S$6,S$2,FALSE)</f>
        <v>10.671913851276921</v>
      </c>
      <c r="AW422">
        <f>_xlfn.NORM.DIST(Table2912[[#This Row],[Valerate '[%']]],T$6,T$2,FALSE)</f>
        <v>76.237233095333934</v>
      </c>
      <c r="AX422">
        <f>_xlfn.NORM.DIST(Table2912[[#This Row],[Caproate '[%']]],U$6,U$2,FALSE)</f>
        <v>396.57784182697651</v>
      </c>
      <c r="AY422">
        <f>_xlfn.NORM.DIST(Table2912[[#This Row],[Isobutyrate '[%']]],V$6,V$2,FALSE)</f>
        <v>88.415614984234651</v>
      </c>
      <c r="AZ422">
        <f>_xlfn.NORM.DIST(Table2912[[#This Row],[Isovalerate '[%']]],W$6,W$2,FALSE)</f>
        <v>41.491862990284048</v>
      </c>
      <c r="BA422">
        <f>_xlfn.NORM.DIST(Table2912[[#This Row],[CH4 '[g/mmol SCFA']]],X$6,X$2,FALSE)</f>
        <v>9.1798267845680237E-3</v>
      </c>
      <c r="BB422">
        <f>_xlfn.NORM.DIST(Table2912[[#This Row],[DMD '[mg/g']]],Y$6,Y$2,FALSE)</f>
        <v>2.0773447187607454E-3</v>
      </c>
      <c r="BC422">
        <f>_xlfn.NORM.DIST(Table2912[[#This Row],[CH4 '[ml/g']]],Z$6,Z$2,FALSE)</f>
        <v>5.2371021039578323E-3</v>
      </c>
      <c r="BD422">
        <f>_xlfn.NORM.DIST(Table2912[[#This Row],[CH4 '[% GP']]],AA$6,AA$2,FALSE)</f>
        <v>1.8688645293205516E-2</v>
      </c>
      <c r="BE422">
        <f>_xlfn.NORM.DIST(Table2912[[#This Row],[CH4 '[g/g DDM']]],AB$6,AB$2,FALSE)</f>
        <v>9.6059838933024062E-3</v>
      </c>
      <c r="BG422">
        <f>IF(Table2912[[#This Row],[GP '[ml/g']]]&lt;O$10,_xlfn.NORM.DIST(Table2912[[#This Row],[GP '[ml/g']]],O$6,O$2,FALSE),-100)</f>
        <v>-100</v>
      </c>
      <c r="BH422">
        <f>IF(Table2912[[#This Row],[SCFA '[mmol/g']]]&lt;P$10,_xlfn.NORM.DIST(Table2912[[#This Row],[SCFA '[mmol/g']]],P$6,P$2,FALSE),-100)</f>
        <v>-100</v>
      </c>
      <c r="BI422">
        <f>IF(Table2912[[#This Row],[Acetate '[%']]]&lt;Q$10,_xlfn.NORM.DIST(Table2912[[#This Row],[Acetate '[%']]],Q$6,Q$2,FALSE),-100)</f>
        <v>-100</v>
      </c>
      <c r="BJ422">
        <f>IF(Table2912[[#This Row],[Propionate '[%']]]&lt;R$10,_xlfn.NORM.DIST(Table2912[[#This Row],[Propionate '[%']]],R$6,R$2,FALSE),-100)</f>
        <v>-100</v>
      </c>
      <c r="BK422">
        <f>IF(Table2912[[#This Row],[Butyrate '[%']]]&lt;S$10,_xlfn.NORM.DIST(Table2912[[#This Row],[Butyrate '[%']]],S$6,S$2,FALSE),-100)</f>
        <v>-100</v>
      </c>
      <c r="BL422">
        <f>IF(Table2912[[#This Row],[Valerate '[%']]]&lt;T$10,_xlfn.NORM.DIST(Table2912[[#This Row],[Valerate '[%']]],T$6,T$2,FALSE),-100)</f>
        <v>-100</v>
      </c>
      <c r="BM422">
        <f>IF(Table2912[[#This Row],[Caproate '[%']]]&lt;U$10,_xlfn.NORM.DIST(Table2912[[#This Row],[Caproate '[%']]],U$6,U$2,FALSE),-100)</f>
        <v>-100</v>
      </c>
      <c r="BN422">
        <f>IF(Table2912[[#This Row],[Isobutyrate '[%']]]&lt;V$10,_xlfn.NORM.DIST(Table2912[[#This Row],[Isobutyrate '[%']]],V$6,V$2,FALSE),-100)</f>
        <v>-100</v>
      </c>
      <c r="BO422">
        <f>IF(Table2912[[#This Row],[Isovalerate '[%']]]&lt;W$10,_xlfn.NORM.DIST(Table2912[[#This Row],[Isovalerate '[%']]],W$6,W$2,FALSE),-100)</f>
        <v>-100</v>
      </c>
      <c r="BP422">
        <f>IF(Table2912[[#This Row],[CH4 '[g/mmol SCFA']]]&lt;X$10,_xlfn.NORM.DIST(Table2912[[#This Row],[CH4 '[g/mmol SCFA']]],X$6,X$2,FALSE),-100)</f>
        <v>-100</v>
      </c>
      <c r="BQ422">
        <f>IF(Table2912[[#This Row],[DMD '[mg/g']]]&gt;Y$10,_xlfn.NORM.DIST(Table2912[[#This Row],[DMD '[mg/g']]],Y$6,Y$2,FALSE),-100)</f>
        <v>-100</v>
      </c>
      <c r="BR422">
        <f>IF(Table2912[[#This Row],[CH4 '[ml/g']]]&lt;Z$10,_xlfn.NORM.DIST(Table2912[[#This Row],[CH4 '[ml/g']]],Z$6,Z$2,FALSE),-100)</f>
        <v>-100</v>
      </c>
      <c r="BS422">
        <f>IF(Table2912[[#This Row],[CH4 '[% GP']]]&lt;AA$10,_xlfn.NORM.DIST(Table2912[[#This Row],[CH4 '[% GP']]],AA$6,AA$2,FALSE),-100)</f>
        <v>-100</v>
      </c>
      <c r="BT422">
        <f>IF(Table2912[[#This Row],[CH4 '[g/g DDM']]]&lt;AB$10,_xlfn.NORM.DIST(Table2912[[#This Row],[CH4 '[g/g DDM']]],AB$6,AB$2,FALSE),-100)</f>
        <v>-100</v>
      </c>
    </row>
    <row r="423" spans="1:72" x14ac:dyDescent="0.25">
      <c r="A423" s="12" t="s">
        <v>200</v>
      </c>
      <c r="B423" s="13">
        <v>1207</v>
      </c>
      <c r="C423" s="113" t="s">
        <v>480</v>
      </c>
      <c r="D423" s="113" t="s">
        <v>262</v>
      </c>
      <c r="E423" s="113" t="s">
        <v>411</v>
      </c>
      <c r="F423" s="113" t="s">
        <v>412</v>
      </c>
      <c r="G423" t="s">
        <v>73</v>
      </c>
      <c r="H423" t="s">
        <v>74</v>
      </c>
      <c r="I423" t="s">
        <v>75</v>
      </c>
      <c r="J423" s="70">
        <v>3</v>
      </c>
      <c r="K423" s="70"/>
      <c r="L423" s="70"/>
      <c r="M423" t="s">
        <v>481</v>
      </c>
      <c r="N423" t="s">
        <v>171</v>
      </c>
      <c r="O423" s="18">
        <v>279.86541254125461</v>
      </c>
      <c r="P423" s="18">
        <v>6.5678479125357647</v>
      </c>
      <c r="Q423" s="97">
        <v>0.64662423279258641</v>
      </c>
      <c r="R423" s="97">
        <v>0.18913247359093555</v>
      </c>
      <c r="S423" s="97">
        <v>9.4222931809511759E-2</v>
      </c>
      <c r="T423" s="97">
        <v>1.7945846626578721E-2</v>
      </c>
      <c r="U423" s="97">
        <v>3.8009486785955016E-3</v>
      </c>
      <c r="V423" s="97">
        <v>1.7013549344123476E-2</v>
      </c>
      <c r="W423" s="97">
        <v>3.126001715766849E-2</v>
      </c>
      <c r="X423" s="51">
        <f t="shared" si="26"/>
        <v>8.4626580742237163</v>
      </c>
      <c r="Y423" s="18">
        <v>888.87659225004336</v>
      </c>
      <c r="Z423" s="18">
        <v>55.581451167294169</v>
      </c>
      <c r="AA423" s="18">
        <f t="shared" si="27"/>
        <v>19.860064401170323</v>
      </c>
      <c r="AB423" s="18">
        <f t="shared" si="28"/>
        <v>62.529997585602928</v>
      </c>
      <c r="AC423" s="18">
        <f>$CP$15*Table2912[[#This Row],[DMD '[mg/g']]]+$CS$15*Table2912[[#This Row],[CH4 '[ml/g']]]+$CR$15*Table2912[[#This Row],[CH4 '[% GP']]]+$CQ$15*Table2912[[#This Row],[CH4 '[g/g DDM']]]</f>
        <v>19.217518095421426</v>
      </c>
      <c r="AD423" s="18">
        <f>_xlfn.RANK.AVG(Table2912[[#This Row],[Index]],Table2912[Index])</f>
        <v>177</v>
      </c>
      <c r="AE42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6.1079648254068823</v>
      </c>
      <c r="AF423" s="18">
        <f>Table2912[[#This Row],[CH4 '[ml/g']]]/Table2912[[#This Row],[APB]]</f>
        <v>9.0998315733738053</v>
      </c>
      <c r="AG423" s="18">
        <f>Table2912[[#This Row],[Propionate '[%']]]/Table2912[[#This Row],[Acetate '[%']]]</f>
        <v>0.29249209045897662</v>
      </c>
      <c r="AH423" s="51"/>
      <c r="AI423" s="18"/>
      <c r="AJ423" s="18"/>
      <c r="AK423" s="18">
        <f>(Table2912[[#This Row],[DMD '[mg/g']]]-$AK$15)/$AK$15*100</f>
        <v>81.296413796480579</v>
      </c>
      <c r="AL423" s="18">
        <f>(Table2912[[#This Row],[CH4 '[ml/g']]]-AL$15)/AL$15*100</f>
        <v>41.312817414745062</v>
      </c>
      <c r="AM423" s="18">
        <f>(Table2912[[#This Row],[CH4 '[% GP']]]-AM$15)/AM$15*100</f>
        <v>27.944928161282302</v>
      </c>
      <c r="AN423" s="18">
        <f>(Table2912[[#This Row],[CH4 '[g/g DDM']]]-AN$15)/AN$15*100</f>
        <v>22.091880119454981</v>
      </c>
      <c r="AO423" s="18"/>
      <c r="AP423" s="18"/>
      <c r="AQ423" t="e">
        <f t="shared" si="29"/>
        <v>#DIV/0!</v>
      </c>
      <c r="AR423">
        <f>_xlfn.NORM.DIST(Table2912[[#This Row],[GP '[ml/g']]],O$6,O$2,FALSE)</f>
        <v>6.7381052037359217E-3</v>
      </c>
      <c r="AS423">
        <f>_xlfn.NORM.DIST(Table2912[[#This Row],[SCFA '[mmol/g']]],P$6,P$2,FALSE)</f>
        <v>0.33263687872607989</v>
      </c>
      <c r="AT423">
        <f>_xlfn.NORM.DIST(Table2912[[#This Row],[Acetate '[%']]],Q$6,Q$2,FALSE)</f>
        <v>9.0873025663560831</v>
      </c>
      <c r="AU423">
        <f>_xlfn.NORM.DIST(Table2912[[#This Row],[Propionate '[%']]],R$6,R$2,FALSE)</f>
        <v>12.894825211945518</v>
      </c>
      <c r="AV423">
        <f>_xlfn.NORM.DIST(Table2912[[#This Row],[Butyrate '[%']]],S$6,S$2,FALSE)</f>
        <v>22.965180243576793</v>
      </c>
      <c r="AW423">
        <f>_xlfn.NORM.DIST(Table2912[[#This Row],[Valerate '[%']]],T$6,T$2,FALSE)</f>
        <v>77.275545402017144</v>
      </c>
      <c r="AX423">
        <f>_xlfn.NORM.DIST(Table2912[[#This Row],[Caproate '[%']]],U$6,U$2,FALSE)</f>
        <v>17.123457911421323</v>
      </c>
      <c r="AY423">
        <f>_xlfn.NORM.DIST(Table2912[[#This Row],[Isobutyrate '[%']]],V$6,V$2,FALSE)</f>
        <v>83.773979970116898</v>
      </c>
      <c r="AZ423">
        <f>_xlfn.NORM.DIST(Table2912[[#This Row],[Isovalerate '[%']]],W$6,W$2,FALSE)</f>
        <v>42.214165276514919</v>
      </c>
      <c r="BA423">
        <f>_xlfn.NORM.DIST(Table2912[[#This Row],[CH4 '[g/mmol SCFA']]],X$6,X$2,FALSE)</f>
        <v>7.940935294721517E-2</v>
      </c>
      <c r="BB423">
        <f>_xlfn.NORM.DIST(Table2912[[#This Row],[DMD '[mg/g']]],Y$6,Y$2,FALSE)</f>
        <v>2.0747571100191123E-3</v>
      </c>
      <c r="BC423">
        <f>_xlfn.NORM.DIST(Table2912[[#This Row],[CH4 '[ml/g']]],Z$6,Z$2,FALSE)</f>
        <v>1.6481238039199639E-2</v>
      </c>
      <c r="BD423">
        <f>_xlfn.NORM.DIST(Table2912[[#This Row],[CH4 '[% GP']]],AA$6,AA$2,FALSE)</f>
        <v>5.934824457683862E-2</v>
      </c>
      <c r="BE423">
        <f>_xlfn.NORM.DIST(Table2912[[#This Row],[CH4 '[g/g DDM']]],AB$6,AB$2,FALSE)</f>
        <v>2.4693560274775966E-2</v>
      </c>
      <c r="BG423">
        <f>IF(Table2912[[#This Row],[GP '[ml/g']]]&lt;O$10,_xlfn.NORM.DIST(Table2912[[#This Row],[GP '[ml/g']]],O$6,O$2,FALSE),-100)</f>
        <v>-100</v>
      </c>
      <c r="BH423">
        <f>IF(Table2912[[#This Row],[SCFA '[mmol/g']]]&lt;P$10,_xlfn.NORM.DIST(Table2912[[#This Row],[SCFA '[mmol/g']]],P$6,P$2,FALSE),-100)</f>
        <v>-100</v>
      </c>
      <c r="BI423">
        <f>IF(Table2912[[#This Row],[Acetate '[%']]]&lt;Q$10,_xlfn.NORM.DIST(Table2912[[#This Row],[Acetate '[%']]],Q$6,Q$2,FALSE),-100)</f>
        <v>-100</v>
      </c>
      <c r="BJ423">
        <f>IF(Table2912[[#This Row],[Propionate '[%']]]&lt;R$10,_xlfn.NORM.DIST(Table2912[[#This Row],[Propionate '[%']]],R$6,R$2,FALSE),-100)</f>
        <v>-100</v>
      </c>
      <c r="BK423">
        <f>IF(Table2912[[#This Row],[Butyrate '[%']]]&lt;S$10,_xlfn.NORM.DIST(Table2912[[#This Row],[Butyrate '[%']]],S$6,S$2,FALSE),-100)</f>
        <v>-100</v>
      </c>
      <c r="BL423">
        <f>IF(Table2912[[#This Row],[Valerate '[%']]]&lt;T$10,_xlfn.NORM.DIST(Table2912[[#This Row],[Valerate '[%']]],T$6,T$2,FALSE),-100)</f>
        <v>-100</v>
      </c>
      <c r="BM423">
        <f>IF(Table2912[[#This Row],[Caproate '[%']]]&lt;U$10,_xlfn.NORM.DIST(Table2912[[#This Row],[Caproate '[%']]],U$6,U$2,FALSE),-100)</f>
        <v>-100</v>
      </c>
      <c r="BN423">
        <f>IF(Table2912[[#This Row],[Isobutyrate '[%']]]&lt;V$10,_xlfn.NORM.DIST(Table2912[[#This Row],[Isobutyrate '[%']]],V$6,V$2,FALSE),-100)</f>
        <v>-100</v>
      </c>
      <c r="BO423">
        <f>IF(Table2912[[#This Row],[Isovalerate '[%']]]&lt;W$10,_xlfn.NORM.DIST(Table2912[[#This Row],[Isovalerate '[%']]],W$6,W$2,FALSE),-100)</f>
        <v>-100</v>
      </c>
      <c r="BP423">
        <f>IF(Table2912[[#This Row],[CH4 '[g/mmol SCFA']]]&lt;X$10,_xlfn.NORM.DIST(Table2912[[#This Row],[CH4 '[g/mmol SCFA']]],X$6,X$2,FALSE),-100)</f>
        <v>-100</v>
      </c>
      <c r="BQ423">
        <f>IF(Table2912[[#This Row],[DMD '[mg/g']]]&gt;Y$10,_xlfn.NORM.DIST(Table2912[[#This Row],[DMD '[mg/g']]],Y$6,Y$2,FALSE),-100)</f>
        <v>-100</v>
      </c>
      <c r="BR423">
        <f>IF(Table2912[[#This Row],[CH4 '[ml/g']]]&lt;Z$10,_xlfn.NORM.DIST(Table2912[[#This Row],[CH4 '[ml/g']]],Z$6,Z$2,FALSE),-100)</f>
        <v>-100</v>
      </c>
      <c r="BS423">
        <f>IF(Table2912[[#This Row],[CH4 '[% GP']]]&lt;AA$10,_xlfn.NORM.DIST(Table2912[[#This Row],[CH4 '[% GP']]],AA$6,AA$2,FALSE),-100)</f>
        <v>-100</v>
      </c>
      <c r="BT423">
        <f>IF(Table2912[[#This Row],[CH4 '[g/g DDM']]]&lt;AB$10,_xlfn.NORM.DIST(Table2912[[#This Row],[CH4 '[g/g DDM']]],AB$6,AB$2,FALSE),-100)</f>
        <v>-100</v>
      </c>
    </row>
    <row r="424" spans="1:72" x14ac:dyDescent="0.25">
      <c r="A424" s="12" t="s">
        <v>200</v>
      </c>
      <c r="B424" s="13">
        <v>1209</v>
      </c>
      <c r="C424" s="113" t="s">
        <v>519</v>
      </c>
      <c r="D424" s="113" t="s">
        <v>391</v>
      </c>
      <c r="E424" s="113" t="s">
        <v>392</v>
      </c>
      <c r="F424" s="113" t="s">
        <v>393</v>
      </c>
      <c r="G424" t="s">
        <v>143</v>
      </c>
      <c r="H424" t="s">
        <v>144</v>
      </c>
      <c r="I424" t="s">
        <v>52</v>
      </c>
      <c r="J424" s="70">
        <v>1</v>
      </c>
      <c r="K424" s="70"/>
      <c r="L424" s="70"/>
      <c r="M424" t="s">
        <v>520</v>
      </c>
      <c r="N424" t="s">
        <v>352</v>
      </c>
      <c r="O424" s="18">
        <v>348.01529695375757</v>
      </c>
      <c r="P424" s="18">
        <v>8.6567744043705588</v>
      </c>
      <c r="Q424" s="97">
        <v>0.65568375909939725</v>
      </c>
      <c r="R424" s="97">
        <v>0.18593655131252132</v>
      </c>
      <c r="S424" s="97">
        <v>0.104908693650531</v>
      </c>
      <c r="T424" s="97">
        <v>1.3851967576555418E-2</v>
      </c>
      <c r="U424" s="97">
        <v>1.9641377297164113E-3</v>
      </c>
      <c r="V424" s="97">
        <v>1.3962019161063719E-2</v>
      </c>
      <c r="W424" s="97">
        <v>2.3692871470214927E-2</v>
      </c>
      <c r="X424" s="51">
        <f t="shared" si="26"/>
        <v>6.9842685624569576</v>
      </c>
      <c r="Y424" s="18">
        <v>888.87975746950087</v>
      </c>
      <c r="Z424" s="18">
        <v>60.46123732472735</v>
      </c>
      <c r="AA424" s="18">
        <f t="shared" si="27"/>
        <v>17.373155103800254</v>
      </c>
      <c r="AB424" s="18">
        <f t="shared" si="28"/>
        <v>68.019590745154176</v>
      </c>
      <c r="AC424" s="18">
        <f>$CP$15*Table2912[[#This Row],[DMD '[mg/g']]]+$CS$15*Table2912[[#This Row],[CH4 '[ml/g']]]+$CR$15*Table2912[[#This Row],[CH4 '[% GP']]]+$CQ$15*Table2912[[#This Row],[CH4 '[g/g DDM']]]</f>
        <v>17.997750553491265</v>
      </c>
      <c r="AD424" s="18">
        <f>_xlfn.RANK.AVG(Table2912[[#This Row],[Index]],Table2912[Index])</f>
        <v>203</v>
      </c>
      <c r="AE42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8.1938880553621694</v>
      </c>
      <c r="AF424" s="18">
        <f>Table2912[[#This Row],[CH4 '[ml/g']]]/Table2912[[#This Row],[APB]]</f>
        <v>7.3788214967326606</v>
      </c>
      <c r="AG424" s="18">
        <f>Table2912[[#This Row],[Propionate '[%']]]/Table2912[[#This Row],[Acetate '[%']]]</f>
        <v>0.28357656985115992</v>
      </c>
      <c r="AH424" s="51"/>
      <c r="AI424" s="18"/>
      <c r="AJ424" s="18"/>
      <c r="AK424" s="18">
        <f>(Table2912[[#This Row],[DMD '[mg/g']]]-$AK$15)/$AK$15*100</f>
        <v>81.297059378714977</v>
      </c>
      <c r="AL424" s="18">
        <f>(Table2912[[#This Row],[CH4 '[ml/g']]]-AL$15)/AL$15*100</f>
        <v>53.719408387204645</v>
      </c>
      <c r="AM424" s="18">
        <f>(Table2912[[#This Row],[CH4 '[% GP']]]-AM$15)/AM$15*100</f>
        <v>11.923457889670885</v>
      </c>
      <c r="AN424" s="18">
        <f>(Table2912[[#This Row],[CH4 '[g/g DDM']]]-AN$15)/AN$15*100</f>
        <v>32.810491599056697</v>
      </c>
      <c r="AO424" s="18"/>
      <c r="AP424" s="18"/>
      <c r="AQ424" t="e">
        <f t="shared" si="29"/>
        <v>#DIV/0!</v>
      </c>
      <c r="AR424">
        <f>_xlfn.NORM.DIST(Table2912[[#This Row],[GP '[ml/g']]],O$6,O$2,FALSE)</f>
        <v>1.6610958864354409E-3</v>
      </c>
      <c r="AS424">
        <f>_xlfn.NORM.DIST(Table2912[[#This Row],[SCFA '[mmol/g']]],P$6,P$2,FALSE)</f>
        <v>6.9763333101915403E-2</v>
      </c>
      <c r="AT424">
        <f>_xlfn.NORM.DIST(Table2912[[#This Row],[Acetate '[%']]],Q$6,Q$2,FALSE)</f>
        <v>11.622554415956294</v>
      </c>
      <c r="AU424">
        <f>_xlfn.NORM.DIST(Table2912[[#This Row],[Propionate '[%']]],R$6,R$2,FALSE)</f>
        <v>14.090845731961892</v>
      </c>
      <c r="AV424">
        <f>_xlfn.NORM.DIST(Table2912[[#This Row],[Butyrate '[%']]],S$6,S$2,FALSE)</f>
        <v>18.126678455140365</v>
      </c>
      <c r="AW424">
        <f>_xlfn.NORM.DIST(Table2912[[#This Row],[Valerate '[%']]],T$6,T$2,FALSE)</f>
        <v>58.919787984054643</v>
      </c>
      <c r="AX424">
        <f>_xlfn.NORM.DIST(Table2912[[#This Row],[Caproate '[%']]],U$6,U$2,FALSE)</f>
        <v>330.77433391669217</v>
      </c>
      <c r="AY424">
        <f>_xlfn.NORM.DIST(Table2912[[#This Row],[Isobutyrate '[%']]],V$6,V$2,FALSE)</f>
        <v>86.025074930706708</v>
      </c>
      <c r="AZ424">
        <f>_xlfn.NORM.DIST(Table2912[[#This Row],[Isovalerate '[%']]],W$6,W$2,FALSE)</f>
        <v>40.515060522880376</v>
      </c>
      <c r="BA424">
        <f>_xlfn.NORM.DIST(Table2912[[#This Row],[CH4 '[g/mmol SCFA']]],X$6,X$2,FALSE)</f>
        <v>0.25939350580663822</v>
      </c>
      <c r="BB424">
        <f>_xlfn.NORM.DIST(Table2912[[#This Row],[DMD '[mg/g']]],Y$6,Y$2,FALSE)</f>
        <v>2.0747175040453816E-3</v>
      </c>
      <c r="BC424">
        <f>_xlfn.NORM.DIST(Table2912[[#This Row],[CH4 '[ml/g']]],Z$6,Z$2,FALSE)</f>
        <v>9.3001418364171626E-3</v>
      </c>
      <c r="BD424">
        <f>_xlfn.NORM.DIST(Table2912[[#This Row],[CH4 '[% GP']]],AA$6,AA$2,FALSE)</f>
        <v>0.12225311048332217</v>
      </c>
      <c r="BE424">
        <f>_xlfn.NORM.DIST(Table2912[[#This Row],[CH4 '[g/g DDM']]],AB$6,AB$2,FALSE)</f>
        <v>1.5843903880407795E-2</v>
      </c>
      <c r="BG424">
        <f>IF(Table2912[[#This Row],[GP '[ml/g']]]&lt;O$10,_xlfn.NORM.DIST(Table2912[[#This Row],[GP '[ml/g']]],O$6,O$2,FALSE),-100)</f>
        <v>-100</v>
      </c>
      <c r="BH424">
        <f>IF(Table2912[[#This Row],[SCFA '[mmol/g']]]&lt;P$10,_xlfn.NORM.DIST(Table2912[[#This Row],[SCFA '[mmol/g']]],P$6,P$2,FALSE),-100)</f>
        <v>-100</v>
      </c>
      <c r="BI424">
        <f>IF(Table2912[[#This Row],[Acetate '[%']]]&lt;Q$10,_xlfn.NORM.DIST(Table2912[[#This Row],[Acetate '[%']]],Q$6,Q$2,FALSE),-100)</f>
        <v>-100</v>
      </c>
      <c r="BJ424">
        <f>IF(Table2912[[#This Row],[Propionate '[%']]]&lt;R$10,_xlfn.NORM.DIST(Table2912[[#This Row],[Propionate '[%']]],R$6,R$2,FALSE),-100)</f>
        <v>-100</v>
      </c>
      <c r="BK424">
        <f>IF(Table2912[[#This Row],[Butyrate '[%']]]&lt;S$10,_xlfn.NORM.DIST(Table2912[[#This Row],[Butyrate '[%']]],S$6,S$2,FALSE),-100)</f>
        <v>-100</v>
      </c>
      <c r="BL424">
        <f>IF(Table2912[[#This Row],[Valerate '[%']]]&lt;T$10,_xlfn.NORM.DIST(Table2912[[#This Row],[Valerate '[%']]],T$6,T$2,FALSE),-100)</f>
        <v>-100</v>
      </c>
      <c r="BM424">
        <f>IF(Table2912[[#This Row],[Caproate '[%']]]&lt;U$10,_xlfn.NORM.DIST(Table2912[[#This Row],[Caproate '[%']]],U$6,U$2,FALSE),-100)</f>
        <v>-100</v>
      </c>
      <c r="BN424">
        <f>IF(Table2912[[#This Row],[Isobutyrate '[%']]]&lt;V$10,_xlfn.NORM.DIST(Table2912[[#This Row],[Isobutyrate '[%']]],V$6,V$2,FALSE),-100)</f>
        <v>-100</v>
      </c>
      <c r="BO424">
        <f>IF(Table2912[[#This Row],[Isovalerate '[%']]]&lt;W$10,_xlfn.NORM.DIST(Table2912[[#This Row],[Isovalerate '[%']]],W$6,W$2,FALSE),-100)</f>
        <v>-100</v>
      </c>
      <c r="BP424">
        <f>IF(Table2912[[#This Row],[CH4 '[g/mmol SCFA']]]&lt;X$10,_xlfn.NORM.DIST(Table2912[[#This Row],[CH4 '[g/mmol SCFA']]],X$6,X$2,FALSE),-100)</f>
        <v>-100</v>
      </c>
      <c r="BQ424">
        <f>IF(Table2912[[#This Row],[DMD '[mg/g']]]&gt;Y$10,_xlfn.NORM.DIST(Table2912[[#This Row],[DMD '[mg/g']]],Y$6,Y$2,FALSE),-100)</f>
        <v>-100</v>
      </c>
      <c r="BR424">
        <f>IF(Table2912[[#This Row],[CH4 '[ml/g']]]&lt;Z$10,_xlfn.NORM.DIST(Table2912[[#This Row],[CH4 '[ml/g']]],Z$6,Z$2,FALSE),-100)</f>
        <v>-100</v>
      </c>
      <c r="BS424">
        <f>IF(Table2912[[#This Row],[CH4 '[% GP']]]&lt;AA$10,_xlfn.NORM.DIST(Table2912[[#This Row],[CH4 '[% GP']]],AA$6,AA$2,FALSE),-100)</f>
        <v>-100</v>
      </c>
      <c r="BT424">
        <f>IF(Table2912[[#This Row],[CH4 '[g/g DDM']]]&lt;AB$10,_xlfn.NORM.DIST(Table2912[[#This Row],[CH4 '[g/g DDM']]],AB$6,AB$2,FALSE),-100)</f>
        <v>-100</v>
      </c>
    </row>
    <row r="425" spans="1:72" x14ac:dyDescent="0.25">
      <c r="A425" s="12" t="s">
        <v>200</v>
      </c>
      <c r="B425" s="13">
        <v>1148</v>
      </c>
      <c r="C425" s="117" t="s">
        <v>521</v>
      </c>
      <c r="D425" s="117" t="s">
        <v>212</v>
      </c>
      <c r="E425" s="117" t="s">
        <v>522</v>
      </c>
      <c r="F425" s="117" t="s">
        <v>523</v>
      </c>
      <c r="G425" t="s">
        <v>73</v>
      </c>
      <c r="H425" t="s">
        <v>74</v>
      </c>
      <c r="I425" t="s">
        <v>75</v>
      </c>
      <c r="J425" s="70">
        <v>3</v>
      </c>
      <c r="K425" s="70"/>
      <c r="L425" s="70"/>
      <c r="M425" t="s">
        <v>524</v>
      </c>
      <c r="N425" t="s">
        <v>245</v>
      </c>
      <c r="O425" s="18">
        <v>284.8279754062367</v>
      </c>
      <c r="P425" s="18">
        <v>6.8619454552425569</v>
      </c>
      <c r="Q425" s="97">
        <v>0.65830455465633775</v>
      </c>
      <c r="R425" s="97">
        <v>0.1499617597404212</v>
      </c>
      <c r="S425" s="97">
        <v>0.11997803397946313</v>
      </c>
      <c r="T425" s="97">
        <v>1.887538568501736E-2</v>
      </c>
      <c r="U425" s="97">
        <v>1.8825617099571456E-3</v>
      </c>
      <c r="V425" s="97">
        <v>1.7643988246285269E-2</v>
      </c>
      <c r="W425" s="97">
        <v>3.335371598251826E-2</v>
      </c>
      <c r="X425" s="51">
        <f t="shared" si="26"/>
        <v>7.8384643603510966</v>
      </c>
      <c r="Y425" s="18">
        <v>889.31455688702033</v>
      </c>
      <c r="Z425" s="18">
        <v>53.787114893591962</v>
      </c>
      <c r="AA425" s="18">
        <f t="shared" si="27"/>
        <v>18.884070224098576</v>
      </c>
      <c r="AB425" s="18">
        <f t="shared" si="28"/>
        <v>60.481541066717462</v>
      </c>
      <c r="AC425" s="18">
        <f>$CP$15*Table2912[[#This Row],[DMD '[mg/g']]]+$CS$15*Table2912[[#This Row],[CH4 '[ml/g']]]+$CR$15*Table2912[[#This Row],[CH4 '[% GP']]]+$CQ$15*Table2912[[#This Row],[CH4 '[g/g DDM']]]</f>
        <v>20.284086659445208</v>
      </c>
      <c r="AD425" s="18">
        <f>_xlfn.RANK.AVG(Table2912[[#This Row],[Index]],Table2912[Index])</f>
        <v>158</v>
      </c>
      <c r="AE42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6.3695620876948063</v>
      </c>
      <c r="AF425" s="18">
        <f>Table2912[[#This Row],[CH4 '[ml/g']]]/Table2912[[#This Row],[APB]]</f>
        <v>8.4443976136918284</v>
      </c>
      <c r="AG425" s="18">
        <f>Table2912[[#This Row],[Propionate '[%']]]/Table2912[[#This Row],[Acetate '[%']]]</f>
        <v>0.2277999729452084</v>
      </c>
      <c r="AH425" s="51"/>
      <c r="AI425" s="18"/>
      <c r="AJ425" s="18"/>
      <c r="AK425" s="18">
        <f>(Table2912[[#This Row],[DMD '[mg/g']]]-$AK$15)/$AK$15*100</f>
        <v>81.385741627526969</v>
      </c>
      <c r="AL425" s="18">
        <f>(Table2912[[#This Row],[CH4 '[ml/g']]]-AL$15)/AL$15*100</f>
        <v>36.750815003848345</v>
      </c>
      <c r="AM425" s="18">
        <f>(Table2912[[#This Row],[CH4 '[% GP']]]-AM$15)/AM$15*100</f>
        <v>21.657259483636121</v>
      </c>
      <c r="AN425" s="18">
        <f>(Table2912[[#This Row],[CH4 '[g/g DDM']]]-AN$15)/AN$15*100</f>
        <v>18.092201287046645</v>
      </c>
      <c r="AO425" s="18"/>
      <c r="AP425" s="18"/>
      <c r="AQ425" t="e">
        <f t="shared" si="29"/>
        <v>#DIV/0!</v>
      </c>
      <c r="AR425">
        <f>_xlfn.NORM.DIST(Table2912[[#This Row],[GP '[ml/g']]],O$6,O$2,FALSE)</f>
        <v>6.4296915567172109E-3</v>
      </c>
      <c r="AS425">
        <f>_xlfn.NORM.DIST(Table2912[[#This Row],[SCFA '[mmol/g']]],P$6,P$2,FALSE)</f>
        <v>0.3207788793121174</v>
      </c>
      <c r="AT425">
        <f>_xlfn.NORM.DIST(Table2912[[#This Row],[Acetate '[%']]],Q$6,Q$2,FALSE)</f>
        <v>12.246133977891173</v>
      </c>
      <c r="AU425">
        <f>_xlfn.NORM.DIST(Table2912[[#This Row],[Propionate '[%']]],R$6,R$2,FALSE)</f>
        <v>10.977141118333286</v>
      </c>
      <c r="AV425">
        <f>_xlfn.NORM.DIST(Table2912[[#This Row],[Butyrate '[%']]],S$6,S$2,FALSE)</f>
        <v>6.800809617679362</v>
      </c>
      <c r="AW425">
        <f>_xlfn.NORM.DIST(Table2912[[#This Row],[Valerate '[%']]],T$6,T$2,FALSE)</f>
        <v>75.270194197569808</v>
      </c>
      <c r="AX425">
        <f>_xlfn.NORM.DIST(Table2912[[#This Row],[Caproate '[%']]],U$6,U$2,FALSE)</f>
        <v>347.76724121306262</v>
      </c>
      <c r="AY425">
        <f>_xlfn.NORM.DIST(Table2912[[#This Row],[Isobutyrate '[%']]],V$6,V$2,FALSE)</f>
        <v>78.52110007870894</v>
      </c>
      <c r="AZ425">
        <f>_xlfn.NORM.DIST(Table2912[[#This Row],[Isovalerate '[%']]],W$6,W$2,FALSE)</f>
        <v>37.448783913213731</v>
      </c>
      <c r="BA425">
        <f>_xlfn.NORM.DIST(Table2912[[#This Row],[CH4 '[g/mmol SCFA']]],X$6,X$2,FALSE)</f>
        <v>0.15179950837619238</v>
      </c>
      <c r="BB425">
        <f>_xlfn.NORM.DIST(Table2912[[#This Row],[DMD '[mg/g']]],Y$6,Y$2,FALSE)</f>
        <v>2.0692735687175183E-3</v>
      </c>
      <c r="BC425">
        <f>_xlfn.NORM.DIST(Table2912[[#This Row],[CH4 '[ml/g']]],Z$6,Z$2,FALSE)</f>
        <v>1.9499435335362664E-2</v>
      </c>
      <c r="BD425">
        <f>_xlfn.NORM.DIST(Table2912[[#This Row],[CH4 '[% GP']]],AA$6,AA$2,FALSE)</f>
        <v>8.572242406001003E-2</v>
      </c>
      <c r="BE425">
        <f>_xlfn.NORM.DIST(Table2912[[#This Row],[CH4 '[g/g DDM']]],AB$6,AB$2,FALSE)</f>
        <v>2.7654164105862657E-2</v>
      </c>
      <c r="BG425">
        <f>IF(Table2912[[#This Row],[GP '[ml/g']]]&lt;O$10,_xlfn.NORM.DIST(Table2912[[#This Row],[GP '[ml/g']]],O$6,O$2,FALSE),-100)</f>
        <v>-100</v>
      </c>
      <c r="BH425">
        <f>IF(Table2912[[#This Row],[SCFA '[mmol/g']]]&lt;P$10,_xlfn.NORM.DIST(Table2912[[#This Row],[SCFA '[mmol/g']]],P$6,P$2,FALSE),-100)</f>
        <v>-100</v>
      </c>
      <c r="BI425">
        <f>IF(Table2912[[#This Row],[Acetate '[%']]]&lt;Q$10,_xlfn.NORM.DIST(Table2912[[#This Row],[Acetate '[%']]],Q$6,Q$2,FALSE),-100)</f>
        <v>-100</v>
      </c>
      <c r="BJ425">
        <f>IF(Table2912[[#This Row],[Propionate '[%']]]&lt;R$10,_xlfn.NORM.DIST(Table2912[[#This Row],[Propionate '[%']]],R$6,R$2,FALSE),-100)</f>
        <v>-100</v>
      </c>
      <c r="BK425">
        <f>IF(Table2912[[#This Row],[Butyrate '[%']]]&lt;S$10,_xlfn.NORM.DIST(Table2912[[#This Row],[Butyrate '[%']]],S$6,S$2,FALSE),-100)</f>
        <v>-100</v>
      </c>
      <c r="BL425">
        <f>IF(Table2912[[#This Row],[Valerate '[%']]]&lt;T$10,_xlfn.NORM.DIST(Table2912[[#This Row],[Valerate '[%']]],T$6,T$2,FALSE),-100)</f>
        <v>-100</v>
      </c>
      <c r="BM425">
        <f>IF(Table2912[[#This Row],[Caproate '[%']]]&lt;U$10,_xlfn.NORM.DIST(Table2912[[#This Row],[Caproate '[%']]],U$6,U$2,FALSE),-100)</f>
        <v>-100</v>
      </c>
      <c r="BN425">
        <f>IF(Table2912[[#This Row],[Isobutyrate '[%']]]&lt;V$10,_xlfn.NORM.DIST(Table2912[[#This Row],[Isobutyrate '[%']]],V$6,V$2,FALSE),-100)</f>
        <v>-100</v>
      </c>
      <c r="BO425">
        <f>IF(Table2912[[#This Row],[Isovalerate '[%']]]&lt;W$10,_xlfn.NORM.DIST(Table2912[[#This Row],[Isovalerate '[%']]],W$6,W$2,FALSE),-100)</f>
        <v>-100</v>
      </c>
      <c r="BP425">
        <f>IF(Table2912[[#This Row],[CH4 '[g/mmol SCFA']]]&lt;X$10,_xlfn.NORM.DIST(Table2912[[#This Row],[CH4 '[g/mmol SCFA']]],X$6,X$2,FALSE),-100)</f>
        <v>-100</v>
      </c>
      <c r="BQ425">
        <f>IF(Table2912[[#This Row],[DMD '[mg/g']]]&gt;Y$10,_xlfn.NORM.DIST(Table2912[[#This Row],[DMD '[mg/g']]],Y$6,Y$2,FALSE),-100)</f>
        <v>-100</v>
      </c>
      <c r="BR425">
        <f>IF(Table2912[[#This Row],[CH4 '[ml/g']]]&lt;Z$10,_xlfn.NORM.DIST(Table2912[[#This Row],[CH4 '[ml/g']]],Z$6,Z$2,FALSE),-100)</f>
        <v>-100</v>
      </c>
      <c r="BS425">
        <f>IF(Table2912[[#This Row],[CH4 '[% GP']]]&lt;AA$10,_xlfn.NORM.DIST(Table2912[[#This Row],[CH4 '[% GP']]],AA$6,AA$2,FALSE),-100)</f>
        <v>-100</v>
      </c>
      <c r="BT425">
        <f>IF(Table2912[[#This Row],[CH4 '[g/g DDM']]]&lt;AB$10,_xlfn.NORM.DIST(Table2912[[#This Row],[CH4 '[g/g DDM']]],AB$6,AB$2,FALSE),-100)</f>
        <v>-100</v>
      </c>
    </row>
    <row r="426" spans="1:72" x14ac:dyDescent="0.25">
      <c r="A426" s="12" t="s">
        <v>200</v>
      </c>
      <c r="B426" s="13">
        <v>1212</v>
      </c>
      <c r="C426" s="113" t="s">
        <v>476</v>
      </c>
      <c r="D426" s="113" t="s">
        <v>391</v>
      </c>
      <c r="E426" s="113" t="s">
        <v>392</v>
      </c>
      <c r="F426" s="113" t="s">
        <v>393</v>
      </c>
      <c r="G426" s="32" t="s">
        <v>73</v>
      </c>
      <c r="H426" s="32" t="s">
        <v>74</v>
      </c>
      <c r="I426" s="105" t="s">
        <v>48</v>
      </c>
      <c r="J426" s="70">
        <v>3</v>
      </c>
      <c r="K426" s="70"/>
      <c r="L426" s="70"/>
      <c r="M426" t="s">
        <v>477</v>
      </c>
      <c r="N426" t="s">
        <v>237</v>
      </c>
      <c r="O426" s="18">
        <v>331.01537953795275</v>
      </c>
      <c r="P426" s="18">
        <v>8.8262694920285671</v>
      </c>
      <c r="Q426" s="97">
        <v>0.67585803165700664</v>
      </c>
      <c r="R426" s="97">
        <v>0.17484579492581281</v>
      </c>
      <c r="S426" s="97">
        <v>9.4443174891059717E-2</v>
      </c>
      <c r="T426" s="97">
        <v>1.3602674788116272E-2</v>
      </c>
      <c r="U426" s="97">
        <v>1.3741626071047714E-3</v>
      </c>
      <c r="V426" s="97">
        <v>1.4526346828324866E-2</v>
      </c>
      <c r="W426" s="97">
        <v>2.5349814302574894E-2</v>
      </c>
      <c r="X426" s="51">
        <f t="shared" si="26"/>
        <v>6.6448449437527417</v>
      </c>
      <c r="Y426" s="18">
        <v>889.76832207030247</v>
      </c>
      <c r="Z426" s="18">
        <v>58.649192206305102</v>
      </c>
      <c r="AA426" s="18">
        <f t="shared" si="27"/>
        <v>17.717965941090252</v>
      </c>
      <c r="AB426" s="18">
        <f t="shared" si="28"/>
        <v>65.915127288237059</v>
      </c>
      <c r="AC426" s="18">
        <f>$CP$15*Table2912[[#This Row],[DMD '[mg/g']]]+$CS$15*Table2912[[#This Row],[CH4 '[ml/g']]]+$CR$15*Table2912[[#This Row],[CH4 '[% GP']]]+$CQ$15*Table2912[[#This Row],[CH4 '[g/g DDM']]]</f>
        <v>18.730480563866344</v>
      </c>
      <c r="AD426" s="18">
        <f>_xlfn.RANK.AVG(Table2912[[#This Row],[Index]],Table2912[Index])</f>
        <v>185</v>
      </c>
      <c r="AE42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8.3421221445911797</v>
      </c>
      <c r="AF426" s="18">
        <f>Table2912[[#This Row],[CH4 '[ml/g']]]/Table2912[[#This Row],[APB]]</f>
        <v>7.0304883085812584</v>
      </c>
      <c r="AG426" s="18">
        <f>Table2912[[#This Row],[Propionate '[%']]]/Table2912[[#This Row],[Acetate '[%']]]</f>
        <v>0.2587019562335332</v>
      </c>
      <c r="AH426" s="51"/>
      <c r="AI426" s="18"/>
      <c r="AJ426" s="18"/>
      <c r="AK426" s="18">
        <f>(Table2912[[#This Row],[DMD '[mg/g']]]-$AK$15)/$AK$15*100</f>
        <v>81.478292158334071</v>
      </c>
      <c r="AL426" s="18">
        <f>(Table2912[[#This Row],[CH4 '[ml/g']]]-AL$15)/AL$15*100</f>
        <v>49.112382201505497</v>
      </c>
      <c r="AM426" s="18">
        <f>(Table2912[[#This Row],[CH4 '[% GP']]]-AM$15)/AM$15*100</f>
        <v>14.144840303904177</v>
      </c>
      <c r="AN426" s="18">
        <f>(Table2912[[#This Row],[CH4 '[g/g DDM']]]-AN$15)/AN$15*100</f>
        <v>28.701457375187537</v>
      </c>
      <c r="AO426" s="18"/>
      <c r="AP426" s="18"/>
      <c r="AQ426" t="e">
        <f t="shared" si="29"/>
        <v>#DIV/0!</v>
      </c>
      <c r="AR426">
        <f>_xlfn.NORM.DIST(Table2912[[#This Row],[GP '[ml/g']]],O$6,O$2,FALSE)</f>
        <v>2.7445540190561063E-3</v>
      </c>
      <c r="AS426">
        <f>_xlfn.NORM.DIST(Table2912[[#This Row],[SCFA '[mmol/g']]],P$6,P$2,FALSE)</f>
        <v>5.3797434211616535E-2</v>
      </c>
      <c r="AT426">
        <f>_xlfn.NORM.DIST(Table2912[[#This Row],[Acetate '[%']]],Q$6,Q$2,FALSE)</f>
        <v>13.962283974960544</v>
      </c>
      <c r="AU426">
        <f>_xlfn.NORM.DIST(Table2912[[#This Row],[Propionate '[%']]],R$6,R$2,FALSE)</f>
        <v>16.659673888980734</v>
      </c>
      <c r="AV426">
        <f>_xlfn.NORM.DIST(Table2912[[#This Row],[Butyrate '[%']]],S$6,S$2,FALSE)</f>
        <v>22.941405486262887</v>
      </c>
      <c r="AW426">
        <f>_xlfn.NORM.DIST(Table2912[[#This Row],[Valerate '[%']]],T$6,T$2,FALSE)</f>
        <v>56.785874759675295</v>
      </c>
      <c r="AX426">
        <f>_xlfn.NORM.DIST(Table2912[[#This Row],[Caproate '[%']]],U$6,U$2,FALSE)</f>
        <v>406.55686007247391</v>
      </c>
      <c r="AY426">
        <f>_xlfn.NORM.DIST(Table2912[[#This Row],[Isobutyrate '[%']]],V$6,V$2,FALSE)</f>
        <v>88.728229396468436</v>
      </c>
      <c r="AZ426">
        <f>_xlfn.NORM.DIST(Table2912[[#This Row],[Isovalerate '[%']]],W$6,W$2,FALSE)</f>
        <v>43.561113746155115</v>
      </c>
      <c r="BA426">
        <f>_xlfn.NORM.DIST(Table2912[[#This Row],[CH4 '[g/mmol SCFA']]],X$6,X$2,FALSE)</f>
        <v>0.28676596029701718</v>
      </c>
      <c r="BB426">
        <f>_xlfn.NORM.DIST(Table2912[[#This Row],[DMD '[mg/g']]],Y$6,Y$2,FALSE)</f>
        <v>2.0635851761637812E-3</v>
      </c>
      <c r="BC426">
        <f>_xlfn.NORM.DIST(Table2912[[#This Row],[CH4 '[ml/g']]],Z$6,Z$2,FALSE)</f>
        <v>1.1729556170987176E-2</v>
      </c>
      <c r="BD426">
        <f>_xlfn.NORM.DIST(Table2912[[#This Row],[CH4 '[% GP']]],AA$6,AA$2,FALSE)</f>
        <v>0.11535424399330962</v>
      </c>
      <c r="BE426">
        <f>_xlfn.NORM.DIST(Table2912[[#This Row],[CH4 '[g/g DDM']]],AB$6,AB$2,FALSE)</f>
        <v>1.9241238879283442E-2</v>
      </c>
      <c r="BG426">
        <f>IF(Table2912[[#This Row],[GP '[ml/g']]]&lt;O$10,_xlfn.NORM.DIST(Table2912[[#This Row],[GP '[ml/g']]],O$6,O$2,FALSE),-100)</f>
        <v>-100</v>
      </c>
      <c r="BH426">
        <f>IF(Table2912[[#This Row],[SCFA '[mmol/g']]]&lt;P$10,_xlfn.NORM.DIST(Table2912[[#This Row],[SCFA '[mmol/g']]],P$6,P$2,FALSE),-100)</f>
        <v>-100</v>
      </c>
      <c r="BI426">
        <f>IF(Table2912[[#This Row],[Acetate '[%']]]&lt;Q$10,_xlfn.NORM.DIST(Table2912[[#This Row],[Acetate '[%']]],Q$6,Q$2,FALSE),-100)</f>
        <v>-100</v>
      </c>
      <c r="BJ426">
        <f>IF(Table2912[[#This Row],[Propionate '[%']]]&lt;R$10,_xlfn.NORM.DIST(Table2912[[#This Row],[Propionate '[%']]],R$6,R$2,FALSE),-100)</f>
        <v>-100</v>
      </c>
      <c r="BK426">
        <f>IF(Table2912[[#This Row],[Butyrate '[%']]]&lt;S$10,_xlfn.NORM.DIST(Table2912[[#This Row],[Butyrate '[%']]],S$6,S$2,FALSE),-100)</f>
        <v>-100</v>
      </c>
      <c r="BL426">
        <f>IF(Table2912[[#This Row],[Valerate '[%']]]&lt;T$10,_xlfn.NORM.DIST(Table2912[[#This Row],[Valerate '[%']]],T$6,T$2,FALSE),-100)</f>
        <v>-100</v>
      </c>
      <c r="BM426">
        <f>IF(Table2912[[#This Row],[Caproate '[%']]]&lt;U$10,_xlfn.NORM.DIST(Table2912[[#This Row],[Caproate '[%']]],U$6,U$2,FALSE),-100)</f>
        <v>-100</v>
      </c>
      <c r="BN426">
        <f>IF(Table2912[[#This Row],[Isobutyrate '[%']]]&lt;V$10,_xlfn.NORM.DIST(Table2912[[#This Row],[Isobutyrate '[%']]],V$6,V$2,FALSE),-100)</f>
        <v>-100</v>
      </c>
      <c r="BO426">
        <f>IF(Table2912[[#This Row],[Isovalerate '[%']]]&lt;W$10,_xlfn.NORM.DIST(Table2912[[#This Row],[Isovalerate '[%']]],W$6,W$2,FALSE),-100)</f>
        <v>-100</v>
      </c>
      <c r="BP426">
        <f>IF(Table2912[[#This Row],[CH4 '[g/mmol SCFA']]]&lt;X$10,_xlfn.NORM.DIST(Table2912[[#This Row],[CH4 '[g/mmol SCFA']]],X$6,X$2,FALSE),-100)</f>
        <v>-100</v>
      </c>
      <c r="BQ426">
        <f>IF(Table2912[[#This Row],[DMD '[mg/g']]]&gt;Y$10,_xlfn.NORM.DIST(Table2912[[#This Row],[DMD '[mg/g']]],Y$6,Y$2,FALSE),-100)</f>
        <v>-100</v>
      </c>
      <c r="BR426">
        <f>IF(Table2912[[#This Row],[CH4 '[ml/g']]]&lt;Z$10,_xlfn.NORM.DIST(Table2912[[#This Row],[CH4 '[ml/g']]],Z$6,Z$2,FALSE),-100)</f>
        <v>-100</v>
      </c>
      <c r="BS426">
        <f>IF(Table2912[[#This Row],[CH4 '[% GP']]]&lt;AA$10,_xlfn.NORM.DIST(Table2912[[#This Row],[CH4 '[% GP']]],AA$6,AA$2,FALSE),-100)</f>
        <v>-100</v>
      </c>
      <c r="BT426">
        <f>IF(Table2912[[#This Row],[CH4 '[g/g DDM']]]&lt;AB$10,_xlfn.NORM.DIST(Table2912[[#This Row],[CH4 '[g/g DDM']]],AB$6,AB$2,FALSE),-100)</f>
        <v>-100</v>
      </c>
    </row>
    <row r="427" spans="1:72" x14ac:dyDescent="0.25">
      <c r="A427" s="12" t="s">
        <v>200</v>
      </c>
      <c r="B427" s="13">
        <v>1146</v>
      </c>
      <c r="C427" s="117" t="s">
        <v>425</v>
      </c>
      <c r="D427" s="117" t="s">
        <v>212</v>
      </c>
      <c r="E427" s="117" t="s">
        <v>213</v>
      </c>
      <c r="F427" s="117" t="s">
        <v>214</v>
      </c>
      <c r="G427" t="s">
        <v>73</v>
      </c>
      <c r="H427" t="s">
        <v>74</v>
      </c>
      <c r="I427" t="s">
        <v>75</v>
      </c>
      <c r="J427" s="70">
        <v>1</v>
      </c>
      <c r="K427" s="70"/>
      <c r="L427" s="70"/>
      <c r="M427" t="s">
        <v>426</v>
      </c>
      <c r="N427" t="s">
        <v>237</v>
      </c>
      <c r="O427" s="18">
        <v>296.03877909530058</v>
      </c>
      <c r="P427" s="18">
        <v>7.7250653153211459</v>
      </c>
      <c r="Q427" s="97">
        <v>0.70335242097846273</v>
      </c>
      <c r="R427" s="97">
        <v>0.15905923154627416</v>
      </c>
      <c r="S427" s="97">
        <v>8.698094932339881E-2</v>
      </c>
      <c r="T427" s="97">
        <v>1.2743545869866698E-2</v>
      </c>
      <c r="U427" s="97">
        <v>1.3853184184468377E-3</v>
      </c>
      <c r="V427" s="97">
        <v>1.2682568734430522E-2</v>
      </c>
      <c r="W427" s="97">
        <v>2.3795965129120095E-2</v>
      </c>
      <c r="X427" s="51">
        <f t="shared" si="26"/>
        <v>6.7506953688613098</v>
      </c>
      <c r="Y427" s="18">
        <v>890.22517823662452</v>
      </c>
      <c r="Z427" s="18">
        <v>52.149562648289596</v>
      </c>
      <c r="AA427" s="18">
        <f t="shared" si="27"/>
        <v>17.615787636896599</v>
      </c>
      <c r="AB427" s="18">
        <f t="shared" si="28"/>
        <v>58.580192880624288</v>
      </c>
      <c r="AC427" s="18">
        <f>$CP$15*Table2912[[#This Row],[DMD '[mg/g']]]+$CS$15*Table2912[[#This Row],[CH4 '[ml/g']]]+$CR$15*Table2912[[#This Row],[CH4 '[% GP']]]+$CQ$15*Table2912[[#This Row],[CH4 '[g/g DDM']]]</f>
        <v>21.426431407549828</v>
      </c>
      <c r="AD427" s="18">
        <f>_xlfn.RANK.AVG(Table2912[[#This Row],[Index]],Table2912[Index])</f>
        <v>140</v>
      </c>
      <c r="AE42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7.3341198591595322</v>
      </c>
      <c r="AF427" s="18">
        <f>Table2912[[#This Row],[CH4 '[ml/g']]]/Table2912[[#This Row],[APB]]</f>
        <v>7.1105413668908568</v>
      </c>
      <c r="AG427" s="18">
        <f>Table2912[[#This Row],[Propionate '[%']]]/Table2912[[#This Row],[Acetate '[%']]]</f>
        <v>0.22614442888388764</v>
      </c>
      <c r="AH427" s="51"/>
      <c r="AI427" s="18"/>
      <c r="AJ427" s="18"/>
      <c r="AK427" s="18">
        <f>(Table2912[[#This Row],[DMD '[mg/g']]]-$AK$15)/$AK$15*100</f>
        <v>81.571473130020294</v>
      </c>
      <c r="AL427" s="18">
        <f>(Table2912[[#This Row],[CH4 '[ml/g']]]-AL$15)/AL$15*100</f>
        <v>32.587427460205262</v>
      </c>
      <c r="AM427" s="18">
        <f>(Table2912[[#This Row],[CH4 '[% GP']]]-AM$15)/AM$15*100</f>
        <v>13.486574775373047</v>
      </c>
      <c r="AN427" s="18">
        <f>(Table2912[[#This Row],[CH4 '[g/g DDM']]]-AN$15)/AN$15*100</f>
        <v>14.379756320388287</v>
      </c>
      <c r="AO427" s="18"/>
      <c r="AP427" s="18"/>
      <c r="AQ427" t="e">
        <f t="shared" si="29"/>
        <v>#DIV/0!</v>
      </c>
      <c r="AR427">
        <f>_xlfn.NORM.DIST(Table2912[[#This Row],[GP '[ml/g']]],O$6,O$2,FALSE)</f>
        <v>5.6025087471621498E-3</v>
      </c>
      <c r="AS427">
        <f>_xlfn.NORM.DIST(Table2912[[#This Row],[SCFA '[mmol/g']]],P$6,P$2,FALSE)</f>
        <v>0.20373084465041011</v>
      </c>
      <c r="AT427">
        <f>_xlfn.NORM.DIST(Table2912[[#This Row],[Acetate '[%']]],Q$6,Q$2,FALSE)</f>
        <v>7.9741105086448254</v>
      </c>
      <c r="AU427">
        <f>_xlfn.NORM.DIST(Table2912[[#This Row],[Propionate '[%']]],R$6,R$2,FALSE)</f>
        <v>14.520198892859502</v>
      </c>
      <c r="AV427">
        <f>_xlfn.NORM.DIST(Table2912[[#This Row],[Butyrate '[%']]],S$6,S$2,FALSE)</f>
        <v>21.714744510485438</v>
      </c>
      <c r="AW427">
        <f>_xlfn.NORM.DIST(Table2912[[#This Row],[Valerate '[%']]],T$6,T$2,FALSE)</f>
        <v>49.118555647905296</v>
      </c>
      <c r="AX427">
        <f>_xlfn.NORM.DIST(Table2912[[#This Row],[Caproate '[%']]],U$6,U$2,FALSE)</f>
        <v>406.33666458600834</v>
      </c>
      <c r="AY427">
        <f>_xlfn.NORM.DIST(Table2912[[#This Row],[Isobutyrate '[%']]],V$6,V$2,FALSE)</f>
        <v>75.508985121698188</v>
      </c>
      <c r="AZ427">
        <f>_xlfn.NORM.DIST(Table2912[[#This Row],[Isovalerate '[%']]],W$6,W$2,FALSE)</f>
        <v>40.740503502350734</v>
      </c>
      <c r="BA427">
        <f>_xlfn.NORM.DIST(Table2912[[#This Row],[CH4 '[g/mmol SCFA']]],X$6,X$2,FALSE)</f>
        <v>0.27984934445201054</v>
      </c>
      <c r="BB427">
        <f>_xlfn.NORM.DIST(Table2912[[#This Row],[DMD '[mg/g']]],Y$6,Y$2,FALSE)</f>
        <v>2.0578509619525415E-3</v>
      </c>
      <c r="BC427">
        <f>_xlfn.NORM.DIST(Table2912[[#This Row],[CH4 '[ml/g']]],Z$6,Z$2,FALSE)</f>
        <v>2.2287675211515649E-2</v>
      </c>
      <c r="BD427">
        <f>_xlfn.NORM.DIST(Table2912[[#This Row],[CH4 '[% GP']]],AA$6,AA$2,FALSE)</f>
        <v>0.11752298647471256</v>
      </c>
      <c r="BE427">
        <f>_xlfn.NORM.DIST(Table2912[[#This Row],[CH4 '[g/g DDM']]],AB$6,AB$2,FALSE)</f>
        <v>2.9946578165175538E-2</v>
      </c>
      <c r="BG427">
        <f>IF(Table2912[[#This Row],[GP '[ml/g']]]&lt;O$10,_xlfn.NORM.DIST(Table2912[[#This Row],[GP '[ml/g']]],O$6,O$2,FALSE),-100)</f>
        <v>-100</v>
      </c>
      <c r="BH427">
        <f>IF(Table2912[[#This Row],[SCFA '[mmol/g']]]&lt;P$10,_xlfn.NORM.DIST(Table2912[[#This Row],[SCFA '[mmol/g']]],P$6,P$2,FALSE),-100)</f>
        <v>-100</v>
      </c>
      <c r="BI427">
        <f>IF(Table2912[[#This Row],[Acetate '[%']]]&lt;Q$10,_xlfn.NORM.DIST(Table2912[[#This Row],[Acetate '[%']]],Q$6,Q$2,FALSE),-100)</f>
        <v>-100</v>
      </c>
      <c r="BJ427">
        <f>IF(Table2912[[#This Row],[Propionate '[%']]]&lt;R$10,_xlfn.NORM.DIST(Table2912[[#This Row],[Propionate '[%']]],R$6,R$2,FALSE),-100)</f>
        <v>-100</v>
      </c>
      <c r="BK427">
        <f>IF(Table2912[[#This Row],[Butyrate '[%']]]&lt;S$10,_xlfn.NORM.DIST(Table2912[[#This Row],[Butyrate '[%']]],S$6,S$2,FALSE),-100)</f>
        <v>-100</v>
      </c>
      <c r="BL427">
        <f>IF(Table2912[[#This Row],[Valerate '[%']]]&lt;T$10,_xlfn.NORM.DIST(Table2912[[#This Row],[Valerate '[%']]],T$6,T$2,FALSE),-100)</f>
        <v>-100</v>
      </c>
      <c r="BM427">
        <f>IF(Table2912[[#This Row],[Caproate '[%']]]&lt;U$10,_xlfn.NORM.DIST(Table2912[[#This Row],[Caproate '[%']]],U$6,U$2,FALSE),-100)</f>
        <v>-100</v>
      </c>
      <c r="BN427">
        <f>IF(Table2912[[#This Row],[Isobutyrate '[%']]]&lt;V$10,_xlfn.NORM.DIST(Table2912[[#This Row],[Isobutyrate '[%']]],V$6,V$2,FALSE),-100)</f>
        <v>-100</v>
      </c>
      <c r="BO427">
        <f>IF(Table2912[[#This Row],[Isovalerate '[%']]]&lt;W$10,_xlfn.NORM.DIST(Table2912[[#This Row],[Isovalerate '[%']]],W$6,W$2,FALSE),-100)</f>
        <v>-100</v>
      </c>
      <c r="BP427">
        <f>IF(Table2912[[#This Row],[CH4 '[g/mmol SCFA']]]&lt;X$10,_xlfn.NORM.DIST(Table2912[[#This Row],[CH4 '[g/mmol SCFA']]],X$6,X$2,FALSE),-100)</f>
        <v>-100</v>
      </c>
      <c r="BQ427">
        <f>IF(Table2912[[#This Row],[DMD '[mg/g']]]&gt;Y$10,_xlfn.NORM.DIST(Table2912[[#This Row],[DMD '[mg/g']]],Y$6,Y$2,FALSE),-100)</f>
        <v>-100</v>
      </c>
      <c r="BR427">
        <f>IF(Table2912[[#This Row],[CH4 '[ml/g']]]&lt;Z$10,_xlfn.NORM.DIST(Table2912[[#This Row],[CH4 '[ml/g']]],Z$6,Z$2,FALSE),-100)</f>
        <v>-100</v>
      </c>
      <c r="BS427">
        <f>IF(Table2912[[#This Row],[CH4 '[% GP']]]&lt;AA$10,_xlfn.NORM.DIST(Table2912[[#This Row],[CH4 '[% GP']]],AA$6,AA$2,FALSE),-100)</f>
        <v>-100</v>
      </c>
      <c r="BT427">
        <f>IF(Table2912[[#This Row],[CH4 '[g/g DDM']]]&lt;AB$10,_xlfn.NORM.DIST(Table2912[[#This Row],[CH4 '[g/g DDM']]],AB$6,AB$2,FALSE),-100)</f>
        <v>-100</v>
      </c>
    </row>
    <row r="428" spans="1:72" x14ac:dyDescent="0.25">
      <c r="A428" s="12" t="s">
        <v>200</v>
      </c>
      <c r="B428" s="13">
        <v>1206</v>
      </c>
      <c r="C428" s="113" t="s">
        <v>525</v>
      </c>
      <c r="D428" s="113" t="s">
        <v>262</v>
      </c>
      <c r="E428" s="113" t="s">
        <v>411</v>
      </c>
      <c r="F428" s="113" t="s">
        <v>412</v>
      </c>
      <c r="G428" t="s">
        <v>73</v>
      </c>
      <c r="H428" t="s">
        <v>74</v>
      </c>
      <c r="I428" t="s">
        <v>75</v>
      </c>
      <c r="J428" s="70">
        <v>2</v>
      </c>
      <c r="K428" s="70"/>
      <c r="L428" s="70"/>
      <c r="M428" t="s">
        <v>526</v>
      </c>
      <c r="N428" t="s">
        <v>352</v>
      </c>
      <c r="O428" s="18">
        <v>289.08137961143905</v>
      </c>
      <c r="P428" s="18">
        <v>7.4817725387469967</v>
      </c>
      <c r="Q428" s="97">
        <v>0.64693685849853533</v>
      </c>
      <c r="R428" s="97">
        <v>0.1749947851425579</v>
      </c>
      <c r="S428" s="97">
        <v>0.10117280155748197</v>
      </c>
      <c r="T428" s="97">
        <v>2.0481801056057305E-2</v>
      </c>
      <c r="U428" s="97">
        <v>4.0408739173228127E-3</v>
      </c>
      <c r="V428" s="97">
        <v>1.8527310041111127E-2</v>
      </c>
      <c r="W428" s="97">
        <v>3.3845569786933635E-2</v>
      </c>
      <c r="X428" s="51">
        <f t="shared" si="26"/>
        <v>6.8212979255427486</v>
      </c>
      <c r="Y428" s="18">
        <v>891.39925780397311</v>
      </c>
      <c r="Z428" s="18">
        <v>51.03539949793759</v>
      </c>
      <c r="AA428" s="18">
        <f t="shared" si="27"/>
        <v>17.654336493943486</v>
      </c>
      <c r="AB428" s="18">
        <f t="shared" si="28"/>
        <v>57.253132141557991</v>
      </c>
      <c r="AC428" s="18">
        <f>$CP$15*Table2912[[#This Row],[DMD '[mg/g']]]+$CS$15*Table2912[[#This Row],[CH4 '[ml/g']]]+$CR$15*Table2912[[#This Row],[CH4 '[% GP']]]+$CQ$15*Table2912[[#This Row],[CH4 '[g/g DDM']]]</f>
        <v>21.991921035126445</v>
      </c>
      <c r="AD428" s="18">
        <f>_xlfn.RANK.AVG(Table2912[[#This Row],[Index]],Table2912[Index])</f>
        <v>135</v>
      </c>
      <c r="AE42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6.9064574884819816</v>
      </c>
      <c r="AF428" s="18">
        <f>Table2912[[#This Row],[CH4 '[ml/g']]]/Table2912[[#This Row],[APB]]</f>
        <v>7.3895190961575032</v>
      </c>
      <c r="AG428" s="18">
        <f>Table2912[[#This Row],[Propionate '[%']]]/Table2912[[#This Row],[Acetate '[%']]]</f>
        <v>0.27049747257978202</v>
      </c>
      <c r="AH428" s="51"/>
      <c r="AI428" s="18"/>
      <c r="AJ428" s="18"/>
      <c r="AK428" s="18">
        <f>(Table2912[[#This Row],[DMD '[mg/g']]]-$AK$15)/$AK$15*100</f>
        <v>81.810939909692394</v>
      </c>
      <c r="AL428" s="18">
        <f>(Table2912[[#This Row],[CH4 '[ml/g']]]-AL$15)/AL$15*100</f>
        <v>29.75472823178756</v>
      </c>
      <c r="AM428" s="18">
        <f>(Table2912[[#This Row],[CH4 '[% GP']]]-AM$15)/AM$15*100</f>
        <v>13.734918921994893</v>
      </c>
      <c r="AN428" s="18">
        <f>(Table2912[[#This Row],[CH4 '[g/g DDM']]]-AN$15)/AN$15*100</f>
        <v>11.788626511954993</v>
      </c>
      <c r="AO428" s="18"/>
      <c r="AP428" s="18"/>
      <c r="AQ428" t="e">
        <f t="shared" si="29"/>
        <v>#DIV/0!</v>
      </c>
      <c r="AR428">
        <f>_xlfn.NORM.DIST(Table2912[[#This Row],[GP '[ml/g']]],O$6,O$2,FALSE)</f>
        <v>6.1342001979073279E-3</v>
      </c>
      <c r="AS428">
        <f>_xlfn.NORM.DIST(Table2912[[#This Row],[SCFA '[mmol/g']]],P$6,P$2,FALSE)</f>
        <v>0.2440104012895703</v>
      </c>
      <c r="AT428">
        <f>_xlfn.NORM.DIST(Table2912[[#This Row],[Acetate '[%']]],Q$6,Q$2,FALSE)</f>
        <v>9.1802985324365061</v>
      </c>
      <c r="AU428">
        <f>_xlfn.NORM.DIST(Table2912[[#This Row],[Propionate '[%']]],R$6,R$2,FALSE)</f>
        <v>16.646255958989649</v>
      </c>
      <c r="AV428">
        <f>_xlfn.NORM.DIST(Table2912[[#This Row],[Butyrate '[%']]],S$6,S$2,FALSE)</f>
        <v>20.560338692203903</v>
      </c>
      <c r="AW428">
        <f>_xlfn.NORM.DIST(Table2912[[#This Row],[Valerate '[%']]],T$6,T$2,FALSE)</f>
        <v>66.618540856285122</v>
      </c>
      <c r="AX428">
        <f>_xlfn.NORM.DIST(Table2912[[#This Row],[Caproate '[%']]],U$6,U$2,FALSE)</f>
        <v>8.9754829591169045</v>
      </c>
      <c r="AY428">
        <f>_xlfn.NORM.DIST(Table2912[[#This Row],[Isobutyrate '[%']]],V$6,V$2,FALSE)</f>
        <v>69.30324592844336</v>
      </c>
      <c r="AZ428">
        <f>_xlfn.NORM.DIST(Table2912[[#This Row],[Isovalerate '[%']]],W$6,W$2,FALSE)</f>
        <v>36.110707058940399</v>
      </c>
      <c r="BA428">
        <f>_xlfn.NORM.DIST(Table2912[[#This Row],[CH4 '[g/mmol SCFA']]],X$6,X$2,FALSE)</f>
        <v>0.27437745055619089</v>
      </c>
      <c r="BB428">
        <f>_xlfn.NORM.DIST(Table2912[[#This Row],[DMD '[mg/g']]],Y$6,Y$2,FALSE)</f>
        <v>2.0430830155718236E-3</v>
      </c>
      <c r="BC428">
        <f>_xlfn.NORM.DIST(Table2912[[#This Row],[CH4 '[ml/g']]],Z$6,Z$2,FALSE)</f>
        <v>2.4146824765494145E-2</v>
      </c>
      <c r="BD428">
        <f>_xlfn.NORM.DIST(Table2912[[#This Row],[CH4 '[% GP']]],AA$6,AA$2,FALSE)</f>
        <v>0.11671635687483187</v>
      </c>
      <c r="BE428">
        <f>_xlfn.NORM.DIST(Table2912[[#This Row],[CH4 '[g/g DDM']]],AB$6,AB$2,FALSE)</f>
        <v>3.1201719513693379E-2</v>
      </c>
      <c r="BG428">
        <f>IF(Table2912[[#This Row],[GP '[ml/g']]]&lt;O$10,_xlfn.NORM.DIST(Table2912[[#This Row],[GP '[ml/g']]],O$6,O$2,FALSE),-100)</f>
        <v>-100</v>
      </c>
      <c r="BH428">
        <f>IF(Table2912[[#This Row],[SCFA '[mmol/g']]]&lt;P$10,_xlfn.NORM.DIST(Table2912[[#This Row],[SCFA '[mmol/g']]],P$6,P$2,FALSE),-100)</f>
        <v>-100</v>
      </c>
      <c r="BI428">
        <f>IF(Table2912[[#This Row],[Acetate '[%']]]&lt;Q$10,_xlfn.NORM.DIST(Table2912[[#This Row],[Acetate '[%']]],Q$6,Q$2,FALSE),-100)</f>
        <v>-100</v>
      </c>
      <c r="BJ428">
        <f>IF(Table2912[[#This Row],[Propionate '[%']]]&lt;R$10,_xlfn.NORM.DIST(Table2912[[#This Row],[Propionate '[%']]],R$6,R$2,FALSE),-100)</f>
        <v>-100</v>
      </c>
      <c r="BK428">
        <f>IF(Table2912[[#This Row],[Butyrate '[%']]]&lt;S$10,_xlfn.NORM.DIST(Table2912[[#This Row],[Butyrate '[%']]],S$6,S$2,FALSE),-100)</f>
        <v>-100</v>
      </c>
      <c r="BL428">
        <f>IF(Table2912[[#This Row],[Valerate '[%']]]&lt;T$10,_xlfn.NORM.DIST(Table2912[[#This Row],[Valerate '[%']]],T$6,T$2,FALSE),-100)</f>
        <v>-100</v>
      </c>
      <c r="BM428">
        <f>IF(Table2912[[#This Row],[Caproate '[%']]]&lt;U$10,_xlfn.NORM.DIST(Table2912[[#This Row],[Caproate '[%']]],U$6,U$2,FALSE),-100)</f>
        <v>-100</v>
      </c>
      <c r="BN428">
        <f>IF(Table2912[[#This Row],[Isobutyrate '[%']]]&lt;V$10,_xlfn.NORM.DIST(Table2912[[#This Row],[Isobutyrate '[%']]],V$6,V$2,FALSE),-100)</f>
        <v>-100</v>
      </c>
      <c r="BO428">
        <f>IF(Table2912[[#This Row],[Isovalerate '[%']]]&lt;W$10,_xlfn.NORM.DIST(Table2912[[#This Row],[Isovalerate '[%']]],W$6,W$2,FALSE),-100)</f>
        <v>-100</v>
      </c>
      <c r="BP428">
        <f>IF(Table2912[[#This Row],[CH4 '[g/mmol SCFA']]]&lt;X$10,_xlfn.NORM.DIST(Table2912[[#This Row],[CH4 '[g/mmol SCFA']]],X$6,X$2,FALSE),-100)</f>
        <v>-100</v>
      </c>
      <c r="BQ428">
        <f>IF(Table2912[[#This Row],[DMD '[mg/g']]]&gt;Y$10,_xlfn.NORM.DIST(Table2912[[#This Row],[DMD '[mg/g']]],Y$6,Y$2,FALSE),-100)</f>
        <v>-100</v>
      </c>
      <c r="BR428">
        <f>IF(Table2912[[#This Row],[CH4 '[ml/g']]]&lt;Z$10,_xlfn.NORM.DIST(Table2912[[#This Row],[CH4 '[ml/g']]],Z$6,Z$2,FALSE),-100)</f>
        <v>-100</v>
      </c>
      <c r="BS428">
        <f>IF(Table2912[[#This Row],[CH4 '[% GP']]]&lt;AA$10,_xlfn.NORM.DIST(Table2912[[#This Row],[CH4 '[% GP']]],AA$6,AA$2,FALSE),-100)</f>
        <v>-100</v>
      </c>
      <c r="BT428">
        <f>IF(Table2912[[#This Row],[CH4 '[g/g DDM']]]&lt;AB$10,_xlfn.NORM.DIST(Table2912[[#This Row],[CH4 '[g/g DDM']]],AB$6,AB$2,FALSE),-100)</f>
        <v>-100</v>
      </c>
    </row>
    <row r="429" spans="1:72" x14ac:dyDescent="0.25">
      <c r="A429" s="12" t="s">
        <v>200</v>
      </c>
      <c r="B429" s="13">
        <v>1152</v>
      </c>
      <c r="C429" s="117" t="s">
        <v>497</v>
      </c>
      <c r="D429" s="117" t="s">
        <v>408</v>
      </c>
      <c r="E429" s="117" t="s">
        <v>213</v>
      </c>
      <c r="F429" s="117" t="s">
        <v>214</v>
      </c>
      <c r="G429" t="s">
        <v>73</v>
      </c>
      <c r="H429" t="s">
        <v>74</v>
      </c>
      <c r="I429" t="s">
        <v>75</v>
      </c>
      <c r="J429" s="70">
        <v>2</v>
      </c>
      <c r="K429" s="70"/>
      <c r="L429" s="70"/>
      <c r="M429" t="s">
        <v>498</v>
      </c>
      <c r="N429" t="s">
        <v>237</v>
      </c>
      <c r="O429" s="18">
        <v>300.36483322288501</v>
      </c>
      <c r="P429" s="18">
        <v>7.2892619132101526</v>
      </c>
      <c r="Q429" s="97">
        <v>0.67816933635174481</v>
      </c>
      <c r="R429" s="97">
        <v>0.17031262448013559</v>
      </c>
      <c r="S429" s="97">
        <v>8.9270306068048061E-2</v>
      </c>
      <c r="T429" s="97">
        <v>1.7085959395929988E-2</v>
      </c>
      <c r="U429" s="97">
        <v>1.389451350071228E-3</v>
      </c>
      <c r="V429" s="97">
        <v>1.5275897972592028E-2</v>
      </c>
      <c r="W429" s="97">
        <v>2.8496424381478397E-2</v>
      </c>
      <c r="X429" s="51">
        <f t="shared" si="26"/>
        <v>7.4641170790652911</v>
      </c>
      <c r="Y429" s="18">
        <v>892.56151629157694</v>
      </c>
      <c r="Z429" s="18">
        <v>54.407904340172038</v>
      </c>
      <c r="AA429" s="18">
        <f t="shared" si="27"/>
        <v>18.113939556898387</v>
      </c>
      <c r="AB429" s="18">
        <f t="shared" si="28"/>
        <v>60.957035842444249</v>
      </c>
      <c r="AC429" s="18">
        <f>$CP$15*Table2912[[#This Row],[DMD '[mg/g']]]+$CS$15*Table2912[[#This Row],[CH4 '[ml/g']]]+$CR$15*Table2912[[#This Row],[CH4 '[% GP']]]+$CQ$15*Table2912[[#This Row],[CH4 '[g/g DDM']]]</f>
        <v>20.635832532941741</v>
      </c>
      <c r="AD429" s="18">
        <f>_xlfn.RANK.AVG(Table2912[[#This Row],[Index]],Table2912[Index])</f>
        <v>151</v>
      </c>
      <c r="AE42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6.8355218831401299</v>
      </c>
      <c r="AF429" s="18">
        <f>Table2912[[#This Row],[CH4 '[ml/g']]]/Table2912[[#This Row],[APB]]</f>
        <v>7.9595830823641389</v>
      </c>
      <c r="AG429" s="18">
        <f>Table2912[[#This Row],[Propionate '[%']]]/Table2912[[#This Row],[Acetate '[%']]]</f>
        <v>0.25113583783711485</v>
      </c>
      <c r="AH429" s="51"/>
      <c r="AI429" s="18"/>
      <c r="AJ429" s="18"/>
      <c r="AK429" s="18">
        <f>(Table2912[[#This Row],[DMD '[mg/g']]]-$AK$15)/$AK$15*100</f>
        <v>82.047995646725255</v>
      </c>
      <c r="AL429" s="18">
        <f>(Table2912[[#This Row],[CH4 '[ml/g']]]-AL$15)/AL$15*100</f>
        <v>38.329138417059106</v>
      </c>
      <c r="AM429" s="18">
        <f>(Table2912[[#This Row],[CH4 '[% GP']]]-AM$15)/AM$15*100</f>
        <v>16.695829807510698</v>
      </c>
      <c r="AN429" s="18">
        <f>(Table2912[[#This Row],[CH4 '[g/g DDM']]]-AN$15)/AN$15*100</f>
        <v>19.0206205001769</v>
      </c>
      <c r="AO429" s="18"/>
      <c r="AP429" s="18"/>
      <c r="AQ429" t="e">
        <f t="shared" si="29"/>
        <v>#DIV/0!</v>
      </c>
      <c r="AR429">
        <f>_xlfn.NORM.DIST(Table2912[[#This Row],[GP '[ml/g']]],O$6,O$2,FALSE)</f>
        <v>5.2501671449964376E-3</v>
      </c>
      <c r="AS429">
        <f>_xlfn.NORM.DIST(Table2912[[#This Row],[SCFA '[mmol/g']]],P$6,P$2,FALSE)</f>
        <v>0.27335820492007418</v>
      </c>
      <c r="AT429">
        <f>_xlfn.NORM.DIST(Table2912[[#This Row],[Acetate '[%']]],Q$6,Q$2,FALSE)</f>
        <v>13.808002277795181</v>
      </c>
      <c r="AU429">
        <f>_xlfn.NORM.DIST(Table2912[[#This Row],[Propionate '[%']]],R$6,R$2,FALSE)</f>
        <v>16.755164188916389</v>
      </c>
      <c r="AV429">
        <f>_xlfn.NORM.DIST(Table2912[[#This Row],[Butyrate '[%']]],S$6,S$2,FALSE)</f>
        <v>22.524034804470304</v>
      </c>
      <c r="AW429">
        <f>_xlfn.NORM.DIST(Table2912[[#This Row],[Valerate '[%']]],T$6,T$2,FALSE)</f>
        <v>76.918389256969917</v>
      </c>
      <c r="AX429">
        <f>_xlfn.NORM.DIST(Table2912[[#This Row],[Caproate '[%']]],U$6,U$2,FALSE)</f>
        <v>406.24176533319735</v>
      </c>
      <c r="AY429">
        <f>_xlfn.NORM.DIST(Table2912[[#This Row],[Isobutyrate '[%']]],V$6,V$2,FALSE)</f>
        <v>90.154365174987518</v>
      </c>
      <c r="AZ429">
        <f>_xlfn.NORM.DIST(Table2912[[#This Row],[Isovalerate '[%']]],W$6,W$2,FALSE)</f>
        <v>45.323509940395915</v>
      </c>
      <c r="BA429">
        <f>_xlfn.NORM.DIST(Table2912[[#This Row],[CH4 '[g/mmol SCFA']]],X$6,X$2,FALSE)</f>
        <v>0.20180082402530369</v>
      </c>
      <c r="BB429">
        <f>_xlfn.NORM.DIST(Table2912[[#This Row],[DMD '[mg/g']]],Y$6,Y$2,FALSE)</f>
        <v>2.0284209986147113E-3</v>
      </c>
      <c r="BC429">
        <f>_xlfn.NORM.DIST(Table2912[[#This Row],[CH4 '[ml/g']]],Z$6,Z$2,FALSE)</f>
        <v>1.8444668893734462E-2</v>
      </c>
      <c r="BD429">
        <f>_xlfn.NORM.DIST(Table2912[[#This Row],[CH4 '[% GP']]],AA$6,AA$2,FALSE)</f>
        <v>0.10612087812253793</v>
      </c>
      <c r="BE429">
        <f>_xlfn.NORM.DIST(Table2912[[#This Row],[CH4 '[g/g DDM']]],AB$6,AB$2,FALSE)</f>
        <v>2.700516228162745E-2</v>
      </c>
      <c r="BG429">
        <f>IF(Table2912[[#This Row],[GP '[ml/g']]]&lt;O$10,_xlfn.NORM.DIST(Table2912[[#This Row],[GP '[ml/g']]],O$6,O$2,FALSE),-100)</f>
        <v>-100</v>
      </c>
      <c r="BH429">
        <f>IF(Table2912[[#This Row],[SCFA '[mmol/g']]]&lt;P$10,_xlfn.NORM.DIST(Table2912[[#This Row],[SCFA '[mmol/g']]],P$6,P$2,FALSE),-100)</f>
        <v>-100</v>
      </c>
      <c r="BI429">
        <f>IF(Table2912[[#This Row],[Acetate '[%']]]&lt;Q$10,_xlfn.NORM.DIST(Table2912[[#This Row],[Acetate '[%']]],Q$6,Q$2,FALSE),-100)</f>
        <v>-100</v>
      </c>
      <c r="BJ429">
        <f>IF(Table2912[[#This Row],[Propionate '[%']]]&lt;R$10,_xlfn.NORM.DIST(Table2912[[#This Row],[Propionate '[%']]],R$6,R$2,FALSE),-100)</f>
        <v>-100</v>
      </c>
      <c r="BK429">
        <f>IF(Table2912[[#This Row],[Butyrate '[%']]]&lt;S$10,_xlfn.NORM.DIST(Table2912[[#This Row],[Butyrate '[%']]],S$6,S$2,FALSE),-100)</f>
        <v>-100</v>
      </c>
      <c r="BL429">
        <f>IF(Table2912[[#This Row],[Valerate '[%']]]&lt;T$10,_xlfn.NORM.DIST(Table2912[[#This Row],[Valerate '[%']]],T$6,T$2,FALSE),-100)</f>
        <v>-100</v>
      </c>
      <c r="BM429">
        <f>IF(Table2912[[#This Row],[Caproate '[%']]]&lt;U$10,_xlfn.NORM.DIST(Table2912[[#This Row],[Caproate '[%']]],U$6,U$2,FALSE),-100)</f>
        <v>-100</v>
      </c>
      <c r="BN429">
        <f>IF(Table2912[[#This Row],[Isobutyrate '[%']]]&lt;V$10,_xlfn.NORM.DIST(Table2912[[#This Row],[Isobutyrate '[%']]],V$6,V$2,FALSE),-100)</f>
        <v>-100</v>
      </c>
      <c r="BO429">
        <f>IF(Table2912[[#This Row],[Isovalerate '[%']]]&lt;W$10,_xlfn.NORM.DIST(Table2912[[#This Row],[Isovalerate '[%']]],W$6,W$2,FALSE),-100)</f>
        <v>-100</v>
      </c>
      <c r="BP429">
        <f>IF(Table2912[[#This Row],[CH4 '[g/mmol SCFA']]]&lt;X$10,_xlfn.NORM.DIST(Table2912[[#This Row],[CH4 '[g/mmol SCFA']]],X$6,X$2,FALSE),-100)</f>
        <v>-100</v>
      </c>
      <c r="BQ429">
        <f>IF(Table2912[[#This Row],[DMD '[mg/g']]]&gt;Y$10,_xlfn.NORM.DIST(Table2912[[#This Row],[DMD '[mg/g']]],Y$6,Y$2,FALSE),-100)</f>
        <v>-100</v>
      </c>
      <c r="BR429">
        <f>IF(Table2912[[#This Row],[CH4 '[ml/g']]]&lt;Z$10,_xlfn.NORM.DIST(Table2912[[#This Row],[CH4 '[ml/g']]],Z$6,Z$2,FALSE),-100)</f>
        <v>-100</v>
      </c>
      <c r="BS429">
        <f>IF(Table2912[[#This Row],[CH4 '[% GP']]]&lt;AA$10,_xlfn.NORM.DIST(Table2912[[#This Row],[CH4 '[% GP']]],AA$6,AA$2,FALSE),-100)</f>
        <v>-100</v>
      </c>
      <c r="BT429">
        <f>IF(Table2912[[#This Row],[CH4 '[g/g DDM']]]&lt;AB$10,_xlfn.NORM.DIST(Table2912[[#This Row],[CH4 '[g/g DDM']]],AB$6,AB$2,FALSE),-100)</f>
        <v>-100</v>
      </c>
    </row>
    <row r="430" spans="1:72" x14ac:dyDescent="0.25">
      <c r="A430" s="12" t="s">
        <v>200</v>
      </c>
      <c r="B430" s="13">
        <v>1192</v>
      </c>
      <c r="C430" s="113" t="s">
        <v>527</v>
      </c>
      <c r="D430" s="113" t="s">
        <v>528</v>
      </c>
      <c r="E430" s="113" t="s">
        <v>529</v>
      </c>
      <c r="F430" s="113" t="s">
        <v>530</v>
      </c>
      <c r="G430" s="130" t="s">
        <v>349</v>
      </c>
      <c r="H430" s="130" t="s">
        <v>350</v>
      </c>
      <c r="I430" t="s">
        <v>48</v>
      </c>
      <c r="J430" s="70">
        <v>2</v>
      </c>
      <c r="K430" s="70"/>
      <c r="L430" s="70"/>
      <c r="M430" t="s">
        <v>531</v>
      </c>
      <c r="N430" t="s">
        <v>208</v>
      </c>
      <c r="O430" s="18">
        <v>263.38919937902045</v>
      </c>
      <c r="P430" s="18">
        <v>6.7065388977556788</v>
      </c>
      <c r="Q430" s="97">
        <v>0.71587131959276107</v>
      </c>
      <c r="R430" s="97">
        <v>0.15560888145371629</v>
      </c>
      <c r="S430" s="97">
        <v>8.5651410888830548E-2</v>
      </c>
      <c r="T430" s="97">
        <v>1.1878245257437487E-2</v>
      </c>
      <c r="U430" s="97">
        <v>5.90603140441146E-4</v>
      </c>
      <c r="V430" s="97">
        <v>1.2344850491718653E-2</v>
      </c>
      <c r="W430" s="97">
        <v>1.8054689175094805E-2</v>
      </c>
      <c r="X430" s="51">
        <f t="shared" si="26"/>
        <v>6.3718326488675645</v>
      </c>
      <c r="Y430" s="18">
        <v>893.44864081049855</v>
      </c>
      <c r="Z430" s="18">
        <v>42.732943509619922</v>
      </c>
      <c r="AA430" s="18">
        <f t="shared" si="27"/>
        <v>16.224258098042458</v>
      </c>
      <c r="AB430" s="18">
        <f t="shared" si="28"/>
        <v>47.829210944743743</v>
      </c>
      <c r="AC430" s="18">
        <f>$CP$15*Table2912[[#This Row],[DMD '[mg/g']]]+$CS$15*Table2912[[#This Row],[CH4 '[ml/g']]]+$CR$15*Table2912[[#This Row],[CH4 '[% GP']]]+$CQ$15*Table2912[[#This Row],[CH4 '[g/g DDM']]]</f>
        <v>25.952790884176096</v>
      </c>
      <c r="AD430" s="18">
        <f>_xlfn.RANK.AVG(Table2912[[#This Row],[Index]],Table2912[Index])</f>
        <v>81</v>
      </c>
      <c r="AE43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6.4190403857157357</v>
      </c>
      <c r="AF430" s="18">
        <f>Table2912[[#This Row],[CH4 '[ml/g']]]/Table2912[[#This Row],[APB]]</f>
        <v>6.657216802173946</v>
      </c>
      <c r="AG430" s="18">
        <f>Table2912[[#This Row],[Propionate '[%']]]/Table2912[[#This Row],[Acetate '[%']]]</f>
        <v>0.21736990600802081</v>
      </c>
      <c r="AH430" s="51"/>
      <c r="AI430" s="18"/>
      <c r="AJ430" s="18"/>
      <c r="AK430" s="18">
        <f>(Table2912[[#This Row],[DMD '[mg/g']]]-$AK$15)/$AK$15*100</f>
        <v>82.228934705390643</v>
      </c>
      <c r="AL430" s="18">
        <f>(Table2912[[#This Row],[CH4 '[ml/g']]]-AL$15)/AL$15*100</f>
        <v>8.6461853180778192</v>
      </c>
      <c r="AM430" s="18">
        <f>(Table2912[[#This Row],[CH4 '[% GP']]]-AM$15)/AM$15*100</f>
        <v>4.521893529298957</v>
      </c>
      <c r="AN430" s="18">
        <f>(Table2912[[#This Row],[CH4 '[g/g DDM']]]-AN$15)/AN$15*100</f>
        <v>-6.6118900631735738</v>
      </c>
      <c r="AO430" s="18"/>
      <c r="AP430" s="18"/>
      <c r="AQ430" t="e">
        <f t="shared" si="29"/>
        <v>#DIV/0!</v>
      </c>
      <c r="AR430">
        <f>_xlfn.NORM.DIST(Table2912[[#This Row],[GP '[ml/g']]],O$6,O$2,FALSE)</f>
        <v>7.3982733355587912E-3</v>
      </c>
      <c r="AS430">
        <f>_xlfn.NORM.DIST(Table2912[[#This Row],[SCFA '[mmol/g']]],P$6,P$2,FALSE)</f>
        <v>0.32945187896207084</v>
      </c>
      <c r="AT430">
        <f>_xlfn.NORM.DIST(Table2912[[#This Row],[Acetate '[%']]],Q$6,Q$2,FALSE)</f>
        <v>4.5335926784168521</v>
      </c>
      <c r="AU430">
        <f>_xlfn.NORM.DIST(Table2912[[#This Row],[Propionate '[%']]],R$6,R$2,FALSE)</f>
        <v>13.285974200558361</v>
      </c>
      <c r="AV430">
        <f>_xlfn.NORM.DIST(Table2912[[#This Row],[Butyrate '[%']]],S$6,S$2,FALSE)</f>
        <v>21.088418749539589</v>
      </c>
      <c r="AW430">
        <f>_xlfn.NORM.DIST(Table2912[[#This Row],[Valerate '[%']]],T$6,T$2,FALSE)</f>
        <v>41.267057720104852</v>
      </c>
      <c r="AX430">
        <f>_xlfn.NORM.DIST(Table2912[[#This Row],[Caproate '[%']]],U$6,U$2,FALSE)</f>
        <v>305.47090241727329</v>
      </c>
      <c r="AY430">
        <f>_xlfn.NORM.DIST(Table2912[[#This Row],[Isobutyrate '[%']]],V$6,V$2,FALSE)</f>
        <v>71.944033707182641</v>
      </c>
      <c r="AZ430">
        <f>_xlfn.NORM.DIST(Table2912[[#This Row],[Isovalerate '[%']]],W$6,W$2,FALSE)</f>
        <v>24.247529760790044</v>
      </c>
      <c r="BA430">
        <f>_xlfn.NORM.DIST(Table2912[[#This Row],[CH4 '[g/mmol SCFA']]],X$6,X$2,FALSE)</f>
        <v>0.29675185688228117</v>
      </c>
      <c r="BB430">
        <f>_xlfn.NORM.DIST(Table2912[[#This Row],[DMD '[mg/g']]],Y$6,Y$2,FALSE)</f>
        <v>2.0172026996716514E-3</v>
      </c>
      <c r="BC430">
        <f>_xlfn.NORM.DIST(Table2912[[#This Row],[CH4 '[ml/g']]],Z$6,Z$2,FALSE)</f>
        <v>3.3296121142404898E-2</v>
      </c>
      <c r="BD430">
        <f>_xlfn.NORM.DIST(Table2912[[#This Row],[CH4 '[% GP']]],AA$6,AA$2,FALSE)</f>
        <v>0.13453008954256626</v>
      </c>
      <c r="BE430">
        <f>_xlfn.NORM.DIST(Table2912[[#This Row],[CH4 '[g/g DDM']]],AB$6,AB$2,FALSE)</f>
        <v>2.9622008696522213E-2</v>
      </c>
      <c r="BG430">
        <f>IF(Table2912[[#This Row],[GP '[ml/g']]]&lt;O$10,_xlfn.NORM.DIST(Table2912[[#This Row],[GP '[ml/g']]],O$6,O$2,FALSE),-100)</f>
        <v>-100</v>
      </c>
      <c r="BH430">
        <f>IF(Table2912[[#This Row],[SCFA '[mmol/g']]]&lt;P$10,_xlfn.NORM.DIST(Table2912[[#This Row],[SCFA '[mmol/g']]],P$6,P$2,FALSE),-100)</f>
        <v>-100</v>
      </c>
      <c r="BI430">
        <f>IF(Table2912[[#This Row],[Acetate '[%']]]&lt;Q$10,_xlfn.NORM.DIST(Table2912[[#This Row],[Acetate '[%']]],Q$6,Q$2,FALSE),-100)</f>
        <v>-100</v>
      </c>
      <c r="BJ430">
        <f>IF(Table2912[[#This Row],[Propionate '[%']]]&lt;R$10,_xlfn.NORM.DIST(Table2912[[#This Row],[Propionate '[%']]],R$6,R$2,FALSE),-100)</f>
        <v>-100</v>
      </c>
      <c r="BK430">
        <f>IF(Table2912[[#This Row],[Butyrate '[%']]]&lt;S$10,_xlfn.NORM.DIST(Table2912[[#This Row],[Butyrate '[%']]],S$6,S$2,FALSE),-100)</f>
        <v>-100</v>
      </c>
      <c r="BL430">
        <f>IF(Table2912[[#This Row],[Valerate '[%']]]&lt;T$10,_xlfn.NORM.DIST(Table2912[[#This Row],[Valerate '[%']]],T$6,T$2,FALSE),-100)</f>
        <v>41.267057720104852</v>
      </c>
      <c r="BM430">
        <f>IF(Table2912[[#This Row],[Caproate '[%']]]&lt;U$10,_xlfn.NORM.DIST(Table2912[[#This Row],[Caproate '[%']]],U$6,U$2,FALSE),-100)</f>
        <v>-100</v>
      </c>
      <c r="BN430">
        <f>IF(Table2912[[#This Row],[Isobutyrate '[%']]]&lt;V$10,_xlfn.NORM.DIST(Table2912[[#This Row],[Isobutyrate '[%']]],V$6,V$2,FALSE),-100)</f>
        <v>-100</v>
      </c>
      <c r="BO430">
        <f>IF(Table2912[[#This Row],[Isovalerate '[%']]]&lt;W$10,_xlfn.NORM.DIST(Table2912[[#This Row],[Isovalerate '[%']]],W$6,W$2,FALSE),-100)</f>
        <v>24.247529760790044</v>
      </c>
      <c r="BP430">
        <f>IF(Table2912[[#This Row],[CH4 '[g/mmol SCFA']]]&lt;X$10,_xlfn.NORM.DIST(Table2912[[#This Row],[CH4 '[g/mmol SCFA']]],X$6,X$2,FALSE),-100)</f>
        <v>-100</v>
      </c>
      <c r="BQ430">
        <f>IF(Table2912[[#This Row],[DMD '[mg/g']]]&gt;Y$10,_xlfn.NORM.DIST(Table2912[[#This Row],[DMD '[mg/g']]],Y$6,Y$2,FALSE),-100)</f>
        <v>-100</v>
      </c>
      <c r="BR430">
        <f>IF(Table2912[[#This Row],[CH4 '[ml/g']]]&lt;Z$10,_xlfn.NORM.DIST(Table2912[[#This Row],[CH4 '[ml/g']]],Z$6,Z$2,FALSE),-100)</f>
        <v>-100</v>
      </c>
      <c r="BS430">
        <f>IF(Table2912[[#This Row],[CH4 '[% GP']]]&lt;AA$10,_xlfn.NORM.DIST(Table2912[[#This Row],[CH4 '[% GP']]],AA$6,AA$2,FALSE),-100)</f>
        <v>-100</v>
      </c>
      <c r="BT430">
        <f>IF(Table2912[[#This Row],[CH4 '[g/g DDM']]]&lt;AB$10,_xlfn.NORM.DIST(Table2912[[#This Row],[CH4 '[g/g DDM']]],AB$6,AB$2,FALSE),-100)</f>
        <v>-100</v>
      </c>
    </row>
    <row r="431" spans="1:72" x14ac:dyDescent="0.25">
      <c r="A431" s="12" t="s">
        <v>86</v>
      </c>
      <c r="B431" s="13">
        <v>1091</v>
      </c>
      <c r="C431" s="104" t="s">
        <v>472</v>
      </c>
      <c r="D431" s="104" t="s">
        <v>473</v>
      </c>
      <c r="E431" s="104" t="s">
        <v>474</v>
      </c>
      <c r="F431" s="104" t="s">
        <v>475</v>
      </c>
      <c r="G431" s="32" t="s">
        <v>143</v>
      </c>
      <c r="H431" s="32" t="s">
        <v>144</v>
      </c>
      <c r="I431" s="32" t="s">
        <v>52</v>
      </c>
      <c r="J431" s="100">
        <v>2</v>
      </c>
      <c r="K431" s="100"/>
      <c r="L431" s="100"/>
      <c r="M431" t="s">
        <v>475</v>
      </c>
      <c r="N431" t="s">
        <v>145</v>
      </c>
      <c r="O431" s="18">
        <v>327.94479787939065</v>
      </c>
      <c r="P431" s="18">
        <v>7.0143364898790672</v>
      </c>
      <c r="Q431" s="97">
        <v>0.62599324799568512</v>
      </c>
      <c r="R431" s="97">
        <v>0.16648639146869759</v>
      </c>
      <c r="S431" s="97">
        <v>0.10937392544740458</v>
      </c>
      <c r="T431" s="97">
        <v>2.901243433437483E-2</v>
      </c>
      <c r="U431" s="97">
        <v>1.6776556648289383E-3</v>
      </c>
      <c r="V431" s="97">
        <v>2.3333820002941253E-2</v>
      </c>
      <c r="W431" s="97">
        <v>4.4122525086067774E-2</v>
      </c>
      <c r="X431" s="51">
        <f t="shared" si="26"/>
        <v>7.9282076520935938</v>
      </c>
      <c r="Y431" s="18">
        <v>893.63444553139686</v>
      </c>
      <c r="Z431" s="18">
        <v>55.611116233418542</v>
      </c>
      <c r="AA431" s="18">
        <f t="shared" si="27"/>
        <v>16.957462534249689</v>
      </c>
      <c r="AB431" s="18">
        <f t="shared" si="28"/>
        <v>62.230273812184542</v>
      </c>
      <c r="AC431" s="18">
        <f>$CP$15*Table2912[[#This Row],[DMD '[mg/g']]]+$CS$15*Table2912[[#This Row],[CH4 '[ml/g']]]+$CR$15*Table2912[[#This Row],[CH4 '[% GP']]]+$CQ$15*Table2912[[#This Row],[CH4 '[g/g DDM']]]</f>
        <v>20.626663537525417</v>
      </c>
      <c r="AD431" s="18">
        <f>_xlfn.RANK.AVG(Table2912[[#This Row],[Index]],Table2912[Index])</f>
        <v>152</v>
      </c>
      <c r="AE43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6.3259043688882706</v>
      </c>
      <c r="AF431" s="18">
        <f>Table2912[[#This Row],[CH4 '[ml/g']]]/Table2912[[#This Row],[APB]]</f>
        <v>8.7910143736794701</v>
      </c>
      <c r="AG431" s="18">
        <f>Table2912[[#This Row],[Propionate '[%']]]/Table2912[[#This Row],[Acetate '[%']]]</f>
        <v>0.26595557060999669</v>
      </c>
      <c r="AH431" s="51"/>
      <c r="AI431" s="18"/>
      <c r="AJ431" s="18"/>
      <c r="AK431" s="18">
        <f>(Table2912[[#This Row],[DMD '[mg/g']]]-$AK$15)/$AK$15*100</f>
        <v>82.266831675407644</v>
      </c>
      <c r="AL431" s="18">
        <f>(Table2912[[#This Row],[CH4 '[ml/g']]]-AL$15)/AL$15*100</f>
        <v>41.388239232362096</v>
      </c>
      <c r="AM431" s="18">
        <f>(Table2912[[#This Row],[CH4 '[% GP']]]-AM$15)/AM$15*100</f>
        <v>9.2454325381925848</v>
      </c>
      <c r="AN431" s="18">
        <f>(Table2912[[#This Row],[CH4 '[g/g DDM']]]-AN$15)/AN$15*100</f>
        <v>21.506659578496993</v>
      </c>
      <c r="AO431" s="18"/>
      <c r="AP431" s="18"/>
      <c r="AQ431" t="e">
        <f t="shared" si="29"/>
        <v>#DIV/0!</v>
      </c>
      <c r="AR431">
        <f>_xlfn.NORM.DIST(Table2912[[#This Row],[GP '[ml/g']]],O$6,O$2,FALSE)</f>
        <v>2.9727420859360434E-3</v>
      </c>
      <c r="AS431">
        <f>_xlfn.NORM.DIST(Table2912[[#This Row],[SCFA '[mmol/g']]],P$6,P$2,FALSE)</f>
        <v>0.30743884153844303</v>
      </c>
      <c r="AT431">
        <f>_xlfn.NORM.DIST(Table2912[[#This Row],[Acetate '[%']]],Q$6,Q$2,FALSE)</f>
        <v>3.5533301910163888</v>
      </c>
      <c r="AU431">
        <f>_xlfn.NORM.DIST(Table2912[[#This Row],[Propionate '[%']]],R$6,R$2,FALSE)</f>
        <v>16.365904678914312</v>
      </c>
      <c r="AV431">
        <f>_xlfn.NORM.DIST(Table2912[[#This Row],[Butyrate '[%']]],S$6,S$2,FALSE)</f>
        <v>14.669837805795586</v>
      </c>
      <c r="AW431">
        <f>_xlfn.NORM.DIST(Table2912[[#This Row],[Valerate '[%']]],T$6,T$2,FALSE)</f>
        <v>6.8432864697368974</v>
      </c>
      <c r="AX431">
        <f>_xlfn.NORM.DIST(Table2912[[#This Row],[Caproate '[%']]],U$6,U$2,FALSE)</f>
        <v>382.54011741390434</v>
      </c>
      <c r="AY431">
        <f>_xlfn.NORM.DIST(Table2912[[#This Row],[Isobutyrate '[%']]],V$6,V$2,FALSE)</f>
        <v>17.472248680967056</v>
      </c>
      <c r="AZ431">
        <f>_xlfn.NORM.DIST(Table2912[[#This Row],[Isovalerate '[%']]],W$6,W$2,FALSE)</f>
        <v>8.2381924262105617</v>
      </c>
      <c r="BA431">
        <f>_xlfn.NORM.DIST(Table2912[[#This Row],[CH4 '[g/mmol SCFA']]],X$6,X$2,FALSE)</f>
        <v>0.14015241181030652</v>
      </c>
      <c r="BB431">
        <f>_xlfn.NORM.DIST(Table2912[[#This Row],[DMD '[mg/g']]],Y$6,Y$2,FALSE)</f>
        <v>2.0148502107150976E-3</v>
      </c>
      <c r="BC431">
        <f>_xlfn.NORM.DIST(Table2912[[#This Row],[CH4 '[ml/g']]],Z$6,Z$2,FALSE)</f>
        <v>1.6432344783171467E-2</v>
      </c>
      <c r="BD431">
        <f>_xlfn.NORM.DIST(Table2912[[#This Row],[CH4 '[% GP']]],AA$6,AA$2,FALSE)</f>
        <v>0.12877867430381373</v>
      </c>
      <c r="BE431">
        <f>_xlfn.NORM.DIST(Table2912[[#This Row],[CH4 '[g/g DDM']]],AB$6,AB$2,FALSE)</f>
        <v>2.5150748369596597E-2</v>
      </c>
      <c r="BG431">
        <f>IF(Table2912[[#This Row],[GP '[ml/g']]]&lt;O$10,_xlfn.NORM.DIST(Table2912[[#This Row],[GP '[ml/g']]],O$6,O$2,FALSE),-100)</f>
        <v>-100</v>
      </c>
      <c r="BH431">
        <f>IF(Table2912[[#This Row],[SCFA '[mmol/g']]]&lt;P$10,_xlfn.NORM.DIST(Table2912[[#This Row],[SCFA '[mmol/g']]],P$6,P$2,FALSE),-100)</f>
        <v>-100</v>
      </c>
      <c r="BI431">
        <f>IF(Table2912[[#This Row],[Acetate '[%']]]&lt;Q$10,_xlfn.NORM.DIST(Table2912[[#This Row],[Acetate '[%']]],Q$6,Q$2,FALSE),-100)</f>
        <v>3.5533301910163888</v>
      </c>
      <c r="BJ431">
        <f>IF(Table2912[[#This Row],[Propionate '[%']]]&lt;R$10,_xlfn.NORM.DIST(Table2912[[#This Row],[Propionate '[%']]],R$6,R$2,FALSE),-100)</f>
        <v>-100</v>
      </c>
      <c r="BK431">
        <f>IF(Table2912[[#This Row],[Butyrate '[%']]]&lt;S$10,_xlfn.NORM.DIST(Table2912[[#This Row],[Butyrate '[%']]],S$6,S$2,FALSE),-100)</f>
        <v>-100</v>
      </c>
      <c r="BL431">
        <f>IF(Table2912[[#This Row],[Valerate '[%']]]&lt;T$10,_xlfn.NORM.DIST(Table2912[[#This Row],[Valerate '[%']]],T$6,T$2,FALSE),-100)</f>
        <v>-100</v>
      </c>
      <c r="BM431">
        <f>IF(Table2912[[#This Row],[Caproate '[%']]]&lt;U$10,_xlfn.NORM.DIST(Table2912[[#This Row],[Caproate '[%']]],U$6,U$2,FALSE),-100)</f>
        <v>-100</v>
      </c>
      <c r="BN431">
        <f>IF(Table2912[[#This Row],[Isobutyrate '[%']]]&lt;V$10,_xlfn.NORM.DIST(Table2912[[#This Row],[Isobutyrate '[%']]],V$6,V$2,FALSE),-100)</f>
        <v>-100</v>
      </c>
      <c r="BO431">
        <f>IF(Table2912[[#This Row],[Isovalerate '[%']]]&lt;W$10,_xlfn.NORM.DIST(Table2912[[#This Row],[Isovalerate '[%']]],W$6,W$2,FALSE),-100)</f>
        <v>-100</v>
      </c>
      <c r="BP431">
        <f>IF(Table2912[[#This Row],[CH4 '[g/mmol SCFA']]]&lt;X$10,_xlfn.NORM.DIST(Table2912[[#This Row],[CH4 '[g/mmol SCFA']]],X$6,X$2,FALSE),-100)</f>
        <v>-100</v>
      </c>
      <c r="BQ431">
        <f>IF(Table2912[[#This Row],[DMD '[mg/g']]]&gt;Y$10,_xlfn.NORM.DIST(Table2912[[#This Row],[DMD '[mg/g']]],Y$6,Y$2,FALSE),-100)</f>
        <v>-100</v>
      </c>
      <c r="BR431">
        <f>IF(Table2912[[#This Row],[CH4 '[ml/g']]]&lt;Z$10,_xlfn.NORM.DIST(Table2912[[#This Row],[CH4 '[ml/g']]],Z$6,Z$2,FALSE),-100)</f>
        <v>-100</v>
      </c>
      <c r="BS431">
        <f>IF(Table2912[[#This Row],[CH4 '[% GP']]]&lt;AA$10,_xlfn.NORM.DIST(Table2912[[#This Row],[CH4 '[% GP']]],AA$6,AA$2,FALSE),-100)</f>
        <v>-100</v>
      </c>
      <c r="BT431">
        <f>IF(Table2912[[#This Row],[CH4 '[g/g DDM']]]&lt;AB$10,_xlfn.NORM.DIST(Table2912[[#This Row],[CH4 '[g/g DDM']]],AB$6,AB$2,FALSE),-100)</f>
        <v>-100</v>
      </c>
    </row>
    <row r="432" spans="1:72" x14ac:dyDescent="0.25">
      <c r="A432" s="12" t="s">
        <v>70</v>
      </c>
      <c r="B432" s="13">
        <v>1004</v>
      </c>
      <c r="C432" s="96" t="s">
        <v>499</v>
      </c>
      <c r="D432" s="96"/>
      <c r="E432" s="96"/>
      <c r="F432" s="96" t="s">
        <v>500</v>
      </c>
      <c r="G432" t="s">
        <v>73</v>
      </c>
      <c r="H432" t="s">
        <v>74</v>
      </c>
      <c r="I432" t="s">
        <v>75</v>
      </c>
      <c r="J432" s="100">
        <v>2</v>
      </c>
      <c r="K432" s="100"/>
      <c r="L432" s="100"/>
      <c r="M432" t="s">
        <v>500</v>
      </c>
      <c r="N432" t="s">
        <v>76</v>
      </c>
      <c r="O432" s="18">
        <v>310.79959999999994</v>
      </c>
      <c r="P432" s="18">
        <v>8.5631782178217826</v>
      </c>
      <c r="Q432" s="97">
        <v>0.65993174333130944</v>
      </c>
      <c r="R432" s="97">
        <v>0.16572244941311232</v>
      </c>
      <c r="S432" s="97">
        <v>9.9443441627463103E-2</v>
      </c>
      <c r="T432" s="97">
        <v>1.8943973063205874E-2</v>
      </c>
      <c r="U432" s="97">
        <v>1.4099169441284603E-3</v>
      </c>
      <c r="V432" s="97">
        <v>1.9071791636315692E-2</v>
      </c>
      <c r="W432" s="97">
        <v>3.5476683984465143E-2</v>
      </c>
      <c r="X432" s="51">
        <f t="shared" si="26"/>
        <v>5.8556225412472189</v>
      </c>
      <c r="Y432" s="18">
        <v>893.723872387239</v>
      </c>
      <c r="Z432" s="18">
        <v>50.142739396994415</v>
      </c>
      <c r="AA432" s="18">
        <f t="shared" si="27"/>
        <v>16.133463298213517</v>
      </c>
      <c r="AB432" s="18">
        <f t="shared" si="28"/>
        <v>56.105404528422639</v>
      </c>
      <c r="AC432" s="18">
        <f>$CP$15*Table2912[[#This Row],[DMD '[mg/g']]]+$CS$15*Table2912[[#This Row],[CH4 '[ml/g']]]+$CR$15*Table2912[[#This Row],[CH4 '[% GP']]]+$CQ$15*Table2912[[#This Row],[CH4 '[g/g DDM']]]</f>
        <v>23.060034645240115</v>
      </c>
      <c r="AD432" s="18">
        <f>_xlfn.RANK.AVG(Table2912[[#This Row],[Index]],Table2912[Index])</f>
        <v>115</v>
      </c>
      <c r="AE43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7.9217759120117837</v>
      </c>
      <c r="AF432" s="18">
        <f>Table2912[[#This Row],[CH4 '[ml/g']]]/Table2912[[#This Row],[APB]]</f>
        <v>6.3297346395475556</v>
      </c>
      <c r="AG432" s="18">
        <f>Table2912[[#This Row],[Propionate '[%']]]/Table2912[[#This Row],[Acetate '[%']]]</f>
        <v>0.25112059101226425</v>
      </c>
      <c r="AH432" s="51"/>
      <c r="AI432" s="18"/>
      <c r="AJ432" s="18"/>
      <c r="AK432" s="18">
        <f>(Table2912[[#This Row],[DMD '[mg/g']]]-$AK$15)/$AK$15*100</f>
        <v>82.285071292023304</v>
      </c>
      <c r="AL432" s="18">
        <f>(Table2912[[#This Row],[CH4 '[ml/g']]]-AL$15)/AL$15*100</f>
        <v>27.48518846251579</v>
      </c>
      <c r="AM432" s="18">
        <f>(Table2912[[#This Row],[CH4 '[% GP']]]-AM$15)/AM$15*100</f>
        <v>3.9369642004269236</v>
      </c>
      <c r="AN432" s="18">
        <f>(Table2912[[#This Row],[CH4 '[g/g DDM']]]-AN$15)/AN$15*100</f>
        <v>9.5476505394087674</v>
      </c>
      <c r="AO432" s="18"/>
      <c r="AP432" s="18"/>
      <c r="AQ432" t="e">
        <f t="shared" si="29"/>
        <v>#DIV/0!</v>
      </c>
      <c r="AR432">
        <f>_xlfn.NORM.DIST(Table2912[[#This Row],[GP '[ml/g']]],O$6,O$2,FALSE)</f>
        <v>4.3689030955738782E-3</v>
      </c>
      <c r="AS432">
        <f>_xlfn.NORM.DIST(Table2912[[#This Row],[SCFA '[mmol/g']]],P$6,P$2,FALSE)</f>
        <v>7.9842203630793168E-2</v>
      </c>
      <c r="AT432">
        <f>_xlfn.NORM.DIST(Table2912[[#This Row],[Acetate '[%']]],Q$6,Q$2,FALSE)</f>
        <v>12.596088723601266</v>
      </c>
      <c r="AU432">
        <f>_xlfn.NORM.DIST(Table2912[[#This Row],[Propionate '[%']]],R$6,R$2,FALSE)</f>
        <v>16.238759856737733</v>
      </c>
      <c r="AV432">
        <f>_xlfn.NORM.DIST(Table2912[[#This Row],[Butyrate '[%']]],S$6,S$2,FALSE)</f>
        <v>21.454444126490529</v>
      </c>
      <c r="AW432">
        <f>_xlfn.NORM.DIST(Table2912[[#This Row],[Valerate '[%']]],T$6,T$2,FALSE)</f>
        <v>75.027586412563608</v>
      </c>
      <c r="AX432">
        <f>_xlfn.NORM.DIST(Table2912[[#This Row],[Caproate '[%']]],U$6,U$2,FALSE)</f>
        <v>405.66591995483805</v>
      </c>
      <c r="AY432">
        <f>_xlfn.NORM.DIST(Table2912[[#This Row],[Isobutyrate '[%']]],V$6,V$2,FALSE)</f>
        <v>62.907518283157302</v>
      </c>
      <c r="AZ432">
        <f>_xlfn.NORM.DIST(Table2912[[#This Row],[Isovalerate '[%']]],W$6,W$2,FALSE)</f>
        <v>31.295541314671695</v>
      </c>
      <c r="BA432">
        <f>_xlfn.NORM.DIST(Table2912[[#This Row],[CH4 '[g/mmol SCFA']]],X$6,X$2,FALSE)</f>
        <v>0.28270658975043811</v>
      </c>
      <c r="BB432">
        <f>_xlfn.NORM.DIST(Table2912[[#This Row],[DMD '[mg/g']]],Y$6,Y$2,FALSE)</f>
        <v>2.0137176240061115E-3</v>
      </c>
      <c r="BC432">
        <f>_xlfn.NORM.DIST(Table2912[[#This Row],[CH4 '[ml/g']]],Z$6,Z$2,FALSE)</f>
        <v>2.5585494614572893E-2</v>
      </c>
      <c r="BD432">
        <f>_xlfn.NORM.DIST(Table2912[[#This Row],[CH4 '[% GP']]],AA$6,AA$2,FALSE)</f>
        <v>0.1346842111410318</v>
      </c>
      <c r="BE432">
        <f>_xlfn.NORM.DIST(Table2912[[#This Row],[CH4 '[g/g DDM']]],AB$6,AB$2,FALSE)</f>
        <v>3.201973135891157E-2</v>
      </c>
      <c r="BG432">
        <f>IF(Table2912[[#This Row],[GP '[ml/g']]]&lt;O$10,_xlfn.NORM.DIST(Table2912[[#This Row],[GP '[ml/g']]],O$6,O$2,FALSE),-100)</f>
        <v>-100</v>
      </c>
      <c r="BH432">
        <f>IF(Table2912[[#This Row],[SCFA '[mmol/g']]]&lt;P$10,_xlfn.NORM.DIST(Table2912[[#This Row],[SCFA '[mmol/g']]],P$6,P$2,FALSE),-100)</f>
        <v>-100</v>
      </c>
      <c r="BI432">
        <f>IF(Table2912[[#This Row],[Acetate '[%']]]&lt;Q$10,_xlfn.NORM.DIST(Table2912[[#This Row],[Acetate '[%']]],Q$6,Q$2,FALSE),-100)</f>
        <v>-100</v>
      </c>
      <c r="BJ432">
        <f>IF(Table2912[[#This Row],[Propionate '[%']]]&lt;R$10,_xlfn.NORM.DIST(Table2912[[#This Row],[Propionate '[%']]],R$6,R$2,FALSE),-100)</f>
        <v>-100</v>
      </c>
      <c r="BK432">
        <f>IF(Table2912[[#This Row],[Butyrate '[%']]]&lt;S$10,_xlfn.NORM.DIST(Table2912[[#This Row],[Butyrate '[%']]],S$6,S$2,FALSE),-100)</f>
        <v>-100</v>
      </c>
      <c r="BL432">
        <f>IF(Table2912[[#This Row],[Valerate '[%']]]&lt;T$10,_xlfn.NORM.DIST(Table2912[[#This Row],[Valerate '[%']]],T$6,T$2,FALSE),-100)</f>
        <v>-100</v>
      </c>
      <c r="BM432">
        <f>IF(Table2912[[#This Row],[Caproate '[%']]]&lt;U$10,_xlfn.NORM.DIST(Table2912[[#This Row],[Caproate '[%']]],U$6,U$2,FALSE),-100)</f>
        <v>-100</v>
      </c>
      <c r="BN432">
        <f>IF(Table2912[[#This Row],[Isobutyrate '[%']]]&lt;V$10,_xlfn.NORM.DIST(Table2912[[#This Row],[Isobutyrate '[%']]],V$6,V$2,FALSE),-100)</f>
        <v>-100</v>
      </c>
      <c r="BO432">
        <f>IF(Table2912[[#This Row],[Isovalerate '[%']]]&lt;W$10,_xlfn.NORM.DIST(Table2912[[#This Row],[Isovalerate '[%']]],W$6,W$2,FALSE),-100)</f>
        <v>-100</v>
      </c>
      <c r="BP432">
        <f>IF(Table2912[[#This Row],[CH4 '[g/mmol SCFA']]]&lt;X$10,_xlfn.NORM.DIST(Table2912[[#This Row],[CH4 '[g/mmol SCFA']]],X$6,X$2,FALSE),-100)</f>
        <v>-100</v>
      </c>
      <c r="BQ432">
        <f>IF(Table2912[[#This Row],[DMD '[mg/g']]]&gt;Y$10,_xlfn.NORM.DIST(Table2912[[#This Row],[DMD '[mg/g']]],Y$6,Y$2,FALSE),-100)</f>
        <v>-100</v>
      </c>
      <c r="BR432">
        <f>IF(Table2912[[#This Row],[CH4 '[ml/g']]]&lt;Z$10,_xlfn.NORM.DIST(Table2912[[#This Row],[CH4 '[ml/g']]],Z$6,Z$2,FALSE),-100)</f>
        <v>-100</v>
      </c>
      <c r="BS432">
        <f>IF(Table2912[[#This Row],[CH4 '[% GP']]]&lt;AA$10,_xlfn.NORM.DIST(Table2912[[#This Row],[CH4 '[% GP']]],AA$6,AA$2,FALSE),-100)</f>
        <v>-100</v>
      </c>
      <c r="BT432">
        <f>IF(Table2912[[#This Row],[CH4 '[g/g DDM']]]&lt;AB$10,_xlfn.NORM.DIST(Table2912[[#This Row],[CH4 '[g/g DDM']]],AB$6,AB$2,FALSE),-100)</f>
        <v>-100</v>
      </c>
    </row>
    <row r="433" spans="1:72" x14ac:dyDescent="0.25">
      <c r="A433" s="12" t="s">
        <v>200</v>
      </c>
      <c r="B433" s="13">
        <v>1152</v>
      </c>
      <c r="C433" s="117" t="s">
        <v>497</v>
      </c>
      <c r="D433" s="117" t="s">
        <v>408</v>
      </c>
      <c r="E433" s="117" t="s">
        <v>213</v>
      </c>
      <c r="F433" s="117" t="s">
        <v>214</v>
      </c>
      <c r="G433" t="s">
        <v>73</v>
      </c>
      <c r="H433" t="s">
        <v>74</v>
      </c>
      <c r="I433" t="s">
        <v>75</v>
      </c>
      <c r="J433" s="70">
        <v>1</v>
      </c>
      <c r="K433" s="70"/>
      <c r="L433" s="70"/>
      <c r="M433" t="s">
        <v>498</v>
      </c>
      <c r="N433" t="s">
        <v>171</v>
      </c>
      <c r="O433" s="18">
        <v>304.82399645154032</v>
      </c>
      <c r="P433" s="18">
        <v>6.9823131514748287</v>
      </c>
      <c r="Q433" s="97">
        <v>0.67738379346658317</v>
      </c>
      <c r="R433" s="97">
        <v>0.1734358335144886</v>
      </c>
      <c r="S433" s="97">
        <v>8.6298171700400689E-2</v>
      </c>
      <c r="T433" s="97">
        <v>1.8218737724350224E-2</v>
      </c>
      <c r="U433" s="97">
        <v>1.2309425313894932E-3</v>
      </c>
      <c r="V433" s="97">
        <v>1.527381419808552E-2</v>
      </c>
      <c r="W433" s="97">
        <v>2.8158706864702267E-2</v>
      </c>
      <c r="X433" s="51">
        <f t="shared" si="26"/>
        <v>7.5162649522930636</v>
      </c>
      <c r="Y433" s="18">
        <v>894.10068751386132</v>
      </c>
      <c r="Z433" s="18">
        <v>52.480915626365181</v>
      </c>
      <c r="AA433" s="18">
        <f t="shared" si="27"/>
        <v>17.216792718846328</v>
      </c>
      <c r="AB433" s="18">
        <f t="shared" si="28"/>
        <v>58.69687425506153</v>
      </c>
      <c r="AC433" s="18">
        <f>$CP$15*Table2912[[#This Row],[DMD '[mg/g']]]+$CS$15*Table2912[[#This Row],[CH4 '[ml/g']]]+$CR$15*Table2912[[#This Row],[CH4 '[% GP']]]+$CQ$15*Table2912[[#This Row],[CH4 '[g/g DDM']]]</f>
        <v>21.846291944697803</v>
      </c>
      <c r="AD433" s="18">
        <f>_xlfn.RANK.AVG(Table2912[[#This Row],[Index]],Table2912[Index])</f>
        <v>136</v>
      </c>
      <c r="AE43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6.5432499302147864</v>
      </c>
      <c r="AF433" s="18">
        <f>Table2912[[#This Row],[CH4 '[ml/g']]]/Table2912[[#This Row],[APB]]</f>
        <v>8.0206191397372564</v>
      </c>
      <c r="AG433" s="18">
        <f>Table2912[[#This Row],[Propionate '[%']]]/Table2912[[#This Row],[Acetate '[%']]]</f>
        <v>0.25603776645867538</v>
      </c>
      <c r="AH433" s="51"/>
      <c r="AI433" s="18"/>
      <c r="AJ433" s="18"/>
      <c r="AK433" s="18">
        <f>(Table2912[[#This Row],[DMD '[mg/g']]]-$AK$15)/$AK$15*100</f>
        <v>82.361926990234423</v>
      </c>
      <c r="AL433" s="18">
        <f>(Table2912[[#This Row],[CH4 '[ml/g']]]-AL$15)/AL$15*100</f>
        <v>33.429874390021666</v>
      </c>
      <c r="AM433" s="18">
        <f>(Table2912[[#This Row],[CH4 '[% GP']]]-AM$15)/AM$15*100</f>
        <v>10.916121070114654</v>
      </c>
      <c r="AN433" s="18">
        <f>(Table2912[[#This Row],[CH4 '[g/g DDM']]]-AN$15)/AN$15*100</f>
        <v>14.607580547639575</v>
      </c>
      <c r="AO433" s="18"/>
      <c r="AP433" s="18"/>
      <c r="AQ433" t="e">
        <f t="shared" si="29"/>
        <v>#DIV/0!</v>
      </c>
      <c r="AR433">
        <f>_xlfn.NORM.DIST(Table2912[[#This Row],[GP '[ml/g']]],O$6,O$2,FALSE)</f>
        <v>4.8764676565882428E-3</v>
      </c>
      <c r="AS433">
        <f>_xlfn.NORM.DIST(Table2912[[#This Row],[SCFA '[mmol/g']]],P$6,P$2,FALSE)</f>
        <v>0.31061144795276585</v>
      </c>
      <c r="AT433">
        <f>_xlfn.NORM.DIST(Table2912[[#This Row],[Acetate '[%']]],Q$6,Q$2,FALSE)</f>
        <v>13.870517947860938</v>
      </c>
      <c r="AU433">
        <f>_xlfn.NORM.DIST(Table2912[[#This Row],[Propionate '[%']]],R$6,R$2,FALSE)</f>
        <v>16.75453905547203</v>
      </c>
      <c r="AV433">
        <f>_xlfn.NORM.DIST(Table2912[[#This Row],[Butyrate '[%']]],S$6,S$2,FALSE)</f>
        <v>21.406554044265292</v>
      </c>
      <c r="AW433">
        <f>_xlfn.NORM.DIST(Table2912[[#This Row],[Valerate '[%']]],T$6,T$2,FALSE)</f>
        <v>76.940357086660526</v>
      </c>
      <c r="AX433">
        <f>_xlfn.NORM.DIST(Table2912[[#This Row],[Caproate '[%']]],U$6,U$2,FALSE)</f>
        <v>404.71287710162483</v>
      </c>
      <c r="AY433">
        <f>_xlfn.NORM.DIST(Table2912[[#This Row],[Isobutyrate '[%']]],V$6,V$2,FALSE)</f>
        <v>90.153954629967245</v>
      </c>
      <c r="AZ433">
        <f>_xlfn.NORM.DIST(Table2912[[#This Row],[Isovalerate '[%']]],W$6,W$2,FALSE)</f>
        <v>45.409431779160244</v>
      </c>
      <c r="BA433">
        <f>_xlfn.NORM.DIST(Table2912[[#This Row],[CH4 '[g/mmol SCFA']]],X$6,X$2,FALSE)</f>
        <v>0.19486120265590445</v>
      </c>
      <c r="BB433">
        <f>_xlfn.NORM.DIST(Table2912[[#This Row],[DMD '[mg/g']]],Y$6,Y$2,FALSE)</f>
        <v>2.0089428393562296E-3</v>
      </c>
      <c r="BC433">
        <f>_xlfn.NORM.DIST(Table2912[[#This Row],[CH4 '[ml/g']]],Z$6,Z$2,FALSE)</f>
        <v>2.1726160069658603E-2</v>
      </c>
      <c r="BD433">
        <f>_xlfn.NORM.DIST(Table2912[[#This Row],[CH4 '[% GP']]],AA$6,AA$2,FALSE)</f>
        <v>0.12495652803042237</v>
      </c>
      <c r="BE433">
        <f>_xlfn.NORM.DIST(Table2912[[#This Row],[CH4 '[g/g DDM']]],AB$6,AB$2,FALSE)</f>
        <v>2.9821627029906195E-2</v>
      </c>
      <c r="BG433">
        <f>IF(Table2912[[#This Row],[GP '[ml/g']]]&lt;O$10,_xlfn.NORM.DIST(Table2912[[#This Row],[GP '[ml/g']]],O$6,O$2,FALSE),-100)</f>
        <v>-100</v>
      </c>
      <c r="BH433">
        <f>IF(Table2912[[#This Row],[SCFA '[mmol/g']]]&lt;P$10,_xlfn.NORM.DIST(Table2912[[#This Row],[SCFA '[mmol/g']]],P$6,P$2,FALSE),-100)</f>
        <v>-100</v>
      </c>
      <c r="BI433">
        <f>IF(Table2912[[#This Row],[Acetate '[%']]]&lt;Q$10,_xlfn.NORM.DIST(Table2912[[#This Row],[Acetate '[%']]],Q$6,Q$2,FALSE),-100)</f>
        <v>-100</v>
      </c>
      <c r="BJ433">
        <f>IF(Table2912[[#This Row],[Propionate '[%']]]&lt;R$10,_xlfn.NORM.DIST(Table2912[[#This Row],[Propionate '[%']]],R$6,R$2,FALSE),-100)</f>
        <v>-100</v>
      </c>
      <c r="BK433">
        <f>IF(Table2912[[#This Row],[Butyrate '[%']]]&lt;S$10,_xlfn.NORM.DIST(Table2912[[#This Row],[Butyrate '[%']]],S$6,S$2,FALSE),-100)</f>
        <v>-100</v>
      </c>
      <c r="BL433">
        <f>IF(Table2912[[#This Row],[Valerate '[%']]]&lt;T$10,_xlfn.NORM.DIST(Table2912[[#This Row],[Valerate '[%']]],T$6,T$2,FALSE),-100)</f>
        <v>-100</v>
      </c>
      <c r="BM433">
        <f>IF(Table2912[[#This Row],[Caproate '[%']]]&lt;U$10,_xlfn.NORM.DIST(Table2912[[#This Row],[Caproate '[%']]],U$6,U$2,FALSE),-100)</f>
        <v>-100</v>
      </c>
      <c r="BN433">
        <f>IF(Table2912[[#This Row],[Isobutyrate '[%']]]&lt;V$10,_xlfn.NORM.DIST(Table2912[[#This Row],[Isobutyrate '[%']]],V$6,V$2,FALSE),-100)</f>
        <v>-100</v>
      </c>
      <c r="BO433">
        <f>IF(Table2912[[#This Row],[Isovalerate '[%']]]&lt;W$10,_xlfn.NORM.DIST(Table2912[[#This Row],[Isovalerate '[%']]],W$6,W$2,FALSE),-100)</f>
        <v>-100</v>
      </c>
      <c r="BP433">
        <f>IF(Table2912[[#This Row],[CH4 '[g/mmol SCFA']]]&lt;X$10,_xlfn.NORM.DIST(Table2912[[#This Row],[CH4 '[g/mmol SCFA']]],X$6,X$2,FALSE),-100)</f>
        <v>-100</v>
      </c>
      <c r="BQ433">
        <f>IF(Table2912[[#This Row],[DMD '[mg/g']]]&gt;Y$10,_xlfn.NORM.DIST(Table2912[[#This Row],[DMD '[mg/g']]],Y$6,Y$2,FALSE),-100)</f>
        <v>-100</v>
      </c>
      <c r="BR433">
        <f>IF(Table2912[[#This Row],[CH4 '[ml/g']]]&lt;Z$10,_xlfn.NORM.DIST(Table2912[[#This Row],[CH4 '[ml/g']]],Z$6,Z$2,FALSE),-100)</f>
        <v>-100</v>
      </c>
      <c r="BS433">
        <f>IF(Table2912[[#This Row],[CH4 '[% GP']]]&lt;AA$10,_xlfn.NORM.DIST(Table2912[[#This Row],[CH4 '[% GP']]],AA$6,AA$2,FALSE),-100)</f>
        <v>-100</v>
      </c>
      <c r="BT433">
        <f>IF(Table2912[[#This Row],[CH4 '[g/g DDM']]]&lt;AB$10,_xlfn.NORM.DIST(Table2912[[#This Row],[CH4 '[g/g DDM']]],AB$6,AB$2,FALSE),-100)</f>
        <v>-100</v>
      </c>
    </row>
    <row r="434" spans="1:72" x14ac:dyDescent="0.25">
      <c r="A434" s="12" t="s">
        <v>200</v>
      </c>
      <c r="B434" s="13">
        <v>1147</v>
      </c>
      <c r="C434" s="117" t="s">
        <v>211</v>
      </c>
      <c r="D434" s="117" t="s">
        <v>212</v>
      </c>
      <c r="E434" s="117" t="s">
        <v>213</v>
      </c>
      <c r="F434" s="117" t="s">
        <v>214</v>
      </c>
      <c r="G434" t="s">
        <v>73</v>
      </c>
      <c r="H434" t="s">
        <v>74</v>
      </c>
      <c r="I434" t="s">
        <v>75</v>
      </c>
      <c r="J434" s="70">
        <v>3</v>
      </c>
      <c r="K434" s="70"/>
      <c r="L434" s="70"/>
      <c r="M434" t="s">
        <v>215</v>
      </c>
      <c r="N434" t="s">
        <v>237</v>
      </c>
      <c r="O434" s="18">
        <v>308.85961580440971</v>
      </c>
      <c r="P434" s="18">
        <v>7.1976096922069424</v>
      </c>
      <c r="Q434" s="97">
        <v>0.69736014898214904</v>
      </c>
      <c r="R434" s="97">
        <v>0.17188382863660817</v>
      </c>
      <c r="S434" s="97">
        <v>7.3807745424638749E-2</v>
      </c>
      <c r="T434" s="97">
        <v>1.4610785226298263E-2</v>
      </c>
      <c r="U434" s="97">
        <v>6.2970905073793425E-4</v>
      </c>
      <c r="V434" s="97">
        <v>1.4529327661612405E-2</v>
      </c>
      <c r="W434" s="97">
        <v>2.7178455017955239E-2</v>
      </c>
      <c r="X434" s="51">
        <f t="shared" si="26"/>
        <v>8.4743773962473234</v>
      </c>
      <c r="Y434" s="18">
        <v>894.45535909190153</v>
      </c>
      <c r="Z434" s="18">
        <v>60.995260882649163</v>
      </c>
      <c r="AA434" s="18">
        <f t="shared" si="27"/>
        <v>19.748538741068494</v>
      </c>
      <c r="AB434" s="18">
        <f t="shared" si="28"/>
        <v>68.1926272369532</v>
      </c>
      <c r="AC434" s="18">
        <f>$CP$15*Table2912[[#This Row],[DMD '[mg/g']]]+$CS$15*Table2912[[#This Row],[CH4 '[ml/g']]]+$CR$15*Table2912[[#This Row],[CH4 '[% GP']]]+$CQ$15*Table2912[[#This Row],[CH4 '[g/g DDM']]]</f>
        <v>17.744614665701391</v>
      </c>
      <c r="AD434" s="18">
        <f>_xlfn.RANK.AVG(Table2912[[#This Row],[Index]],Table2912[Index])</f>
        <v>210</v>
      </c>
      <c r="AE43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6.7877182220296035</v>
      </c>
      <c r="AF434" s="18">
        <f>Table2912[[#This Row],[CH4 '[ml/g']]]/Table2912[[#This Row],[APB]]</f>
        <v>8.9861215341391851</v>
      </c>
      <c r="AG434" s="18">
        <f>Table2912[[#This Row],[Propionate '[%']]]/Table2912[[#This Row],[Acetate '[%']]]</f>
        <v>0.24647784776271756</v>
      </c>
      <c r="AH434" s="51"/>
      <c r="AI434" s="18"/>
      <c r="AJ434" s="18"/>
      <c r="AK434" s="18">
        <f>(Table2912[[#This Row],[DMD '[mg/g']]]-$AK$15)/$AK$15*100</f>
        <v>82.434266261776571</v>
      </c>
      <c r="AL434" s="18">
        <f>(Table2912[[#This Row],[CH4 '[ml/g']]]-AL$15)/AL$15*100</f>
        <v>55.077134246298151</v>
      </c>
      <c r="AM434" s="18">
        <f>(Table2912[[#This Row],[CH4 '[% GP']]]-AM$15)/AM$15*100</f>
        <v>27.226443956919532</v>
      </c>
      <c r="AN434" s="18">
        <f>(Table2912[[#This Row],[CH4 '[g/g DDM']]]-AN$15)/AN$15*100</f>
        <v>33.148351049380452</v>
      </c>
      <c r="AO434" s="18"/>
      <c r="AP434" s="18"/>
      <c r="AQ434" t="e">
        <f t="shared" si="29"/>
        <v>#DIV/0!</v>
      </c>
      <c r="AR434">
        <f>_xlfn.NORM.DIST(Table2912[[#This Row],[GP '[ml/g']]],O$6,O$2,FALSE)</f>
        <v>4.5338439953319359E-3</v>
      </c>
      <c r="AS434">
        <f>_xlfn.NORM.DIST(Table2912[[#This Row],[SCFA '[mmol/g']]],P$6,P$2,FALSE)</f>
        <v>0.28594358619803328</v>
      </c>
      <c r="AT434">
        <f>_xlfn.NORM.DIST(Table2912[[#This Row],[Acetate '[%']]],Q$6,Q$2,FALSE)</f>
        <v>9.7564337661109928</v>
      </c>
      <c r="AU434">
        <f>_xlfn.NORM.DIST(Table2912[[#This Row],[Propionate '[%']]],R$6,R$2,FALSE)</f>
        <v>16.79107754695999</v>
      </c>
      <c r="AV434">
        <f>_xlfn.NORM.DIST(Table2912[[#This Row],[Butyrate '[%']]],S$6,S$2,FALSE)</f>
        <v>12.528923254804617</v>
      </c>
      <c r="AW434">
        <f>_xlfn.NORM.DIST(Table2912[[#This Row],[Valerate '[%']]],T$6,T$2,FALSE)</f>
        <v>64.979282149856886</v>
      </c>
      <c r="AX434">
        <f>_xlfn.NORM.DIST(Table2912[[#This Row],[Caproate '[%']]],U$6,U$2,FALSE)</f>
        <v>314.58852985460538</v>
      </c>
      <c r="AY434">
        <f>_xlfn.NORM.DIST(Table2912[[#This Row],[Isobutyrate '[%']]],V$6,V$2,FALSE)</f>
        <v>88.738898774531151</v>
      </c>
      <c r="AZ434">
        <f>_xlfn.NORM.DIST(Table2912[[#This Row],[Isovalerate '[%']]],W$6,W$2,FALSE)</f>
        <v>45.27886688980275</v>
      </c>
      <c r="BA434">
        <f>_xlfn.NORM.DIST(Table2912[[#This Row],[CH4 '[g/mmol SCFA']]],X$6,X$2,FALSE)</f>
        <v>7.8286880978306508E-2</v>
      </c>
      <c r="BB434">
        <f>_xlfn.NORM.DIST(Table2912[[#This Row],[DMD '[mg/g']]],Y$6,Y$2,FALSE)</f>
        <v>2.0044450965455772E-3</v>
      </c>
      <c r="BC434">
        <f>_xlfn.NORM.DIST(Table2912[[#This Row],[CH4 '[ml/g']]],Z$6,Z$2,FALSE)</f>
        <v>8.6470181216513273E-3</v>
      </c>
      <c r="BD434">
        <f>_xlfn.NORM.DIST(Table2912[[#This Row],[CH4 '[% GP']]],AA$6,AA$2,FALSE)</f>
        <v>6.2236095533568389E-2</v>
      </c>
      <c r="BE434">
        <f>_xlfn.NORM.DIST(Table2912[[#This Row],[CH4 '[g/g DDM']]],AB$6,AB$2,FALSE)</f>
        <v>1.5572008131011885E-2</v>
      </c>
      <c r="BG434">
        <f>IF(Table2912[[#This Row],[GP '[ml/g']]]&lt;O$10,_xlfn.NORM.DIST(Table2912[[#This Row],[GP '[ml/g']]],O$6,O$2,FALSE),-100)</f>
        <v>-100</v>
      </c>
      <c r="BH434">
        <f>IF(Table2912[[#This Row],[SCFA '[mmol/g']]]&lt;P$10,_xlfn.NORM.DIST(Table2912[[#This Row],[SCFA '[mmol/g']]],P$6,P$2,FALSE),-100)</f>
        <v>-100</v>
      </c>
      <c r="BI434">
        <f>IF(Table2912[[#This Row],[Acetate '[%']]]&lt;Q$10,_xlfn.NORM.DIST(Table2912[[#This Row],[Acetate '[%']]],Q$6,Q$2,FALSE),-100)</f>
        <v>-100</v>
      </c>
      <c r="BJ434">
        <f>IF(Table2912[[#This Row],[Propionate '[%']]]&lt;R$10,_xlfn.NORM.DIST(Table2912[[#This Row],[Propionate '[%']]],R$6,R$2,FALSE),-100)</f>
        <v>-100</v>
      </c>
      <c r="BK434">
        <f>IF(Table2912[[#This Row],[Butyrate '[%']]]&lt;S$10,_xlfn.NORM.DIST(Table2912[[#This Row],[Butyrate '[%']]],S$6,S$2,FALSE),-100)</f>
        <v>12.528923254804617</v>
      </c>
      <c r="BL434">
        <f>IF(Table2912[[#This Row],[Valerate '[%']]]&lt;T$10,_xlfn.NORM.DIST(Table2912[[#This Row],[Valerate '[%']]],T$6,T$2,FALSE),-100)</f>
        <v>-100</v>
      </c>
      <c r="BM434">
        <f>IF(Table2912[[#This Row],[Caproate '[%']]]&lt;U$10,_xlfn.NORM.DIST(Table2912[[#This Row],[Caproate '[%']]],U$6,U$2,FALSE),-100)</f>
        <v>-100</v>
      </c>
      <c r="BN434">
        <f>IF(Table2912[[#This Row],[Isobutyrate '[%']]]&lt;V$10,_xlfn.NORM.DIST(Table2912[[#This Row],[Isobutyrate '[%']]],V$6,V$2,FALSE),-100)</f>
        <v>-100</v>
      </c>
      <c r="BO434">
        <f>IF(Table2912[[#This Row],[Isovalerate '[%']]]&lt;W$10,_xlfn.NORM.DIST(Table2912[[#This Row],[Isovalerate '[%']]],W$6,W$2,FALSE),-100)</f>
        <v>-100</v>
      </c>
      <c r="BP434">
        <f>IF(Table2912[[#This Row],[CH4 '[g/mmol SCFA']]]&lt;X$10,_xlfn.NORM.DIST(Table2912[[#This Row],[CH4 '[g/mmol SCFA']]],X$6,X$2,FALSE),-100)</f>
        <v>-100</v>
      </c>
      <c r="BQ434">
        <f>IF(Table2912[[#This Row],[DMD '[mg/g']]]&gt;Y$10,_xlfn.NORM.DIST(Table2912[[#This Row],[DMD '[mg/g']]],Y$6,Y$2,FALSE),-100)</f>
        <v>-100</v>
      </c>
      <c r="BR434">
        <f>IF(Table2912[[#This Row],[CH4 '[ml/g']]]&lt;Z$10,_xlfn.NORM.DIST(Table2912[[#This Row],[CH4 '[ml/g']]],Z$6,Z$2,FALSE),-100)</f>
        <v>-100</v>
      </c>
      <c r="BS434">
        <f>IF(Table2912[[#This Row],[CH4 '[% GP']]]&lt;AA$10,_xlfn.NORM.DIST(Table2912[[#This Row],[CH4 '[% GP']]],AA$6,AA$2,FALSE),-100)</f>
        <v>-100</v>
      </c>
      <c r="BT434">
        <f>IF(Table2912[[#This Row],[CH4 '[g/g DDM']]]&lt;AB$10,_xlfn.NORM.DIST(Table2912[[#This Row],[CH4 '[g/g DDM']]],AB$6,AB$2,FALSE),-100)</f>
        <v>-100</v>
      </c>
    </row>
    <row r="435" spans="1:72" x14ac:dyDescent="0.25">
      <c r="A435" s="12" t="s">
        <v>70</v>
      </c>
      <c r="B435" s="13">
        <v>988</v>
      </c>
      <c r="C435" s="96" t="s">
        <v>436</v>
      </c>
      <c r="D435" s="96"/>
      <c r="E435" s="96"/>
      <c r="F435" s="96" t="s">
        <v>437</v>
      </c>
      <c r="G435" t="s">
        <v>73</v>
      </c>
      <c r="H435" t="s">
        <v>74</v>
      </c>
      <c r="I435" t="s">
        <v>75</v>
      </c>
      <c r="J435" s="100">
        <v>1</v>
      </c>
      <c r="K435" s="100"/>
      <c r="L435" s="100"/>
      <c r="M435" t="s">
        <v>437</v>
      </c>
      <c r="N435" t="s">
        <v>80</v>
      </c>
      <c r="O435" s="18">
        <v>297.77188118811898</v>
      </c>
      <c r="P435" s="18">
        <v>6.850389477924173</v>
      </c>
      <c r="Q435" s="97">
        <v>0.66232600858692703</v>
      </c>
      <c r="R435" s="97">
        <v>0.14360954617171717</v>
      </c>
      <c r="S435" s="97">
        <v>0.13025258045541777</v>
      </c>
      <c r="T435" s="97">
        <v>1.714688725166601E-2</v>
      </c>
      <c r="U435" s="97">
        <v>2.1858203078533017E-3</v>
      </c>
      <c r="V435" s="97">
        <v>1.5162171474465762E-2</v>
      </c>
      <c r="W435" s="97">
        <v>2.9316985751952712E-2</v>
      </c>
      <c r="X435" s="51">
        <f t="shared" si="26"/>
        <v>5.3764923997138476</v>
      </c>
      <c r="Y435" s="18">
        <v>894.83455380577414</v>
      </c>
      <c r="Z435" s="18">
        <v>36.83106696313903</v>
      </c>
      <c r="AA435" s="18">
        <f t="shared" si="27"/>
        <v>12.368886819058247</v>
      </c>
      <c r="AB435" s="18">
        <f t="shared" si="28"/>
        <v>41.159638736004034</v>
      </c>
      <c r="AC435" s="18">
        <f>$CP$15*Table2912[[#This Row],[DMD '[mg/g']]]+$CS$15*Table2912[[#This Row],[CH4 '[ml/g']]]+$CR$15*Table2912[[#This Row],[CH4 '[% GP']]]+$CQ$15*Table2912[[#This Row],[CH4 '[g/g DDM']]]</f>
        <v>29.591740098548136</v>
      </c>
      <c r="AD435" s="18">
        <f>_xlfn.RANK.AVG(Table2912[[#This Row],[Index]],Table2912[Index])</f>
        <v>53</v>
      </c>
      <c r="AE43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6.4132533508278637</v>
      </c>
      <c r="AF435" s="18">
        <f>Table2912[[#This Row],[CH4 '[ml/g']]]/Table2912[[#This Row],[APB]]</f>
        <v>5.7429614812246017</v>
      </c>
      <c r="AG435" s="18">
        <f>Table2912[[#This Row],[Propionate '[%']]]/Table2912[[#This Row],[Acetate '[%']]]</f>
        <v>0.21682607101313783</v>
      </c>
      <c r="AH435" s="51"/>
      <c r="AI435" s="18"/>
      <c r="AJ435" s="18"/>
      <c r="AK435" s="18">
        <f>(Table2912[[#This Row],[DMD '[mg/g']]]-$AK$15)/$AK$15*100</f>
        <v>82.51160730366594</v>
      </c>
      <c r="AL435" s="18">
        <f>(Table2912[[#This Row],[CH4 '[ml/g']]]-AL$15)/AL$15*100</f>
        <v>-6.3590148935348267</v>
      </c>
      <c r="AM435" s="18">
        <f>(Table2912[[#This Row],[CH4 '[% GP']]]-AM$15)/AM$15*100</f>
        <v>-20.315649358811623</v>
      </c>
      <c r="AN435" s="18">
        <f>(Table2912[[#This Row],[CH4 '[g/g DDM']]]-AN$15)/AN$15*100</f>
        <v>-19.634449506626741</v>
      </c>
      <c r="AO435" s="18"/>
      <c r="AP435" s="18"/>
      <c r="AQ435" t="e">
        <f t="shared" si="29"/>
        <v>#DIV/0!</v>
      </c>
      <c r="AR435">
        <f>_xlfn.NORM.DIST(Table2912[[#This Row],[GP '[ml/g']]],O$6,O$2,FALSE)</f>
        <v>5.4629136482972438E-3</v>
      </c>
      <c r="AS435">
        <f>_xlfn.NORM.DIST(Table2912[[#This Row],[SCFA '[mmol/g']]],P$6,P$2,FALSE)</f>
        <v>0.32160176821723474</v>
      </c>
      <c r="AT435">
        <f>_xlfn.NORM.DIST(Table2912[[#This Row],[Acetate '[%']]],Q$6,Q$2,FALSE)</f>
        <v>13.051373872922476</v>
      </c>
      <c r="AU435">
        <f>_xlfn.NORM.DIST(Table2912[[#This Row],[Propionate '[%']]],R$6,R$2,FALSE)</f>
        <v>8.2777656433820805</v>
      </c>
      <c r="AV435">
        <f>_xlfn.NORM.DIST(Table2912[[#This Row],[Butyrate '[%']]],S$6,S$2,FALSE)</f>
        <v>2.258588820509789</v>
      </c>
      <c r="AW435">
        <f>_xlfn.NORM.DIST(Table2912[[#This Row],[Valerate '[%']]],T$6,T$2,FALSE)</f>
        <v>77.01415785684118</v>
      </c>
      <c r="AX435">
        <f>_xlfn.NORM.DIST(Table2912[[#This Row],[Caproate '[%']]],U$6,U$2,FALSE)</f>
        <v>278.75337996688017</v>
      </c>
      <c r="AY435">
        <f>_xlfn.NORM.DIST(Table2912[[#This Row],[Isobutyrate '[%']]],V$6,V$2,FALSE)</f>
        <v>90.102742713962286</v>
      </c>
      <c r="AZ435">
        <f>_xlfn.NORM.DIST(Table2912[[#This Row],[Isovalerate '[%']]],W$6,W$2,FALSE)</f>
        <v>44.838250848576131</v>
      </c>
      <c r="BA435">
        <f>_xlfn.NORM.DIST(Table2912[[#This Row],[CH4 '[g/mmol SCFA']]],X$6,X$2,FALSE)</f>
        <v>0.23672209302347941</v>
      </c>
      <c r="BB435">
        <f>_xlfn.NORM.DIST(Table2912[[#This Row],[DMD '[mg/g']]],Y$6,Y$2,FALSE)</f>
        <v>1.9996326377484525E-3</v>
      </c>
      <c r="BC435">
        <f>_xlfn.NORM.DIST(Table2912[[#This Row],[CH4 '[ml/g']]],Z$6,Z$2,FALSE)</f>
        <v>3.1129684035548329E-2</v>
      </c>
      <c r="BD435">
        <f>_xlfn.NORM.DIST(Table2912[[#This Row],[CH4 '[% GP']]],AA$6,AA$2,FALSE)</f>
        <v>6.1737464971150152E-2</v>
      </c>
      <c r="BE435">
        <f>_xlfn.NORM.DIST(Table2912[[#This Row],[CH4 '[g/g DDM']]],AB$6,AB$2,FALSE)</f>
        <v>1.9842199705945883E-2</v>
      </c>
      <c r="BG435">
        <f>IF(Table2912[[#This Row],[GP '[ml/g']]]&lt;O$10,_xlfn.NORM.DIST(Table2912[[#This Row],[GP '[ml/g']]],O$6,O$2,FALSE),-100)</f>
        <v>-100</v>
      </c>
      <c r="BH435">
        <f>IF(Table2912[[#This Row],[SCFA '[mmol/g']]]&lt;P$10,_xlfn.NORM.DIST(Table2912[[#This Row],[SCFA '[mmol/g']]],P$6,P$2,FALSE),-100)</f>
        <v>-100</v>
      </c>
      <c r="BI435">
        <f>IF(Table2912[[#This Row],[Acetate '[%']]]&lt;Q$10,_xlfn.NORM.DIST(Table2912[[#This Row],[Acetate '[%']]],Q$6,Q$2,FALSE),-100)</f>
        <v>-100</v>
      </c>
      <c r="BJ435">
        <f>IF(Table2912[[#This Row],[Propionate '[%']]]&lt;R$10,_xlfn.NORM.DIST(Table2912[[#This Row],[Propionate '[%']]],R$6,R$2,FALSE),-100)</f>
        <v>8.2777656433820805</v>
      </c>
      <c r="BK435">
        <f>IF(Table2912[[#This Row],[Butyrate '[%']]]&lt;S$10,_xlfn.NORM.DIST(Table2912[[#This Row],[Butyrate '[%']]],S$6,S$2,FALSE),-100)</f>
        <v>-100</v>
      </c>
      <c r="BL435">
        <f>IF(Table2912[[#This Row],[Valerate '[%']]]&lt;T$10,_xlfn.NORM.DIST(Table2912[[#This Row],[Valerate '[%']]],T$6,T$2,FALSE),-100)</f>
        <v>-100</v>
      </c>
      <c r="BM435">
        <f>IF(Table2912[[#This Row],[Caproate '[%']]]&lt;U$10,_xlfn.NORM.DIST(Table2912[[#This Row],[Caproate '[%']]],U$6,U$2,FALSE),-100)</f>
        <v>-100</v>
      </c>
      <c r="BN435">
        <f>IF(Table2912[[#This Row],[Isobutyrate '[%']]]&lt;V$10,_xlfn.NORM.DIST(Table2912[[#This Row],[Isobutyrate '[%']]],V$6,V$2,FALSE),-100)</f>
        <v>-100</v>
      </c>
      <c r="BO435">
        <f>IF(Table2912[[#This Row],[Isovalerate '[%']]]&lt;W$10,_xlfn.NORM.DIST(Table2912[[#This Row],[Isovalerate '[%']]],W$6,W$2,FALSE),-100)</f>
        <v>-100</v>
      </c>
      <c r="BP435">
        <f>IF(Table2912[[#This Row],[CH4 '[g/mmol SCFA']]]&lt;X$10,_xlfn.NORM.DIST(Table2912[[#This Row],[CH4 '[g/mmol SCFA']]],X$6,X$2,FALSE),-100)</f>
        <v>-100</v>
      </c>
      <c r="BQ435">
        <f>IF(Table2912[[#This Row],[DMD '[mg/g']]]&gt;Y$10,_xlfn.NORM.DIST(Table2912[[#This Row],[DMD '[mg/g']]],Y$6,Y$2,FALSE),-100)</f>
        <v>-100</v>
      </c>
      <c r="BR435">
        <f>IF(Table2912[[#This Row],[CH4 '[ml/g']]]&lt;Z$10,_xlfn.NORM.DIST(Table2912[[#This Row],[CH4 '[ml/g']]],Z$6,Z$2,FALSE),-100)</f>
        <v>-100</v>
      </c>
      <c r="BS435">
        <f>IF(Table2912[[#This Row],[CH4 '[% GP']]]&lt;AA$10,_xlfn.NORM.DIST(Table2912[[#This Row],[CH4 '[% GP']]],AA$6,AA$2,FALSE),-100)</f>
        <v>-100</v>
      </c>
      <c r="BT435">
        <f>IF(Table2912[[#This Row],[CH4 '[g/g DDM']]]&lt;AB$10,_xlfn.NORM.DIST(Table2912[[#This Row],[CH4 '[g/g DDM']]],AB$6,AB$2,FALSE),-100)</f>
        <v>-100</v>
      </c>
    </row>
    <row r="436" spans="1:72" x14ac:dyDescent="0.25">
      <c r="A436" s="12" t="s">
        <v>200</v>
      </c>
      <c r="B436" s="13">
        <v>1214</v>
      </c>
      <c r="C436" s="113" t="s">
        <v>532</v>
      </c>
      <c r="D436" s="113" t="s">
        <v>391</v>
      </c>
      <c r="E436" s="113" t="s">
        <v>392</v>
      </c>
      <c r="F436" s="113" t="s">
        <v>393</v>
      </c>
      <c r="G436" t="s">
        <v>143</v>
      </c>
      <c r="H436" t="s">
        <v>144</v>
      </c>
      <c r="I436" t="s">
        <v>52</v>
      </c>
      <c r="J436" s="70">
        <v>3</v>
      </c>
      <c r="K436" s="70"/>
      <c r="L436" s="70"/>
      <c r="M436" t="s">
        <v>533</v>
      </c>
      <c r="N436" t="s">
        <v>352</v>
      </c>
      <c r="O436" s="18">
        <v>346.40059288537628</v>
      </c>
      <c r="P436" s="18">
        <v>9.0564775844202678</v>
      </c>
      <c r="Q436" s="97">
        <v>0.65549574761534302</v>
      </c>
      <c r="R436" s="97">
        <v>0.18791318292813214</v>
      </c>
      <c r="S436" s="97">
        <v>0.10713049620131876</v>
      </c>
      <c r="T436" s="97">
        <v>1.3261433767726882E-2</v>
      </c>
      <c r="U436" s="97">
        <v>2.0018928854612012E-3</v>
      </c>
      <c r="V436" s="97">
        <v>1.2703753327506829E-2</v>
      </c>
      <c r="W436" s="97">
        <v>2.1493493274511104E-2</v>
      </c>
      <c r="X436" s="51">
        <f t="shared" si="26"/>
        <v>7.0171951510356871</v>
      </c>
      <c r="Y436" s="18">
        <v>894.88935653623435</v>
      </c>
      <c r="Z436" s="18">
        <v>63.5510705908573</v>
      </c>
      <c r="AA436" s="18">
        <f t="shared" si="27"/>
        <v>18.346120617607113</v>
      </c>
      <c r="AB436" s="18">
        <f t="shared" si="28"/>
        <v>71.015562009630514</v>
      </c>
      <c r="AC436" s="18">
        <f>$CP$15*Table2912[[#This Row],[DMD '[mg/g']]]+$CS$15*Table2912[[#This Row],[CH4 '[ml/g']]]+$CR$15*Table2912[[#This Row],[CH4 '[% GP']]]+$CQ$15*Table2912[[#This Row],[CH4 '[g/g DDM']]]</f>
        <v>17.205054695076456</v>
      </c>
      <c r="AD436" s="18">
        <f>_xlfn.RANK.AVG(Table2912[[#This Row],[Index]],Table2912[Index])</f>
        <v>224</v>
      </c>
      <c r="AE43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8.608539011421918</v>
      </c>
      <c r="AF436" s="18">
        <f>Table2912[[#This Row],[CH4 '[ml/g']]]/Table2912[[#This Row],[APB]]</f>
        <v>7.3823293948644411</v>
      </c>
      <c r="AG436" s="18">
        <f>Table2912[[#This Row],[Propionate '[%']]]/Table2912[[#This Row],[Acetate '[%']]]</f>
        <v>0.28667338211079146</v>
      </c>
      <c r="AH436" s="51"/>
      <c r="AI436" s="18"/>
      <c r="AJ436" s="18"/>
      <c r="AK436" s="18">
        <f>(Table2912[[#This Row],[DMD '[mg/g']]]-$AK$15)/$AK$15*100</f>
        <v>82.522784939105222</v>
      </c>
      <c r="AL436" s="18">
        <f>(Table2912[[#This Row],[CH4 '[ml/g']]]-AL$15)/AL$15*100</f>
        <v>61.575141460175495</v>
      </c>
      <c r="AM436" s="18">
        <f>(Table2912[[#This Row],[CH4 '[% GP']]]-AM$15)/AM$15*100</f>
        <v>18.191614943586977</v>
      </c>
      <c r="AN436" s="18">
        <f>(Table2912[[#This Row],[CH4 '[g/g DDM']]]-AN$15)/AN$15*100</f>
        <v>38.660224184813202</v>
      </c>
      <c r="AO436" s="18"/>
      <c r="AP436" s="18"/>
      <c r="AQ436" t="e">
        <f t="shared" si="29"/>
        <v>#DIV/0!</v>
      </c>
      <c r="AR436">
        <f>_xlfn.NORM.DIST(Table2912[[#This Row],[GP '[ml/g']]],O$6,O$2,FALSE)</f>
        <v>1.749865538092892E-3</v>
      </c>
      <c r="AS436">
        <f>_xlfn.NORM.DIST(Table2912[[#This Row],[SCFA '[mmol/g']]],P$6,P$2,FALSE)</f>
        <v>3.6607292454542327E-2</v>
      </c>
      <c r="AT436">
        <f>_xlfn.NORM.DIST(Table2912[[#This Row],[Acetate '[%']]],Q$6,Q$2,FALSE)</f>
        <v>11.575281197667293</v>
      </c>
      <c r="AU436">
        <f>_xlfn.NORM.DIST(Table2912[[#This Row],[Propionate '[%']]],R$6,R$2,FALSE)</f>
        <v>13.367158697523911</v>
      </c>
      <c r="AV436">
        <f>_xlfn.NORM.DIST(Table2912[[#This Row],[Butyrate '[%']]],S$6,S$2,FALSE)</f>
        <v>16.451339725460659</v>
      </c>
      <c r="AW436">
        <f>_xlfn.NORM.DIST(Table2912[[#This Row],[Valerate '[%']]],T$6,T$2,FALSE)</f>
        <v>53.78528646484633</v>
      </c>
      <c r="AX436">
        <f>_xlfn.NORM.DIST(Table2912[[#This Row],[Caproate '[%']]],U$6,U$2,FALSE)</f>
        <v>322.43667531072253</v>
      </c>
      <c r="AY436">
        <f>_xlfn.NORM.DIST(Table2912[[#This Row],[Isobutyrate '[%']]],V$6,V$2,FALSE)</f>
        <v>75.723704628160235</v>
      </c>
      <c r="AZ436">
        <f>_xlfn.NORM.DIST(Table2912[[#This Row],[Isovalerate '[%']]],W$6,W$2,FALSE)</f>
        <v>34.829276031036386</v>
      </c>
      <c r="BA436">
        <f>_xlfn.NORM.DIST(Table2912[[#This Row],[CH4 '[g/mmol SCFA']]],X$6,X$2,FALSE)</f>
        <v>0.25600772162451363</v>
      </c>
      <c r="BB436">
        <f>_xlfn.NORM.DIST(Table2912[[#This Row],[DMD '[mg/g']]],Y$6,Y$2,FALSE)</f>
        <v>1.9989368082090286E-3</v>
      </c>
      <c r="BC436">
        <f>_xlfn.NORM.DIST(Table2912[[#This Row],[CH4 '[ml/g']]],Z$6,Z$2,FALSE)</f>
        <v>5.9350348190648442E-3</v>
      </c>
      <c r="BD436">
        <f>_xlfn.NORM.DIST(Table2912[[#This Row],[CH4 '[% GP']]],AA$6,AA$2,FALSE)</f>
        <v>0.10021765227373725</v>
      </c>
      <c r="BE436">
        <f>_xlfn.NORM.DIST(Table2912[[#This Row],[CH4 '[g/g DDM']]],AB$6,AB$2,FALSE)</f>
        <v>1.1409020734013699E-2</v>
      </c>
      <c r="BG436">
        <f>IF(Table2912[[#This Row],[GP '[ml/g']]]&lt;O$10,_xlfn.NORM.DIST(Table2912[[#This Row],[GP '[ml/g']]],O$6,O$2,FALSE),-100)</f>
        <v>-100</v>
      </c>
      <c r="BH436">
        <f>IF(Table2912[[#This Row],[SCFA '[mmol/g']]]&lt;P$10,_xlfn.NORM.DIST(Table2912[[#This Row],[SCFA '[mmol/g']]],P$6,P$2,FALSE),-100)</f>
        <v>-100</v>
      </c>
      <c r="BI436">
        <f>IF(Table2912[[#This Row],[Acetate '[%']]]&lt;Q$10,_xlfn.NORM.DIST(Table2912[[#This Row],[Acetate '[%']]],Q$6,Q$2,FALSE),-100)</f>
        <v>-100</v>
      </c>
      <c r="BJ436">
        <f>IF(Table2912[[#This Row],[Propionate '[%']]]&lt;R$10,_xlfn.NORM.DIST(Table2912[[#This Row],[Propionate '[%']]],R$6,R$2,FALSE),-100)</f>
        <v>-100</v>
      </c>
      <c r="BK436">
        <f>IF(Table2912[[#This Row],[Butyrate '[%']]]&lt;S$10,_xlfn.NORM.DIST(Table2912[[#This Row],[Butyrate '[%']]],S$6,S$2,FALSE),-100)</f>
        <v>-100</v>
      </c>
      <c r="BL436">
        <f>IF(Table2912[[#This Row],[Valerate '[%']]]&lt;T$10,_xlfn.NORM.DIST(Table2912[[#This Row],[Valerate '[%']]],T$6,T$2,FALSE),-100)</f>
        <v>-100</v>
      </c>
      <c r="BM436">
        <f>IF(Table2912[[#This Row],[Caproate '[%']]]&lt;U$10,_xlfn.NORM.DIST(Table2912[[#This Row],[Caproate '[%']]],U$6,U$2,FALSE),-100)</f>
        <v>-100</v>
      </c>
      <c r="BN436">
        <f>IF(Table2912[[#This Row],[Isobutyrate '[%']]]&lt;V$10,_xlfn.NORM.DIST(Table2912[[#This Row],[Isobutyrate '[%']]],V$6,V$2,FALSE),-100)</f>
        <v>-100</v>
      </c>
      <c r="BO436">
        <f>IF(Table2912[[#This Row],[Isovalerate '[%']]]&lt;W$10,_xlfn.NORM.DIST(Table2912[[#This Row],[Isovalerate '[%']]],W$6,W$2,FALSE),-100)</f>
        <v>-100</v>
      </c>
      <c r="BP436">
        <f>IF(Table2912[[#This Row],[CH4 '[g/mmol SCFA']]]&lt;X$10,_xlfn.NORM.DIST(Table2912[[#This Row],[CH4 '[g/mmol SCFA']]],X$6,X$2,FALSE),-100)</f>
        <v>-100</v>
      </c>
      <c r="BQ436">
        <f>IF(Table2912[[#This Row],[DMD '[mg/g']]]&gt;Y$10,_xlfn.NORM.DIST(Table2912[[#This Row],[DMD '[mg/g']]],Y$6,Y$2,FALSE),-100)</f>
        <v>-100</v>
      </c>
      <c r="BR436">
        <f>IF(Table2912[[#This Row],[CH4 '[ml/g']]]&lt;Z$10,_xlfn.NORM.DIST(Table2912[[#This Row],[CH4 '[ml/g']]],Z$6,Z$2,FALSE),-100)</f>
        <v>-100</v>
      </c>
      <c r="BS436">
        <f>IF(Table2912[[#This Row],[CH4 '[% GP']]]&lt;AA$10,_xlfn.NORM.DIST(Table2912[[#This Row],[CH4 '[% GP']]],AA$6,AA$2,FALSE),-100)</f>
        <v>-100</v>
      </c>
      <c r="BT436">
        <f>IF(Table2912[[#This Row],[CH4 '[g/g DDM']]]&lt;AB$10,_xlfn.NORM.DIST(Table2912[[#This Row],[CH4 '[g/g DDM']]],AB$6,AB$2,FALSE),-100)</f>
        <v>-100</v>
      </c>
    </row>
    <row r="437" spans="1:72" x14ac:dyDescent="0.25">
      <c r="A437" s="12" t="s">
        <v>200</v>
      </c>
      <c r="B437" s="13">
        <v>1213</v>
      </c>
      <c r="C437" s="113" t="s">
        <v>478</v>
      </c>
      <c r="D437" s="113" t="s">
        <v>391</v>
      </c>
      <c r="E437" s="113" t="s">
        <v>392</v>
      </c>
      <c r="F437" s="113" t="s">
        <v>393</v>
      </c>
      <c r="G437" t="s">
        <v>143</v>
      </c>
      <c r="H437" t="s">
        <v>144</v>
      </c>
      <c r="I437" t="s">
        <v>52</v>
      </c>
      <c r="J437" s="70">
        <v>3</v>
      </c>
      <c r="K437" s="70"/>
      <c r="L437" s="70"/>
      <c r="M437" t="s">
        <v>479</v>
      </c>
      <c r="N437" t="s">
        <v>237</v>
      </c>
      <c r="O437" s="18">
        <v>337.18616061606133</v>
      </c>
      <c r="P437" s="18">
        <v>7.7185555906188217</v>
      </c>
      <c r="Q437" s="97">
        <v>0.66794260849479792</v>
      </c>
      <c r="R437" s="97">
        <v>0.18036048160002671</v>
      </c>
      <c r="S437" s="97">
        <v>0.10170151995795039</v>
      </c>
      <c r="T437" s="97">
        <v>1.2595204253791528E-2</v>
      </c>
      <c r="U437" s="97">
        <v>1.8452152488569237E-3</v>
      </c>
      <c r="V437" s="97">
        <v>1.2986694966010171E-2</v>
      </c>
      <c r="W437" s="97">
        <v>2.2568275478566279E-2</v>
      </c>
      <c r="X437" s="51">
        <f t="shared" si="26"/>
        <v>7.7509849481516406</v>
      </c>
      <c r="Y437" s="18">
        <v>895.21342572504273</v>
      </c>
      <c r="Z437" s="18">
        <v>59.826408204358181</v>
      </c>
      <c r="AA437" s="18">
        <f t="shared" si="27"/>
        <v>17.742842142468536</v>
      </c>
      <c r="AB437" s="18">
        <f t="shared" si="28"/>
        <v>66.829212437139375</v>
      </c>
      <c r="AC437" s="18">
        <f>$CP$15*Table2912[[#This Row],[DMD '[mg/g']]]+$CS$15*Table2912[[#This Row],[CH4 '[ml/g']]]+$CR$15*Table2912[[#This Row],[CH4 '[% GP']]]+$CQ$15*Table2912[[#This Row],[CH4 '[g/g DDM']]]</f>
        <v>18.902039830426133</v>
      </c>
      <c r="AD437" s="18">
        <f>_xlfn.RANK.AVG(Table2912[[#This Row],[Index]],Table2912[Index])</f>
        <v>183</v>
      </c>
      <c r="AE43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7.3326633940365005</v>
      </c>
      <c r="AF437" s="18">
        <f>Table2912[[#This Row],[CH4 '[ml/g']]]/Table2912[[#This Row],[APB]]</f>
        <v>8.1588919318202624</v>
      </c>
      <c r="AG437" s="18">
        <f>Table2912[[#This Row],[Propionate '[%']]]/Table2912[[#This Row],[Acetate '[%']]]</f>
        <v>0.27002392017851246</v>
      </c>
      <c r="AH437" s="51"/>
      <c r="AI437" s="18"/>
      <c r="AJ437" s="18"/>
      <c r="AK437" s="18">
        <f>(Table2912[[#This Row],[DMD '[mg/g']]]-$AK$15)/$AK$15*100</f>
        <v>82.588882507952405</v>
      </c>
      <c r="AL437" s="18">
        <f>(Table2912[[#This Row],[CH4 '[ml/g']]]-AL$15)/AL$15*100</f>
        <v>52.105389866776399</v>
      </c>
      <c r="AM437" s="18">
        <f>(Table2912[[#This Row],[CH4 '[% GP']]]-AM$15)/AM$15*100</f>
        <v>14.30510080125093</v>
      </c>
      <c r="AN437" s="18">
        <f>(Table2912[[#This Row],[CH4 '[g/g DDM']]]-AN$15)/AN$15*100</f>
        <v>30.48623873977936</v>
      </c>
      <c r="AO437" s="18"/>
      <c r="AP437" s="18"/>
      <c r="AQ437" t="e">
        <f t="shared" si="29"/>
        <v>#DIV/0!</v>
      </c>
      <c r="AR437">
        <f>_xlfn.NORM.DIST(Table2912[[#This Row],[GP '[ml/g']]],O$6,O$2,FALSE)</f>
        <v>2.3142657627735152E-3</v>
      </c>
      <c r="AS437">
        <f>_xlfn.NORM.DIST(Table2912[[#This Row],[SCFA '[mmol/g']]],P$6,P$2,FALSE)</f>
        <v>0.20482646222462705</v>
      </c>
      <c r="AT437">
        <f>_xlfn.NORM.DIST(Table2912[[#This Row],[Acetate '[%']]],Q$6,Q$2,FALSE)</f>
        <v>13.795965815425667</v>
      </c>
      <c r="AU437">
        <f>_xlfn.NORM.DIST(Table2912[[#This Row],[Propionate '[%']]],R$6,R$2,FALSE)</f>
        <v>15.751859854825804</v>
      </c>
      <c r="AV437">
        <f>_xlfn.NORM.DIST(Table2912[[#This Row],[Butyrate '[%']]],S$6,S$2,FALSE)</f>
        <v>20.254161707588384</v>
      </c>
      <c r="AW437">
        <f>_xlfn.NORM.DIST(Table2912[[#This Row],[Valerate '[%']]],T$6,T$2,FALSE)</f>
        <v>47.769114695650991</v>
      </c>
      <c r="AX437">
        <f>_xlfn.NORM.DIST(Table2912[[#This Row],[Caproate '[%']]],U$6,U$2,FALSE)</f>
        <v>355.01431670350649</v>
      </c>
      <c r="AY437">
        <f>_xlfn.NORM.DIST(Table2912[[#This Row],[Isobutyrate '[%']]],V$6,V$2,FALSE)</f>
        <v>78.478089084673002</v>
      </c>
      <c r="AZ437">
        <f>_xlfn.NORM.DIST(Table2912[[#This Row],[Isovalerate '[%']]],W$6,W$2,FALSE)</f>
        <v>37.795520909521514</v>
      </c>
      <c r="BA437">
        <f>_xlfn.NORM.DIST(Table2912[[#This Row],[CH4 '[g/mmol SCFA']]],X$6,X$2,FALSE)</f>
        <v>0.16337839239747479</v>
      </c>
      <c r="BB437">
        <f>_xlfn.NORM.DIST(Table2912[[#This Row],[DMD '[mg/g']]],Y$6,Y$2,FALSE)</f>
        <v>1.9948205096085832E-3</v>
      </c>
      <c r="BC437">
        <f>_xlfn.NORM.DIST(Table2912[[#This Row],[CH4 '[ml/g']]],Z$6,Z$2,FALSE)</f>
        <v>1.0114527359983326E-2</v>
      </c>
      <c r="BD437">
        <f>_xlfn.NORM.DIST(Table2912[[#This Row],[CH4 '[% GP']]],AA$6,AA$2,FALSE)</f>
        <v>0.11481163942513017</v>
      </c>
      <c r="BE437">
        <f>_xlfn.NORM.DIST(Table2912[[#This Row],[CH4 '[g/g DDM']]],AB$6,AB$2,FALSE)</f>
        <v>1.7749591457247214E-2</v>
      </c>
      <c r="BG437">
        <f>IF(Table2912[[#This Row],[GP '[ml/g']]]&lt;O$10,_xlfn.NORM.DIST(Table2912[[#This Row],[GP '[ml/g']]],O$6,O$2,FALSE),-100)</f>
        <v>-100</v>
      </c>
      <c r="BH437">
        <f>IF(Table2912[[#This Row],[SCFA '[mmol/g']]]&lt;P$10,_xlfn.NORM.DIST(Table2912[[#This Row],[SCFA '[mmol/g']]],P$6,P$2,FALSE),-100)</f>
        <v>-100</v>
      </c>
      <c r="BI437">
        <f>IF(Table2912[[#This Row],[Acetate '[%']]]&lt;Q$10,_xlfn.NORM.DIST(Table2912[[#This Row],[Acetate '[%']]],Q$6,Q$2,FALSE),-100)</f>
        <v>-100</v>
      </c>
      <c r="BJ437">
        <f>IF(Table2912[[#This Row],[Propionate '[%']]]&lt;R$10,_xlfn.NORM.DIST(Table2912[[#This Row],[Propionate '[%']]],R$6,R$2,FALSE),-100)</f>
        <v>-100</v>
      </c>
      <c r="BK437">
        <f>IF(Table2912[[#This Row],[Butyrate '[%']]]&lt;S$10,_xlfn.NORM.DIST(Table2912[[#This Row],[Butyrate '[%']]],S$6,S$2,FALSE),-100)</f>
        <v>-100</v>
      </c>
      <c r="BL437">
        <f>IF(Table2912[[#This Row],[Valerate '[%']]]&lt;T$10,_xlfn.NORM.DIST(Table2912[[#This Row],[Valerate '[%']]],T$6,T$2,FALSE),-100)</f>
        <v>-100</v>
      </c>
      <c r="BM437">
        <f>IF(Table2912[[#This Row],[Caproate '[%']]]&lt;U$10,_xlfn.NORM.DIST(Table2912[[#This Row],[Caproate '[%']]],U$6,U$2,FALSE),-100)</f>
        <v>-100</v>
      </c>
      <c r="BN437">
        <f>IF(Table2912[[#This Row],[Isobutyrate '[%']]]&lt;V$10,_xlfn.NORM.DIST(Table2912[[#This Row],[Isobutyrate '[%']]],V$6,V$2,FALSE),-100)</f>
        <v>-100</v>
      </c>
      <c r="BO437">
        <f>IF(Table2912[[#This Row],[Isovalerate '[%']]]&lt;W$10,_xlfn.NORM.DIST(Table2912[[#This Row],[Isovalerate '[%']]],W$6,W$2,FALSE),-100)</f>
        <v>-100</v>
      </c>
      <c r="BP437">
        <f>IF(Table2912[[#This Row],[CH4 '[g/mmol SCFA']]]&lt;X$10,_xlfn.NORM.DIST(Table2912[[#This Row],[CH4 '[g/mmol SCFA']]],X$6,X$2,FALSE),-100)</f>
        <v>-100</v>
      </c>
      <c r="BQ437">
        <f>IF(Table2912[[#This Row],[DMD '[mg/g']]]&gt;Y$10,_xlfn.NORM.DIST(Table2912[[#This Row],[DMD '[mg/g']]],Y$6,Y$2,FALSE),-100)</f>
        <v>-100</v>
      </c>
      <c r="BR437">
        <f>IF(Table2912[[#This Row],[CH4 '[ml/g']]]&lt;Z$10,_xlfn.NORM.DIST(Table2912[[#This Row],[CH4 '[ml/g']]],Z$6,Z$2,FALSE),-100)</f>
        <v>-100</v>
      </c>
      <c r="BS437">
        <f>IF(Table2912[[#This Row],[CH4 '[% GP']]]&lt;AA$10,_xlfn.NORM.DIST(Table2912[[#This Row],[CH4 '[% GP']]],AA$6,AA$2,FALSE),-100)</f>
        <v>-100</v>
      </c>
      <c r="BT437">
        <f>IF(Table2912[[#This Row],[CH4 '[g/g DDM']]]&lt;AB$10,_xlfn.NORM.DIST(Table2912[[#This Row],[CH4 '[g/g DDM']]],AB$6,AB$2,FALSE),-100)</f>
        <v>-100</v>
      </c>
    </row>
    <row r="438" spans="1:72" x14ac:dyDescent="0.25">
      <c r="A438" s="12" t="s">
        <v>200</v>
      </c>
      <c r="B438" s="13">
        <v>1206</v>
      </c>
      <c r="C438" s="113" t="s">
        <v>525</v>
      </c>
      <c r="D438" s="113" t="s">
        <v>262</v>
      </c>
      <c r="E438" s="113" t="s">
        <v>411</v>
      </c>
      <c r="F438" s="113" t="s">
        <v>412</v>
      </c>
      <c r="G438" t="s">
        <v>73</v>
      </c>
      <c r="H438" t="s">
        <v>74</v>
      </c>
      <c r="I438" t="s">
        <v>75</v>
      </c>
      <c r="J438" s="70">
        <v>3</v>
      </c>
      <c r="K438" s="70"/>
      <c r="L438" s="70"/>
      <c r="M438" t="s">
        <v>526</v>
      </c>
      <c r="N438" t="s">
        <v>245</v>
      </c>
      <c r="O438" s="18">
        <v>290.82865266841543</v>
      </c>
      <c r="P438" s="18">
        <v>7.3173842987568909</v>
      </c>
      <c r="Q438" s="97">
        <v>0.64357915115794406</v>
      </c>
      <c r="R438" s="97">
        <v>0.16822365101461006</v>
      </c>
      <c r="S438" s="97">
        <v>0.10491365410723179</v>
      </c>
      <c r="T438" s="97">
        <v>2.2216920928809843E-2</v>
      </c>
      <c r="U438" s="97">
        <v>4.7994940492793441E-3</v>
      </c>
      <c r="V438" s="97">
        <v>1.9023503107057464E-2</v>
      </c>
      <c r="W438" s="97">
        <v>3.7243625635067376E-2</v>
      </c>
      <c r="X438" s="51">
        <f t="shared" si="26"/>
        <v>7.5020488109230872</v>
      </c>
      <c r="Y438" s="18">
        <v>897.5882239372163</v>
      </c>
      <c r="Z438" s="18">
        <v>54.895374177556398</v>
      </c>
      <c r="AA438" s="18">
        <f t="shared" si="27"/>
        <v>18.875504072201803</v>
      </c>
      <c r="AB438" s="18">
        <f t="shared" si="28"/>
        <v>61.158750430972866</v>
      </c>
      <c r="AC438" s="18">
        <f>$CP$15*Table2912[[#This Row],[DMD '[mg/g']]]+$CS$15*Table2912[[#This Row],[CH4 '[ml/g']]]+$CR$15*Table2912[[#This Row],[CH4 '[% GP']]]+$CQ$15*Table2912[[#This Row],[CH4 '[g/g DDM']]]</f>
        <v>20.785557688991858</v>
      </c>
      <c r="AD438" s="18">
        <f>_xlfn.RANK.AVG(Table2912[[#This Row],[Index]],Table2912[Index])</f>
        <v>147</v>
      </c>
      <c r="AE43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6.7079666035937624</v>
      </c>
      <c r="AF438" s="18">
        <f>Table2912[[#This Row],[CH4 '[ml/g']]]/Table2912[[#This Row],[APB]]</f>
        <v>8.1836087478650317</v>
      </c>
      <c r="AG438" s="18">
        <f>Table2912[[#This Row],[Propionate '[%']]]/Table2912[[#This Row],[Acetate '[%']]]</f>
        <v>0.26138766414657433</v>
      </c>
      <c r="AH438" s="51"/>
      <c r="AI438" s="18"/>
      <c r="AJ438" s="18"/>
      <c r="AK438" s="18">
        <f>(Table2912[[#This Row],[DMD '[mg/g']]]-$AK$15)/$AK$15*100</f>
        <v>83.073249407824875</v>
      </c>
      <c r="AL438" s="18">
        <f>(Table2912[[#This Row],[CH4 '[ml/g']]]-AL$15)/AL$15*100</f>
        <v>39.568503972991657</v>
      </c>
      <c r="AM438" s="18">
        <f>(Table2912[[#This Row],[CH4 '[% GP']]]-AM$15)/AM$15*100</f>
        <v>21.602073575528664</v>
      </c>
      <c r="AN438" s="18">
        <f>(Table2912[[#This Row],[CH4 '[g/g DDM']]]-AN$15)/AN$15*100</f>
        <v>19.414474879065462</v>
      </c>
      <c r="AO438" s="18"/>
      <c r="AP438" s="18"/>
      <c r="AQ438" t="e">
        <f t="shared" si="29"/>
        <v>#DIV/0!</v>
      </c>
      <c r="AR438">
        <f>_xlfn.NORM.DIST(Table2912[[#This Row],[GP '[ml/g']]],O$6,O$2,FALSE)</f>
        <v>6.0057073701323405E-3</v>
      </c>
      <c r="AS438">
        <f>_xlfn.NORM.DIST(Table2912[[#This Row],[SCFA '[mmol/g']]],P$6,P$2,FALSE)</f>
        <v>0.26929304769078505</v>
      </c>
      <c r="AT438">
        <f>_xlfn.NORM.DIST(Table2912[[#This Row],[Acetate '[%']]],Q$6,Q$2,FALSE)</f>
        <v>8.1774944296805909</v>
      </c>
      <c r="AU438">
        <f>_xlfn.NORM.DIST(Table2912[[#This Row],[Propionate '[%']]],R$6,R$2,FALSE)</f>
        <v>16.594767242588517</v>
      </c>
      <c r="AV438">
        <f>_xlfn.NORM.DIST(Table2912[[#This Row],[Butyrate '[%']]],S$6,S$2,FALSE)</f>
        <v>18.123086239800994</v>
      </c>
      <c r="AW438">
        <f>_xlfn.NORM.DIST(Table2912[[#This Row],[Valerate '[%']]],T$6,T$2,FALSE)</f>
        <v>52.352078099010633</v>
      </c>
      <c r="AX438">
        <f>_xlfn.NORM.DIST(Table2912[[#This Row],[Caproate '[%']]],U$6,U$2,FALSE)</f>
        <v>0.78506480915948307</v>
      </c>
      <c r="AY438">
        <f>_xlfn.NORM.DIST(Table2912[[#This Row],[Isobutyrate '[%']]],V$6,V$2,FALSE)</f>
        <v>63.48888044417474</v>
      </c>
      <c r="AZ438">
        <f>_xlfn.NORM.DIST(Table2912[[#This Row],[Isovalerate '[%']]],W$6,W$2,FALSE)</f>
        <v>25.777814619926325</v>
      </c>
      <c r="BA438">
        <f>_xlfn.NORM.DIST(Table2912[[#This Row],[CH4 '[g/mmol SCFA']]],X$6,X$2,FALSE)</f>
        <v>0.19675849526522629</v>
      </c>
      <c r="BB438">
        <f>_xlfn.NORM.DIST(Table2912[[#This Row],[DMD '[mg/g']]],Y$6,Y$2,FALSE)</f>
        <v>1.9645771621878898E-3</v>
      </c>
      <c r="BC438">
        <f>_xlfn.NORM.DIST(Table2912[[#This Row],[CH4 '[ml/g']]],Z$6,Z$2,FALSE)</f>
        <v>1.7622959823078092E-2</v>
      </c>
      <c r="BD438">
        <f>_xlfn.NORM.DIST(Table2912[[#This Row],[CH4 '[% GP']]],AA$6,AA$2,FALSE)</f>
        <v>8.5958168165990112E-2</v>
      </c>
      <c r="BE438">
        <f>_xlfn.NORM.DIST(Table2912[[#This Row],[CH4 '[g/g DDM']]],AB$6,AB$2,FALSE)</f>
        <v>2.6722084925015707E-2</v>
      </c>
      <c r="BG438">
        <f>IF(Table2912[[#This Row],[GP '[ml/g']]]&lt;O$10,_xlfn.NORM.DIST(Table2912[[#This Row],[GP '[ml/g']]],O$6,O$2,FALSE),-100)</f>
        <v>-100</v>
      </c>
      <c r="BH438">
        <f>IF(Table2912[[#This Row],[SCFA '[mmol/g']]]&lt;P$10,_xlfn.NORM.DIST(Table2912[[#This Row],[SCFA '[mmol/g']]],P$6,P$2,FALSE),-100)</f>
        <v>-100</v>
      </c>
      <c r="BI438">
        <f>IF(Table2912[[#This Row],[Acetate '[%']]]&lt;Q$10,_xlfn.NORM.DIST(Table2912[[#This Row],[Acetate '[%']]],Q$6,Q$2,FALSE),-100)</f>
        <v>8.1774944296805909</v>
      </c>
      <c r="BJ438">
        <f>IF(Table2912[[#This Row],[Propionate '[%']]]&lt;R$10,_xlfn.NORM.DIST(Table2912[[#This Row],[Propionate '[%']]],R$6,R$2,FALSE),-100)</f>
        <v>-100</v>
      </c>
      <c r="BK438">
        <f>IF(Table2912[[#This Row],[Butyrate '[%']]]&lt;S$10,_xlfn.NORM.DIST(Table2912[[#This Row],[Butyrate '[%']]],S$6,S$2,FALSE),-100)</f>
        <v>-100</v>
      </c>
      <c r="BL438">
        <f>IF(Table2912[[#This Row],[Valerate '[%']]]&lt;T$10,_xlfn.NORM.DIST(Table2912[[#This Row],[Valerate '[%']]],T$6,T$2,FALSE),-100)</f>
        <v>-100</v>
      </c>
      <c r="BM438">
        <f>IF(Table2912[[#This Row],[Caproate '[%']]]&lt;U$10,_xlfn.NORM.DIST(Table2912[[#This Row],[Caproate '[%']]],U$6,U$2,FALSE),-100)</f>
        <v>-100</v>
      </c>
      <c r="BN438">
        <f>IF(Table2912[[#This Row],[Isobutyrate '[%']]]&lt;V$10,_xlfn.NORM.DIST(Table2912[[#This Row],[Isobutyrate '[%']]],V$6,V$2,FALSE),-100)</f>
        <v>-100</v>
      </c>
      <c r="BO438">
        <f>IF(Table2912[[#This Row],[Isovalerate '[%']]]&lt;W$10,_xlfn.NORM.DIST(Table2912[[#This Row],[Isovalerate '[%']]],W$6,W$2,FALSE),-100)</f>
        <v>-100</v>
      </c>
      <c r="BP438">
        <f>IF(Table2912[[#This Row],[CH4 '[g/mmol SCFA']]]&lt;X$10,_xlfn.NORM.DIST(Table2912[[#This Row],[CH4 '[g/mmol SCFA']]],X$6,X$2,FALSE),-100)</f>
        <v>-100</v>
      </c>
      <c r="BQ438">
        <f>IF(Table2912[[#This Row],[DMD '[mg/g']]]&gt;Y$10,_xlfn.NORM.DIST(Table2912[[#This Row],[DMD '[mg/g']]],Y$6,Y$2,FALSE),-100)</f>
        <v>-100</v>
      </c>
      <c r="BR438">
        <f>IF(Table2912[[#This Row],[CH4 '[ml/g']]]&lt;Z$10,_xlfn.NORM.DIST(Table2912[[#This Row],[CH4 '[ml/g']]],Z$6,Z$2,FALSE),-100)</f>
        <v>-100</v>
      </c>
      <c r="BS438">
        <f>IF(Table2912[[#This Row],[CH4 '[% GP']]]&lt;AA$10,_xlfn.NORM.DIST(Table2912[[#This Row],[CH4 '[% GP']]],AA$6,AA$2,FALSE),-100)</f>
        <v>-100</v>
      </c>
      <c r="BT438">
        <f>IF(Table2912[[#This Row],[CH4 '[g/g DDM']]]&lt;AB$10,_xlfn.NORM.DIST(Table2912[[#This Row],[CH4 '[g/g DDM']]],AB$6,AB$2,FALSE),-100)</f>
        <v>-100</v>
      </c>
    </row>
    <row r="439" spans="1:72" x14ac:dyDescent="0.25">
      <c r="A439" s="12" t="s">
        <v>200</v>
      </c>
      <c r="B439" s="13">
        <v>1197</v>
      </c>
      <c r="C439" s="119" t="s">
        <v>534</v>
      </c>
      <c r="D439" s="119" t="s">
        <v>535</v>
      </c>
      <c r="E439" s="119" t="s">
        <v>536</v>
      </c>
      <c r="F439" s="119" t="s">
        <v>537</v>
      </c>
      <c r="G439" t="s">
        <v>538</v>
      </c>
      <c r="H439" t="s">
        <v>539</v>
      </c>
      <c r="I439" s="53" t="s">
        <v>48</v>
      </c>
      <c r="J439" s="100">
        <v>2</v>
      </c>
      <c r="K439" s="100"/>
      <c r="L439" s="100"/>
      <c r="M439" t="s">
        <v>540</v>
      </c>
      <c r="N439" t="s">
        <v>208</v>
      </c>
      <c r="O439" s="18">
        <v>285.41531058617755</v>
      </c>
      <c r="P439" s="18">
        <v>8.0533179880292742</v>
      </c>
      <c r="Q439" s="97">
        <v>0.65146314395030436</v>
      </c>
      <c r="R439" s="97">
        <v>0.15858284630624425</v>
      </c>
      <c r="S439" s="97">
        <v>0.10604994153866107</v>
      </c>
      <c r="T439" s="97">
        <v>4.0314152217655025E-2</v>
      </c>
      <c r="U439" s="97">
        <v>1.69844998343542E-3</v>
      </c>
      <c r="V439" s="97">
        <v>1.6243253987656837E-2</v>
      </c>
      <c r="W439" s="97">
        <v>2.5648212016043129E-2</v>
      </c>
      <c r="X439" s="51">
        <f t="shared" si="26"/>
        <v>5.7914750675499205</v>
      </c>
      <c r="Y439" s="18">
        <v>898.18720576594592</v>
      </c>
      <c r="Z439" s="18">
        <v>46.640590338722831</v>
      </c>
      <c r="AA439" s="18">
        <f t="shared" si="27"/>
        <v>16.341306373135261</v>
      </c>
      <c r="AB439" s="18">
        <f t="shared" si="28"/>
        <v>51.927471288069832</v>
      </c>
      <c r="AC439" s="18">
        <f>$CP$15*Table2912[[#This Row],[DMD '[mg/g']]]+$CS$15*Table2912[[#This Row],[CH4 '[ml/g']]]+$CR$15*Table2912[[#This Row],[CH4 '[% GP']]]+$CQ$15*Table2912[[#This Row],[CH4 '[g/g DDM']]]</f>
        <v>24.858684030705675</v>
      </c>
      <c r="AD439" s="18">
        <f>_xlfn.RANK.AVG(Table2912[[#This Row],[Index]],Table2912[Index])</f>
        <v>93</v>
      </c>
      <c r="AE43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7.3776118462868006</v>
      </c>
      <c r="AF439" s="18">
        <f>Table2912[[#This Row],[CH4 '[ml/g']]]/Table2912[[#This Row],[APB]]</f>
        <v>6.3219089470256336</v>
      </c>
      <c r="AG439" s="18">
        <f>Table2912[[#This Row],[Propionate '[%']]]/Table2912[[#This Row],[Acetate '[%']]]</f>
        <v>0.2434256608050592</v>
      </c>
      <c r="AH439" s="51"/>
      <c r="AI439" s="18"/>
      <c r="AJ439" s="18"/>
      <c r="AK439" s="18">
        <f>(Table2912[[#This Row],[DMD '[mg/g']]]-$AK$15)/$AK$15*100</f>
        <v>83.195418512540584</v>
      </c>
      <c r="AL439" s="18">
        <f>(Table2912[[#This Row],[CH4 '[ml/g']]]-AL$15)/AL$15*100</f>
        <v>18.581164907226412</v>
      </c>
      <c r="AM439" s="18">
        <f>(Table2912[[#This Row],[CH4 '[% GP']]]-AM$15)/AM$15*100</f>
        <v>5.2759561972562725</v>
      </c>
      <c r="AN439" s="18">
        <f>(Table2912[[#This Row],[CH4 '[g/g DDM']]]-AN$15)/AN$15*100</f>
        <v>1.3900982601218437</v>
      </c>
      <c r="AO439" s="18"/>
      <c r="AP439" s="18"/>
      <c r="AQ439" t="e">
        <f t="shared" si="29"/>
        <v>#DIV/0!</v>
      </c>
      <c r="AR439">
        <f>_xlfn.NORM.DIST(Table2912[[#This Row],[GP '[ml/g']]],O$6,O$2,FALSE)</f>
        <v>6.3904744990929113E-3</v>
      </c>
      <c r="AS439">
        <f>_xlfn.NORM.DIST(Table2912[[#This Row],[SCFA '[mmol/g']]],P$6,P$2,FALSE)</f>
        <v>0.14962472493173584</v>
      </c>
      <c r="AT439">
        <f>_xlfn.NORM.DIST(Table2912[[#This Row],[Acetate '[%']]],Q$6,Q$2,FALSE)</f>
        <v>10.49536488583772</v>
      </c>
      <c r="AU439">
        <f>_xlfn.NORM.DIST(Table2912[[#This Row],[Propionate '[%']]],R$6,R$2,FALSE)</f>
        <v>14.361208198263279</v>
      </c>
      <c r="AV439">
        <f>_xlfn.NORM.DIST(Table2912[[#This Row],[Butyrate '[%']]],S$6,S$2,FALSE)</f>
        <v>17.281318557688785</v>
      </c>
      <c r="AW439">
        <f>_xlfn.NORM.DIST(Table2912[[#This Row],[Valerate '[%']]],T$6,T$2,FALSE)</f>
        <v>4.9439192398833456E-3</v>
      </c>
      <c r="AX439">
        <f>_xlfn.NORM.DIST(Table2912[[#This Row],[Caproate '[%']]],U$6,U$2,FALSE)</f>
        <v>379.61355318351093</v>
      </c>
      <c r="AY439">
        <f>_xlfn.NORM.DIST(Table2912[[#This Row],[Isobutyrate '[%']]],V$6,V$2,FALSE)</f>
        <v>88.207271109487948</v>
      </c>
      <c r="AZ439">
        <f>_xlfn.NORM.DIST(Table2912[[#This Row],[Isovalerate '[%']]],W$6,W$2,FALSE)</f>
        <v>43.966879348867458</v>
      </c>
      <c r="BA439">
        <f>_xlfn.NORM.DIST(Table2912[[#This Row],[CH4 '[g/mmol SCFA']]],X$6,X$2,FALSE)</f>
        <v>0.27811630140116528</v>
      </c>
      <c r="BB439">
        <f>_xlfn.NORM.DIST(Table2912[[#This Row],[DMD '[mg/g']]],Y$6,Y$2,FALSE)</f>
        <v>1.9569286184223391E-3</v>
      </c>
      <c r="BC439">
        <f>_xlfn.NORM.DIST(Table2912[[#This Row],[CH4 '[ml/g']]],Z$6,Z$2,FALSE)</f>
        <v>3.041062576604003E-2</v>
      </c>
      <c r="BD439">
        <f>_xlfn.NORM.DIST(Table2912[[#This Row],[CH4 '[% GP']]],AA$6,AA$2,FALSE)</f>
        <v>0.13414546711156031</v>
      </c>
      <c r="BE439">
        <f>_xlfn.NORM.DIST(Table2912[[#This Row],[CH4 '[g/g DDM']]],AB$6,AB$2,FALSE)</f>
        <v>3.2626182456124073E-2</v>
      </c>
      <c r="BG439">
        <f>IF(Table2912[[#This Row],[GP '[ml/g']]]&lt;O$10,_xlfn.NORM.DIST(Table2912[[#This Row],[GP '[ml/g']]],O$6,O$2,FALSE),-100)</f>
        <v>-100</v>
      </c>
      <c r="BH439">
        <f>IF(Table2912[[#This Row],[SCFA '[mmol/g']]]&lt;P$10,_xlfn.NORM.DIST(Table2912[[#This Row],[SCFA '[mmol/g']]],P$6,P$2,FALSE),-100)</f>
        <v>-100</v>
      </c>
      <c r="BI439">
        <f>IF(Table2912[[#This Row],[Acetate '[%']]]&lt;Q$10,_xlfn.NORM.DIST(Table2912[[#This Row],[Acetate '[%']]],Q$6,Q$2,FALSE),-100)</f>
        <v>-100</v>
      </c>
      <c r="BJ439">
        <f>IF(Table2912[[#This Row],[Propionate '[%']]]&lt;R$10,_xlfn.NORM.DIST(Table2912[[#This Row],[Propionate '[%']]],R$6,R$2,FALSE),-100)</f>
        <v>-100</v>
      </c>
      <c r="BK439">
        <f>IF(Table2912[[#This Row],[Butyrate '[%']]]&lt;S$10,_xlfn.NORM.DIST(Table2912[[#This Row],[Butyrate '[%']]],S$6,S$2,FALSE),-100)</f>
        <v>-100</v>
      </c>
      <c r="BL439">
        <f>IF(Table2912[[#This Row],[Valerate '[%']]]&lt;T$10,_xlfn.NORM.DIST(Table2912[[#This Row],[Valerate '[%']]],T$6,T$2,FALSE),-100)</f>
        <v>-100</v>
      </c>
      <c r="BM439">
        <f>IF(Table2912[[#This Row],[Caproate '[%']]]&lt;U$10,_xlfn.NORM.DIST(Table2912[[#This Row],[Caproate '[%']]],U$6,U$2,FALSE),-100)</f>
        <v>-100</v>
      </c>
      <c r="BN439">
        <f>IF(Table2912[[#This Row],[Isobutyrate '[%']]]&lt;V$10,_xlfn.NORM.DIST(Table2912[[#This Row],[Isobutyrate '[%']]],V$6,V$2,FALSE),-100)</f>
        <v>-100</v>
      </c>
      <c r="BO439">
        <f>IF(Table2912[[#This Row],[Isovalerate '[%']]]&lt;W$10,_xlfn.NORM.DIST(Table2912[[#This Row],[Isovalerate '[%']]],W$6,W$2,FALSE),-100)</f>
        <v>-100</v>
      </c>
      <c r="BP439">
        <f>IF(Table2912[[#This Row],[CH4 '[g/mmol SCFA']]]&lt;X$10,_xlfn.NORM.DIST(Table2912[[#This Row],[CH4 '[g/mmol SCFA']]],X$6,X$2,FALSE),-100)</f>
        <v>-100</v>
      </c>
      <c r="BQ439">
        <f>IF(Table2912[[#This Row],[DMD '[mg/g']]]&gt;Y$10,_xlfn.NORM.DIST(Table2912[[#This Row],[DMD '[mg/g']]],Y$6,Y$2,FALSE),-100)</f>
        <v>-100</v>
      </c>
      <c r="BR439">
        <f>IF(Table2912[[#This Row],[CH4 '[ml/g']]]&lt;Z$10,_xlfn.NORM.DIST(Table2912[[#This Row],[CH4 '[ml/g']]],Z$6,Z$2,FALSE),-100)</f>
        <v>-100</v>
      </c>
      <c r="BS439">
        <f>IF(Table2912[[#This Row],[CH4 '[% GP']]]&lt;AA$10,_xlfn.NORM.DIST(Table2912[[#This Row],[CH4 '[% GP']]],AA$6,AA$2,FALSE),-100)</f>
        <v>-100</v>
      </c>
      <c r="BT439">
        <f>IF(Table2912[[#This Row],[CH4 '[g/g DDM']]]&lt;AB$10,_xlfn.NORM.DIST(Table2912[[#This Row],[CH4 '[g/g DDM']]],AB$6,AB$2,FALSE),-100)</f>
        <v>-100</v>
      </c>
    </row>
    <row r="440" spans="1:72" x14ac:dyDescent="0.25">
      <c r="A440" s="12" t="s">
        <v>200</v>
      </c>
      <c r="B440" s="13">
        <v>1204</v>
      </c>
      <c r="C440" s="113" t="s">
        <v>482</v>
      </c>
      <c r="D440" s="113" t="s">
        <v>262</v>
      </c>
      <c r="E440" s="113" t="s">
        <v>411</v>
      </c>
      <c r="F440" s="113" t="s">
        <v>412</v>
      </c>
      <c r="G440" t="s">
        <v>73</v>
      </c>
      <c r="H440" t="s">
        <v>74</v>
      </c>
      <c r="I440" t="s">
        <v>75</v>
      </c>
      <c r="J440" s="70">
        <v>2</v>
      </c>
      <c r="K440" s="70"/>
      <c r="L440" s="70"/>
      <c r="M440" t="s">
        <v>483</v>
      </c>
      <c r="N440" t="s">
        <v>171</v>
      </c>
      <c r="O440" s="18">
        <v>276.43410037256211</v>
      </c>
      <c r="P440" s="18">
        <v>6.9789224011980409</v>
      </c>
      <c r="Q440" s="97">
        <v>0.63683628049277152</v>
      </c>
      <c r="R440" s="97">
        <v>0.19034032276456916</v>
      </c>
      <c r="S440" s="97">
        <v>9.3844344725432211E-2</v>
      </c>
      <c r="T440" s="97">
        <v>2.0898242682657692E-2</v>
      </c>
      <c r="U440" s="97">
        <v>3.716664947586192E-3</v>
      </c>
      <c r="V440" s="97">
        <v>1.9402151388360364E-2</v>
      </c>
      <c r="W440" s="97">
        <v>3.4961992998622932E-2</v>
      </c>
      <c r="X440" s="51">
        <f t="shared" ref="X440:X503" si="30">Z440/P440</f>
        <v>7.8623301245112653</v>
      </c>
      <c r="Y440" s="18">
        <v>899.44676643394598</v>
      </c>
      <c r="Z440" s="18">
        <v>54.870591831565854</v>
      </c>
      <c r="AA440" s="18">
        <f t="shared" ref="AA440:AA503" si="31">Z440/O440*100</f>
        <v>19.849429487033042</v>
      </c>
      <c r="AB440" s="18">
        <f t="shared" ref="AB440:AB503" si="32">Z440/Y440*1000</f>
        <v>61.004824164427596</v>
      </c>
      <c r="AC440" s="18">
        <f>$CP$15*Table2912[[#This Row],[DMD '[mg/g']]]+$CS$15*Table2912[[#This Row],[CH4 '[ml/g']]]+$CR$15*Table2912[[#This Row],[CH4 '[% GP']]]+$CQ$15*Table2912[[#This Row],[CH4 '[g/g DDM']]]</f>
        <v>20.713613079516257</v>
      </c>
      <c r="AD440" s="18">
        <f>_xlfn.RANK.AVG(Table2912[[#This Row],[Index]],Table2912[Index])</f>
        <v>149</v>
      </c>
      <c r="AE44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6.4277337258496292</v>
      </c>
      <c r="AF440" s="18">
        <f>Table2912[[#This Row],[CH4 '[ml/g']]]/Table2912[[#This Row],[APB]]</f>
        <v>8.53653778638955</v>
      </c>
      <c r="AG440" s="18">
        <f>Table2912[[#This Row],[Propionate '[%']]]/Table2912[[#This Row],[Acetate '[%']]]</f>
        <v>0.29888423225085031</v>
      </c>
      <c r="AH440" s="51"/>
      <c r="AI440" s="18"/>
      <c r="AJ440" s="18"/>
      <c r="AK440" s="18">
        <f>(Table2912[[#This Row],[DMD '[mg/g']]]-$AK$15)/$AK$15*100</f>
        <v>83.452320127521205</v>
      </c>
      <c r="AL440" s="18">
        <f>(Table2912[[#This Row],[CH4 '[ml/g']]]-AL$15)/AL$15*100</f>
        <v>39.505496205822539</v>
      </c>
      <c r="AM440" s="18">
        <f>(Table2912[[#This Row],[CH4 '[% GP']]]-AM$15)/AM$15*100</f>
        <v>27.87641462085211</v>
      </c>
      <c r="AN440" s="18">
        <f>(Table2912[[#This Row],[CH4 '[g/g DDM']]]-AN$15)/AN$15*100</f>
        <v>19.113928773069652</v>
      </c>
      <c r="AO440" s="18"/>
      <c r="AP440" s="18"/>
      <c r="AQ440" t="e">
        <f t="shared" si="29"/>
        <v>#DIV/0!</v>
      </c>
      <c r="AR440">
        <f>_xlfn.NORM.DIST(Table2912[[#This Row],[GP '[ml/g']]],O$6,O$2,FALSE)</f>
        <v>6.9248180193324941E-3</v>
      </c>
      <c r="AS440">
        <f>_xlfn.NORM.DIST(Table2912[[#This Row],[SCFA '[mmol/g']]],P$6,P$2,FALSE)</f>
        <v>0.31093629890107383</v>
      </c>
      <c r="AT440">
        <f>_xlfn.NORM.DIST(Table2912[[#This Row],[Acetate '[%']]],Q$6,Q$2,FALSE)</f>
        <v>6.2151745404408212</v>
      </c>
      <c r="AU440">
        <f>_xlfn.NORM.DIST(Table2912[[#This Row],[Propionate '[%']]],R$6,R$2,FALSE)</f>
        <v>12.411112409970857</v>
      </c>
      <c r="AV440">
        <f>_xlfn.NORM.DIST(Table2912[[#This Row],[Butyrate '[%']]],S$6,S$2,FALSE)</f>
        <v>22.997416470763465</v>
      </c>
      <c r="AW440">
        <f>_xlfn.NORM.DIST(Table2912[[#This Row],[Valerate '[%']]],T$6,T$2,FALSE)</f>
        <v>63.527780907811561</v>
      </c>
      <c r="AX440">
        <f>_xlfn.NORM.DIST(Table2912[[#This Row],[Caproate '[%']]],U$6,U$2,FALSE)</f>
        <v>21.182022105794815</v>
      </c>
      <c r="AY440">
        <f>_xlfn.NORM.DIST(Table2912[[#This Row],[Isobutyrate '[%']]],V$6,V$2,FALSE)</f>
        <v>58.882085238659805</v>
      </c>
      <c r="AZ440">
        <f>_xlfn.NORM.DIST(Table2912[[#This Row],[Isovalerate '[%']]],W$6,W$2,FALSE)</f>
        <v>32.863422952317755</v>
      </c>
      <c r="BA440">
        <f>_xlfn.NORM.DIST(Table2912[[#This Row],[CH4 '[g/mmol SCFA']]],X$6,X$2,FALSE)</f>
        <v>0.1486757836161598</v>
      </c>
      <c r="BB440">
        <f>_xlfn.NORM.DIST(Table2912[[#This Row],[DMD '[mg/g']]],Y$6,Y$2,FALSE)</f>
        <v>1.9408206144916164E-3</v>
      </c>
      <c r="BC440">
        <f>_xlfn.NORM.DIST(Table2912[[#This Row],[CH4 '[ml/g']]],Z$6,Z$2,FALSE)</f>
        <v>1.7664551501989909E-2</v>
      </c>
      <c r="BD440">
        <f>_xlfn.NORM.DIST(Table2912[[#This Row],[CH4 '[% GP']]],AA$6,AA$2,FALSE)</f>
        <v>5.9621392664488806E-2</v>
      </c>
      <c r="BE440">
        <f>_xlfn.NORM.DIST(Table2912[[#This Row],[CH4 '[g/g DDM']]],AB$6,AB$2,FALSE)</f>
        <v>2.6938500233661927E-2</v>
      </c>
      <c r="BG440">
        <f>IF(Table2912[[#This Row],[GP '[ml/g']]]&lt;O$10,_xlfn.NORM.DIST(Table2912[[#This Row],[GP '[ml/g']]],O$6,O$2,FALSE),-100)</f>
        <v>-100</v>
      </c>
      <c r="BH440">
        <f>IF(Table2912[[#This Row],[SCFA '[mmol/g']]]&lt;P$10,_xlfn.NORM.DIST(Table2912[[#This Row],[SCFA '[mmol/g']]],P$6,P$2,FALSE),-100)</f>
        <v>-100</v>
      </c>
      <c r="BI440">
        <f>IF(Table2912[[#This Row],[Acetate '[%']]]&lt;Q$10,_xlfn.NORM.DIST(Table2912[[#This Row],[Acetate '[%']]],Q$6,Q$2,FALSE),-100)</f>
        <v>6.2151745404408212</v>
      </c>
      <c r="BJ440">
        <f>IF(Table2912[[#This Row],[Propionate '[%']]]&lt;R$10,_xlfn.NORM.DIST(Table2912[[#This Row],[Propionate '[%']]],R$6,R$2,FALSE),-100)</f>
        <v>-100</v>
      </c>
      <c r="BK440">
        <f>IF(Table2912[[#This Row],[Butyrate '[%']]]&lt;S$10,_xlfn.NORM.DIST(Table2912[[#This Row],[Butyrate '[%']]],S$6,S$2,FALSE),-100)</f>
        <v>-100</v>
      </c>
      <c r="BL440">
        <f>IF(Table2912[[#This Row],[Valerate '[%']]]&lt;T$10,_xlfn.NORM.DIST(Table2912[[#This Row],[Valerate '[%']]],T$6,T$2,FALSE),-100)</f>
        <v>-100</v>
      </c>
      <c r="BM440">
        <f>IF(Table2912[[#This Row],[Caproate '[%']]]&lt;U$10,_xlfn.NORM.DIST(Table2912[[#This Row],[Caproate '[%']]],U$6,U$2,FALSE),-100)</f>
        <v>-100</v>
      </c>
      <c r="BN440">
        <f>IF(Table2912[[#This Row],[Isobutyrate '[%']]]&lt;V$10,_xlfn.NORM.DIST(Table2912[[#This Row],[Isobutyrate '[%']]],V$6,V$2,FALSE),-100)</f>
        <v>-100</v>
      </c>
      <c r="BO440">
        <f>IF(Table2912[[#This Row],[Isovalerate '[%']]]&lt;W$10,_xlfn.NORM.DIST(Table2912[[#This Row],[Isovalerate '[%']]],W$6,W$2,FALSE),-100)</f>
        <v>-100</v>
      </c>
      <c r="BP440">
        <f>IF(Table2912[[#This Row],[CH4 '[g/mmol SCFA']]]&lt;X$10,_xlfn.NORM.DIST(Table2912[[#This Row],[CH4 '[g/mmol SCFA']]],X$6,X$2,FALSE),-100)</f>
        <v>-100</v>
      </c>
      <c r="BQ440">
        <f>IF(Table2912[[#This Row],[DMD '[mg/g']]]&gt;Y$10,_xlfn.NORM.DIST(Table2912[[#This Row],[DMD '[mg/g']]],Y$6,Y$2,FALSE),-100)</f>
        <v>-100</v>
      </c>
      <c r="BR440">
        <f>IF(Table2912[[#This Row],[CH4 '[ml/g']]]&lt;Z$10,_xlfn.NORM.DIST(Table2912[[#This Row],[CH4 '[ml/g']]],Z$6,Z$2,FALSE),-100)</f>
        <v>-100</v>
      </c>
      <c r="BS440">
        <f>IF(Table2912[[#This Row],[CH4 '[% GP']]]&lt;AA$10,_xlfn.NORM.DIST(Table2912[[#This Row],[CH4 '[% GP']]],AA$6,AA$2,FALSE),-100)</f>
        <v>-100</v>
      </c>
      <c r="BT440">
        <f>IF(Table2912[[#This Row],[CH4 '[g/g DDM']]]&lt;AB$10,_xlfn.NORM.DIST(Table2912[[#This Row],[CH4 '[g/g DDM']]],AB$6,AB$2,FALSE),-100)</f>
        <v>-100</v>
      </c>
    </row>
    <row r="441" spans="1:72" x14ac:dyDescent="0.25">
      <c r="A441" s="12" t="s">
        <v>200</v>
      </c>
      <c r="B441" s="13">
        <v>1205</v>
      </c>
      <c r="C441" s="113" t="s">
        <v>514</v>
      </c>
      <c r="D441" s="113" t="s">
        <v>262</v>
      </c>
      <c r="E441" s="113" t="s">
        <v>411</v>
      </c>
      <c r="F441" s="113" t="s">
        <v>412</v>
      </c>
      <c r="G441" t="s">
        <v>73</v>
      </c>
      <c r="H441" t="s">
        <v>74</v>
      </c>
      <c r="I441" t="s">
        <v>75</v>
      </c>
      <c r="J441" s="70">
        <v>1</v>
      </c>
      <c r="K441" s="70"/>
      <c r="L441" s="70"/>
      <c r="M441" t="s">
        <v>515</v>
      </c>
      <c r="N441" t="s">
        <v>171</v>
      </c>
      <c r="O441" s="18">
        <v>239.7140535792706</v>
      </c>
      <c r="P441" s="18">
        <v>6.2941370223978934</v>
      </c>
      <c r="Q441" s="97">
        <v>0.65171188025915394</v>
      </c>
      <c r="R441" s="97">
        <v>0.17851896389483018</v>
      </c>
      <c r="S441" s="97">
        <v>9.808642047494473E-2</v>
      </c>
      <c r="T441" s="97">
        <v>1.8502742065511696E-2</v>
      </c>
      <c r="U441" s="97">
        <v>3.9387838056571698E-3</v>
      </c>
      <c r="V441" s="97">
        <v>1.7160563599709827E-2</v>
      </c>
      <c r="W441" s="97">
        <v>3.2080645900192405E-2</v>
      </c>
      <c r="X441" s="51">
        <f t="shared" si="30"/>
        <v>7.2656098567077159</v>
      </c>
      <c r="Y441" s="18">
        <v>899.53886693017137</v>
      </c>
      <c r="Z441" s="18">
        <v>45.730743989403088</v>
      </c>
      <c r="AA441" s="18">
        <f t="shared" si="31"/>
        <v>19.077206073894402</v>
      </c>
      <c r="AB441" s="18">
        <f t="shared" si="32"/>
        <v>50.837985628644368</v>
      </c>
      <c r="AC441" s="18">
        <f>$CP$15*Table2912[[#This Row],[DMD '[mg/g']]]+$CS$15*Table2912[[#This Row],[CH4 '[ml/g']]]+$CR$15*Table2912[[#This Row],[CH4 '[% GP']]]+$CQ$15*Table2912[[#This Row],[CH4 '[g/g DDM']]]</f>
        <v>24.53382901981152</v>
      </c>
      <c r="AD441" s="18">
        <f>_xlfn.RANK.AVG(Table2912[[#This Row],[Index]],Table2912[Index])</f>
        <v>96</v>
      </c>
      <c r="AE44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5.8429560638320837</v>
      </c>
      <c r="AF441" s="18">
        <f>Table2912[[#This Row],[CH4 '[ml/g']]]/Table2912[[#This Row],[APB]]</f>
        <v>7.8266451929146852</v>
      </c>
      <c r="AG441" s="18">
        <f>Table2912[[#This Row],[Propionate '[%']]]/Table2912[[#This Row],[Acetate '[%']]]</f>
        <v>0.27392313889358888</v>
      </c>
      <c r="AH441" s="51"/>
      <c r="AI441" s="18"/>
      <c r="AJ441" s="18"/>
      <c r="AK441" s="18">
        <f>(Table2912[[#This Row],[DMD '[mg/g']]]-$AK$15)/$AK$15*100</f>
        <v>83.471105063270585</v>
      </c>
      <c r="AL441" s="18">
        <f>(Table2912[[#This Row],[CH4 '[ml/g']]]-AL$15)/AL$15*100</f>
        <v>16.267930035939905</v>
      </c>
      <c r="AM441" s="18">
        <f>(Table2912[[#This Row],[CH4 '[% GP']]]-AM$15)/AM$15*100</f>
        <v>22.901502801701046</v>
      </c>
      <c r="AN441" s="18">
        <f>(Table2912[[#This Row],[CH4 '[g/g DDM']]]-AN$15)/AN$15*100</f>
        <v>-0.7371583792269687</v>
      </c>
      <c r="AO441" s="18"/>
      <c r="AP441" s="18"/>
      <c r="AQ441" t="e">
        <f t="shared" si="29"/>
        <v>#DIV/0!</v>
      </c>
      <c r="AR441">
        <f>_xlfn.NORM.DIST(Table2912[[#This Row],[GP '[ml/g']]],O$6,O$2,FALSE)</f>
        <v>7.1597216019525529E-3</v>
      </c>
      <c r="AS441">
        <f>_xlfn.NORM.DIST(Table2912[[#This Row],[SCFA '[mmol/g']]],P$6,P$2,FALSE)</f>
        <v>0.32596049030575902</v>
      </c>
      <c r="AT441">
        <f>_xlfn.NORM.DIST(Table2912[[#This Row],[Acetate '[%']]],Q$6,Q$2,FALSE)</f>
        <v>10.565103440057793</v>
      </c>
      <c r="AU441">
        <f>_xlfn.NORM.DIST(Table2912[[#This Row],[Propionate '[%']]],R$6,R$2,FALSE)</f>
        <v>16.145812702533735</v>
      </c>
      <c r="AV441">
        <f>_xlfn.NORM.DIST(Table2912[[#This Row],[Butyrate '[%']]],S$6,S$2,FALSE)</f>
        <v>22.028915447158703</v>
      </c>
      <c r="AW441">
        <f>_xlfn.NORM.DIST(Table2912[[#This Row],[Valerate '[%']]],T$6,T$2,FALSE)</f>
        <v>76.365437109865269</v>
      </c>
      <c r="AX441">
        <f>_xlfn.NORM.DIST(Table2912[[#This Row],[Caproate '[%']]],U$6,U$2,FALSE)</f>
        <v>11.901620267692023</v>
      </c>
      <c r="AY441">
        <f>_xlfn.NORM.DIST(Table2912[[#This Row],[Isobutyrate '[%']]],V$6,V$2,FALSE)</f>
        <v>82.668355287029001</v>
      </c>
      <c r="AZ441">
        <f>_xlfn.NORM.DIST(Table2912[[#This Row],[Isovalerate '[%']]],W$6,W$2,FALSE)</f>
        <v>40.551835245184982</v>
      </c>
      <c r="BA441">
        <f>_xlfn.NORM.DIST(Table2912[[#This Row],[CH4 '[g/mmol SCFA']]],X$6,X$2,FALSE)</f>
        <v>0.22738907973239111</v>
      </c>
      <c r="BB441">
        <f>_xlfn.NORM.DIST(Table2912[[#This Row],[DMD '[mg/g']]],Y$6,Y$2,FALSE)</f>
        <v>1.9396415438603584E-3</v>
      </c>
      <c r="BC441">
        <f>_xlfn.NORM.DIST(Table2912[[#This Row],[CH4 '[ml/g']]],Z$6,Z$2,FALSE)</f>
        <v>3.1359533731207978E-2</v>
      </c>
      <c r="BD441">
        <f>_xlfn.NORM.DIST(Table2912[[#This Row],[CH4 '[% GP']]],AA$6,AA$2,FALSE)</f>
        <v>8.0396762967657062E-2</v>
      </c>
      <c r="BE441">
        <f>_xlfn.NORM.DIST(Table2912[[#This Row],[CH4 '[g/g DDM']]],AB$6,AB$2,FALSE)</f>
        <v>3.2154422219155709E-2</v>
      </c>
      <c r="BG441">
        <f>IF(Table2912[[#This Row],[GP '[ml/g']]]&lt;O$10,_xlfn.NORM.DIST(Table2912[[#This Row],[GP '[ml/g']]],O$6,O$2,FALSE),-100)</f>
        <v>-100</v>
      </c>
      <c r="BH441">
        <f>IF(Table2912[[#This Row],[SCFA '[mmol/g']]]&lt;P$10,_xlfn.NORM.DIST(Table2912[[#This Row],[SCFA '[mmol/g']]],P$6,P$2,FALSE),-100)</f>
        <v>-100</v>
      </c>
      <c r="BI441">
        <f>IF(Table2912[[#This Row],[Acetate '[%']]]&lt;Q$10,_xlfn.NORM.DIST(Table2912[[#This Row],[Acetate '[%']]],Q$6,Q$2,FALSE),-100)</f>
        <v>-100</v>
      </c>
      <c r="BJ441">
        <f>IF(Table2912[[#This Row],[Propionate '[%']]]&lt;R$10,_xlfn.NORM.DIST(Table2912[[#This Row],[Propionate '[%']]],R$6,R$2,FALSE),-100)</f>
        <v>-100</v>
      </c>
      <c r="BK441">
        <f>IF(Table2912[[#This Row],[Butyrate '[%']]]&lt;S$10,_xlfn.NORM.DIST(Table2912[[#This Row],[Butyrate '[%']]],S$6,S$2,FALSE),-100)</f>
        <v>-100</v>
      </c>
      <c r="BL441">
        <f>IF(Table2912[[#This Row],[Valerate '[%']]]&lt;T$10,_xlfn.NORM.DIST(Table2912[[#This Row],[Valerate '[%']]],T$6,T$2,FALSE),-100)</f>
        <v>-100</v>
      </c>
      <c r="BM441">
        <f>IF(Table2912[[#This Row],[Caproate '[%']]]&lt;U$10,_xlfn.NORM.DIST(Table2912[[#This Row],[Caproate '[%']]],U$6,U$2,FALSE),-100)</f>
        <v>-100</v>
      </c>
      <c r="BN441">
        <f>IF(Table2912[[#This Row],[Isobutyrate '[%']]]&lt;V$10,_xlfn.NORM.DIST(Table2912[[#This Row],[Isobutyrate '[%']]],V$6,V$2,FALSE),-100)</f>
        <v>-100</v>
      </c>
      <c r="BO441">
        <f>IF(Table2912[[#This Row],[Isovalerate '[%']]]&lt;W$10,_xlfn.NORM.DIST(Table2912[[#This Row],[Isovalerate '[%']]],W$6,W$2,FALSE),-100)</f>
        <v>-100</v>
      </c>
      <c r="BP441">
        <f>IF(Table2912[[#This Row],[CH4 '[g/mmol SCFA']]]&lt;X$10,_xlfn.NORM.DIST(Table2912[[#This Row],[CH4 '[g/mmol SCFA']]],X$6,X$2,FALSE),-100)</f>
        <v>-100</v>
      </c>
      <c r="BQ441">
        <f>IF(Table2912[[#This Row],[DMD '[mg/g']]]&gt;Y$10,_xlfn.NORM.DIST(Table2912[[#This Row],[DMD '[mg/g']]],Y$6,Y$2,FALSE),-100)</f>
        <v>-100</v>
      </c>
      <c r="BR441">
        <f>IF(Table2912[[#This Row],[CH4 '[ml/g']]]&lt;Z$10,_xlfn.NORM.DIST(Table2912[[#This Row],[CH4 '[ml/g']]],Z$6,Z$2,FALSE),-100)</f>
        <v>-100</v>
      </c>
      <c r="BS441">
        <f>IF(Table2912[[#This Row],[CH4 '[% GP']]]&lt;AA$10,_xlfn.NORM.DIST(Table2912[[#This Row],[CH4 '[% GP']]],AA$6,AA$2,FALSE),-100)</f>
        <v>-100</v>
      </c>
      <c r="BT441">
        <f>IF(Table2912[[#This Row],[CH4 '[g/g DDM']]]&lt;AB$10,_xlfn.NORM.DIST(Table2912[[#This Row],[CH4 '[g/g DDM']]],AB$6,AB$2,FALSE),-100)</f>
        <v>-100</v>
      </c>
    </row>
    <row r="442" spans="1:72" x14ac:dyDescent="0.25">
      <c r="A442" s="12" t="s">
        <v>200</v>
      </c>
      <c r="B442" s="13">
        <v>1205</v>
      </c>
      <c r="C442" s="113" t="s">
        <v>514</v>
      </c>
      <c r="D442" s="113" t="s">
        <v>262</v>
      </c>
      <c r="E442" s="113" t="s">
        <v>411</v>
      </c>
      <c r="F442" s="113" t="s">
        <v>412</v>
      </c>
      <c r="G442" t="s">
        <v>73</v>
      </c>
      <c r="H442" t="s">
        <v>74</v>
      </c>
      <c r="I442" t="s">
        <v>75</v>
      </c>
      <c r="J442" s="70">
        <v>3</v>
      </c>
      <c r="K442" s="70"/>
      <c r="L442" s="70"/>
      <c r="M442" t="s">
        <v>515</v>
      </c>
      <c r="N442" t="s">
        <v>245</v>
      </c>
      <c r="O442" s="18">
        <v>291.44333996023943</v>
      </c>
      <c r="P442" s="18">
        <v>7.0275568809366025</v>
      </c>
      <c r="Q442" s="97">
        <v>0.63743462489359715</v>
      </c>
      <c r="R442" s="97">
        <v>0.16904310092449482</v>
      </c>
      <c r="S442" s="97">
        <v>0.11055116922072758</v>
      </c>
      <c r="T442" s="97">
        <v>2.0775343481591782E-2</v>
      </c>
      <c r="U442" s="97">
        <v>4.6442781553332115E-3</v>
      </c>
      <c r="V442" s="97">
        <v>1.955019958479496E-2</v>
      </c>
      <c r="W442" s="97">
        <v>3.8001283739460441E-2</v>
      </c>
      <c r="X442" s="51">
        <f t="shared" si="30"/>
        <v>8.1705022235875013</v>
      </c>
      <c r="Y442" s="18">
        <v>900.26507620941015</v>
      </c>
      <c r="Z442" s="18">
        <v>57.418669122080153</v>
      </c>
      <c r="AA442" s="18">
        <f t="shared" si="31"/>
        <v>19.701486103581427</v>
      </c>
      <c r="AB442" s="18">
        <f t="shared" si="32"/>
        <v>63.779736257062169</v>
      </c>
      <c r="AC442" s="18">
        <f>$CP$15*Table2912[[#This Row],[DMD '[mg/g']]]+$CS$15*Table2912[[#This Row],[CH4 '[ml/g']]]+$CR$15*Table2912[[#This Row],[CH4 '[% GP']]]+$CQ$15*Table2912[[#This Row],[CH4 '[g/g DDM']]]</f>
        <v>19.855436383070519</v>
      </c>
      <c r="AD442" s="18">
        <f>_xlfn.RANK.AVG(Table2912[[#This Row],[Index]],Table2912[Index])</f>
        <v>165</v>
      </c>
      <c r="AE44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6.4444727213477462</v>
      </c>
      <c r="AF442" s="18">
        <f>Table2912[[#This Row],[CH4 '[ml/g']]]/Table2912[[#This Row],[APB]]</f>
        <v>8.9097543902819201</v>
      </c>
      <c r="AG442" s="18">
        <f>Table2912[[#This Row],[Propionate '[%']]]/Table2912[[#This Row],[Acetate '[%']]]</f>
        <v>0.26519284381941455</v>
      </c>
      <c r="AH442" s="51"/>
      <c r="AI442" s="18"/>
      <c r="AJ442" s="18"/>
      <c r="AK442" s="18">
        <f>(Table2912[[#This Row],[DMD '[mg/g']]]-$AK$15)/$AK$15*100</f>
        <v>83.619223642542025</v>
      </c>
      <c r="AL442" s="18">
        <f>(Table2912[[#This Row],[CH4 '[ml/g']]]-AL$15)/AL$15*100</f>
        <v>45.983844168154711</v>
      </c>
      <c r="AM442" s="18">
        <f>(Table2912[[#This Row],[CH4 '[% GP']]]-AM$15)/AM$15*100</f>
        <v>26.923315719192026</v>
      </c>
      <c r="AN442" s="18">
        <f>(Table2912[[#This Row],[CH4 '[g/g DDM']]]-AN$15)/AN$15*100</f>
        <v>24.532036043778568</v>
      </c>
      <c r="AO442" s="18"/>
      <c r="AP442" s="18"/>
      <c r="AQ442" t="e">
        <f t="shared" si="29"/>
        <v>#DIV/0!</v>
      </c>
      <c r="AR442">
        <f>_xlfn.NORM.DIST(Table2912[[#This Row],[GP '[ml/g']]],O$6,O$2,FALSE)</f>
        <v>5.9596257229142828E-3</v>
      </c>
      <c r="AS442">
        <f>_xlfn.NORM.DIST(Table2912[[#This Row],[SCFA '[mmol/g']]],P$6,P$2,FALSE)</f>
        <v>0.30607485830983933</v>
      </c>
      <c r="AT442">
        <f>_xlfn.NORM.DIST(Table2912[[#This Row],[Acetate '[%']]],Q$6,Q$2,FALSE)</f>
        <v>6.3828529644551537</v>
      </c>
      <c r="AU442">
        <f>_xlfn.NORM.DIST(Table2912[[#This Row],[Propionate '[%']]],R$6,R$2,FALSE)</f>
        <v>16.672859027066121</v>
      </c>
      <c r="AV442">
        <f>_xlfn.NORM.DIST(Table2912[[#This Row],[Butyrate '[%']]],S$6,S$2,FALSE)</f>
        <v>13.721171724575813</v>
      </c>
      <c r="AW442">
        <f>_xlfn.NORM.DIST(Table2912[[#This Row],[Valerate '[%']]],T$6,T$2,FALSE)</f>
        <v>64.468448491596803</v>
      </c>
      <c r="AX442">
        <f>_xlfn.NORM.DIST(Table2912[[#This Row],[Caproate '[%']]],U$6,U$2,FALSE)</f>
        <v>1.3569537605383482</v>
      </c>
      <c r="AY442">
        <f>_xlfn.NORM.DIST(Table2912[[#This Row],[Isobutyrate '[%']]],V$6,V$2,FALSE)</f>
        <v>57.059414659312218</v>
      </c>
      <c r="AZ442">
        <f>_xlfn.NORM.DIST(Table2912[[#This Row],[Isovalerate '[%']]],W$6,W$2,FALSE)</f>
        <v>23.428238487341215</v>
      </c>
      <c r="BA442">
        <f>_xlfn.NORM.DIST(Table2912[[#This Row],[CH4 '[g/mmol SCFA']]],X$6,X$2,FALSE)</f>
        <v>0.11048111337406515</v>
      </c>
      <c r="BB442">
        <f>_xlfn.NORM.DIST(Table2912[[#This Row],[DMD '[mg/g']]],Y$6,Y$2,FALSE)</f>
        <v>1.9303390233194298E-3</v>
      </c>
      <c r="BC442">
        <f>_xlfn.NORM.DIST(Table2912[[#This Row],[CH4 '[ml/g']]],Z$6,Z$2,FALSE)</f>
        <v>1.3551666176584626E-2</v>
      </c>
      <c r="BD442">
        <f>_xlfn.NORM.DIST(Table2912[[#This Row],[CH4 '[% GP']]],AA$6,AA$2,FALSE)</f>
        <v>6.3469233236747358E-2</v>
      </c>
      <c r="BE442">
        <f>_xlfn.NORM.DIST(Table2912[[#This Row],[CH4 '[g/g DDM']]],AB$6,AB$2,FALSE)</f>
        <v>2.2725422471379306E-2</v>
      </c>
      <c r="BG442">
        <f>IF(Table2912[[#This Row],[GP '[ml/g']]]&lt;O$10,_xlfn.NORM.DIST(Table2912[[#This Row],[GP '[ml/g']]],O$6,O$2,FALSE),-100)</f>
        <v>-100</v>
      </c>
      <c r="BH442">
        <f>IF(Table2912[[#This Row],[SCFA '[mmol/g']]]&lt;P$10,_xlfn.NORM.DIST(Table2912[[#This Row],[SCFA '[mmol/g']]],P$6,P$2,FALSE),-100)</f>
        <v>-100</v>
      </c>
      <c r="BI442">
        <f>IF(Table2912[[#This Row],[Acetate '[%']]]&lt;Q$10,_xlfn.NORM.DIST(Table2912[[#This Row],[Acetate '[%']]],Q$6,Q$2,FALSE),-100)</f>
        <v>6.3828529644551537</v>
      </c>
      <c r="BJ442">
        <f>IF(Table2912[[#This Row],[Propionate '[%']]]&lt;R$10,_xlfn.NORM.DIST(Table2912[[#This Row],[Propionate '[%']]],R$6,R$2,FALSE),-100)</f>
        <v>-100</v>
      </c>
      <c r="BK442">
        <f>IF(Table2912[[#This Row],[Butyrate '[%']]]&lt;S$10,_xlfn.NORM.DIST(Table2912[[#This Row],[Butyrate '[%']]],S$6,S$2,FALSE),-100)</f>
        <v>-100</v>
      </c>
      <c r="BL442">
        <f>IF(Table2912[[#This Row],[Valerate '[%']]]&lt;T$10,_xlfn.NORM.DIST(Table2912[[#This Row],[Valerate '[%']]],T$6,T$2,FALSE),-100)</f>
        <v>-100</v>
      </c>
      <c r="BM442">
        <f>IF(Table2912[[#This Row],[Caproate '[%']]]&lt;U$10,_xlfn.NORM.DIST(Table2912[[#This Row],[Caproate '[%']]],U$6,U$2,FALSE),-100)</f>
        <v>-100</v>
      </c>
      <c r="BN442">
        <f>IF(Table2912[[#This Row],[Isobutyrate '[%']]]&lt;V$10,_xlfn.NORM.DIST(Table2912[[#This Row],[Isobutyrate '[%']]],V$6,V$2,FALSE),-100)</f>
        <v>-100</v>
      </c>
      <c r="BO442">
        <f>IF(Table2912[[#This Row],[Isovalerate '[%']]]&lt;W$10,_xlfn.NORM.DIST(Table2912[[#This Row],[Isovalerate '[%']]],W$6,W$2,FALSE),-100)</f>
        <v>-100</v>
      </c>
      <c r="BP442">
        <f>IF(Table2912[[#This Row],[CH4 '[g/mmol SCFA']]]&lt;X$10,_xlfn.NORM.DIST(Table2912[[#This Row],[CH4 '[g/mmol SCFA']]],X$6,X$2,FALSE),-100)</f>
        <v>-100</v>
      </c>
      <c r="BQ442">
        <f>IF(Table2912[[#This Row],[DMD '[mg/g']]]&gt;Y$10,_xlfn.NORM.DIST(Table2912[[#This Row],[DMD '[mg/g']]],Y$6,Y$2,FALSE),-100)</f>
        <v>-100</v>
      </c>
      <c r="BR442">
        <f>IF(Table2912[[#This Row],[CH4 '[ml/g']]]&lt;Z$10,_xlfn.NORM.DIST(Table2912[[#This Row],[CH4 '[ml/g']]],Z$6,Z$2,FALSE),-100)</f>
        <v>-100</v>
      </c>
      <c r="BS442">
        <f>IF(Table2912[[#This Row],[CH4 '[% GP']]]&lt;AA$10,_xlfn.NORM.DIST(Table2912[[#This Row],[CH4 '[% GP']]],AA$6,AA$2,FALSE),-100)</f>
        <v>-100</v>
      </c>
      <c r="BT442">
        <f>IF(Table2912[[#This Row],[CH4 '[g/g DDM']]]&lt;AB$10,_xlfn.NORM.DIST(Table2912[[#This Row],[CH4 '[g/g DDM']]],AB$6,AB$2,FALSE),-100)</f>
        <v>-100</v>
      </c>
    </row>
    <row r="443" spans="1:72" x14ac:dyDescent="0.25">
      <c r="A443" s="12" t="s">
        <v>200</v>
      </c>
      <c r="B443" s="13">
        <v>1209</v>
      </c>
      <c r="C443" s="113" t="s">
        <v>519</v>
      </c>
      <c r="D443" s="113" t="s">
        <v>391</v>
      </c>
      <c r="E443" s="113" t="s">
        <v>392</v>
      </c>
      <c r="F443" s="113" t="s">
        <v>393</v>
      </c>
      <c r="G443" s="15" t="s">
        <v>143</v>
      </c>
      <c r="H443" s="15" t="s">
        <v>144</v>
      </c>
      <c r="I443" s="15" t="s">
        <v>52</v>
      </c>
      <c r="J443" s="70">
        <v>3</v>
      </c>
      <c r="K443" s="70"/>
      <c r="L443" s="70"/>
      <c r="M443" t="s">
        <v>520</v>
      </c>
      <c r="N443" t="s">
        <v>245</v>
      </c>
      <c r="O443" s="18">
        <v>357.28005301524058</v>
      </c>
      <c r="P443" s="18">
        <v>8.3658505317302527</v>
      </c>
      <c r="Q443" s="97">
        <v>0.66082505132689473</v>
      </c>
      <c r="R443" s="97">
        <v>0.17319438711941618</v>
      </c>
      <c r="S443" s="97">
        <v>0.10776356143170603</v>
      </c>
      <c r="T443" s="97">
        <v>1.498935473594825E-2</v>
      </c>
      <c r="U443" s="97">
        <v>2.8356228040260956E-3</v>
      </c>
      <c r="V443" s="97">
        <v>1.4125649844635275E-2</v>
      </c>
      <c r="W443" s="97">
        <v>2.626637273737354E-2</v>
      </c>
      <c r="X443" s="51">
        <f t="shared" si="30"/>
        <v>7.8231711840152514</v>
      </c>
      <c r="Y443" s="18">
        <v>900.37004603770663</v>
      </c>
      <c r="Z443" s="18">
        <v>65.447480809610781</v>
      </c>
      <c r="AA443" s="18">
        <f t="shared" si="31"/>
        <v>18.318257696524405</v>
      </c>
      <c r="AB443" s="18">
        <f t="shared" si="32"/>
        <v>72.689535927620042</v>
      </c>
      <c r="AC443" s="18">
        <f>$CP$15*Table2912[[#This Row],[DMD '[mg/g']]]+$CS$15*Table2912[[#This Row],[CH4 '[ml/g']]]+$CR$15*Table2912[[#This Row],[CH4 '[% GP']]]+$CQ$15*Table2912[[#This Row],[CH4 '[g/g DDM']]]</f>
        <v>17.147822466959155</v>
      </c>
      <c r="AD443" s="18">
        <f>_xlfn.RANK.AVG(Table2912[[#This Row],[Index]],Table2912[Index])</f>
        <v>227</v>
      </c>
      <c r="AE44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7.8788158103040207</v>
      </c>
      <c r="AF443" s="18">
        <f>Table2912[[#This Row],[CH4 '[ml/g']]]/Table2912[[#This Row],[APB]]</f>
        <v>8.3067661924546687</v>
      </c>
      <c r="AG443" s="18">
        <f>Table2912[[#This Row],[Propionate '[%']]]/Table2912[[#This Row],[Acetate '[%']]]</f>
        <v>0.26208810754321865</v>
      </c>
      <c r="AH443" s="51"/>
      <c r="AI443" s="18"/>
      <c r="AJ443" s="18"/>
      <c r="AK443" s="18">
        <f>(Table2912[[#This Row],[DMD '[mg/g']]]-$AK$15)/$AK$15*100</f>
        <v>83.640633423824269</v>
      </c>
      <c r="AL443" s="18">
        <f>(Table2912[[#This Row],[CH4 '[ml/g']]]-AL$15)/AL$15*100</f>
        <v>66.396661326210577</v>
      </c>
      <c r="AM443" s="18">
        <f>(Table2912[[#This Row],[CH4 '[% GP']]]-AM$15)/AM$15*100</f>
        <v>18.012113036428993</v>
      </c>
      <c r="AN443" s="18">
        <f>(Table2912[[#This Row],[CH4 '[g/g DDM']]]-AN$15)/AN$15*100</f>
        <v>41.928713402943742</v>
      </c>
      <c r="AO443" s="18"/>
      <c r="AP443" s="18"/>
      <c r="AQ443" t="e">
        <f t="shared" si="29"/>
        <v>#DIV/0!</v>
      </c>
      <c r="AR443">
        <f>_xlfn.NORM.DIST(Table2912[[#This Row],[GP '[ml/g']]],O$6,O$2,FALSE)</f>
        <v>1.2105153333292849E-3</v>
      </c>
      <c r="AS443">
        <f>_xlfn.NORM.DIST(Table2912[[#This Row],[SCFA '[mmol/g']]],P$6,P$2,FALSE)</f>
        <v>0.10402010680440284</v>
      </c>
      <c r="AT443">
        <f>_xlfn.NORM.DIST(Table2912[[#This Row],[Acetate '[%']]],Q$6,Q$2,FALSE)</f>
        <v>12.774652453782114</v>
      </c>
      <c r="AU443">
        <f>_xlfn.NORM.DIST(Table2912[[#This Row],[Propionate '[%']]],R$6,R$2,FALSE)</f>
        <v>16.764916273411508</v>
      </c>
      <c r="AV443">
        <f>_xlfn.NORM.DIST(Table2912[[#This Row],[Butyrate '[%']]],S$6,S$2,FALSE)</f>
        <v>15.95485642741</v>
      </c>
      <c r="AW443">
        <f>_xlfn.NORM.DIST(Table2912[[#This Row],[Valerate '[%']]],T$6,T$2,FALSE)</f>
        <v>67.680845064321787</v>
      </c>
      <c r="AX443">
        <f>_xlfn.NORM.DIST(Table2912[[#This Row],[Caproate '[%']]],U$6,U$2,FALSE)</f>
        <v>125.7369657287034</v>
      </c>
      <c r="AY443">
        <f>_xlfn.NORM.DIST(Table2912[[#This Row],[Isobutyrate '[%']]],V$6,V$2,FALSE)</f>
        <v>86.945737260089047</v>
      </c>
      <c r="AZ443">
        <f>_xlfn.NORM.DIST(Table2912[[#This Row],[Isovalerate '[%']]],W$6,W$2,FALSE)</f>
        <v>44.65518049119293</v>
      </c>
      <c r="BA443">
        <f>_xlfn.NORM.DIST(Table2912[[#This Row],[CH4 '[g/mmol SCFA']]],X$6,X$2,FALSE)</f>
        <v>0.15381000926976957</v>
      </c>
      <c r="BB443">
        <f>_xlfn.NORM.DIST(Table2912[[#This Row],[DMD '[mg/g']]],Y$6,Y$2,FALSE)</f>
        <v>1.9289935911680767E-3</v>
      </c>
      <c r="BC443">
        <f>_xlfn.NORM.DIST(Table2912[[#This Row],[CH4 '[ml/g']]],Z$6,Z$2,FALSE)</f>
        <v>4.3572837101098355E-3</v>
      </c>
      <c r="BD443">
        <f>_xlfn.NORM.DIST(Table2912[[#This Row],[CH4 '[% GP']]],AA$6,AA$2,FALSE)</f>
        <v>0.10094111804727285</v>
      </c>
      <c r="BE443">
        <f>_xlfn.NORM.DIST(Table2912[[#This Row],[CH4 '[g/g DDM']]],AB$6,AB$2,FALSE)</f>
        <v>9.2481071349705974E-3</v>
      </c>
      <c r="BG443">
        <f>IF(Table2912[[#This Row],[GP '[ml/g']]]&lt;O$10,_xlfn.NORM.DIST(Table2912[[#This Row],[GP '[ml/g']]],O$6,O$2,FALSE),-100)</f>
        <v>-100</v>
      </c>
      <c r="BH443">
        <f>IF(Table2912[[#This Row],[SCFA '[mmol/g']]]&lt;P$10,_xlfn.NORM.DIST(Table2912[[#This Row],[SCFA '[mmol/g']]],P$6,P$2,FALSE),-100)</f>
        <v>-100</v>
      </c>
      <c r="BI443">
        <f>IF(Table2912[[#This Row],[Acetate '[%']]]&lt;Q$10,_xlfn.NORM.DIST(Table2912[[#This Row],[Acetate '[%']]],Q$6,Q$2,FALSE),-100)</f>
        <v>-100</v>
      </c>
      <c r="BJ443">
        <f>IF(Table2912[[#This Row],[Propionate '[%']]]&lt;R$10,_xlfn.NORM.DIST(Table2912[[#This Row],[Propionate '[%']]],R$6,R$2,FALSE),-100)</f>
        <v>-100</v>
      </c>
      <c r="BK443">
        <f>IF(Table2912[[#This Row],[Butyrate '[%']]]&lt;S$10,_xlfn.NORM.DIST(Table2912[[#This Row],[Butyrate '[%']]],S$6,S$2,FALSE),-100)</f>
        <v>-100</v>
      </c>
      <c r="BL443">
        <f>IF(Table2912[[#This Row],[Valerate '[%']]]&lt;T$10,_xlfn.NORM.DIST(Table2912[[#This Row],[Valerate '[%']]],T$6,T$2,FALSE),-100)</f>
        <v>-100</v>
      </c>
      <c r="BM443">
        <f>IF(Table2912[[#This Row],[Caproate '[%']]]&lt;U$10,_xlfn.NORM.DIST(Table2912[[#This Row],[Caproate '[%']]],U$6,U$2,FALSE),-100)</f>
        <v>-100</v>
      </c>
      <c r="BN443">
        <f>IF(Table2912[[#This Row],[Isobutyrate '[%']]]&lt;V$10,_xlfn.NORM.DIST(Table2912[[#This Row],[Isobutyrate '[%']]],V$6,V$2,FALSE),-100)</f>
        <v>-100</v>
      </c>
      <c r="BO443">
        <f>IF(Table2912[[#This Row],[Isovalerate '[%']]]&lt;W$10,_xlfn.NORM.DIST(Table2912[[#This Row],[Isovalerate '[%']]],W$6,W$2,FALSE),-100)</f>
        <v>-100</v>
      </c>
      <c r="BP443">
        <f>IF(Table2912[[#This Row],[CH4 '[g/mmol SCFA']]]&lt;X$10,_xlfn.NORM.DIST(Table2912[[#This Row],[CH4 '[g/mmol SCFA']]],X$6,X$2,FALSE),-100)</f>
        <v>-100</v>
      </c>
      <c r="BQ443">
        <f>IF(Table2912[[#This Row],[DMD '[mg/g']]]&gt;Y$10,_xlfn.NORM.DIST(Table2912[[#This Row],[DMD '[mg/g']]],Y$6,Y$2,FALSE),-100)</f>
        <v>-100</v>
      </c>
      <c r="BR443">
        <f>IF(Table2912[[#This Row],[CH4 '[ml/g']]]&lt;Z$10,_xlfn.NORM.DIST(Table2912[[#This Row],[CH4 '[ml/g']]],Z$6,Z$2,FALSE),-100)</f>
        <v>-100</v>
      </c>
      <c r="BS443">
        <f>IF(Table2912[[#This Row],[CH4 '[% GP']]]&lt;AA$10,_xlfn.NORM.DIST(Table2912[[#This Row],[CH4 '[% GP']]],AA$6,AA$2,FALSE),-100)</f>
        <v>-100</v>
      </c>
      <c r="BT443">
        <f>IF(Table2912[[#This Row],[CH4 '[g/g DDM']]]&lt;AB$10,_xlfn.NORM.DIST(Table2912[[#This Row],[CH4 '[g/g DDM']]],AB$6,AB$2,FALSE),-100)</f>
        <v>-100</v>
      </c>
    </row>
    <row r="444" spans="1:72" x14ac:dyDescent="0.25">
      <c r="A444" s="12" t="s">
        <v>200</v>
      </c>
      <c r="B444" s="13">
        <v>1212</v>
      </c>
      <c r="C444" s="113" t="s">
        <v>476</v>
      </c>
      <c r="D444" s="113" t="s">
        <v>391</v>
      </c>
      <c r="E444" s="113" t="s">
        <v>392</v>
      </c>
      <c r="F444" s="113" t="s">
        <v>393</v>
      </c>
      <c r="G444" s="15" t="s">
        <v>143</v>
      </c>
      <c r="H444" s="15" t="s">
        <v>144</v>
      </c>
      <c r="I444" s="15" t="s">
        <v>52</v>
      </c>
      <c r="J444" s="70">
        <v>2</v>
      </c>
      <c r="K444" s="70"/>
      <c r="L444" s="70"/>
      <c r="M444" t="s">
        <v>477</v>
      </c>
      <c r="N444" t="s">
        <v>245</v>
      </c>
      <c r="O444" s="18">
        <v>342.24221347331576</v>
      </c>
      <c r="P444" s="18">
        <v>8.3470851937830481</v>
      </c>
      <c r="Q444" s="97">
        <v>0.65543573629349261</v>
      </c>
      <c r="R444" s="97">
        <v>0.17443979957564779</v>
      </c>
      <c r="S444" s="97">
        <v>0.10678455138368528</v>
      </c>
      <c r="T444" s="97">
        <v>1.5635496144486723E-2</v>
      </c>
      <c r="U444" s="97">
        <v>1.83023777551432E-3</v>
      </c>
      <c r="V444" s="97">
        <v>1.6504844592579015E-2</v>
      </c>
      <c r="W444" s="97">
        <v>2.9369334234594247E-2</v>
      </c>
      <c r="X444" s="51">
        <f t="shared" si="30"/>
        <v>7.0567662867495189</v>
      </c>
      <c r="Y444" s="18">
        <v>900.82278061855823</v>
      </c>
      <c r="Z444" s="18">
        <v>58.90342938811429</v>
      </c>
      <c r="AA444" s="18">
        <f t="shared" si="31"/>
        <v>17.211035655222272</v>
      </c>
      <c r="AB444" s="18">
        <f t="shared" si="32"/>
        <v>65.388476685356153</v>
      </c>
      <c r="AC444" s="18">
        <f>$CP$15*Table2912[[#This Row],[DMD '[mg/g']]]+$CS$15*Table2912[[#This Row],[CH4 '[ml/g']]]+$CR$15*Table2912[[#This Row],[CH4 '[% GP']]]+$CQ$15*Table2912[[#This Row],[CH4 '[g/g DDM']]]</f>
        <v>20.089514487633167</v>
      </c>
      <c r="AD444" s="18">
        <f>_xlfn.RANK.AVG(Table2912[[#This Row],[Index]],Table2912[Index])</f>
        <v>160</v>
      </c>
      <c r="AE44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7.8183815459155994</v>
      </c>
      <c r="AF444" s="18">
        <f>Table2912[[#This Row],[CH4 '[ml/g']]]/Table2912[[#This Row],[APB]]</f>
        <v>7.5339671058757718</v>
      </c>
      <c r="AG444" s="18">
        <f>Table2912[[#This Row],[Propionate '[%']]]/Table2912[[#This Row],[Acetate '[%']]]</f>
        <v>0.26614325389413418</v>
      </c>
      <c r="AH444" s="51"/>
      <c r="AI444" s="18"/>
      <c r="AJ444" s="18"/>
      <c r="AK444" s="18">
        <f>(Table2912[[#This Row],[DMD '[mg/g']]]-$AK$15)/$AK$15*100</f>
        <v>83.732973751633196</v>
      </c>
      <c r="AL444" s="18">
        <f>(Table2912[[#This Row],[CH4 '[ml/g']]]-AL$15)/AL$15*100</f>
        <v>49.758766412398167</v>
      </c>
      <c r="AM444" s="18">
        <f>(Table2912[[#This Row],[CH4 '[% GP']]]-AM$15)/AM$15*100</f>
        <v>10.87903221295282</v>
      </c>
      <c r="AN444" s="18">
        <f>(Table2912[[#This Row],[CH4 '[g/g DDM']]]-AN$15)/AN$15*100</f>
        <v>27.673154724387839</v>
      </c>
      <c r="AO444" s="18"/>
      <c r="AP444" s="18"/>
      <c r="AQ444" t="e">
        <f t="shared" si="29"/>
        <v>#DIV/0!</v>
      </c>
      <c r="AR444">
        <f>_xlfn.NORM.DIST(Table2912[[#This Row],[GP '[ml/g']]],O$6,O$2,FALSE)</f>
        <v>1.992507917588919E-3</v>
      </c>
      <c r="AS444">
        <f>_xlfn.NORM.DIST(Table2912[[#This Row],[SCFA '[mmol/g']]],P$6,P$2,FALSE)</f>
        <v>0.10651970848105839</v>
      </c>
      <c r="AT444">
        <f>_xlfn.NORM.DIST(Table2912[[#This Row],[Acetate '[%']]],Q$6,Q$2,FALSE)</f>
        <v>11.560126237756611</v>
      </c>
      <c r="AU444">
        <f>_xlfn.NORM.DIST(Table2912[[#This Row],[Propionate '[%']]],R$6,R$2,FALSE)</f>
        <v>16.692960537270825</v>
      </c>
      <c r="AV444">
        <f>_xlfn.NORM.DIST(Table2912[[#This Row],[Butyrate '[%']]],S$6,S$2,FALSE)</f>
        <v>16.719707556135724</v>
      </c>
      <c r="AW444">
        <f>_xlfn.NORM.DIST(Table2912[[#This Row],[Valerate '[%']]],T$6,T$2,FALSE)</f>
        <v>71.65546408710243</v>
      </c>
      <c r="AX444">
        <f>_xlfn.NORM.DIST(Table2912[[#This Row],[Caproate '[%']]],U$6,U$2,FALSE)</f>
        <v>357.81704939153451</v>
      </c>
      <c r="AY444">
        <f>_xlfn.NORM.DIST(Table2912[[#This Row],[Isobutyrate '[%']]],V$6,V$2,FALSE)</f>
        <v>86.971074582225825</v>
      </c>
      <c r="AZ444">
        <f>_xlfn.NORM.DIST(Table2912[[#This Row],[Isovalerate '[%']]],W$6,W$2,FALSE)</f>
        <v>44.794196449970045</v>
      </c>
      <c r="BA444">
        <f>_xlfn.NORM.DIST(Table2912[[#This Row],[CH4 '[g/mmol SCFA']]],X$6,X$2,FALSE)</f>
        <v>0.25179630284256793</v>
      </c>
      <c r="BB444">
        <f>_xlfn.NORM.DIST(Table2912[[#This Row],[DMD '[mg/g']]],Y$6,Y$2,FALSE)</f>
        <v>1.9231885098820671E-3</v>
      </c>
      <c r="BC444">
        <f>_xlfn.NORM.DIST(Table2912[[#This Row],[CH4 '[ml/g']]],Z$6,Z$2,FALSE)</f>
        <v>1.1369639643444415E-2</v>
      </c>
      <c r="BD444">
        <f>_xlfn.NORM.DIST(Table2912[[#This Row],[CH4 '[% GP']]],AA$6,AA$2,FALSE)</f>
        <v>0.12505054278402902</v>
      </c>
      <c r="BE444">
        <f>_xlfn.NORM.DIST(Table2912[[#This Row],[CH4 '[g/g DDM']]],AB$6,AB$2,FALSE)</f>
        <v>2.0105123218096356E-2</v>
      </c>
      <c r="BG444">
        <f>IF(Table2912[[#This Row],[GP '[ml/g']]]&lt;O$10,_xlfn.NORM.DIST(Table2912[[#This Row],[GP '[ml/g']]],O$6,O$2,FALSE),-100)</f>
        <v>-100</v>
      </c>
      <c r="BH444">
        <f>IF(Table2912[[#This Row],[SCFA '[mmol/g']]]&lt;P$10,_xlfn.NORM.DIST(Table2912[[#This Row],[SCFA '[mmol/g']]],P$6,P$2,FALSE),-100)</f>
        <v>-100</v>
      </c>
      <c r="BI444">
        <f>IF(Table2912[[#This Row],[Acetate '[%']]]&lt;Q$10,_xlfn.NORM.DIST(Table2912[[#This Row],[Acetate '[%']]],Q$6,Q$2,FALSE),-100)</f>
        <v>-100</v>
      </c>
      <c r="BJ444">
        <f>IF(Table2912[[#This Row],[Propionate '[%']]]&lt;R$10,_xlfn.NORM.DIST(Table2912[[#This Row],[Propionate '[%']]],R$6,R$2,FALSE),-100)</f>
        <v>-100</v>
      </c>
      <c r="BK444">
        <f>IF(Table2912[[#This Row],[Butyrate '[%']]]&lt;S$10,_xlfn.NORM.DIST(Table2912[[#This Row],[Butyrate '[%']]],S$6,S$2,FALSE),-100)</f>
        <v>-100</v>
      </c>
      <c r="BL444">
        <f>IF(Table2912[[#This Row],[Valerate '[%']]]&lt;T$10,_xlfn.NORM.DIST(Table2912[[#This Row],[Valerate '[%']]],T$6,T$2,FALSE),-100)</f>
        <v>-100</v>
      </c>
      <c r="BM444">
        <f>IF(Table2912[[#This Row],[Caproate '[%']]]&lt;U$10,_xlfn.NORM.DIST(Table2912[[#This Row],[Caproate '[%']]],U$6,U$2,FALSE),-100)</f>
        <v>-100</v>
      </c>
      <c r="BN444">
        <f>IF(Table2912[[#This Row],[Isobutyrate '[%']]]&lt;V$10,_xlfn.NORM.DIST(Table2912[[#This Row],[Isobutyrate '[%']]],V$6,V$2,FALSE),-100)</f>
        <v>-100</v>
      </c>
      <c r="BO444">
        <f>IF(Table2912[[#This Row],[Isovalerate '[%']]]&lt;W$10,_xlfn.NORM.DIST(Table2912[[#This Row],[Isovalerate '[%']]],W$6,W$2,FALSE),-100)</f>
        <v>-100</v>
      </c>
      <c r="BP444">
        <f>IF(Table2912[[#This Row],[CH4 '[g/mmol SCFA']]]&lt;X$10,_xlfn.NORM.DIST(Table2912[[#This Row],[CH4 '[g/mmol SCFA']]],X$6,X$2,FALSE),-100)</f>
        <v>-100</v>
      </c>
      <c r="BQ444">
        <f>IF(Table2912[[#This Row],[DMD '[mg/g']]]&gt;Y$10,_xlfn.NORM.DIST(Table2912[[#This Row],[DMD '[mg/g']]],Y$6,Y$2,FALSE),-100)</f>
        <v>-100</v>
      </c>
      <c r="BR444">
        <f>IF(Table2912[[#This Row],[CH4 '[ml/g']]]&lt;Z$10,_xlfn.NORM.DIST(Table2912[[#This Row],[CH4 '[ml/g']]],Z$6,Z$2,FALSE),-100)</f>
        <v>-100</v>
      </c>
      <c r="BS444">
        <f>IF(Table2912[[#This Row],[CH4 '[% GP']]]&lt;AA$10,_xlfn.NORM.DIST(Table2912[[#This Row],[CH4 '[% GP']]],AA$6,AA$2,FALSE),-100)</f>
        <v>-100</v>
      </c>
      <c r="BT444">
        <f>IF(Table2912[[#This Row],[CH4 '[g/g DDM']]]&lt;AB$10,_xlfn.NORM.DIST(Table2912[[#This Row],[CH4 '[g/g DDM']]],AB$6,AB$2,FALSE),-100)</f>
        <v>-100</v>
      </c>
    </row>
    <row r="445" spans="1:72" x14ac:dyDescent="0.25">
      <c r="A445" s="12" t="s">
        <v>200</v>
      </c>
      <c r="B445" s="13">
        <v>1213</v>
      </c>
      <c r="C445" s="113" t="s">
        <v>478</v>
      </c>
      <c r="D445" s="113" t="s">
        <v>391</v>
      </c>
      <c r="E445" s="113" t="s">
        <v>392</v>
      </c>
      <c r="F445" s="113" t="s">
        <v>393</v>
      </c>
      <c r="G445" s="15" t="s">
        <v>143</v>
      </c>
      <c r="H445" s="15" t="s">
        <v>144</v>
      </c>
      <c r="I445" s="15" t="s">
        <v>52</v>
      </c>
      <c r="J445" s="70">
        <v>1</v>
      </c>
      <c r="K445" s="70"/>
      <c r="L445" s="70"/>
      <c r="M445" t="s">
        <v>479</v>
      </c>
      <c r="N445" t="s">
        <v>208</v>
      </c>
      <c r="O445" s="18">
        <v>345.0781761841522</v>
      </c>
      <c r="P445" s="18">
        <v>8.0466170521434623</v>
      </c>
      <c r="Q445" s="97">
        <v>0.68103985490227892</v>
      </c>
      <c r="R445" s="97">
        <v>0.1750073488973598</v>
      </c>
      <c r="S445" s="97">
        <v>9.8220328781916166E-2</v>
      </c>
      <c r="T445" s="97">
        <v>1.2354059653163552E-2</v>
      </c>
      <c r="U445" s="97">
        <v>1.9115216915088029E-3</v>
      </c>
      <c r="V445" s="97">
        <v>1.1840459146992291E-2</v>
      </c>
      <c r="W445" s="97">
        <v>1.9626426926780412E-2</v>
      </c>
      <c r="X445" s="51">
        <f t="shared" si="30"/>
        <v>7.28690834996085</v>
      </c>
      <c r="Y445" s="18">
        <v>901.28375387339486</v>
      </c>
      <c r="Z445" s="18">
        <v>58.634960986201555</v>
      </c>
      <c r="AA445" s="18">
        <f t="shared" si="31"/>
        <v>16.991790566005193</v>
      </c>
      <c r="AB445" s="18">
        <f t="shared" si="32"/>
        <v>65.057159561802251</v>
      </c>
      <c r="AC445" s="18">
        <f>$CP$15*Table2912[[#This Row],[DMD '[mg/g']]]+$CS$15*Table2912[[#This Row],[CH4 '[ml/g']]]+$CR$15*Table2912[[#This Row],[CH4 '[% GP']]]+$CQ$15*Table2912[[#This Row],[CH4 '[g/g DDM']]]</f>
        <v>20.314186301487901</v>
      </c>
      <c r="AD445" s="18">
        <f>_xlfn.RANK.AVG(Table2912[[#This Row],[Index]],Table2912[Index])</f>
        <v>156</v>
      </c>
      <c r="AE44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7.6786253999776068</v>
      </c>
      <c r="AF445" s="18">
        <f>Table2912[[#This Row],[CH4 '[ml/g']]]/Table2912[[#This Row],[APB]]</f>
        <v>7.6361272925714738</v>
      </c>
      <c r="AG445" s="18">
        <f>Table2912[[#This Row],[Propionate '[%']]]/Table2912[[#This Row],[Acetate '[%']]]</f>
        <v>0.25697078906266252</v>
      </c>
      <c r="AH445" s="51"/>
      <c r="AI445" s="18"/>
      <c r="AJ445" s="18"/>
      <c r="AK445" s="18">
        <f>(Table2912[[#This Row],[DMD '[mg/g']]]-$AK$15)/$AK$15*100</f>
        <v>83.826994449991815</v>
      </c>
      <c r="AL445" s="18">
        <f>(Table2912[[#This Row],[CH4 '[ml/g']]]-AL$15)/AL$15*100</f>
        <v>49.076200098198612</v>
      </c>
      <c r="AM445" s="18">
        <f>(Table2912[[#This Row],[CH4 '[% GP']]]-AM$15)/AM$15*100</f>
        <v>9.4665847695326431</v>
      </c>
      <c r="AN445" s="18">
        <f>(Table2912[[#This Row],[CH4 '[g/g DDM']]]-AN$15)/AN$15*100</f>
        <v>27.026247126557081</v>
      </c>
      <c r="AO445" s="18"/>
      <c r="AP445" s="18"/>
      <c r="AQ445" t="e">
        <f t="shared" si="29"/>
        <v>#DIV/0!</v>
      </c>
      <c r="AR445">
        <f>_xlfn.NORM.DIST(Table2912[[#This Row],[GP '[ml/g']]],O$6,O$2,FALSE)</f>
        <v>1.8248425289198659E-3</v>
      </c>
      <c r="AS445">
        <f>_xlfn.NORM.DIST(Table2912[[#This Row],[SCFA '[mmol/g']]],P$6,P$2,FALSE)</f>
        <v>0.15068340226671909</v>
      </c>
      <c r="AT445">
        <f>_xlfn.NORM.DIST(Table2912[[#This Row],[Acetate '[%']]],Q$6,Q$2,FALSE)</f>
        <v>13.494123402867029</v>
      </c>
      <c r="AU445">
        <f>_xlfn.NORM.DIST(Table2912[[#This Row],[Propionate '[%']]],R$6,R$2,FALSE)</f>
        <v>16.64509504752397</v>
      </c>
      <c r="AV445">
        <f>_xlfn.NORM.DIST(Table2912[[#This Row],[Butyrate '[%']]],S$6,S$2,FALSE)</f>
        <v>21.977547249299096</v>
      </c>
      <c r="AW445">
        <f>_xlfn.NORM.DIST(Table2912[[#This Row],[Valerate '[%']]],T$6,T$2,FALSE)</f>
        <v>45.573502558015342</v>
      </c>
      <c r="AX445">
        <f>_xlfn.NORM.DIST(Table2912[[#This Row],[Caproate '[%']]],U$6,U$2,FALSE)</f>
        <v>341.90786157310851</v>
      </c>
      <c r="AY445">
        <f>_xlfn.NORM.DIST(Table2912[[#This Row],[Isobutyrate '[%']]],V$6,V$2,FALSE)</f>
        <v>66.208583558337409</v>
      </c>
      <c r="AZ445">
        <f>_xlfn.NORM.DIST(Table2912[[#This Row],[Isovalerate '[%']]],W$6,W$2,FALSE)</f>
        <v>29.16189782978137</v>
      </c>
      <c r="BA445">
        <f>_xlfn.NORM.DIST(Table2912[[#This Row],[CH4 '[g/mmol SCFA']]],X$6,X$2,FALSE)</f>
        <v>0.2247306386642412</v>
      </c>
      <c r="BB445">
        <f>_xlfn.NORM.DIST(Table2912[[#This Row],[DMD '[mg/g']]],Y$6,Y$2,FALSE)</f>
        <v>1.9172741662705774E-3</v>
      </c>
      <c r="BC445">
        <f>_xlfn.NORM.DIST(Table2912[[#This Row],[CH4 '[ml/g']]],Z$6,Z$2,FALSE)</f>
        <v>1.174987801124287E-2</v>
      </c>
      <c r="BD445">
        <f>_xlfn.NORM.DIST(Table2912[[#This Row],[CH4 '[% GP']]],AA$6,AA$2,FALSE)</f>
        <v>0.12832259066352783</v>
      </c>
      <c r="BE445">
        <f>_xlfn.NORM.DIST(Table2912[[#This Row],[CH4 '[g/g DDM']]],AB$6,AB$2,FALSE)</f>
        <v>2.064845090390259E-2</v>
      </c>
      <c r="BG445">
        <f>IF(Table2912[[#This Row],[GP '[ml/g']]]&lt;O$10,_xlfn.NORM.DIST(Table2912[[#This Row],[GP '[ml/g']]],O$6,O$2,FALSE),-100)</f>
        <v>-100</v>
      </c>
      <c r="BH445">
        <f>IF(Table2912[[#This Row],[SCFA '[mmol/g']]]&lt;P$10,_xlfn.NORM.DIST(Table2912[[#This Row],[SCFA '[mmol/g']]],P$6,P$2,FALSE),-100)</f>
        <v>-100</v>
      </c>
      <c r="BI445">
        <f>IF(Table2912[[#This Row],[Acetate '[%']]]&lt;Q$10,_xlfn.NORM.DIST(Table2912[[#This Row],[Acetate '[%']]],Q$6,Q$2,FALSE),-100)</f>
        <v>-100</v>
      </c>
      <c r="BJ445">
        <f>IF(Table2912[[#This Row],[Propionate '[%']]]&lt;R$10,_xlfn.NORM.DIST(Table2912[[#This Row],[Propionate '[%']]],R$6,R$2,FALSE),-100)</f>
        <v>-100</v>
      </c>
      <c r="BK445">
        <f>IF(Table2912[[#This Row],[Butyrate '[%']]]&lt;S$10,_xlfn.NORM.DIST(Table2912[[#This Row],[Butyrate '[%']]],S$6,S$2,FALSE),-100)</f>
        <v>-100</v>
      </c>
      <c r="BL445">
        <f>IF(Table2912[[#This Row],[Valerate '[%']]]&lt;T$10,_xlfn.NORM.DIST(Table2912[[#This Row],[Valerate '[%']]],T$6,T$2,FALSE),-100)</f>
        <v>45.573502558015342</v>
      </c>
      <c r="BM445">
        <f>IF(Table2912[[#This Row],[Caproate '[%']]]&lt;U$10,_xlfn.NORM.DIST(Table2912[[#This Row],[Caproate '[%']]],U$6,U$2,FALSE),-100)</f>
        <v>-100</v>
      </c>
      <c r="BN445">
        <f>IF(Table2912[[#This Row],[Isobutyrate '[%']]]&lt;V$10,_xlfn.NORM.DIST(Table2912[[#This Row],[Isobutyrate '[%']]],V$6,V$2,FALSE),-100)</f>
        <v>-100</v>
      </c>
      <c r="BO445">
        <f>IF(Table2912[[#This Row],[Isovalerate '[%']]]&lt;W$10,_xlfn.NORM.DIST(Table2912[[#This Row],[Isovalerate '[%']]],W$6,W$2,FALSE),-100)</f>
        <v>-100</v>
      </c>
      <c r="BP445">
        <f>IF(Table2912[[#This Row],[CH4 '[g/mmol SCFA']]]&lt;X$10,_xlfn.NORM.DIST(Table2912[[#This Row],[CH4 '[g/mmol SCFA']]],X$6,X$2,FALSE),-100)</f>
        <v>-100</v>
      </c>
      <c r="BQ445">
        <f>IF(Table2912[[#This Row],[DMD '[mg/g']]]&gt;Y$10,_xlfn.NORM.DIST(Table2912[[#This Row],[DMD '[mg/g']]],Y$6,Y$2,FALSE),-100)</f>
        <v>-100</v>
      </c>
      <c r="BR445">
        <f>IF(Table2912[[#This Row],[CH4 '[ml/g']]]&lt;Z$10,_xlfn.NORM.DIST(Table2912[[#This Row],[CH4 '[ml/g']]],Z$6,Z$2,FALSE),-100)</f>
        <v>-100</v>
      </c>
      <c r="BS445">
        <f>IF(Table2912[[#This Row],[CH4 '[% GP']]]&lt;AA$10,_xlfn.NORM.DIST(Table2912[[#This Row],[CH4 '[% GP']]],AA$6,AA$2,FALSE),-100)</f>
        <v>-100</v>
      </c>
      <c r="BT445">
        <f>IF(Table2912[[#This Row],[CH4 '[g/g DDM']]]&lt;AB$10,_xlfn.NORM.DIST(Table2912[[#This Row],[CH4 '[g/g DDM']]],AB$6,AB$2,FALSE),-100)</f>
        <v>-100</v>
      </c>
    </row>
    <row r="446" spans="1:72" x14ac:dyDescent="0.25">
      <c r="A446" s="12" t="s">
        <v>86</v>
      </c>
      <c r="B446" s="13">
        <v>1066</v>
      </c>
      <c r="C446" s="32">
        <v>20417</v>
      </c>
      <c r="D446" t="s">
        <v>323</v>
      </c>
      <c r="E446" t="s">
        <v>324</v>
      </c>
      <c r="F446" t="s">
        <v>325</v>
      </c>
      <c r="G446" s="32" t="s">
        <v>73</v>
      </c>
      <c r="H446" s="32" t="s">
        <v>74</v>
      </c>
      <c r="I446" s="105" t="s">
        <v>44</v>
      </c>
      <c r="J446" s="70">
        <v>2</v>
      </c>
      <c r="K446" s="70"/>
      <c r="L446" s="70"/>
      <c r="M446" t="s">
        <v>325</v>
      </c>
      <c r="N446" t="s">
        <v>124</v>
      </c>
      <c r="O446" s="18">
        <v>252.42858085808626</v>
      </c>
      <c r="P446" s="18">
        <v>6.9533967810299906</v>
      </c>
      <c r="Q446" s="97">
        <v>0.663852169232239</v>
      </c>
      <c r="R446" s="97">
        <v>0.18320749562990868</v>
      </c>
      <c r="S446" s="97">
        <v>7.2472323175919812E-2</v>
      </c>
      <c r="T446" s="97">
        <v>2.0187574968205866E-2</v>
      </c>
      <c r="U446" s="97">
        <v>9.162620781530739E-4</v>
      </c>
      <c r="V446" s="97">
        <v>2.0248527454547353E-2</v>
      </c>
      <c r="W446" s="97">
        <v>3.9115647461026262E-2</v>
      </c>
      <c r="X446" s="51">
        <f t="shared" si="30"/>
        <v>7.3466883965370222</v>
      </c>
      <c r="Y446" s="18">
        <v>901.60248629236685</v>
      </c>
      <c r="Z446" s="18">
        <v>51.084439447710913</v>
      </c>
      <c r="AA446" s="18">
        <f t="shared" si="31"/>
        <v>20.237185216530715</v>
      </c>
      <c r="AB446" s="18">
        <f t="shared" si="32"/>
        <v>56.659603566294429</v>
      </c>
      <c r="AC446" s="18">
        <f>$CP$15*Table2912[[#This Row],[DMD '[mg/g']]]+$CS$15*Table2912[[#This Row],[CH4 '[ml/g']]]+$CR$15*Table2912[[#This Row],[CH4 '[% GP']]]+$CQ$15*Table2912[[#This Row],[CH4 '[g/g DDM']]]</f>
        <v>22.314788830357216</v>
      </c>
      <c r="AD446" s="18">
        <f>_xlfn.RANK.AVG(Table2912[[#This Row],[Index]],Table2912[Index])</f>
        <v>129</v>
      </c>
      <c r="AE44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6.3938707656780061</v>
      </c>
      <c r="AF446" s="18">
        <f>Table2912[[#This Row],[CH4 '[ml/g']]]/Table2912[[#This Row],[APB]]</f>
        <v>7.9895952420448895</v>
      </c>
      <c r="AG446" s="18">
        <f>Table2912[[#This Row],[Propionate '[%']]]/Table2912[[#This Row],[Acetate '[%']]]</f>
        <v>0.27597634551950406</v>
      </c>
      <c r="AH446" s="51"/>
      <c r="AI446" s="18"/>
      <c r="AJ446" s="18"/>
      <c r="AK446" s="18">
        <f>(Table2912[[#This Row],[DMD '[mg/g']]]-$AK$15)/$AK$15*100</f>
        <v>83.892003524394397</v>
      </c>
      <c r="AL446" s="18">
        <f>(Table2912[[#This Row],[CH4 '[ml/g']]]-AL$15)/AL$15*100</f>
        <v>29.879409637594822</v>
      </c>
      <c r="AM446" s="18">
        <f>(Table2912[[#This Row],[CH4 '[% GP']]]-AM$15)/AM$15*100</f>
        <v>30.37446185537074</v>
      </c>
      <c r="AN446" s="18">
        <f>(Table2912[[#This Row],[CH4 '[g/g DDM']]]-AN$15)/AN$15*100</f>
        <v>10.629742417015665</v>
      </c>
      <c r="AO446" s="18"/>
      <c r="AP446" s="18"/>
      <c r="AQ446" t="e">
        <f t="shared" si="29"/>
        <v>#DIV/0!</v>
      </c>
      <c r="AR446">
        <f>_xlfn.NORM.DIST(Table2912[[#This Row],[GP '[ml/g']]],O$6,O$2,FALSE)</f>
        <v>7.4675550414430017E-3</v>
      </c>
      <c r="AS446">
        <f>_xlfn.NORM.DIST(Table2912[[#This Row],[SCFA '[mmol/g']]],P$6,P$2,FALSE)</f>
        <v>0.31331226291248754</v>
      </c>
      <c r="AT446">
        <f>_xlfn.NORM.DIST(Table2912[[#This Row],[Acetate '[%']]],Q$6,Q$2,FALSE)</f>
        <v>13.300852034772308</v>
      </c>
      <c r="AU446">
        <f>_xlfn.NORM.DIST(Table2912[[#This Row],[Propionate '[%']]],R$6,R$2,FALSE)</f>
        <v>14.983433539707367</v>
      </c>
      <c r="AV446">
        <f>_xlfn.NORM.DIST(Table2912[[#This Row],[Butyrate '[%']]],S$6,S$2,FALSE)</f>
        <v>11.473099915459832</v>
      </c>
      <c r="AW446">
        <f>_xlfn.NORM.DIST(Table2912[[#This Row],[Valerate '[%']]],T$6,T$2,FALSE)</f>
        <v>68.62191685099242</v>
      </c>
      <c r="AX446">
        <f>_xlfn.NORM.DIST(Table2912[[#This Row],[Caproate '[%']]],U$6,U$2,FALSE)</f>
        <v>371.75511128406941</v>
      </c>
      <c r="AY446">
        <f>_xlfn.NORM.DIST(Table2912[[#This Row],[Isobutyrate '[%']]],V$6,V$2,FALSE)</f>
        <v>48.457282738604462</v>
      </c>
      <c r="AZ446">
        <f>_xlfn.NORM.DIST(Table2912[[#This Row],[Isovalerate '[%']]],W$6,W$2,FALSE)</f>
        <v>20.082493405196818</v>
      </c>
      <c r="BA446">
        <f>_xlfn.NORM.DIST(Table2912[[#This Row],[CH4 '[g/mmol SCFA']]],X$6,X$2,FALSE)</f>
        <v>0.21714122198611438</v>
      </c>
      <c r="BB446">
        <f>_xlfn.NORM.DIST(Table2912[[#This Row],[DMD '[mg/g']]],Y$6,Y$2,FALSE)</f>
        <v>1.9131827276421464E-3</v>
      </c>
      <c r="BC446">
        <f>_xlfn.NORM.DIST(Table2912[[#This Row],[CH4 '[ml/g']]],Z$6,Z$2,FALSE)</f>
        <v>2.4066255471421764E-2</v>
      </c>
      <c r="BD446">
        <f>_xlfn.NORM.DIST(Table2912[[#This Row],[CH4 '[% GP']]],AA$6,AA$2,FALSE)</f>
        <v>5.0011515012359183E-2</v>
      </c>
      <c r="BE446">
        <f>_xlfn.NORM.DIST(Table2912[[#This Row],[CH4 '[g/g DDM']]],AB$6,AB$2,FALSE)</f>
        <v>3.1657384750709602E-2</v>
      </c>
      <c r="BG446">
        <f>IF(Table2912[[#This Row],[GP '[ml/g']]]&lt;O$10,_xlfn.NORM.DIST(Table2912[[#This Row],[GP '[ml/g']]],O$6,O$2,FALSE),-100)</f>
        <v>-100</v>
      </c>
      <c r="BH446">
        <f>IF(Table2912[[#This Row],[SCFA '[mmol/g']]]&lt;P$10,_xlfn.NORM.DIST(Table2912[[#This Row],[SCFA '[mmol/g']]],P$6,P$2,FALSE),-100)</f>
        <v>-100</v>
      </c>
      <c r="BI446">
        <f>IF(Table2912[[#This Row],[Acetate '[%']]]&lt;Q$10,_xlfn.NORM.DIST(Table2912[[#This Row],[Acetate '[%']]],Q$6,Q$2,FALSE),-100)</f>
        <v>-100</v>
      </c>
      <c r="BJ446">
        <f>IF(Table2912[[#This Row],[Propionate '[%']]]&lt;R$10,_xlfn.NORM.DIST(Table2912[[#This Row],[Propionate '[%']]],R$6,R$2,FALSE),-100)</f>
        <v>-100</v>
      </c>
      <c r="BK446">
        <f>IF(Table2912[[#This Row],[Butyrate '[%']]]&lt;S$10,_xlfn.NORM.DIST(Table2912[[#This Row],[Butyrate '[%']]],S$6,S$2,FALSE),-100)</f>
        <v>11.473099915459832</v>
      </c>
      <c r="BL446">
        <f>IF(Table2912[[#This Row],[Valerate '[%']]]&lt;T$10,_xlfn.NORM.DIST(Table2912[[#This Row],[Valerate '[%']]],T$6,T$2,FALSE),-100)</f>
        <v>-100</v>
      </c>
      <c r="BM446">
        <f>IF(Table2912[[#This Row],[Caproate '[%']]]&lt;U$10,_xlfn.NORM.DIST(Table2912[[#This Row],[Caproate '[%']]],U$6,U$2,FALSE),-100)</f>
        <v>-100</v>
      </c>
      <c r="BN446">
        <f>IF(Table2912[[#This Row],[Isobutyrate '[%']]]&lt;V$10,_xlfn.NORM.DIST(Table2912[[#This Row],[Isobutyrate '[%']]],V$6,V$2,FALSE),-100)</f>
        <v>-100</v>
      </c>
      <c r="BO446">
        <f>IF(Table2912[[#This Row],[Isovalerate '[%']]]&lt;W$10,_xlfn.NORM.DIST(Table2912[[#This Row],[Isovalerate '[%']]],W$6,W$2,FALSE),-100)</f>
        <v>-100</v>
      </c>
      <c r="BP446">
        <f>IF(Table2912[[#This Row],[CH4 '[g/mmol SCFA']]]&lt;X$10,_xlfn.NORM.DIST(Table2912[[#This Row],[CH4 '[g/mmol SCFA']]],X$6,X$2,FALSE),-100)</f>
        <v>-100</v>
      </c>
      <c r="BQ446">
        <f>IF(Table2912[[#This Row],[DMD '[mg/g']]]&gt;Y$10,_xlfn.NORM.DIST(Table2912[[#This Row],[DMD '[mg/g']]],Y$6,Y$2,FALSE),-100)</f>
        <v>-100</v>
      </c>
      <c r="BR446">
        <f>IF(Table2912[[#This Row],[CH4 '[ml/g']]]&lt;Z$10,_xlfn.NORM.DIST(Table2912[[#This Row],[CH4 '[ml/g']]],Z$6,Z$2,FALSE),-100)</f>
        <v>-100</v>
      </c>
      <c r="BS446">
        <f>IF(Table2912[[#This Row],[CH4 '[% GP']]]&lt;AA$10,_xlfn.NORM.DIST(Table2912[[#This Row],[CH4 '[% GP']]],AA$6,AA$2,FALSE),-100)</f>
        <v>-100</v>
      </c>
      <c r="BT446">
        <f>IF(Table2912[[#This Row],[CH4 '[g/g DDM']]]&lt;AB$10,_xlfn.NORM.DIST(Table2912[[#This Row],[CH4 '[g/g DDM']]],AB$6,AB$2,FALSE),-100)</f>
        <v>-100</v>
      </c>
    </row>
    <row r="447" spans="1:72" ht="15" customHeight="1" x14ac:dyDescent="0.25">
      <c r="A447" s="12" t="s">
        <v>200</v>
      </c>
      <c r="B447" s="13">
        <v>1145</v>
      </c>
      <c r="C447" s="117" t="s">
        <v>380</v>
      </c>
      <c r="D447" s="117" t="s">
        <v>212</v>
      </c>
      <c r="E447" s="117" t="s">
        <v>213</v>
      </c>
      <c r="F447" s="117" t="s">
        <v>214</v>
      </c>
      <c r="G447" t="s">
        <v>73</v>
      </c>
      <c r="H447" t="s">
        <v>74</v>
      </c>
      <c r="I447" t="s">
        <v>75</v>
      </c>
      <c r="J447" s="70">
        <v>2</v>
      </c>
      <c r="K447" s="70"/>
      <c r="L447" s="70"/>
      <c r="M447" t="s">
        <v>381</v>
      </c>
      <c r="N447" t="s">
        <v>237</v>
      </c>
      <c r="O447" s="18">
        <v>281.52850529100493</v>
      </c>
      <c r="P447" s="18">
        <v>7.7598912624486474</v>
      </c>
      <c r="Q447" s="97">
        <v>0.70633235284224005</v>
      </c>
      <c r="R447" s="97">
        <v>0.16455078557861499</v>
      </c>
      <c r="S447" s="97">
        <v>7.9252312297872135E-2</v>
      </c>
      <c r="T447" s="97">
        <v>1.3241166964029903E-2</v>
      </c>
      <c r="U447" s="97">
        <v>1.6645947691843331E-3</v>
      </c>
      <c r="V447" s="97">
        <v>1.2317762734865807E-2</v>
      </c>
      <c r="W447" s="97">
        <v>2.2641024813192821E-2</v>
      </c>
      <c r="X447" s="51">
        <f t="shared" si="30"/>
        <v>6.5838196139880401</v>
      </c>
      <c r="Y447" s="18">
        <v>901.99693206180223</v>
      </c>
      <c r="Z447" s="18">
        <v>51.089724296123819</v>
      </c>
      <c r="AA447" s="18">
        <f t="shared" si="31"/>
        <v>18.147265138680854</v>
      </c>
      <c r="AB447" s="18">
        <f t="shared" si="32"/>
        <v>56.640685217567125</v>
      </c>
      <c r="AC447" s="18">
        <f>$CP$15*Table2912[[#This Row],[DMD '[mg/g']]]+$CS$15*Table2912[[#This Row],[CH4 '[ml/g']]]+$CR$15*Table2912[[#This Row],[CH4 '[% GP']]]+$CQ$15*Table2912[[#This Row],[CH4 '[g/g DDM']]]</f>
        <v>22.983828784078057</v>
      </c>
      <c r="AD447" s="18">
        <f>_xlfn.RANK.AVG(Table2912[[#This Row],[Index]],Table2912[Index])</f>
        <v>117</v>
      </c>
      <c r="AE44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7.3729477821749585</v>
      </c>
      <c r="AF447" s="18">
        <f>Table2912[[#This Row],[CH4 '[ml/g']]]/Table2912[[#This Row],[APB]]</f>
        <v>6.9293484513263124</v>
      </c>
      <c r="AG447" s="18">
        <f>Table2912[[#This Row],[Propionate '[%']]]/Table2912[[#This Row],[Acetate '[%']]]</f>
        <v>0.2329650976859155</v>
      </c>
      <c r="AH447" s="51"/>
      <c r="AI447" s="18"/>
      <c r="AJ447" s="18"/>
      <c r="AK447" s="18">
        <f>(Table2912[[#This Row],[DMD '[mg/g']]]-$AK$15)/$AK$15*100</f>
        <v>83.972455191205427</v>
      </c>
      <c r="AL447" s="18">
        <f>(Table2912[[#This Row],[CH4 '[ml/g']]]-AL$15)/AL$15*100</f>
        <v>29.892846077327022</v>
      </c>
      <c r="AM447" s="18">
        <f>(Table2912[[#This Row],[CH4 '[% GP']]]-AM$15)/AM$15*100</f>
        <v>16.910523933418943</v>
      </c>
      <c r="AN447" s="18">
        <f>(Table2912[[#This Row],[CH4 '[g/g DDM']]]-AN$15)/AN$15*100</f>
        <v>10.592803717926321</v>
      </c>
      <c r="AO447" s="18"/>
      <c r="AP447" s="18"/>
      <c r="AQ447" t="e">
        <f t="shared" si="29"/>
        <v>#DIV/0!</v>
      </c>
      <c r="AR447">
        <f>_xlfn.NORM.DIST(Table2912[[#This Row],[GP '[ml/g']]],O$6,O$2,FALSE)</f>
        <v>6.6395339827355401E-3</v>
      </c>
      <c r="AS447">
        <f>_xlfn.NORM.DIST(Table2912[[#This Row],[SCFA '[mmol/g']]],P$6,P$2,FALSE)</f>
        <v>0.19786914303779193</v>
      </c>
      <c r="AT447">
        <f>_xlfn.NORM.DIST(Table2912[[#This Row],[Acetate '[%']]],Q$6,Q$2,FALSE)</f>
        <v>7.0947549920942636</v>
      </c>
      <c r="AU447">
        <f>_xlfn.NORM.DIST(Table2912[[#This Row],[Propionate '[%']]],R$6,R$2,FALSE)</f>
        <v>16.013473942490126</v>
      </c>
      <c r="AV447">
        <f>_xlfn.NORM.DIST(Table2912[[#This Row],[Butyrate '[%']]],S$6,S$2,FALSE)</f>
        <v>16.868575615541836</v>
      </c>
      <c r="AW447">
        <f>_xlfn.NORM.DIST(Table2912[[#This Row],[Valerate '[%']]],T$6,T$2,FALSE)</f>
        <v>53.604758721934424</v>
      </c>
      <c r="AX447">
        <f>_xlfn.NORM.DIST(Table2912[[#This Row],[Caproate '[%']]],U$6,U$2,FALSE)</f>
        <v>384.30141026740586</v>
      </c>
      <c r="AY447">
        <f>_xlfn.NORM.DIST(Table2912[[#This Row],[Isobutyrate '[%']]],V$6,V$2,FALSE)</f>
        <v>71.647412584416912</v>
      </c>
      <c r="AZ447">
        <f>_xlfn.NORM.DIST(Table2912[[#This Row],[Isovalerate '[%']]],W$6,W$2,FALSE)</f>
        <v>37.984628745772682</v>
      </c>
      <c r="BA447">
        <f>_xlfn.NORM.DIST(Table2912[[#This Row],[CH4 '[g/mmol SCFA']]],X$6,X$2,FALSE)</f>
        <v>0.29000914474107076</v>
      </c>
      <c r="BB447">
        <f>_xlfn.NORM.DIST(Table2912[[#This Row],[DMD '[mg/g']]],Y$6,Y$2,FALSE)</f>
        <v>1.9081171344087974E-3</v>
      </c>
      <c r="BC447">
        <f>_xlfn.NORM.DIST(Table2912[[#This Row],[CH4 '[ml/g']]],Z$6,Z$2,FALSE)</f>
        <v>2.4057564528158212E-2</v>
      </c>
      <c r="BD447">
        <f>_xlfn.NORM.DIST(Table2912[[#This Row],[CH4 '[% GP']]],AA$6,AA$2,FALSE)</f>
        <v>0.10529244051141681</v>
      </c>
      <c r="BE447">
        <f>_xlfn.NORM.DIST(Table2912[[#This Row],[CH4 '[g/g DDM']]],AB$6,AB$2,FALSE)</f>
        <v>3.1670773498051072E-2</v>
      </c>
      <c r="BG447">
        <f>IF(Table2912[[#This Row],[GP '[ml/g']]]&lt;O$10,_xlfn.NORM.DIST(Table2912[[#This Row],[GP '[ml/g']]],O$6,O$2,FALSE),-100)</f>
        <v>-100</v>
      </c>
      <c r="BH447">
        <f>IF(Table2912[[#This Row],[SCFA '[mmol/g']]]&lt;P$10,_xlfn.NORM.DIST(Table2912[[#This Row],[SCFA '[mmol/g']]],P$6,P$2,FALSE),-100)</f>
        <v>-100</v>
      </c>
      <c r="BI447">
        <f>IF(Table2912[[#This Row],[Acetate '[%']]]&lt;Q$10,_xlfn.NORM.DIST(Table2912[[#This Row],[Acetate '[%']]],Q$6,Q$2,FALSE),-100)</f>
        <v>-100</v>
      </c>
      <c r="BJ447">
        <f>IF(Table2912[[#This Row],[Propionate '[%']]]&lt;R$10,_xlfn.NORM.DIST(Table2912[[#This Row],[Propionate '[%']]],R$6,R$2,FALSE),-100)</f>
        <v>-100</v>
      </c>
      <c r="BK447">
        <f>IF(Table2912[[#This Row],[Butyrate '[%']]]&lt;S$10,_xlfn.NORM.DIST(Table2912[[#This Row],[Butyrate '[%']]],S$6,S$2,FALSE),-100)</f>
        <v>-100</v>
      </c>
      <c r="BL447">
        <f>IF(Table2912[[#This Row],[Valerate '[%']]]&lt;T$10,_xlfn.NORM.DIST(Table2912[[#This Row],[Valerate '[%']]],T$6,T$2,FALSE),-100)</f>
        <v>-100</v>
      </c>
      <c r="BM447">
        <f>IF(Table2912[[#This Row],[Caproate '[%']]]&lt;U$10,_xlfn.NORM.DIST(Table2912[[#This Row],[Caproate '[%']]],U$6,U$2,FALSE),-100)</f>
        <v>-100</v>
      </c>
      <c r="BN447">
        <f>IF(Table2912[[#This Row],[Isobutyrate '[%']]]&lt;V$10,_xlfn.NORM.DIST(Table2912[[#This Row],[Isobutyrate '[%']]],V$6,V$2,FALSE),-100)</f>
        <v>-100</v>
      </c>
      <c r="BO447">
        <f>IF(Table2912[[#This Row],[Isovalerate '[%']]]&lt;W$10,_xlfn.NORM.DIST(Table2912[[#This Row],[Isovalerate '[%']]],W$6,W$2,FALSE),-100)</f>
        <v>-100</v>
      </c>
      <c r="BP447">
        <f>IF(Table2912[[#This Row],[CH4 '[g/mmol SCFA']]]&lt;X$10,_xlfn.NORM.DIST(Table2912[[#This Row],[CH4 '[g/mmol SCFA']]],X$6,X$2,FALSE),-100)</f>
        <v>-100</v>
      </c>
      <c r="BQ447">
        <f>IF(Table2912[[#This Row],[DMD '[mg/g']]]&gt;Y$10,_xlfn.NORM.DIST(Table2912[[#This Row],[DMD '[mg/g']]],Y$6,Y$2,FALSE),-100)</f>
        <v>-100</v>
      </c>
      <c r="BR447">
        <f>IF(Table2912[[#This Row],[CH4 '[ml/g']]]&lt;Z$10,_xlfn.NORM.DIST(Table2912[[#This Row],[CH4 '[ml/g']]],Z$6,Z$2,FALSE),-100)</f>
        <v>-100</v>
      </c>
      <c r="BS447">
        <f>IF(Table2912[[#This Row],[CH4 '[% GP']]]&lt;AA$10,_xlfn.NORM.DIST(Table2912[[#This Row],[CH4 '[% GP']]],AA$6,AA$2,FALSE),-100)</f>
        <v>-100</v>
      </c>
      <c r="BT447">
        <f>IF(Table2912[[#This Row],[CH4 '[g/g DDM']]]&lt;AB$10,_xlfn.NORM.DIST(Table2912[[#This Row],[CH4 '[g/g DDM']]],AB$6,AB$2,FALSE),-100)</f>
        <v>-100</v>
      </c>
    </row>
    <row r="448" spans="1:72" x14ac:dyDescent="0.25">
      <c r="A448" s="12" t="s">
        <v>200</v>
      </c>
      <c r="B448" s="13">
        <v>1256</v>
      </c>
      <c r="C448" s="113" t="s">
        <v>541</v>
      </c>
      <c r="D448" s="113" t="s">
        <v>542</v>
      </c>
      <c r="E448" s="113" t="s">
        <v>543</v>
      </c>
      <c r="F448" s="114" t="s">
        <v>544</v>
      </c>
      <c r="G448" t="s">
        <v>73</v>
      </c>
      <c r="H448" t="s">
        <v>74</v>
      </c>
      <c r="I448" t="s">
        <v>75</v>
      </c>
      <c r="J448" s="100">
        <v>3</v>
      </c>
      <c r="K448" s="100"/>
      <c r="L448" s="100"/>
      <c r="M448" t="s">
        <v>545</v>
      </c>
      <c r="N448" t="s">
        <v>208</v>
      </c>
      <c r="O448" s="18">
        <v>267.75779552007151</v>
      </c>
      <c r="P448" s="18">
        <v>6.587223737127669</v>
      </c>
      <c r="Q448" s="97">
        <v>0.6934341216743487</v>
      </c>
      <c r="R448" s="97">
        <v>0.14488722999856674</v>
      </c>
      <c r="S448" s="97">
        <v>0.10300264684182672</v>
      </c>
      <c r="T448" s="97">
        <v>1.6039882512706646E-2</v>
      </c>
      <c r="U448" s="97">
        <v>1.356961766106705E-3</v>
      </c>
      <c r="V448" s="97">
        <v>1.4952550833470735E-2</v>
      </c>
      <c r="W448" s="97">
        <v>2.6326606372973745E-2</v>
      </c>
      <c r="X448" s="51">
        <f t="shared" si="30"/>
        <v>7.6244441314262348</v>
      </c>
      <c r="Y448" s="18">
        <v>902.62621216098</v>
      </c>
      <c r="Z448" s="18">
        <v>50.223919364934645</v>
      </c>
      <c r="AA448" s="18">
        <f t="shared" si="31"/>
        <v>18.757220221126968</v>
      </c>
      <c r="AB448" s="18">
        <f t="shared" si="32"/>
        <v>55.641990769017681</v>
      </c>
      <c r="AC448" s="18">
        <f>$CP$15*Table2912[[#This Row],[DMD '[mg/g']]]+$CS$15*Table2912[[#This Row],[CH4 '[ml/g']]]+$CR$15*Table2912[[#This Row],[CH4 '[% GP']]]+$CQ$15*Table2912[[#This Row],[CH4 '[g/g DDM']]]</f>
        <v>23.20506445100294</v>
      </c>
      <c r="AD448" s="18">
        <f>_xlfn.RANK.AVG(Table2912[[#This Row],[Index]],Table2912[Index])</f>
        <v>113</v>
      </c>
      <c r="AE44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6.2007117873442397</v>
      </c>
      <c r="AF448" s="18">
        <f>Table2912[[#This Row],[CH4 '[ml/g']]]/Table2912[[#This Row],[APB]]</f>
        <v>8.0997022740909408</v>
      </c>
      <c r="AG448" s="18">
        <f>Table2912[[#This Row],[Propionate '[%']]]/Table2912[[#This Row],[Acetate '[%']]]</f>
        <v>0.20894159296448472</v>
      </c>
      <c r="AH448" s="51"/>
      <c r="AI448" s="18"/>
      <c r="AJ448" s="18"/>
      <c r="AK448" s="18">
        <f>(Table2912[[#This Row],[DMD '[mg/g']]]-$AK$15)/$AK$15*100</f>
        <v>84.100803970157557</v>
      </c>
      <c r="AL448" s="18">
        <f>(Table2912[[#This Row],[CH4 '[ml/g']]]-AL$15)/AL$15*100</f>
        <v>27.691584116935537</v>
      </c>
      <c r="AM448" s="18">
        <f>(Table2912[[#This Row],[CH4 '[% GP']]]-AM$15)/AM$15*100</f>
        <v>20.840050929342389</v>
      </c>
      <c r="AN448" s="18">
        <f>(Table2912[[#This Row],[CH4 '[g/g DDM']]]-AN$15)/AN$15*100</f>
        <v>8.6428199086140065</v>
      </c>
      <c r="AO448" s="18"/>
      <c r="AP448" s="18"/>
      <c r="AQ448" t="e">
        <f t="shared" si="29"/>
        <v>#DIV/0!</v>
      </c>
      <c r="AR448">
        <f>_xlfn.NORM.DIST(Table2912[[#This Row],[GP '[ml/g']]],O$6,O$2,FALSE)</f>
        <v>7.284588365622088E-3</v>
      </c>
      <c r="AS448">
        <f>_xlfn.NORM.DIST(Table2912[[#This Row],[SCFA '[mmol/g']]],P$6,P$2,FALSE)</f>
        <v>0.33245730551438485</v>
      </c>
      <c r="AT448">
        <f>_xlfn.NORM.DIST(Table2912[[#This Row],[Acetate '[%']]],Q$6,Q$2,FALSE)</f>
        <v>10.870202877526751</v>
      </c>
      <c r="AU448">
        <f>_xlfn.NORM.DIST(Table2912[[#This Row],[Propionate '[%']]],R$6,R$2,FALSE)</f>
        <v>8.8117498875653126</v>
      </c>
      <c r="AV448">
        <f>_xlfn.NORM.DIST(Table2912[[#This Row],[Butyrate '[%']]],S$6,S$2,FALSE)</f>
        <v>19.442680124886994</v>
      </c>
      <c r="AW448">
        <f>_xlfn.NORM.DIST(Table2912[[#This Row],[Valerate '[%']]],T$6,T$2,FALSE)</f>
        <v>73.669572117082197</v>
      </c>
      <c r="AX448">
        <f>_xlfn.NORM.DIST(Table2912[[#This Row],[Caproate '[%']]],U$6,U$2,FALSE)</f>
        <v>406.7933812826962</v>
      </c>
      <c r="AY448">
        <f>_xlfn.NORM.DIST(Table2912[[#This Row],[Isobutyrate '[%']]],V$6,V$2,FALSE)</f>
        <v>89.852012589135896</v>
      </c>
      <c r="AZ448">
        <f>_xlfn.NORM.DIST(Table2912[[#This Row],[Isovalerate '[%']]],W$6,W$2,FALSE)</f>
        <v>44.710974561944248</v>
      </c>
      <c r="BA448">
        <f>_xlfn.NORM.DIST(Table2912[[#This Row],[CH4 '[g/mmol SCFA']]],X$6,X$2,FALSE)</f>
        <v>0.18034554604771977</v>
      </c>
      <c r="BB448">
        <f>_xlfn.NORM.DIST(Table2912[[#This Row],[DMD '[mg/g']]],Y$6,Y$2,FALSE)</f>
        <v>1.9000307802479017E-3</v>
      </c>
      <c r="BC448">
        <f>_xlfn.NORM.DIST(Table2912[[#This Row],[CH4 '[ml/g']]],Z$6,Z$2,FALSE)</f>
        <v>2.545710495641398E-2</v>
      </c>
      <c r="BD448">
        <f>_xlfn.NORM.DIST(Table2912[[#This Row],[CH4 '[% GP']]],AA$6,AA$2,FALSE)</f>
        <v>8.9204112113790007E-2</v>
      </c>
      <c r="BE448">
        <f>_xlfn.NORM.DIST(Table2912[[#This Row],[CH4 '[g/g DDM']]],AB$6,AB$2,FALSE)</f>
        <v>3.2274257209755124E-2</v>
      </c>
      <c r="BG448">
        <f>IF(Table2912[[#This Row],[GP '[ml/g']]]&lt;O$10,_xlfn.NORM.DIST(Table2912[[#This Row],[GP '[ml/g']]],O$6,O$2,FALSE),-100)</f>
        <v>-100</v>
      </c>
      <c r="BH448">
        <f>IF(Table2912[[#This Row],[SCFA '[mmol/g']]]&lt;P$10,_xlfn.NORM.DIST(Table2912[[#This Row],[SCFA '[mmol/g']]],P$6,P$2,FALSE),-100)</f>
        <v>-100</v>
      </c>
      <c r="BI448">
        <f>IF(Table2912[[#This Row],[Acetate '[%']]]&lt;Q$10,_xlfn.NORM.DIST(Table2912[[#This Row],[Acetate '[%']]],Q$6,Q$2,FALSE),-100)</f>
        <v>-100</v>
      </c>
      <c r="BJ448">
        <f>IF(Table2912[[#This Row],[Propionate '[%']]]&lt;R$10,_xlfn.NORM.DIST(Table2912[[#This Row],[Propionate '[%']]],R$6,R$2,FALSE),-100)</f>
        <v>8.8117498875653126</v>
      </c>
      <c r="BK448">
        <f>IF(Table2912[[#This Row],[Butyrate '[%']]]&lt;S$10,_xlfn.NORM.DIST(Table2912[[#This Row],[Butyrate '[%']]],S$6,S$2,FALSE),-100)</f>
        <v>-100</v>
      </c>
      <c r="BL448">
        <f>IF(Table2912[[#This Row],[Valerate '[%']]]&lt;T$10,_xlfn.NORM.DIST(Table2912[[#This Row],[Valerate '[%']]],T$6,T$2,FALSE),-100)</f>
        <v>-100</v>
      </c>
      <c r="BM448">
        <f>IF(Table2912[[#This Row],[Caproate '[%']]]&lt;U$10,_xlfn.NORM.DIST(Table2912[[#This Row],[Caproate '[%']]],U$6,U$2,FALSE),-100)</f>
        <v>-100</v>
      </c>
      <c r="BN448">
        <f>IF(Table2912[[#This Row],[Isobutyrate '[%']]]&lt;V$10,_xlfn.NORM.DIST(Table2912[[#This Row],[Isobutyrate '[%']]],V$6,V$2,FALSE),-100)</f>
        <v>-100</v>
      </c>
      <c r="BO448">
        <f>IF(Table2912[[#This Row],[Isovalerate '[%']]]&lt;W$10,_xlfn.NORM.DIST(Table2912[[#This Row],[Isovalerate '[%']]],W$6,W$2,FALSE),-100)</f>
        <v>-100</v>
      </c>
      <c r="BP448">
        <f>IF(Table2912[[#This Row],[CH4 '[g/mmol SCFA']]]&lt;X$10,_xlfn.NORM.DIST(Table2912[[#This Row],[CH4 '[g/mmol SCFA']]],X$6,X$2,FALSE),-100)</f>
        <v>-100</v>
      </c>
      <c r="BQ448">
        <f>IF(Table2912[[#This Row],[DMD '[mg/g']]]&gt;Y$10,_xlfn.NORM.DIST(Table2912[[#This Row],[DMD '[mg/g']]],Y$6,Y$2,FALSE),-100)</f>
        <v>-100</v>
      </c>
      <c r="BR448">
        <f>IF(Table2912[[#This Row],[CH4 '[ml/g']]]&lt;Z$10,_xlfn.NORM.DIST(Table2912[[#This Row],[CH4 '[ml/g']]],Z$6,Z$2,FALSE),-100)</f>
        <v>-100</v>
      </c>
      <c r="BS448">
        <f>IF(Table2912[[#This Row],[CH4 '[% GP']]]&lt;AA$10,_xlfn.NORM.DIST(Table2912[[#This Row],[CH4 '[% GP']]],AA$6,AA$2,FALSE),-100)</f>
        <v>-100</v>
      </c>
      <c r="BT448">
        <f>IF(Table2912[[#This Row],[CH4 '[g/g DDM']]]&lt;AB$10,_xlfn.NORM.DIST(Table2912[[#This Row],[CH4 '[g/g DDM']]],AB$6,AB$2,FALSE),-100)</f>
        <v>-100</v>
      </c>
    </row>
    <row r="449" spans="1:72" x14ac:dyDescent="0.25">
      <c r="A449" s="12" t="s">
        <v>200</v>
      </c>
      <c r="B449" s="13">
        <v>1260</v>
      </c>
      <c r="C449" s="113" t="s">
        <v>546</v>
      </c>
      <c r="D449" s="113" t="s">
        <v>510</v>
      </c>
      <c r="E449" s="113" t="s">
        <v>547</v>
      </c>
      <c r="F449" s="114" t="s">
        <v>548</v>
      </c>
      <c r="G449" t="s">
        <v>73</v>
      </c>
      <c r="H449" t="s">
        <v>74</v>
      </c>
      <c r="I449" t="s">
        <v>75</v>
      </c>
      <c r="J449" s="70">
        <v>1</v>
      </c>
      <c r="K449" s="70"/>
      <c r="L449" s="70"/>
      <c r="M449" s="103" t="s">
        <v>549</v>
      </c>
      <c r="N449" t="s">
        <v>363</v>
      </c>
      <c r="O449" s="18">
        <v>180.14072598494906</v>
      </c>
      <c r="P449" s="18">
        <v>4.8612641327774817</v>
      </c>
      <c r="Q449" s="97">
        <v>0.70536487445372198</v>
      </c>
      <c r="R449" s="97">
        <v>0.15569729284378442</v>
      </c>
      <c r="S449" s="97">
        <v>8.5420814197015998E-2</v>
      </c>
      <c r="T449" s="97">
        <v>2.3314273796744701E-2</v>
      </c>
      <c r="U449" s="97">
        <v>6.1846045989812507E-5</v>
      </c>
      <c r="V449" s="97">
        <v>1.1067499843456795E-2</v>
      </c>
      <c r="W449" s="97">
        <v>1.9073398819286387E-2</v>
      </c>
      <c r="X449" s="51">
        <f t="shared" si="30"/>
        <v>5.2368610318168285</v>
      </c>
      <c r="Y449" s="18">
        <v>903.90987408880085</v>
      </c>
      <c r="Z449" s="18">
        <v>25.457764702311223</v>
      </c>
      <c r="AA449" s="18">
        <f t="shared" si="31"/>
        <v>14.13215393860367</v>
      </c>
      <c r="AB449" s="18">
        <f t="shared" si="32"/>
        <v>28.164052005709401</v>
      </c>
      <c r="AC449" s="18">
        <f>$CP$15*Table2912[[#This Row],[DMD '[mg/g']]]+$CS$15*Table2912[[#This Row],[CH4 '[ml/g']]]+$CR$15*Table2912[[#This Row],[CH4 '[% GP']]]+$CQ$15*Table2912[[#This Row],[CH4 '[g/g DDM']]]</f>
        <v>34.310479727112465</v>
      </c>
      <c r="AD449" s="18">
        <f>_xlfn.RANK.AVG(Table2912[[#This Row],[Index]],Table2912[Index])</f>
        <v>21</v>
      </c>
      <c r="AE44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4.6011037702236148</v>
      </c>
      <c r="AF449" s="18">
        <f>Table2912[[#This Row],[CH4 '[ml/g']]]/Table2912[[#This Row],[APB]]</f>
        <v>5.5329690382257928</v>
      </c>
      <c r="AG449" s="18">
        <f>Table2912[[#This Row],[Propionate '[%']]]/Table2912[[#This Row],[Acetate '[%']]]</f>
        <v>0.22073298300311026</v>
      </c>
      <c r="AH449" s="51"/>
      <c r="AI449" s="18"/>
      <c r="AJ449" s="18"/>
      <c r="AK449" s="18">
        <f>(Table2912[[#This Row],[DMD '[mg/g']]]-$AK$15)/$AK$15*100</f>
        <v>84.362621309111091</v>
      </c>
      <c r="AL449" s="18">
        <f>(Table2912[[#This Row],[CH4 '[ml/g']]]-AL$15)/AL$15*100</f>
        <v>-35.275017481333201</v>
      </c>
      <c r="AM449" s="18">
        <f>(Table2912[[#This Row],[CH4 '[% GP']]]-AM$15)/AM$15*100</f>
        <v>-8.9561149493413268</v>
      </c>
      <c r="AN449" s="18">
        <f>(Table2912[[#This Row],[CH4 '[g/g DDM']]]-AN$15)/AN$15*100</f>
        <v>-45.008760691990162</v>
      </c>
      <c r="AO449" s="18"/>
      <c r="AP449" s="18"/>
      <c r="AQ449" t="e">
        <f t="shared" si="29"/>
        <v>#DIV/0!</v>
      </c>
      <c r="AR449">
        <f>_xlfn.NORM.DIST(Table2912[[#This Row],[GP '[ml/g']]],O$6,O$2,FALSE)</f>
        <v>2.7574372169392423E-3</v>
      </c>
      <c r="AS449">
        <f>_xlfn.NORM.DIST(Table2912[[#This Row],[SCFA '[mmol/g']]],P$6,P$2,FALSE)</f>
        <v>0.12522047719149423</v>
      </c>
      <c r="AT449">
        <f>_xlfn.NORM.DIST(Table2912[[#This Row],[Acetate '[%']]],Q$6,Q$2,FALSE)</f>
        <v>7.3779400925271883</v>
      </c>
      <c r="AU449">
        <f>_xlfn.NORM.DIST(Table2912[[#This Row],[Propionate '[%']]],R$6,R$2,FALSE)</f>
        <v>13.31975665709656</v>
      </c>
      <c r="AV449">
        <f>_xlfn.NORM.DIST(Table2912[[#This Row],[Butyrate '[%']]],S$6,S$2,FALSE)</f>
        <v>20.969067506907688</v>
      </c>
      <c r="AW449">
        <f>_xlfn.NORM.DIST(Table2912[[#This Row],[Valerate '[%']]],T$6,T$2,FALSE)</f>
        <v>42.397473630275044</v>
      </c>
      <c r="AX449">
        <f>_xlfn.NORM.DIST(Table2912[[#This Row],[Caproate '[%']]],U$6,U$2,FALSE)</f>
        <v>175.56212643369332</v>
      </c>
      <c r="AY449">
        <f>_xlfn.NORM.DIST(Table2912[[#This Row],[Isobutyrate '[%']]],V$6,V$2,FALSE)</f>
        <v>56.842404026126182</v>
      </c>
      <c r="AZ449">
        <f>_xlfn.NORM.DIST(Table2912[[#This Row],[Isovalerate '[%']]],W$6,W$2,FALSE)</f>
        <v>27.428458401247546</v>
      </c>
      <c r="BA449">
        <f>_xlfn.NORM.DIST(Table2912[[#This Row],[CH4 '[g/mmol SCFA']]],X$6,X$2,FALSE)</f>
        <v>0.21945425509720959</v>
      </c>
      <c r="BB449">
        <f>_xlfn.NORM.DIST(Table2912[[#This Row],[DMD '[mg/g']]],Y$6,Y$2,FALSE)</f>
        <v>1.8835180459107865E-3</v>
      </c>
      <c r="BC449">
        <f>_xlfn.NORM.DIST(Table2912[[#This Row],[CH4 '[ml/g']]],Z$6,Z$2,FALSE)</f>
        <v>1.3674817013418871E-2</v>
      </c>
      <c r="BD449">
        <f>_xlfn.NORM.DIST(Table2912[[#This Row],[CH4 '[% GP']]],AA$6,AA$2,FALSE)</f>
        <v>0.10879323531804308</v>
      </c>
      <c r="BE449">
        <f>_xlfn.NORM.DIST(Table2912[[#This Row],[CH4 '[g/g DDM']]],AB$6,AB$2,FALSE)</f>
        <v>3.8210872007404043E-3</v>
      </c>
      <c r="BG449">
        <f>IF(Table2912[[#This Row],[GP '[ml/g']]]&lt;O$10,_xlfn.NORM.DIST(Table2912[[#This Row],[GP '[ml/g']]],O$6,O$2,FALSE),-100)</f>
        <v>2.7574372169392423E-3</v>
      </c>
      <c r="BH449">
        <f>IF(Table2912[[#This Row],[SCFA '[mmol/g']]]&lt;P$10,_xlfn.NORM.DIST(Table2912[[#This Row],[SCFA '[mmol/g']]],P$6,P$2,FALSE),-100)</f>
        <v>0.12522047719149423</v>
      </c>
      <c r="BI449">
        <f>IF(Table2912[[#This Row],[Acetate '[%']]]&lt;Q$10,_xlfn.NORM.DIST(Table2912[[#This Row],[Acetate '[%']]],Q$6,Q$2,FALSE),-100)</f>
        <v>-100</v>
      </c>
      <c r="BJ449">
        <f>IF(Table2912[[#This Row],[Propionate '[%']]]&lt;R$10,_xlfn.NORM.DIST(Table2912[[#This Row],[Propionate '[%']]],R$6,R$2,FALSE),-100)</f>
        <v>-100</v>
      </c>
      <c r="BK449">
        <f>IF(Table2912[[#This Row],[Butyrate '[%']]]&lt;S$10,_xlfn.NORM.DIST(Table2912[[#This Row],[Butyrate '[%']]],S$6,S$2,FALSE),-100)</f>
        <v>-100</v>
      </c>
      <c r="BL449">
        <f>IF(Table2912[[#This Row],[Valerate '[%']]]&lt;T$10,_xlfn.NORM.DIST(Table2912[[#This Row],[Valerate '[%']]],T$6,T$2,FALSE),-100)</f>
        <v>-100</v>
      </c>
      <c r="BM449">
        <f>IF(Table2912[[#This Row],[Caproate '[%']]]&lt;U$10,_xlfn.NORM.DIST(Table2912[[#This Row],[Caproate '[%']]],U$6,U$2,FALSE),-100)</f>
        <v>175.56212643369332</v>
      </c>
      <c r="BN449">
        <f>IF(Table2912[[#This Row],[Isobutyrate '[%']]]&lt;V$10,_xlfn.NORM.DIST(Table2912[[#This Row],[Isobutyrate '[%']]],V$6,V$2,FALSE),-100)</f>
        <v>-100</v>
      </c>
      <c r="BO449">
        <f>IF(Table2912[[#This Row],[Isovalerate '[%']]]&lt;W$10,_xlfn.NORM.DIST(Table2912[[#This Row],[Isovalerate '[%']]],W$6,W$2,FALSE),-100)</f>
        <v>27.428458401247546</v>
      </c>
      <c r="BP449">
        <f>IF(Table2912[[#This Row],[CH4 '[g/mmol SCFA']]]&lt;X$10,_xlfn.NORM.DIST(Table2912[[#This Row],[CH4 '[g/mmol SCFA']]],X$6,X$2,FALSE),-100)</f>
        <v>-100</v>
      </c>
      <c r="BQ449">
        <f>IF(Table2912[[#This Row],[DMD '[mg/g']]]&gt;Y$10,_xlfn.NORM.DIST(Table2912[[#This Row],[DMD '[mg/g']]],Y$6,Y$2,FALSE),-100)</f>
        <v>-100</v>
      </c>
      <c r="BR449">
        <f>IF(Table2912[[#This Row],[CH4 '[ml/g']]]&lt;Z$10,_xlfn.NORM.DIST(Table2912[[#This Row],[CH4 '[ml/g']]],Z$6,Z$2,FALSE),-100)</f>
        <v>1.3674817013418871E-2</v>
      </c>
      <c r="BS449">
        <f>IF(Table2912[[#This Row],[CH4 '[% GP']]]&lt;AA$10,_xlfn.NORM.DIST(Table2912[[#This Row],[CH4 '[% GP']]],AA$6,AA$2,FALSE),-100)</f>
        <v>-100</v>
      </c>
      <c r="BT449">
        <f>IF(Table2912[[#This Row],[CH4 '[g/g DDM']]]&lt;AB$10,_xlfn.NORM.DIST(Table2912[[#This Row],[CH4 '[g/g DDM']]],AB$6,AB$2,FALSE),-100)</f>
        <v>3.8210872007404043E-3</v>
      </c>
    </row>
    <row r="450" spans="1:72" x14ac:dyDescent="0.25">
      <c r="A450" s="12" t="s">
        <v>200</v>
      </c>
      <c r="B450" s="13">
        <v>1211</v>
      </c>
      <c r="C450" s="113" t="s">
        <v>460</v>
      </c>
      <c r="D450" s="113" t="s">
        <v>391</v>
      </c>
      <c r="E450" s="113" t="s">
        <v>392</v>
      </c>
      <c r="F450" s="113" t="s">
        <v>393</v>
      </c>
      <c r="G450" t="s">
        <v>143</v>
      </c>
      <c r="H450" t="s">
        <v>144</v>
      </c>
      <c r="I450" t="s">
        <v>52</v>
      </c>
      <c r="J450" s="70">
        <v>1</v>
      </c>
      <c r="K450" s="70"/>
      <c r="L450" s="70"/>
      <c r="M450" t="s">
        <v>461</v>
      </c>
      <c r="N450" t="s">
        <v>237</v>
      </c>
      <c r="O450" s="18">
        <v>348.1221335107561</v>
      </c>
      <c r="P450" s="18">
        <v>8.2178878957061734</v>
      </c>
      <c r="Q450" s="97">
        <v>0.67617126590208487</v>
      </c>
      <c r="R450" s="97">
        <v>0.18034099880584459</v>
      </c>
      <c r="S450" s="97">
        <v>9.9608113440072754E-2</v>
      </c>
      <c r="T450" s="97">
        <v>1.1290115199387159E-2</v>
      </c>
      <c r="U450" s="97">
        <v>1.9873454153053137E-3</v>
      </c>
      <c r="V450" s="97">
        <v>1.1082361556780445E-2</v>
      </c>
      <c r="W450" s="97">
        <v>1.9519799680524662E-2</v>
      </c>
      <c r="X450" s="51">
        <f t="shared" si="30"/>
        <v>7.2012991098466994</v>
      </c>
      <c r="Y450" s="18">
        <v>904.24771887932525</v>
      </c>
      <c r="Z450" s="18">
        <v>59.179468788168833</v>
      </c>
      <c r="AA450" s="18">
        <f t="shared" si="31"/>
        <v>16.999628317611794</v>
      </c>
      <c r="AB450" s="18">
        <f t="shared" si="32"/>
        <v>65.446080263838113</v>
      </c>
      <c r="AC450" s="18">
        <f>$CP$15*Table2912[[#This Row],[DMD '[mg/g']]]+$CS$15*Table2912[[#This Row],[CH4 '[ml/g']]]+$CR$15*Table2912[[#This Row],[CH4 '[% GP']]]+$CQ$15*Table2912[[#This Row],[CH4 '[g/g DDM']]]</f>
        <v>20.448392450050122</v>
      </c>
      <c r="AD450" s="18">
        <f>_xlfn.RANK.AVG(Table2912[[#This Row],[Index]],Table2912[Index])</f>
        <v>155</v>
      </c>
      <c r="AE45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7.8572900824204766</v>
      </c>
      <c r="AF450" s="18">
        <f>Table2912[[#This Row],[CH4 '[ml/g']]]/Table2912[[#This Row],[APB]]</f>
        <v>7.5317912623048162</v>
      </c>
      <c r="AG450" s="18">
        <f>Table2912[[#This Row],[Propionate '[%']]]/Table2912[[#This Row],[Acetate '[%']]]</f>
        <v>0.26670905419982671</v>
      </c>
      <c r="AH450" s="51"/>
      <c r="AI450" s="18"/>
      <c r="AJ450" s="18"/>
      <c r="AK450" s="18">
        <f>(Table2912[[#This Row],[DMD '[mg/g']]]-$AK$15)/$AK$15*100</f>
        <v>84.431528567414361</v>
      </c>
      <c r="AL450" s="18">
        <f>(Table2912[[#This Row],[CH4 '[ml/g']]]-AL$15)/AL$15*100</f>
        <v>50.460581577708872</v>
      </c>
      <c r="AM450" s="18">
        <f>(Table2912[[#This Row],[CH4 '[% GP']]]-AM$15)/AM$15*100</f>
        <v>9.5170780884865085</v>
      </c>
      <c r="AN450" s="18">
        <f>(Table2912[[#This Row],[CH4 '[g/g DDM']]]-AN$15)/AN$15*100</f>
        <v>27.785627608923662</v>
      </c>
      <c r="AO450" s="18"/>
      <c r="AP450" s="18"/>
      <c r="AQ450" t="e">
        <f t="shared" si="29"/>
        <v>#DIV/0!</v>
      </c>
      <c r="AR450">
        <f>_xlfn.NORM.DIST(Table2912[[#This Row],[GP '[ml/g']]],O$6,O$2,FALSE)</f>
        <v>1.6553303534998513E-3</v>
      </c>
      <c r="AS450">
        <f>_xlfn.NORM.DIST(Table2912[[#This Row],[SCFA '[mmol/g']]],P$6,P$2,FALSE)</f>
        <v>0.12460740526440021</v>
      </c>
      <c r="AT450">
        <f>_xlfn.NORM.DIST(Table2912[[#This Row],[Acetate '[%']]],Q$6,Q$2,FALSE)</f>
        <v>13.946669106391003</v>
      </c>
      <c r="AU450">
        <f>_xlfn.NORM.DIST(Table2912[[#This Row],[Propionate '[%']]],R$6,R$2,FALSE)</f>
        <v>15.756472461076227</v>
      </c>
      <c r="AV450">
        <f>_xlfn.NORM.DIST(Table2912[[#This Row],[Butyrate '[%']]],S$6,S$2,FALSE)</f>
        <v>21.376833024443457</v>
      </c>
      <c r="AW450">
        <f>_xlfn.NORM.DIST(Table2912[[#This Row],[Valerate '[%']]],T$6,T$2,FALSE)</f>
        <v>36.074875594513337</v>
      </c>
      <c r="AX450">
        <f>_xlfn.NORM.DIST(Table2912[[#This Row],[Caproate '[%']]],U$6,U$2,FALSE)</f>
        <v>325.68127437458742</v>
      </c>
      <c r="AY450">
        <f>_xlfn.NORM.DIST(Table2912[[#This Row],[Isobutyrate '[%']]],V$6,V$2,FALSE)</f>
        <v>57.025752221507773</v>
      </c>
      <c r="AZ450">
        <f>_xlfn.NORM.DIST(Table2912[[#This Row],[Isovalerate '[%']]],W$6,W$2,FALSE)</f>
        <v>28.828257886249069</v>
      </c>
      <c r="BA450">
        <f>_xlfn.NORM.DIST(Table2912[[#This Row],[CH4 '[g/mmol SCFA']]],X$6,X$2,FALSE)</f>
        <v>0.23524842274489152</v>
      </c>
      <c r="BB450">
        <f>_xlfn.NORM.DIST(Table2912[[#This Row],[DMD '[mg/g']]],Y$6,Y$2,FALSE)</f>
        <v>1.8791684929532436E-3</v>
      </c>
      <c r="BC450">
        <f>_xlfn.NORM.DIST(Table2912[[#This Row],[CH4 '[ml/g']]],Z$6,Z$2,FALSE)</f>
        <v>1.0985679439437845E-2</v>
      </c>
      <c r="BD450">
        <f>_xlfn.NORM.DIST(Table2912[[#This Row],[CH4 '[% GP']]],AA$6,AA$2,FALSE)</f>
        <v>0.12821626870472874</v>
      </c>
      <c r="BE450">
        <f>_xlfn.NORM.DIST(Table2912[[#This Row],[CH4 '[g/g DDM']]],AB$6,AB$2,FALSE)</f>
        <v>2.001060852135295E-2</v>
      </c>
      <c r="BG450">
        <f>IF(Table2912[[#This Row],[GP '[ml/g']]]&lt;O$10,_xlfn.NORM.DIST(Table2912[[#This Row],[GP '[ml/g']]],O$6,O$2,FALSE),-100)</f>
        <v>-100</v>
      </c>
      <c r="BH450">
        <f>IF(Table2912[[#This Row],[SCFA '[mmol/g']]]&lt;P$10,_xlfn.NORM.DIST(Table2912[[#This Row],[SCFA '[mmol/g']]],P$6,P$2,FALSE),-100)</f>
        <v>-100</v>
      </c>
      <c r="BI450">
        <f>IF(Table2912[[#This Row],[Acetate '[%']]]&lt;Q$10,_xlfn.NORM.DIST(Table2912[[#This Row],[Acetate '[%']]],Q$6,Q$2,FALSE),-100)</f>
        <v>-100</v>
      </c>
      <c r="BJ450">
        <f>IF(Table2912[[#This Row],[Propionate '[%']]]&lt;R$10,_xlfn.NORM.DIST(Table2912[[#This Row],[Propionate '[%']]],R$6,R$2,FALSE),-100)</f>
        <v>-100</v>
      </c>
      <c r="BK450">
        <f>IF(Table2912[[#This Row],[Butyrate '[%']]]&lt;S$10,_xlfn.NORM.DIST(Table2912[[#This Row],[Butyrate '[%']]],S$6,S$2,FALSE),-100)</f>
        <v>-100</v>
      </c>
      <c r="BL450">
        <f>IF(Table2912[[#This Row],[Valerate '[%']]]&lt;T$10,_xlfn.NORM.DIST(Table2912[[#This Row],[Valerate '[%']]],T$6,T$2,FALSE),-100)</f>
        <v>36.074875594513337</v>
      </c>
      <c r="BM450">
        <f>IF(Table2912[[#This Row],[Caproate '[%']]]&lt;U$10,_xlfn.NORM.DIST(Table2912[[#This Row],[Caproate '[%']]],U$6,U$2,FALSE),-100)</f>
        <v>-100</v>
      </c>
      <c r="BN450">
        <f>IF(Table2912[[#This Row],[Isobutyrate '[%']]]&lt;V$10,_xlfn.NORM.DIST(Table2912[[#This Row],[Isobutyrate '[%']]],V$6,V$2,FALSE),-100)</f>
        <v>-100</v>
      </c>
      <c r="BO450">
        <f>IF(Table2912[[#This Row],[Isovalerate '[%']]]&lt;W$10,_xlfn.NORM.DIST(Table2912[[#This Row],[Isovalerate '[%']]],W$6,W$2,FALSE),-100)</f>
        <v>-100</v>
      </c>
      <c r="BP450">
        <f>IF(Table2912[[#This Row],[CH4 '[g/mmol SCFA']]]&lt;X$10,_xlfn.NORM.DIST(Table2912[[#This Row],[CH4 '[g/mmol SCFA']]],X$6,X$2,FALSE),-100)</f>
        <v>-100</v>
      </c>
      <c r="BQ450">
        <f>IF(Table2912[[#This Row],[DMD '[mg/g']]]&gt;Y$10,_xlfn.NORM.DIST(Table2912[[#This Row],[DMD '[mg/g']]],Y$6,Y$2,FALSE),-100)</f>
        <v>-100</v>
      </c>
      <c r="BR450">
        <f>IF(Table2912[[#This Row],[CH4 '[ml/g']]]&lt;Z$10,_xlfn.NORM.DIST(Table2912[[#This Row],[CH4 '[ml/g']]],Z$6,Z$2,FALSE),-100)</f>
        <v>-100</v>
      </c>
      <c r="BS450">
        <f>IF(Table2912[[#This Row],[CH4 '[% GP']]]&lt;AA$10,_xlfn.NORM.DIST(Table2912[[#This Row],[CH4 '[% GP']]],AA$6,AA$2,FALSE),-100)</f>
        <v>-100</v>
      </c>
      <c r="BT450">
        <f>IF(Table2912[[#This Row],[CH4 '[g/g DDM']]]&lt;AB$10,_xlfn.NORM.DIST(Table2912[[#This Row],[CH4 '[g/g DDM']]],AB$6,AB$2,FALSE),-100)</f>
        <v>-100</v>
      </c>
    </row>
    <row r="451" spans="1:72" x14ac:dyDescent="0.25">
      <c r="A451" s="12" t="s">
        <v>200</v>
      </c>
      <c r="B451" s="13">
        <v>1256</v>
      </c>
      <c r="C451" s="113" t="s">
        <v>541</v>
      </c>
      <c r="D451" s="113" t="s">
        <v>542</v>
      </c>
      <c r="E451" s="113" t="s">
        <v>543</v>
      </c>
      <c r="F451" s="114" t="s">
        <v>544</v>
      </c>
      <c r="G451" t="s">
        <v>73</v>
      </c>
      <c r="H451" t="s">
        <v>74</v>
      </c>
      <c r="I451" t="s">
        <v>75</v>
      </c>
      <c r="J451" s="100">
        <v>2</v>
      </c>
      <c r="K451" s="100"/>
      <c r="L451" s="100"/>
      <c r="M451" t="s">
        <v>550</v>
      </c>
      <c r="N451" t="s">
        <v>342</v>
      </c>
      <c r="O451" s="18">
        <v>269.56640471512787</v>
      </c>
      <c r="P451" s="18">
        <v>6.7299415904901769</v>
      </c>
      <c r="Q451" s="97">
        <v>0.69467154217476634</v>
      </c>
      <c r="R451" s="97">
        <v>0.14397237736952756</v>
      </c>
      <c r="S451" s="97">
        <v>0.10430124427946816</v>
      </c>
      <c r="T451" s="97">
        <v>1.5427422885694379E-2</v>
      </c>
      <c r="U451" s="97">
        <v>7.6309943518418463E-4</v>
      </c>
      <c r="V451" s="97">
        <v>1.4938733972854435E-2</v>
      </c>
      <c r="W451" s="97">
        <v>2.5925579882504903E-2</v>
      </c>
      <c r="X451" s="51">
        <f t="shared" si="30"/>
        <v>6.7769648211891278</v>
      </c>
      <c r="Y451" s="18">
        <v>904.43892468979379</v>
      </c>
      <c r="Z451" s="18">
        <v>45.608577407409534</v>
      </c>
      <c r="AA451" s="18">
        <f t="shared" si="31"/>
        <v>16.91923645144421</v>
      </c>
      <c r="AB451" s="18">
        <f t="shared" si="32"/>
        <v>50.427481792706402</v>
      </c>
      <c r="AC451" s="18">
        <f>$CP$15*Table2912[[#This Row],[DMD '[mg/g']]]+$CS$15*Table2912[[#This Row],[CH4 '[ml/g']]]+$CR$15*Table2912[[#This Row],[CH4 '[% GP']]]+$CQ$15*Table2912[[#This Row],[CH4 '[g/g DDM']]]</f>
        <v>25.735032772585512</v>
      </c>
      <c r="AD451" s="18">
        <f>_xlfn.RANK.AVG(Table2912[[#This Row],[Index]],Table2912[Index])</f>
        <v>84</v>
      </c>
      <c r="AE45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6.3459658755691093</v>
      </c>
      <c r="AF451" s="18">
        <f>Table2912[[#This Row],[CH4 '[ml/g']]]/Table2912[[#This Row],[APB]]</f>
        <v>7.1870190136059211</v>
      </c>
      <c r="AG451" s="18">
        <f>Table2912[[#This Row],[Propionate '[%']]]/Table2912[[#This Row],[Acetate '[%']]]</f>
        <v>0.20725244756507791</v>
      </c>
      <c r="AH451" s="51"/>
      <c r="AI451" s="18"/>
      <c r="AJ451" s="18"/>
      <c r="AK451" s="18">
        <f>(Table2912[[#This Row],[DMD '[mg/g']]]-$AK$15)/$AK$15*100</f>
        <v>84.470527150611659</v>
      </c>
      <c r="AL451" s="18">
        <f>(Table2912[[#This Row],[CH4 '[ml/g']]]-AL$15)/AL$15*100</f>
        <v>15.957328143890043</v>
      </c>
      <c r="AM451" s="18">
        <f>(Table2912[[#This Row],[CH4 '[% GP']]]-AM$15)/AM$15*100</f>
        <v>8.9991678071403456</v>
      </c>
      <c r="AN451" s="18">
        <f>(Table2912[[#This Row],[CH4 '[g/g DDM']]]-AN$15)/AN$15*100</f>
        <v>-1.5386806415187901</v>
      </c>
      <c r="AO451" s="18"/>
      <c r="AP451" s="18"/>
      <c r="AQ451" t="e">
        <f t="shared" si="29"/>
        <v>#DIV/0!</v>
      </c>
      <c r="AR451">
        <f>_xlfn.NORM.DIST(Table2912[[#This Row],[GP '[ml/g']]],O$6,O$2,FALSE)</f>
        <v>7.2238360375758573E-3</v>
      </c>
      <c r="AS451">
        <f>_xlfn.NORM.DIST(Table2912[[#This Row],[SCFA '[mmol/g']]],P$6,P$2,FALSE)</f>
        <v>0.328483745511992</v>
      </c>
      <c r="AT451">
        <f>_xlfn.NORM.DIST(Table2912[[#This Row],[Acetate '[%']]],Q$6,Q$2,FALSE)</f>
        <v>10.52771110215649</v>
      </c>
      <c r="AU451">
        <f>_xlfn.NORM.DIST(Table2912[[#This Row],[Propionate '[%']]],R$6,R$2,FALSE)</f>
        <v>8.4285036822955099</v>
      </c>
      <c r="AV451">
        <f>_xlfn.NORM.DIST(Table2912[[#This Row],[Butyrate '[%']]],S$6,S$2,FALSE)</f>
        <v>18.560492606033552</v>
      </c>
      <c r="AW451">
        <f>_xlfn.NORM.DIST(Table2912[[#This Row],[Valerate '[%']]],T$6,T$2,FALSE)</f>
        <v>70.471472962910141</v>
      </c>
      <c r="AX451">
        <f>_xlfn.NORM.DIST(Table2912[[#This Row],[Caproate '[%']]],U$6,U$2,FALSE)</f>
        <v>343.64786800324617</v>
      </c>
      <c r="AY451">
        <f>_xlfn.NORM.DIST(Table2912[[#This Row],[Isobutyrate '[%']]],V$6,V$2,FALSE)</f>
        <v>89.828428543164961</v>
      </c>
      <c r="AZ451">
        <f>_xlfn.NORM.DIST(Table2912[[#This Row],[Isovalerate '[%']]],W$6,W$2,FALSE)</f>
        <v>44.301540561669697</v>
      </c>
      <c r="BA451">
        <f>_xlfn.NORM.DIST(Table2912[[#This Row],[CH4 '[g/mmol SCFA']]],X$6,X$2,FALSE)</f>
        <v>0.27789067187441968</v>
      </c>
      <c r="BB451">
        <f>_xlfn.NORM.DIST(Table2912[[#This Row],[DMD '[mg/g']]],Y$6,Y$2,FALSE)</f>
        <v>1.87670621155318E-3</v>
      </c>
      <c r="BC451">
        <f>_xlfn.NORM.DIST(Table2912[[#This Row],[CH4 '[ml/g']]],Z$6,Z$2,FALSE)</f>
        <v>3.1475180863683179E-2</v>
      </c>
      <c r="BD451">
        <f>_xlfn.NORM.DIST(Table2912[[#This Row],[CH4 '[% GP']]],AA$6,AA$2,FALSE)</f>
        <v>0.1292680126067321</v>
      </c>
      <c r="BE451">
        <f>_xlfn.NORM.DIST(Table2912[[#This Row],[CH4 '[g/g DDM']]],AB$6,AB$2,FALSE)</f>
        <v>3.1911749899399842E-2</v>
      </c>
      <c r="BG451">
        <f>IF(Table2912[[#This Row],[GP '[ml/g']]]&lt;O$10,_xlfn.NORM.DIST(Table2912[[#This Row],[GP '[ml/g']]],O$6,O$2,FALSE),-100)</f>
        <v>-100</v>
      </c>
      <c r="BH451">
        <f>IF(Table2912[[#This Row],[SCFA '[mmol/g']]]&lt;P$10,_xlfn.NORM.DIST(Table2912[[#This Row],[SCFA '[mmol/g']]],P$6,P$2,FALSE),-100)</f>
        <v>-100</v>
      </c>
      <c r="BI451">
        <f>IF(Table2912[[#This Row],[Acetate '[%']]]&lt;Q$10,_xlfn.NORM.DIST(Table2912[[#This Row],[Acetate '[%']]],Q$6,Q$2,FALSE),-100)</f>
        <v>-100</v>
      </c>
      <c r="BJ451">
        <f>IF(Table2912[[#This Row],[Propionate '[%']]]&lt;R$10,_xlfn.NORM.DIST(Table2912[[#This Row],[Propionate '[%']]],R$6,R$2,FALSE),-100)</f>
        <v>8.4285036822955099</v>
      </c>
      <c r="BK451">
        <f>IF(Table2912[[#This Row],[Butyrate '[%']]]&lt;S$10,_xlfn.NORM.DIST(Table2912[[#This Row],[Butyrate '[%']]],S$6,S$2,FALSE),-100)</f>
        <v>-100</v>
      </c>
      <c r="BL451">
        <f>IF(Table2912[[#This Row],[Valerate '[%']]]&lt;T$10,_xlfn.NORM.DIST(Table2912[[#This Row],[Valerate '[%']]],T$6,T$2,FALSE),-100)</f>
        <v>-100</v>
      </c>
      <c r="BM451">
        <f>IF(Table2912[[#This Row],[Caproate '[%']]]&lt;U$10,_xlfn.NORM.DIST(Table2912[[#This Row],[Caproate '[%']]],U$6,U$2,FALSE),-100)</f>
        <v>-100</v>
      </c>
      <c r="BN451">
        <f>IF(Table2912[[#This Row],[Isobutyrate '[%']]]&lt;V$10,_xlfn.NORM.DIST(Table2912[[#This Row],[Isobutyrate '[%']]],V$6,V$2,FALSE),-100)</f>
        <v>-100</v>
      </c>
      <c r="BO451">
        <f>IF(Table2912[[#This Row],[Isovalerate '[%']]]&lt;W$10,_xlfn.NORM.DIST(Table2912[[#This Row],[Isovalerate '[%']]],W$6,W$2,FALSE),-100)</f>
        <v>-100</v>
      </c>
      <c r="BP451">
        <f>IF(Table2912[[#This Row],[CH4 '[g/mmol SCFA']]]&lt;X$10,_xlfn.NORM.DIST(Table2912[[#This Row],[CH4 '[g/mmol SCFA']]],X$6,X$2,FALSE),-100)</f>
        <v>-100</v>
      </c>
      <c r="BQ451">
        <f>IF(Table2912[[#This Row],[DMD '[mg/g']]]&gt;Y$10,_xlfn.NORM.DIST(Table2912[[#This Row],[DMD '[mg/g']]],Y$6,Y$2,FALSE),-100)</f>
        <v>-100</v>
      </c>
      <c r="BR451">
        <f>IF(Table2912[[#This Row],[CH4 '[ml/g']]]&lt;Z$10,_xlfn.NORM.DIST(Table2912[[#This Row],[CH4 '[ml/g']]],Z$6,Z$2,FALSE),-100)</f>
        <v>-100</v>
      </c>
      <c r="BS451">
        <f>IF(Table2912[[#This Row],[CH4 '[% GP']]]&lt;AA$10,_xlfn.NORM.DIST(Table2912[[#This Row],[CH4 '[% GP']]],AA$6,AA$2,FALSE),-100)</f>
        <v>-100</v>
      </c>
      <c r="BT451">
        <f>IF(Table2912[[#This Row],[CH4 '[g/g DDM']]]&lt;AB$10,_xlfn.NORM.DIST(Table2912[[#This Row],[CH4 '[g/g DDM']]],AB$6,AB$2,FALSE),-100)</f>
        <v>-100</v>
      </c>
    </row>
    <row r="452" spans="1:72" x14ac:dyDescent="0.25">
      <c r="A452" s="12" t="s">
        <v>200</v>
      </c>
      <c r="B452" s="13">
        <v>1214</v>
      </c>
      <c r="C452" s="113" t="s">
        <v>532</v>
      </c>
      <c r="D452" s="113" t="s">
        <v>391</v>
      </c>
      <c r="E452" s="113" t="s">
        <v>392</v>
      </c>
      <c r="F452" s="113" t="s">
        <v>393</v>
      </c>
      <c r="G452" t="s">
        <v>143</v>
      </c>
      <c r="H452" t="s">
        <v>144</v>
      </c>
      <c r="I452" t="s">
        <v>52</v>
      </c>
      <c r="J452" s="70">
        <v>1</v>
      </c>
      <c r="K452" s="70"/>
      <c r="L452" s="70"/>
      <c r="M452" t="s">
        <v>533</v>
      </c>
      <c r="N452" t="s">
        <v>237</v>
      </c>
      <c r="O452" s="18">
        <v>398.7452537182844</v>
      </c>
      <c r="P452" s="18">
        <v>8.8758984185741738</v>
      </c>
      <c r="Q452" s="97">
        <v>0.67139366201328421</v>
      </c>
      <c r="R452" s="97">
        <v>0.17712975650991386</v>
      </c>
      <c r="S452" s="97">
        <v>0.10410046144052396</v>
      </c>
      <c r="T452" s="97">
        <v>1.230069361769949E-2</v>
      </c>
      <c r="U452" s="97">
        <v>2.1507794951937595E-3</v>
      </c>
      <c r="V452" s="97">
        <v>1.1994179333941866E-2</v>
      </c>
      <c r="W452" s="97">
        <v>2.0930467589442725E-2</v>
      </c>
      <c r="X452" s="51">
        <f t="shared" si="30"/>
        <v>6.6522410860678249</v>
      </c>
      <c r="Y452" s="18">
        <v>905.1998480269649</v>
      </c>
      <c r="Z452" s="18">
        <v>59.044616135803551</v>
      </c>
      <c r="AA452" s="18">
        <f t="shared" si="31"/>
        <v>14.807603497524985</v>
      </c>
      <c r="AB452" s="18">
        <f t="shared" si="32"/>
        <v>65.228265630513761</v>
      </c>
      <c r="AC452" s="18">
        <f>$CP$15*Table2912[[#This Row],[DMD '[mg/g']]]+$CS$15*Table2912[[#This Row],[CH4 '[ml/g']]]+$CR$15*Table2912[[#This Row],[CH4 '[% GP']]]+$CQ$15*Table2912[[#This Row],[CH4 '[g/g DDM']]]</f>
        <v>21.270883372790429</v>
      </c>
      <c r="AD452" s="18">
        <f>_xlfn.RANK.AVG(Table2912[[#This Row],[Index]],Table2912[Index])</f>
        <v>142</v>
      </c>
      <c r="AE45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8.4553927896659946</v>
      </c>
      <c r="AF452" s="18">
        <f>Table2912[[#This Row],[CH4 '[ml/g']]]/Table2912[[#This Row],[APB]]</f>
        <v>6.9830719405450514</v>
      </c>
      <c r="AG452" s="18">
        <f>Table2912[[#This Row],[Propionate '[%']]]/Table2912[[#This Row],[Acetate '[%']]]</f>
        <v>0.263823992586944</v>
      </c>
      <c r="AH452" s="51"/>
      <c r="AI452" s="18"/>
      <c r="AJ452" s="18"/>
      <c r="AK452" s="18">
        <f>(Table2912[[#This Row],[DMD '[mg/g']]]-$AK$15)/$AK$15*100</f>
        <v>84.625726053818198</v>
      </c>
      <c r="AL452" s="18">
        <f>(Table2912[[#This Row],[CH4 '[ml/g']]]-AL$15)/AL$15*100</f>
        <v>50.117726041529522</v>
      </c>
      <c r="AM452" s="18">
        <f>(Table2912[[#This Row],[CH4 '[% GP']]]-AM$15)/AM$15*100</f>
        <v>-4.6046514521904882</v>
      </c>
      <c r="AN452" s="18">
        <f>(Table2912[[#This Row],[CH4 '[g/g DDM']]]-AN$15)/AN$15*100</f>
        <v>27.360337362211379</v>
      </c>
      <c r="AO452" s="18"/>
      <c r="AP452" s="18"/>
      <c r="AQ452" t="e">
        <f t="shared" si="29"/>
        <v>#DIV/0!</v>
      </c>
      <c r="AR452">
        <f>_xlfn.NORM.DIST(Table2912[[#This Row],[GP '[ml/g']]],O$6,O$2,FALSE)</f>
        <v>2.0292879081475871E-4</v>
      </c>
      <c r="AS452">
        <f>_xlfn.NORM.DIST(Table2912[[#This Row],[SCFA '[mmol/g']]],P$6,P$2,FALSE)</f>
        <v>4.9667375536141894E-2</v>
      </c>
      <c r="AT452">
        <f>_xlfn.NORM.DIST(Table2912[[#This Row],[Acetate '[%']]],Q$6,Q$2,FALSE)</f>
        <v>14.000935556694758</v>
      </c>
      <c r="AU452">
        <f>_xlfn.NORM.DIST(Table2912[[#This Row],[Propionate '[%']]],R$6,R$2,FALSE)</f>
        <v>16.384247623640661</v>
      </c>
      <c r="AV452">
        <f>_xlfn.NORM.DIST(Table2912[[#This Row],[Butyrate '[%']]],S$6,S$2,FALSE)</f>
        <v>18.701096548176896</v>
      </c>
      <c r="AW452">
        <f>_xlfn.NORM.DIST(Table2912[[#This Row],[Valerate '[%']]],T$6,T$2,FALSE)</f>
        <v>45.088073458658918</v>
      </c>
      <c r="AX452">
        <f>_xlfn.NORM.DIST(Table2912[[#This Row],[Caproate '[%']]],U$6,U$2,FALSE)</f>
        <v>287.37162646181122</v>
      </c>
      <c r="AY452">
        <f>_xlfn.NORM.DIST(Table2912[[#This Row],[Isobutyrate '[%']]],V$6,V$2,FALSE)</f>
        <v>67.999880589419547</v>
      </c>
      <c r="AZ452">
        <f>_xlfn.NORM.DIST(Table2912[[#This Row],[Isovalerate '[%']]],W$6,W$2,FALSE)</f>
        <v>33.170595605592283</v>
      </c>
      <c r="BA452">
        <f>_xlfn.NORM.DIST(Table2912[[#This Row],[CH4 '[g/mmol SCFA']]],X$6,X$2,FALSE)</f>
        <v>0.28633509788713929</v>
      </c>
      <c r="BB452">
        <f>_xlfn.NORM.DIST(Table2912[[#This Row],[DMD '[mg/g']]],Y$6,Y$2,FALSE)</f>
        <v>1.8669031008800799E-3</v>
      </c>
      <c r="BC452">
        <f>_xlfn.NORM.DIST(Table2912[[#This Row],[CH4 '[ml/g']]],Z$6,Z$2,FALSE)</f>
        <v>1.1172356804999915E-2</v>
      </c>
      <c r="BD452">
        <f>_xlfn.NORM.DIST(Table2912[[#This Row],[CH4 '[% GP']]],AA$6,AA$2,FALSE)</f>
        <v>0.12304635160527318</v>
      </c>
      <c r="BE452">
        <f>_xlfn.NORM.DIST(Table2912[[#This Row],[CH4 '[g/g DDM']]],AB$6,AB$2,FALSE)</f>
        <v>2.0367937958485724E-2</v>
      </c>
      <c r="BG452">
        <f>IF(Table2912[[#This Row],[GP '[ml/g']]]&lt;O$10,_xlfn.NORM.DIST(Table2912[[#This Row],[GP '[ml/g']]],O$6,O$2,FALSE),-100)</f>
        <v>-100</v>
      </c>
      <c r="BH452">
        <f>IF(Table2912[[#This Row],[SCFA '[mmol/g']]]&lt;P$10,_xlfn.NORM.DIST(Table2912[[#This Row],[SCFA '[mmol/g']]],P$6,P$2,FALSE),-100)</f>
        <v>-100</v>
      </c>
      <c r="BI452">
        <f>IF(Table2912[[#This Row],[Acetate '[%']]]&lt;Q$10,_xlfn.NORM.DIST(Table2912[[#This Row],[Acetate '[%']]],Q$6,Q$2,FALSE),-100)</f>
        <v>-100</v>
      </c>
      <c r="BJ452">
        <f>IF(Table2912[[#This Row],[Propionate '[%']]]&lt;R$10,_xlfn.NORM.DIST(Table2912[[#This Row],[Propionate '[%']]],R$6,R$2,FALSE),-100)</f>
        <v>-100</v>
      </c>
      <c r="BK452">
        <f>IF(Table2912[[#This Row],[Butyrate '[%']]]&lt;S$10,_xlfn.NORM.DIST(Table2912[[#This Row],[Butyrate '[%']]],S$6,S$2,FALSE),-100)</f>
        <v>-100</v>
      </c>
      <c r="BL452">
        <f>IF(Table2912[[#This Row],[Valerate '[%']]]&lt;T$10,_xlfn.NORM.DIST(Table2912[[#This Row],[Valerate '[%']]],T$6,T$2,FALSE),-100)</f>
        <v>45.088073458658918</v>
      </c>
      <c r="BM452">
        <f>IF(Table2912[[#This Row],[Caproate '[%']]]&lt;U$10,_xlfn.NORM.DIST(Table2912[[#This Row],[Caproate '[%']]],U$6,U$2,FALSE),-100)</f>
        <v>-100</v>
      </c>
      <c r="BN452">
        <f>IF(Table2912[[#This Row],[Isobutyrate '[%']]]&lt;V$10,_xlfn.NORM.DIST(Table2912[[#This Row],[Isobutyrate '[%']]],V$6,V$2,FALSE),-100)</f>
        <v>-100</v>
      </c>
      <c r="BO452">
        <f>IF(Table2912[[#This Row],[Isovalerate '[%']]]&lt;W$10,_xlfn.NORM.DIST(Table2912[[#This Row],[Isovalerate '[%']]],W$6,W$2,FALSE),-100)</f>
        <v>-100</v>
      </c>
      <c r="BP452">
        <f>IF(Table2912[[#This Row],[CH4 '[g/mmol SCFA']]]&lt;X$10,_xlfn.NORM.DIST(Table2912[[#This Row],[CH4 '[g/mmol SCFA']]],X$6,X$2,FALSE),-100)</f>
        <v>-100</v>
      </c>
      <c r="BQ452">
        <f>IF(Table2912[[#This Row],[DMD '[mg/g']]]&gt;Y$10,_xlfn.NORM.DIST(Table2912[[#This Row],[DMD '[mg/g']]],Y$6,Y$2,FALSE),-100)</f>
        <v>-100</v>
      </c>
      <c r="BR452">
        <f>IF(Table2912[[#This Row],[CH4 '[ml/g']]]&lt;Z$10,_xlfn.NORM.DIST(Table2912[[#This Row],[CH4 '[ml/g']]],Z$6,Z$2,FALSE),-100)</f>
        <v>-100</v>
      </c>
      <c r="BS452">
        <f>IF(Table2912[[#This Row],[CH4 '[% GP']]]&lt;AA$10,_xlfn.NORM.DIST(Table2912[[#This Row],[CH4 '[% GP']]],AA$6,AA$2,FALSE),-100)</f>
        <v>-100</v>
      </c>
      <c r="BT452">
        <f>IF(Table2912[[#This Row],[CH4 '[g/g DDM']]]&lt;AB$10,_xlfn.NORM.DIST(Table2912[[#This Row],[CH4 '[g/g DDM']]],AB$6,AB$2,FALSE),-100)</f>
        <v>-100</v>
      </c>
    </row>
    <row r="453" spans="1:72" x14ac:dyDescent="0.25">
      <c r="A453" s="12" t="s">
        <v>200</v>
      </c>
      <c r="B453" s="13">
        <v>1145</v>
      </c>
      <c r="C453" s="117" t="s">
        <v>380</v>
      </c>
      <c r="D453" s="117" t="s">
        <v>212</v>
      </c>
      <c r="E453" s="117" t="s">
        <v>213</v>
      </c>
      <c r="F453" s="117" t="s">
        <v>214</v>
      </c>
      <c r="G453" t="s">
        <v>73</v>
      </c>
      <c r="H453" t="s">
        <v>74</v>
      </c>
      <c r="I453" t="s">
        <v>75</v>
      </c>
      <c r="J453" s="70">
        <v>1</v>
      </c>
      <c r="K453" s="70"/>
      <c r="L453" s="70"/>
      <c r="M453" t="s">
        <v>381</v>
      </c>
      <c r="N453" t="s">
        <v>171</v>
      </c>
      <c r="O453" s="18">
        <v>269.24320742213388</v>
      </c>
      <c r="P453" s="18">
        <v>6.2719034654713886</v>
      </c>
      <c r="Q453" s="97">
        <v>0.70575922779644529</v>
      </c>
      <c r="R453" s="97">
        <v>0.16628634444117807</v>
      </c>
      <c r="S453" s="97">
        <v>7.9110513496746762E-2</v>
      </c>
      <c r="T453" s="97">
        <v>1.3833351364686147E-2</v>
      </c>
      <c r="U453" s="97">
        <v>1.3290988480671067E-3</v>
      </c>
      <c r="V453" s="97">
        <v>1.2025156245526674E-2</v>
      </c>
      <c r="W453" s="97">
        <v>2.1656307807349961E-2</v>
      </c>
      <c r="X453" s="51">
        <f t="shared" si="30"/>
        <v>7.5900388795702796</v>
      </c>
      <c r="Y453" s="18">
        <v>906.03948487552361</v>
      </c>
      <c r="Z453" s="18">
        <v>47.603991151839409</v>
      </c>
      <c r="AA453" s="18">
        <f t="shared" si="31"/>
        <v>17.680665598817995</v>
      </c>
      <c r="AB453" s="18">
        <f t="shared" si="32"/>
        <v>52.540746784760152</v>
      </c>
      <c r="AC453" s="18">
        <f>$CP$15*Table2912[[#This Row],[DMD '[mg/g']]]+$CS$15*Table2912[[#This Row],[CH4 '[ml/g']]]+$CR$15*Table2912[[#This Row],[CH4 '[% GP']]]+$CQ$15*Table2912[[#This Row],[CH4 '[g/g DDM']]]</f>
        <v>24.903487019146091</v>
      </c>
      <c r="AD453" s="18">
        <f>_xlfn.RANK.AVG(Table2912[[#This Row],[Index]],Table2912[Index])</f>
        <v>91</v>
      </c>
      <c r="AE45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5.9655591503215977</v>
      </c>
      <c r="AF453" s="18">
        <f>Table2912[[#This Row],[CH4 '[ml/g']]]/Table2912[[#This Row],[APB]]</f>
        <v>7.9798037287540975</v>
      </c>
      <c r="AG453" s="18">
        <f>Table2912[[#This Row],[Propionate '[%']]]/Table2912[[#This Row],[Acetate '[%']]]</f>
        <v>0.2356134187013964</v>
      </c>
      <c r="AH453" s="51"/>
      <c r="AI453" s="18"/>
      <c r="AJ453" s="18"/>
      <c r="AK453" s="18">
        <f>(Table2912[[#This Row],[DMD '[mg/g']]]-$AK$15)/$AK$15*100</f>
        <v>84.796979466116682</v>
      </c>
      <c r="AL453" s="18">
        <f>(Table2912[[#This Row],[CH4 '[ml/g']]]-AL$15)/AL$15*100</f>
        <v>21.030559090753407</v>
      </c>
      <c r="AM453" s="18">
        <f>(Table2912[[#This Row],[CH4 '[% GP']]]-AM$15)/AM$15*100</f>
        <v>13.904539491378417</v>
      </c>
      <c r="AN453" s="18">
        <f>(Table2912[[#This Row],[CH4 '[g/g DDM']]]-AN$15)/AN$15*100</f>
        <v>2.5875388696406496</v>
      </c>
      <c r="AO453" s="18"/>
      <c r="AP453" s="18"/>
      <c r="AQ453" t="e">
        <f t="shared" si="29"/>
        <v>#DIV/0!</v>
      </c>
      <c r="AR453">
        <f>_xlfn.NORM.DIST(Table2912[[#This Row],[GP '[ml/g']]],O$6,O$2,FALSE)</f>
        <v>7.235265639814188E-3</v>
      </c>
      <c r="AS453">
        <f>_xlfn.NORM.DIST(Table2912[[#This Row],[SCFA '[mmol/g']]],P$6,P$2,FALSE)</f>
        <v>0.32468014201041479</v>
      </c>
      <c r="AT453">
        <f>_xlfn.NORM.DIST(Table2912[[#This Row],[Acetate '[%']]],Q$6,Q$2,FALSE)</f>
        <v>7.2621859465445837</v>
      </c>
      <c r="AU453">
        <f>_xlfn.NORM.DIST(Table2912[[#This Row],[Propionate '[%']]],R$6,R$2,FALSE)</f>
        <v>16.334146417782868</v>
      </c>
      <c r="AV453">
        <f>_xlfn.NORM.DIST(Table2912[[#This Row],[Butyrate '[%']]],S$6,S$2,FALSE)</f>
        <v>16.759403667466458</v>
      </c>
      <c r="AW453">
        <f>_xlfn.NORM.DIST(Table2912[[#This Row],[Valerate '[%']]],T$6,T$2,FALSE)</f>
        <v>58.762450251418954</v>
      </c>
      <c r="AX453">
        <f>_xlfn.NORM.DIST(Table2912[[#This Row],[Caproate '[%']]],U$6,U$2,FALSE)</f>
        <v>406.91094530504955</v>
      </c>
      <c r="AY453">
        <f>_xlfn.NORM.DIST(Table2912[[#This Row],[Isobutyrate '[%']]],V$6,V$2,FALSE)</f>
        <v>68.356691207267801</v>
      </c>
      <c r="AZ453">
        <f>_xlfn.NORM.DIST(Table2912[[#This Row],[Isovalerate '[%']]],W$6,W$2,FALSE)</f>
        <v>35.297153983717429</v>
      </c>
      <c r="BA453">
        <f>_xlfn.NORM.DIST(Table2912[[#This Row],[CH4 '[g/mmol SCFA']]],X$6,X$2,FALSE)</f>
        <v>0.18497123999336415</v>
      </c>
      <c r="BB453">
        <f>_xlfn.NORM.DIST(Table2912[[#This Row],[DMD '[mg/g']]],Y$6,Y$2,FALSE)</f>
        <v>1.8560786902154559E-3</v>
      </c>
      <c r="BC453">
        <f>_xlfn.NORM.DIST(Table2912[[#This Row],[CH4 '[ml/g']]],Z$6,Z$2,FALSE)</f>
        <v>2.9250371149009639E-2</v>
      </c>
      <c r="BD453">
        <f>_xlfn.NORM.DIST(Table2912[[#This Row],[CH4 '[% GP']]],AA$6,AA$2,FALSE)</f>
        <v>0.11615729484490213</v>
      </c>
      <c r="BE453">
        <f>_xlfn.NORM.DIST(Table2912[[#This Row],[CH4 '[g/g DDM']]],AB$6,AB$2,FALSE)</f>
        <v>3.2778512377441546E-2</v>
      </c>
      <c r="BG453">
        <f>IF(Table2912[[#This Row],[GP '[ml/g']]]&lt;O$10,_xlfn.NORM.DIST(Table2912[[#This Row],[GP '[ml/g']]],O$6,O$2,FALSE),-100)</f>
        <v>-100</v>
      </c>
      <c r="BH453">
        <f>IF(Table2912[[#This Row],[SCFA '[mmol/g']]]&lt;P$10,_xlfn.NORM.DIST(Table2912[[#This Row],[SCFA '[mmol/g']]],P$6,P$2,FALSE),-100)</f>
        <v>-100</v>
      </c>
      <c r="BI453">
        <f>IF(Table2912[[#This Row],[Acetate '[%']]]&lt;Q$10,_xlfn.NORM.DIST(Table2912[[#This Row],[Acetate '[%']]],Q$6,Q$2,FALSE),-100)</f>
        <v>-100</v>
      </c>
      <c r="BJ453">
        <f>IF(Table2912[[#This Row],[Propionate '[%']]]&lt;R$10,_xlfn.NORM.DIST(Table2912[[#This Row],[Propionate '[%']]],R$6,R$2,FALSE),-100)</f>
        <v>-100</v>
      </c>
      <c r="BK453">
        <f>IF(Table2912[[#This Row],[Butyrate '[%']]]&lt;S$10,_xlfn.NORM.DIST(Table2912[[#This Row],[Butyrate '[%']]],S$6,S$2,FALSE),-100)</f>
        <v>-100</v>
      </c>
      <c r="BL453">
        <f>IF(Table2912[[#This Row],[Valerate '[%']]]&lt;T$10,_xlfn.NORM.DIST(Table2912[[#This Row],[Valerate '[%']]],T$6,T$2,FALSE),-100)</f>
        <v>-100</v>
      </c>
      <c r="BM453">
        <f>IF(Table2912[[#This Row],[Caproate '[%']]]&lt;U$10,_xlfn.NORM.DIST(Table2912[[#This Row],[Caproate '[%']]],U$6,U$2,FALSE),-100)</f>
        <v>-100</v>
      </c>
      <c r="BN453">
        <f>IF(Table2912[[#This Row],[Isobutyrate '[%']]]&lt;V$10,_xlfn.NORM.DIST(Table2912[[#This Row],[Isobutyrate '[%']]],V$6,V$2,FALSE),-100)</f>
        <v>-100</v>
      </c>
      <c r="BO453">
        <f>IF(Table2912[[#This Row],[Isovalerate '[%']]]&lt;W$10,_xlfn.NORM.DIST(Table2912[[#This Row],[Isovalerate '[%']]],W$6,W$2,FALSE),-100)</f>
        <v>-100</v>
      </c>
      <c r="BP453">
        <f>IF(Table2912[[#This Row],[CH4 '[g/mmol SCFA']]]&lt;X$10,_xlfn.NORM.DIST(Table2912[[#This Row],[CH4 '[g/mmol SCFA']]],X$6,X$2,FALSE),-100)</f>
        <v>-100</v>
      </c>
      <c r="BQ453">
        <f>IF(Table2912[[#This Row],[DMD '[mg/g']]]&gt;Y$10,_xlfn.NORM.DIST(Table2912[[#This Row],[DMD '[mg/g']]],Y$6,Y$2,FALSE),-100)</f>
        <v>-100</v>
      </c>
      <c r="BR453">
        <f>IF(Table2912[[#This Row],[CH4 '[ml/g']]]&lt;Z$10,_xlfn.NORM.DIST(Table2912[[#This Row],[CH4 '[ml/g']]],Z$6,Z$2,FALSE),-100)</f>
        <v>-100</v>
      </c>
      <c r="BS453">
        <f>IF(Table2912[[#This Row],[CH4 '[% GP']]]&lt;AA$10,_xlfn.NORM.DIST(Table2912[[#This Row],[CH4 '[% GP']]],AA$6,AA$2,FALSE),-100)</f>
        <v>-100</v>
      </c>
      <c r="BT453">
        <f>IF(Table2912[[#This Row],[CH4 '[g/g DDM']]]&lt;AB$10,_xlfn.NORM.DIST(Table2912[[#This Row],[CH4 '[g/g DDM']]],AB$6,AB$2,FALSE),-100)</f>
        <v>-100</v>
      </c>
    </row>
    <row r="454" spans="1:72" x14ac:dyDescent="0.25">
      <c r="A454" s="12" t="s">
        <v>200</v>
      </c>
      <c r="B454" s="13">
        <v>1192</v>
      </c>
      <c r="C454" s="113" t="s">
        <v>527</v>
      </c>
      <c r="D454" s="113" t="s">
        <v>528</v>
      </c>
      <c r="E454" s="113" t="s">
        <v>529</v>
      </c>
      <c r="F454" s="113" t="s">
        <v>530</v>
      </c>
      <c r="G454" s="53" t="s">
        <v>349</v>
      </c>
      <c r="H454" s="53" t="s">
        <v>350</v>
      </c>
      <c r="I454" t="s">
        <v>48</v>
      </c>
      <c r="J454" s="70">
        <v>3</v>
      </c>
      <c r="K454" s="70"/>
      <c r="L454" s="70"/>
      <c r="M454" t="s">
        <v>531</v>
      </c>
      <c r="N454" t="s">
        <v>352</v>
      </c>
      <c r="O454" s="18">
        <v>297.44559539619326</v>
      </c>
      <c r="P454" s="18">
        <v>7.5358051841040661</v>
      </c>
      <c r="Q454" s="97">
        <v>0.70791901356058817</v>
      </c>
      <c r="R454" s="97">
        <v>0.14524100764696948</v>
      </c>
      <c r="S454" s="97">
        <v>9.7895786959785222E-2</v>
      </c>
      <c r="T454" s="97">
        <v>1.1945393108553991E-2</v>
      </c>
      <c r="U454" s="97">
        <v>9.8867459862722606E-4</v>
      </c>
      <c r="V454" s="97">
        <v>1.4061741268010644E-2</v>
      </c>
      <c r="W454" s="97">
        <v>2.1948382857465351E-2</v>
      </c>
      <c r="X454" s="51">
        <f t="shared" si="30"/>
        <v>5.9566710982779583</v>
      </c>
      <c r="Y454" s="18">
        <v>906.84500720988433</v>
      </c>
      <c r="Z454" s="18">
        <v>44.888312942405896</v>
      </c>
      <c r="AA454" s="18">
        <f t="shared" si="31"/>
        <v>15.091268331815542</v>
      </c>
      <c r="AB454" s="18">
        <f t="shared" si="32"/>
        <v>49.499432191301395</v>
      </c>
      <c r="AC454" s="18">
        <f>$CP$15*Table2912[[#This Row],[DMD '[mg/g']]]+$CS$15*Table2912[[#This Row],[CH4 '[ml/g']]]+$CR$15*Table2912[[#This Row],[CH4 '[% GP']]]+$CQ$15*Table2912[[#This Row],[CH4 '[g/g DDM']]]</f>
        <v>26.80758273438812</v>
      </c>
      <c r="AD454" s="18">
        <f>_xlfn.RANK.AVG(Table2912[[#This Row],[Index]],Table2912[Index])</f>
        <v>74</v>
      </c>
      <c r="AE45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7.1669712895597453</v>
      </c>
      <c r="AF454" s="18">
        <f>Table2912[[#This Row],[CH4 '[ml/g']]]/Table2912[[#This Row],[APB]]</f>
        <v>6.263219305454105</v>
      </c>
      <c r="AG454" s="18">
        <f>Table2912[[#This Row],[Propionate '[%']]]/Table2912[[#This Row],[Acetate '[%']]]</f>
        <v>0.20516613463517158</v>
      </c>
      <c r="AH454" s="51"/>
      <c r="AI454" s="18"/>
      <c r="AJ454" s="18"/>
      <c r="AK454" s="18">
        <f>(Table2912[[#This Row],[DMD '[mg/g']]]-$AK$15)/$AK$15*100</f>
        <v>84.961274838191798</v>
      </c>
      <c r="AL454" s="18">
        <f>(Table2912[[#This Row],[CH4 '[ml/g']]]-AL$15)/AL$15*100</f>
        <v>14.126094905178203</v>
      </c>
      <c r="AM454" s="18">
        <f>(Table2912[[#This Row],[CH4 '[% GP']]]-AM$15)/AM$15*100</f>
        <v>-2.777191273206951</v>
      </c>
      <c r="AN454" s="18">
        <f>(Table2912[[#This Row],[CH4 '[g/g DDM']]]-AN$15)/AN$15*100</f>
        <v>-3.3507280596324969</v>
      </c>
      <c r="AO454" s="18"/>
      <c r="AP454" s="18"/>
      <c r="AQ454" t="e">
        <f t="shared" si="29"/>
        <v>#DIV/0!</v>
      </c>
      <c r="AR454">
        <f>_xlfn.NORM.DIST(Table2912[[#This Row],[GP '[ml/g']]],O$6,O$2,FALSE)</f>
        <v>5.4893692242440556E-3</v>
      </c>
      <c r="AS454">
        <f>_xlfn.NORM.DIST(Table2912[[#This Row],[SCFA '[mmol/g']]],P$6,P$2,FALSE)</f>
        <v>0.23526217674899483</v>
      </c>
      <c r="AT454">
        <f>_xlfn.NORM.DIST(Table2912[[#This Row],[Acetate '[%']]],Q$6,Q$2,FALSE)</f>
        <v>6.6370228410074166</v>
      </c>
      <c r="AU454">
        <f>_xlfn.NORM.DIST(Table2912[[#This Row],[Propionate '[%']]],R$6,R$2,FALSE)</f>
        <v>8.9610196517074598</v>
      </c>
      <c r="AV454">
        <f>_xlfn.NORM.DIST(Table2912[[#This Row],[Butyrate '[%']]],S$6,S$2,FALSE)</f>
        <v>22.099972673234831</v>
      </c>
      <c r="AW454">
        <f>_xlfn.NORM.DIST(Table2912[[#This Row],[Valerate '[%']]],T$6,T$2,FALSE)</f>
        <v>41.87081204307546</v>
      </c>
      <c r="AX454">
        <f>_xlfn.NORM.DIST(Table2912[[#This Row],[Caproate '[%']]],U$6,U$2,FALSE)</f>
        <v>382.56842312331889</v>
      </c>
      <c r="AY454">
        <f>_xlfn.NORM.DIST(Table2912[[#This Row],[Isobutyrate '[%']]],V$6,V$2,FALSE)</f>
        <v>86.599083601965901</v>
      </c>
      <c r="AZ454">
        <f>_xlfn.NORM.DIST(Table2912[[#This Row],[Isovalerate '[%']]],W$6,W$2,FALSE)</f>
        <v>36.121162748347679</v>
      </c>
      <c r="BA454">
        <f>_xlfn.NORM.DIST(Table2912[[#This Row],[CH4 '[g/mmol SCFA']]],X$6,X$2,FALSE)</f>
        <v>0.28874912770634897</v>
      </c>
      <c r="BB454">
        <f>_xlfn.NORM.DIST(Table2912[[#This Row],[DMD '[mg/g']]],Y$6,Y$2,FALSE)</f>
        <v>1.8456877262242857E-3</v>
      </c>
      <c r="BC454">
        <f>_xlfn.NORM.DIST(Table2912[[#This Row],[CH4 '[ml/g']]],Z$6,Z$2,FALSE)</f>
        <v>3.2096967681191559E-2</v>
      </c>
      <c r="BD454">
        <f>_xlfn.NORM.DIST(Table2912[[#This Row],[CH4 '[% GP']]],AA$6,AA$2,FALSE)</f>
        <v>0.12758103327630899</v>
      </c>
      <c r="BE454">
        <f>_xlfn.NORM.DIST(Table2912[[#This Row],[CH4 '[g/g DDM']]],AB$6,AB$2,FALSE)</f>
        <v>3.1238005239946059E-2</v>
      </c>
      <c r="BG454">
        <f>IF(Table2912[[#This Row],[GP '[ml/g']]]&lt;O$10,_xlfn.NORM.DIST(Table2912[[#This Row],[GP '[ml/g']]],O$6,O$2,FALSE),-100)</f>
        <v>-100</v>
      </c>
      <c r="BH454">
        <f>IF(Table2912[[#This Row],[SCFA '[mmol/g']]]&lt;P$10,_xlfn.NORM.DIST(Table2912[[#This Row],[SCFA '[mmol/g']]],P$6,P$2,FALSE),-100)</f>
        <v>-100</v>
      </c>
      <c r="BI454">
        <f>IF(Table2912[[#This Row],[Acetate '[%']]]&lt;Q$10,_xlfn.NORM.DIST(Table2912[[#This Row],[Acetate '[%']]],Q$6,Q$2,FALSE),-100)</f>
        <v>-100</v>
      </c>
      <c r="BJ454">
        <f>IF(Table2912[[#This Row],[Propionate '[%']]]&lt;R$10,_xlfn.NORM.DIST(Table2912[[#This Row],[Propionate '[%']]],R$6,R$2,FALSE),-100)</f>
        <v>8.9610196517074598</v>
      </c>
      <c r="BK454">
        <f>IF(Table2912[[#This Row],[Butyrate '[%']]]&lt;S$10,_xlfn.NORM.DIST(Table2912[[#This Row],[Butyrate '[%']]],S$6,S$2,FALSE),-100)</f>
        <v>-100</v>
      </c>
      <c r="BL454">
        <f>IF(Table2912[[#This Row],[Valerate '[%']]]&lt;T$10,_xlfn.NORM.DIST(Table2912[[#This Row],[Valerate '[%']]],T$6,T$2,FALSE),-100)</f>
        <v>41.87081204307546</v>
      </c>
      <c r="BM454">
        <f>IF(Table2912[[#This Row],[Caproate '[%']]]&lt;U$10,_xlfn.NORM.DIST(Table2912[[#This Row],[Caproate '[%']]],U$6,U$2,FALSE),-100)</f>
        <v>-100</v>
      </c>
      <c r="BN454">
        <f>IF(Table2912[[#This Row],[Isobutyrate '[%']]]&lt;V$10,_xlfn.NORM.DIST(Table2912[[#This Row],[Isobutyrate '[%']]],V$6,V$2,FALSE),-100)</f>
        <v>-100</v>
      </c>
      <c r="BO454">
        <f>IF(Table2912[[#This Row],[Isovalerate '[%']]]&lt;W$10,_xlfn.NORM.DIST(Table2912[[#This Row],[Isovalerate '[%']]],W$6,W$2,FALSE),-100)</f>
        <v>-100</v>
      </c>
      <c r="BP454">
        <f>IF(Table2912[[#This Row],[CH4 '[g/mmol SCFA']]]&lt;X$10,_xlfn.NORM.DIST(Table2912[[#This Row],[CH4 '[g/mmol SCFA']]],X$6,X$2,FALSE),-100)</f>
        <v>-100</v>
      </c>
      <c r="BQ454">
        <f>IF(Table2912[[#This Row],[DMD '[mg/g']]]&gt;Y$10,_xlfn.NORM.DIST(Table2912[[#This Row],[DMD '[mg/g']]],Y$6,Y$2,FALSE),-100)</f>
        <v>-100</v>
      </c>
      <c r="BR454">
        <f>IF(Table2912[[#This Row],[CH4 '[ml/g']]]&lt;Z$10,_xlfn.NORM.DIST(Table2912[[#This Row],[CH4 '[ml/g']]],Z$6,Z$2,FALSE),-100)</f>
        <v>-100</v>
      </c>
      <c r="BS454">
        <f>IF(Table2912[[#This Row],[CH4 '[% GP']]]&lt;AA$10,_xlfn.NORM.DIST(Table2912[[#This Row],[CH4 '[% GP']]],AA$6,AA$2,FALSE),-100)</f>
        <v>-100</v>
      </c>
      <c r="BT454">
        <f>IF(Table2912[[#This Row],[CH4 '[g/g DDM']]]&lt;AB$10,_xlfn.NORM.DIST(Table2912[[#This Row],[CH4 '[g/g DDM']]],AB$6,AB$2,FALSE),-100)</f>
        <v>-100</v>
      </c>
    </row>
    <row r="455" spans="1:72" x14ac:dyDescent="0.25">
      <c r="A455" s="12" t="s">
        <v>200</v>
      </c>
      <c r="B455" s="13">
        <v>1197</v>
      </c>
      <c r="C455" s="119" t="s">
        <v>534</v>
      </c>
      <c r="D455" s="119" t="s">
        <v>535</v>
      </c>
      <c r="E455" s="119" t="s">
        <v>536</v>
      </c>
      <c r="F455" s="119" t="s">
        <v>537</v>
      </c>
      <c r="G455" t="s">
        <v>538</v>
      </c>
      <c r="H455" t="s">
        <v>539</v>
      </c>
      <c r="I455" s="53" t="s">
        <v>48</v>
      </c>
      <c r="J455" s="100">
        <v>3</v>
      </c>
      <c r="K455" s="100"/>
      <c r="L455" s="100"/>
      <c r="M455" t="s">
        <v>540</v>
      </c>
      <c r="N455" t="s">
        <v>352</v>
      </c>
      <c r="O455" s="18">
        <v>292.49710625137953</v>
      </c>
      <c r="P455" s="18">
        <v>7.9383697813121286</v>
      </c>
      <c r="Q455" s="97">
        <v>0.63326411943966199</v>
      </c>
      <c r="R455" s="97">
        <v>0.15834717823512823</v>
      </c>
      <c r="S455" s="97">
        <v>0.11369127408381649</v>
      </c>
      <c r="T455" s="97">
        <v>4.0348447825397593E-2</v>
      </c>
      <c r="U455" s="97">
        <v>1.9865405097730534E-3</v>
      </c>
      <c r="V455" s="97">
        <v>1.9269333597254242E-2</v>
      </c>
      <c r="W455" s="97">
        <v>3.309310630896839E-2</v>
      </c>
      <c r="X455" s="51">
        <f t="shared" si="30"/>
        <v>6.1937475002395583</v>
      </c>
      <c r="Y455" s="18">
        <v>908.54870775347888</v>
      </c>
      <c r="Z455" s="18">
        <v>49.168257988979242</v>
      </c>
      <c r="AA455" s="18">
        <f t="shared" si="31"/>
        <v>16.809827153203621</v>
      </c>
      <c r="AB455" s="18">
        <f t="shared" si="32"/>
        <v>54.117360543668632</v>
      </c>
      <c r="AC455" s="18">
        <f>$CP$15*Table2912[[#This Row],[DMD '[mg/g']]]+$CS$15*Table2912[[#This Row],[CH4 '[ml/g']]]+$CR$15*Table2912[[#This Row],[CH4 '[% GP']]]+$CQ$15*Table2912[[#This Row],[CH4 '[g/g DDM']]]</f>
        <v>24.830546613672396</v>
      </c>
      <c r="AD455" s="18">
        <f>_xlfn.RANK.AVG(Table2912[[#This Row],[Index]],Table2912[Index])</f>
        <v>94</v>
      </c>
      <c r="AE45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7.1866265785926782</v>
      </c>
      <c r="AF455" s="18">
        <f>Table2912[[#This Row],[CH4 '[ml/g']]]/Table2912[[#This Row],[APB]]</f>
        <v>6.841632503272157</v>
      </c>
      <c r="AG455" s="18">
        <f>Table2912[[#This Row],[Propionate '[%']]]/Table2912[[#This Row],[Acetate '[%']]]</f>
        <v>0.25004918702048096</v>
      </c>
      <c r="AH455" s="51"/>
      <c r="AI455" s="18"/>
      <c r="AJ455" s="18"/>
      <c r="AK455" s="18">
        <f>(Table2912[[#This Row],[DMD '[mg/g']]]-$AK$15)/$AK$15*100</f>
        <v>85.308763793835169</v>
      </c>
      <c r="AL455" s="18">
        <f>(Table2912[[#This Row],[CH4 '[ml/g']]]-AL$15)/AL$15*100</f>
        <v>25.007622468953848</v>
      </c>
      <c r="AM455" s="18">
        <f>(Table2912[[#This Row],[CH4 '[% GP']]]-AM$15)/AM$15*100</f>
        <v>8.2943178871801884</v>
      </c>
      <c r="AN455" s="18">
        <f>(Table2912[[#This Row],[CH4 '[g/g DDM']]]-AN$15)/AN$15*100</f>
        <v>5.6659291699731922</v>
      </c>
      <c r="AO455" s="18"/>
      <c r="AP455" s="18"/>
      <c r="AQ455" t="e">
        <f t="shared" si="29"/>
        <v>#DIV/0!</v>
      </c>
      <c r="AR455">
        <f>_xlfn.NORM.DIST(Table2912[[#This Row],[GP '[ml/g']]],O$6,O$2,FALSE)</f>
        <v>5.8796312623270062E-3</v>
      </c>
      <c r="AS455">
        <f>_xlfn.NORM.DIST(Table2912[[#This Row],[SCFA '[mmol/g']]],P$6,P$2,FALSE)</f>
        <v>0.16813198600216758</v>
      </c>
      <c r="AT455">
        <f>_xlfn.NORM.DIST(Table2912[[#This Row],[Acetate '[%']]],Q$6,Q$2,FALSE)</f>
        <v>5.2532854882239475</v>
      </c>
      <c r="AU455">
        <f>_xlfn.NORM.DIST(Table2912[[#This Row],[Propionate '[%']]],R$6,R$2,FALSE)</f>
        <v>14.281077405007295</v>
      </c>
      <c r="AV455">
        <f>_xlfn.NORM.DIST(Table2912[[#This Row],[Butyrate '[%']]],S$6,S$2,FALSE)</f>
        <v>11.223727003050747</v>
      </c>
      <c r="AW455">
        <f>_xlfn.NORM.DIST(Table2912[[#This Row],[Valerate '[%']]],T$6,T$2,FALSE)</f>
        <v>4.8013342395898306E-3</v>
      </c>
      <c r="AX455">
        <f>_xlfn.NORM.DIST(Table2912[[#This Row],[Caproate '[%']]],U$6,U$2,FALSE)</f>
        <v>325.85965228461004</v>
      </c>
      <c r="AY455">
        <f>_xlfn.NORM.DIST(Table2912[[#This Row],[Isobutyrate '[%']]],V$6,V$2,FALSE)</f>
        <v>60.509072071156915</v>
      </c>
      <c r="AZ455">
        <f>_xlfn.NORM.DIST(Table2912[[#This Row],[Isovalerate '[%']]],W$6,W$2,FALSE)</f>
        <v>38.129235528763815</v>
      </c>
      <c r="BA455">
        <f>_xlfn.NORM.DIST(Table2912[[#This Row],[CH4 '[g/mmol SCFA']]],X$6,X$2,FALSE)</f>
        <v>0.2967533842163011</v>
      </c>
      <c r="BB455">
        <f>_xlfn.NORM.DIST(Table2912[[#This Row],[DMD '[mg/g']]],Y$6,Y$2,FALSE)</f>
        <v>1.823693518485056E-3</v>
      </c>
      <c r="BC455">
        <f>_xlfn.NORM.DIST(Table2912[[#This Row],[CH4 '[ml/g']]],Z$6,Z$2,FALSE)</f>
        <v>2.7079734902061364E-2</v>
      </c>
      <c r="BD455">
        <f>_xlfn.NORM.DIST(Table2912[[#This Row],[CH4 '[% GP']]],AA$6,AA$2,FALSE)</f>
        <v>0.13055858619986116</v>
      </c>
      <c r="BE455">
        <f>_xlfn.NORM.DIST(Table2912[[#This Row],[CH4 '[g/g DDM']]],AB$6,AB$2,FALSE)</f>
        <v>3.278731802849924E-2</v>
      </c>
      <c r="BG455">
        <f>IF(Table2912[[#This Row],[GP '[ml/g']]]&lt;O$10,_xlfn.NORM.DIST(Table2912[[#This Row],[GP '[ml/g']]],O$6,O$2,FALSE),-100)</f>
        <v>-100</v>
      </c>
      <c r="BH455">
        <f>IF(Table2912[[#This Row],[SCFA '[mmol/g']]]&lt;P$10,_xlfn.NORM.DIST(Table2912[[#This Row],[SCFA '[mmol/g']]],P$6,P$2,FALSE),-100)</f>
        <v>-100</v>
      </c>
      <c r="BI455">
        <f>IF(Table2912[[#This Row],[Acetate '[%']]]&lt;Q$10,_xlfn.NORM.DIST(Table2912[[#This Row],[Acetate '[%']]],Q$6,Q$2,FALSE),-100)</f>
        <v>5.2532854882239475</v>
      </c>
      <c r="BJ455">
        <f>IF(Table2912[[#This Row],[Propionate '[%']]]&lt;R$10,_xlfn.NORM.DIST(Table2912[[#This Row],[Propionate '[%']]],R$6,R$2,FALSE),-100)</f>
        <v>-100</v>
      </c>
      <c r="BK455">
        <f>IF(Table2912[[#This Row],[Butyrate '[%']]]&lt;S$10,_xlfn.NORM.DIST(Table2912[[#This Row],[Butyrate '[%']]],S$6,S$2,FALSE),-100)</f>
        <v>-100</v>
      </c>
      <c r="BL455">
        <f>IF(Table2912[[#This Row],[Valerate '[%']]]&lt;T$10,_xlfn.NORM.DIST(Table2912[[#This Row],[Valerate '[%']]],T$6,T$2,FALSE),-100)</f>
        <v>-100</v>
      </c>
      <c r="BM455">
        <f>IF(Table2912[[#This Row],[Caproate '[%']]]&lt;U$10,_xlfn.NORM.DIST(Table2912[[#This Row],[Caproate '[%']]],U$6,U$2,FALSE),-100)</f>
        <v>-100</v>
      </c>
      <c r="BN455">
        <f>IF(Table2912[[#This Row],[Isobutyrate '[%']]]&lt;V$10,_xlfn.NORM.DIST(Table2912[[#This Row],[Isobutyrate '[%']]],V$6,V$2,FALSE),-100)</f>
        <v>-100</v>
      </c>
      <c r="BO455">
        <f>IF(Table2912[[#This Row],[Isovalerate '[%']]]&lt;W$10,_xlfn.NORM.DIST(Table2912[[#This Row],[Isovalerate '[%']]],W$6,W$2,FALSE),-100)</f>
        <v>-100</v>
      </c>
      <c r="BP455">
        <f>IF(Table2912[[#This Row],[CH4 '[g/mmol SCFA']]]&lt;X$10,_xlfn.NORM.DIST(Table2912[[#This Row],[CH4 '[g/mmol SCFA']]],X$6,X$2,FALSE),-100)</f>
        <v>-100</v>
      </c>
      <c r="BQ455">
        <f>IF(Table2912[[#This Row],[DMD '[mg/g']]]&gt;Y$10,_xlfn.NORM.DIST(Table2912[[#This Row],[DMD '[mg/g']]],Y$6,Y$2,FALSE),-100)</f>
        <v>-100</v>
      </c>
      <c r="BR455">
        <f>IF(Table2912[[#This Row],[CH4 '[ml/g']]]&lt;Z$10,_xlfn.NORM.DIST(Table2912[[#This Row],[CH4 '[ml/g']]],Z$6,Z$2,FALSE),-100)</f>
        <v>-100</v>
      </c>
      <c r="BS455">
        <f>IF(Table2912[[#This Row],[CH4 '[% GP']]]&lt;AA$10,_xlfn.NORM.DIST(Table2912[[#This Row],[CH4 '[% GP']]],AA$6,AA$2,FALSE),-100)</f>
        <v>-100</v>
      </c>
      <c r="BT455">
        <f>IF(Table2912[[#This Row],[CH4 '[g/g DDM']]]&lt;AB$10,_xlfn.NORM.DIST(Table2912[[#This Row],[CH4 '[g/g DDM']]],AB$6,AB$2,FALSE),-100)</f>
        <v>-100</v>
      </c>
    </row>
    <row r="456" spans="1:72" x14ac:dyDescent="0.25">
      <c r="A456" s="12" t="s">
        <v>200</v>
      </c>
      <c r="B456" s="13">
        <v>1260</v>
      </c>
      <c r="C456" s="113" t="s">
        <v>546</v>
      </c>
      <c r="D456" s="113" t="s">
        <v>510</v>
      </c>
      <c r="E456" s="113" t="s">
        <v>547</v>
      </c>
      <c r="F456" s="114" t="s">
        <v>548</v>
      </c>
      <c r="G456" t="s">
        <v>73</v>
      </c>
      <c r="H456" t="s">
        <v>74</v>
      </c>
      <c r="I456" t="s">
        <v>75</v>
      </c>
      <c r="J456" s="70">
        <v>3</v>
      </c>
      <c r="K456" s="70"/>
      <c r="L456" s="70"/>
      <c r="M456" t="s">
        <v>549</v>
      </c>
      <c r="N456" t="s">
        <v>208</v>
      </c>
      <c r="O456" s="18">
        <v>211.91113315696677</v>
      </c>
      <c r="P456" s="18">
        <v>5.0388786486542898</v>
      </c>
      <c r="Q456" s="97">
        <v>0.68171629493818742</v>
      </c>
      <c r="R456" s="97">
        <v>0.1560841562308411</v>
      </c>
      <c r="S456" s="97">
        <v>8.6173262715258006E-2</v>
      </c>
      <c r="T456" s="97">
        <v>2.5231564217748297E-2</v>
      </c>
      <c r="U456" s="97">
        <v>4.6923463601805193E-4</v>
      </c>
      <c r="V456" s="97">
        <v>1.7840960519832805E-2</v>
      </c>
      <c r="W456" s="97">
        <v>3.2484526742114564E-2</v>
      </c>
      <c r="X456" s="51">
        <f t="shared" si="30"/>
        <v>6.3975685213378464</v>
      </c>
      <c r="Y456" s="18">
        <v>908.82995209918272</v>
      </c>
      <c r="Z456" s="18">
        <v>32.236571425472071</v>
      </c>
      <c r="AA456" s="18">
        <f t="shared" si="31"/>
        <v>15.212306661393674</v>
      </c>
      <c r="AB456" s="18">
        <f t="shared" si="32"/>
        <v>35.470410444784747</v>
      </c>
      <c r="AC456" s="18">
        <f>$CP$15*Table2912[[#This Row],[DMD '[mg/g']]]+$CS$15*Table2912[[#This Row],[CH4 '[ml/g']]]+$CR$15*Table2912[[#This Row],[CH4 '[% GP']]]+$CQ$15*Table2912[[#This Row],[CH4 '[g/g DDM']]]</f>
        <v>31.798385768494139</v>
      </c>
      <c r="AD456" s="18">
        <f>_xlfn.RANK.AVG(Table2912[[#This Row],[Index]],Table2912[Index])</f>
        <v>35</v>
      </c>
      <c r="AE45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4.655791418809339</v>
      </c>
      <c r="AF456" s="18">
        <f>Table2912[[#This Row],[CH4 '[ml/g']]]/Table2912[[#This Row],[APB]]</f>
        <v>6.9239724303878232</v>
      </c>
      <c r="AG456" s="18">
        <f>Table2912[[#This Row],[Propionate '[%']]]/Table2912[[#This Row],[Acetate '[%']]]</f>
        <v>0.22895764321578019</v>
      </c>
      <c r="AH456" s="51"/>
      <c r="AI456" s="18"/>
      <c r="AJ456" s="18"/>
      <c r="AK456" s="18">
        <f>(Table2912[[#This Row],[DMD '[mg/g']]]-$AK$15)/$AK$15*100</f>
        <v>85.366126752564426</v>
      </c>
      <c r="AL456" s="18">
        <f>(Table2912[[#This Row],[CH4 '[ml/g']]]-AL$15)/AL$15*100</f>
        <v>-18.040269977591304</v>
      </c>
      <c r="AM456" s="18">
        <f>(Table2912[[#This Row],[CH4 '[% GP']]]-AM$15)/AM$15*100</f>
        <v>-1.9974233897894544</v>
      </c>
      <c r="AN456" s="18">
        <f>(Table2912[[#This Row],[CH4 '[g/g DDM']]]-AN$15)/AN$15*100</f>
        <v>-30.742855157096262</v>
      </c>
      <c r="AO456" s="18"/>
      <c r="AP456" s="18"/>
      <c r="AQ456" t="e">
        <f t="shared" si="29"/>
        <v>#DIV/0!</v>
      </c>
      <c r="AR456">
        <f>_xlfn.NORM.DIST(Table2912[[#This Row],[GP '[ml/g']]],O$6,O$2,FALSE)</f>
        <v>5.3570649586105815E-3</v>
      </c>
      <c r="AS456">
        <f>_xlfn.NORM.DIST(Table2912[[#This Row],[SCFA '[mmol/g']]],P$6,P$2,FALSE)</f>
        <v>0.15235532619985265</v>
      </c>
      <c r="AT456">
        <f>_xlfn.NORM.DIST(Table2912[[#This Row],[Acetate '[%']]],Q$6,Q$2,FALSE)</f>
        <v>13.401312764511156</v>
      </c>
      <c r="AU456">
        <f>_xlfn.NORM.DIST(Table2912[[#This Row],[Propionate '[%']]],R$6,R$2,FALSE)</f>
        <v>13.466399079884914</v>
      </c>
      <c r="AV456">
        <f>_xlfn.NORM.DIST(Table2912[[#This Row],[Butyrate '[%']]],S$6,S$2,FALSE)</f>
        <v>21.347059260312804</v>
      </c>
      <c r="AW456">
        <f>_xlfn.NORM.DIST(Table2912[[#This Row],[Valerate '[%']]],T$6,T$2,FALSE)</f>
        <v>26.306916081514071</v>
      </c>
      <c r="AX456">
        <f>_xlfn.NORM.DIST(Table2912[[#This Row],[Caproate '[%']]],U$6,U$2,FALSE)</f>
        <v>276.01180531361217</v>
      </c>
      <c r="AY456">
        <f>_xlfn.NORM.DIST(Table2912[[#This Row],[Isobutyrate '[%']]],V$6,V$2,FALSE)</f>
        <v>76.628850479009188</v>
      </c>
      <c r="AZ456">
        <f>_xlfn.NORM.DIST(Table2912[[#This Row],[Isovalerate '[%']]],W$6,W$2,FALSE)</f>
        <v>39.630616804829309</v>
      </c>
      <c r="BA456">
        <f>_xlfn.NORM.DIST(Table2912[[#This Row],[CH4 '[g/mmol SCFA']]],X$6,X$2,FALSE)</f>
        <v>0.29631940391641776</v>
      </c>
      <c r="BB456">
        <f>_xlfn.NORM.DIST(Table2912[[#This Row],[DMD '[mg/g']]],Y$6,Y$2,FALSE)</f>
        <v>1.8200608924712743E-3</v>
      </c>
      <c r="BC456">
        <f>_xlfn.NORM.DIST(Table2912[[#This Row],[CH4 '[ml/g']]],Z$6,Z$2,FALSE)</f>
        <v>2.4920699161413158E-2</v>
      </c>
      <c r="BD456">
        <f>_xlfn.NORM.DIST(Table2912[[#This Row],[CH4 '[% GP']]],AA$6,AA$2,FALSE)</f>
        <v>0.12920511382128946</v>
      </c>
      <c r="BE456">
        <f>_xlfn.NORM.DIST(Table2912[[#This Row],[CH4 '[g/g DDM']]],AB$6,AB$2,FALSE)</f>
        <v>1.1107304552048626E-2</v>
      </c>
      <c r="BG456">
        <f>IF(Table2912[[#This Row],[GP '[ml/g']]]&lt;O$10,_xlfn.NORM.DIST(Table2912[[#This Row],[GP '[ml/g']]],O$6,O$2,FALSE),-100)</f>
        <v>-100</v>
      </c>
      <c r="BH456">
        <f>IF(Table2912[[#This Row],[SCFA '[mmol/g']]]&lt;P$10,_xlfn.NORM.DIST(Table2912[[#This Row],[SCFA '[mmol/g']]],P$6,P$2,FALSE),-100)</f>
        <v>0.15235532619985265</v>
      </c>
      <c r="BI456">
        <f>IF(Table2912[[#This Row],[Acetate '[%']]]&lt;Q$10,_xlfn.NORM.DIST(Table2912[[#This Row],[Acetate '[%']]],Q$6,Q$2,FALSE),-100)</f>
        <v>-100</v>
      </c>
      <c r="BJ456">
        <f>IF(Table2912[[#This Row],[Propionate '[%']]]&lt;R$10,_xlfn.NORM.DIST(Table2912[[#This Row],[Propionate '[%']]],R$6,R$2,FALSE),-100)</f>
        <v>-100</v>
      </c>
      <c r="BK456">
        <f>IF(Table2912[[#This Row],[Butyrate '[%']]]&lt;S$10,_xlfn.NORM.DIST(Table2912[[#This Row],[Butyrate '[%']]],S$6,S$2,FALSE),-100)</f>
        <v>-100</v>
      </c>
      <c r="BL456">
        <f>IF(Table2912[[#This Row],[Valerate '[%']]]&lt;T$10,_xlfn.NORM.DIST(Table2912[[#This Row],[Valerate '[%']]],T$6,T$2,FALSE),-100)</f>
        <v>-100</v>
      </c>
      <c r="BM456">
        <f>IF(Table2912[[#This Row],[Caproate '[%']]]&lt;U$10,_xlfn.NORM.DIST(Table2912[[#This Row],[Caproate '[%']]],U$6,U$2,FALSE),-100)</f>
        <v>-100</v>
      </c>
      <c r="BN456">
        <f>IF(Table2912[[#This Row],[Isobutyrate '[%']]]&lt;V$10,_xlfn.NORM.DIST(Table2912[[#This Row],[Isobutyrate '[%']]],V$6,V$2,FALSE),-100)</f>
        <v>-100</v>
      </c>
      <c r="BO456">
        <f>IF(Table2912[[#This Row],[Isovalerate '[%']]]&lt;W$10,_xlfn.NORM.DIST(Table2912[[#This Row],[Isovalerate '[%']]],W$6,W$2,FALSE),-100)</f>
        <v>-100</v>
      </c>
      <c r="BP456">
        <f>IF(Table2912[[#This Row],[CH4 '[g/mmol SCFA']]]&lt;X$10,_xlfn.NORM.DIST(Table2912[[#This Row],[CH4 '[g/mmol SCFA']]],X$6,X$2,FALSE),-100)</f>
        <v>-100</v>
      </c>
      <c r="BQ456">
        <f>IF(Table2912[[#This Row],[DMD '[mg/g']]]&gt;Y$10,_xlfn.NORM.DIST(Table2912[[#This Row],[DMD '[mg/g']]],Y$6,Y$2,FALSE),-100)</f>
        <v>-100</v>
      </c>
      <c r="BR456">
        <f>IF(Table2912[[#This Row],[CH4 '[ml/g']]]&lt;Z$10,_xlfn.NORM.DIST(Table2912[[#This Row],[CH4 '[ml/g']]],Z$6,Z$2,FALSE),-100)</f>
        <v>-100</v>
      </c>
      <c r="BS456">
        <f>IF(Table2912[[#This Row],[CH4 '[% GP']]]&lt;AA$10,_xlfn.NORM.DIST(Table2912[[#This Row],[CH4 '[% GP']]],AA$6,AA$2,FALSE),-100)</f>
        <v>-100</v>
      </c>
      <c r="BT456">
        <f>IF(Table2912[[#This Row],[CH4 '[g/g DDM']]]&lt;AB$10,_xlfn.NORM.DIST(Table2912[[#This Row],[CH4 '[g/g DDM']]],AB$6,AB$2,FALSE),-100)</f>
        <v>-100</v>
      </c>
    </row>
    <row r="457" spans="1:72" x14ac:dyDescent="0.25">
      <c r="A457" s="12" t="s">
        <v>200</v>
      </c>
      <c r="B457" s="13">
        <v>1148</v>
      </c>
      <c r="C457" s="117" t="s">
        <v>521</v>
      </c>
      <c r="D457" s="117" t="s">
        <v>212</v>
      </c>
      <c r="E457" s="117" t="s">
        <v>522</v>
      </c>
      <c r="F457" s="117" t="s">
        <v>523</v>
      </c>
      <c r="G457" t="s">
        <v>73</v>
      </c>
      <c r="H457" t="s">
        <v>74</v>
      </c>
      <c r="I457" t="s">
        <v>75</v>
      </c>
      <c r="J457" s="70">
        <v>2</v>
      </c>
      <c r="K457" s="70"/>
      <c r="L457" s="70"/>
      <c r="M457" t="s">
        <v>524</v>
      </c>
      <c r="N457" t="s">
        <v>171</v>
      </c>
      <c r="O457" s="18">
        <v>267.4053254437863</v>
      </c>
      <c r="P457" s="18">
        <v>6.1175761560376944</v>
      </c>
      <c r="Q457" s="97">
        <v>0.68522906051688126</v>
      </c>
      <c r="R457" s="97">
        <v>0.14759094317667609</v>
      </c>
      <c r="S457" s="97">
        <v>0.10512636754966528</v>
      </c>
      <c r="T457" s="97">
        <v>1.7045668364412625E-2</v>
      </c>
      <c r="U457" s="97">
        <v>1.4883325485710386E-3</v>
      </c>
      <c r="V457" s="97">
        <v>1.5361125191819812E-2</v>
      </c>
      <c r="W457" s="97">
        <v>2.8158502651973758E-2</v>
      </c>
      <c r="X457" s="51">
        <f t="shared" si="30"/>
        <v>8.3951306832188841</v>
      </c>
      <c r="Y457" s="18">
        <v>909.05106289721653</v>
      </c>
      <c r="Z457" s="18">
        <v>51.357851294480284</v>
      </c>
      <c r="AA457" s="18">
        <f t="shared" si="31"/>
        <v>19.205994199721609</v>
      </c>
      <c r="AB457" s="18">
        <f t="shared" si="32"/>
        <v>56.496112694482541</v>
      </c>
      <c r="AC457" s="18">
        <f>$CP$15*Table2912[[#This Row],[DMD '[mg/g']]]+$CS$15*Table2912[[#This Row],[CH4 '[ml/g']]]+$CR$15*Table2912[[#This Row],[CH4 '[% GP']]]+$CQ$15*Table2912[[#This Row],[CH4 '[g/g DDM']]]</f>
        <v>23.329085885879906</v>
      </c>
      <c r="AD457" s="18">
        <f>_xlfn.RANK.AVG(Table2912[[#This Row],[Index]],Table2912[Index])</f>
        <v>109</v>
      </c>
      <c r="AE45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5.7379583563596182</v>
      </c>
      <c r="AF457" s="18">
        <f>Table2912[[#This Row],[CH4 '[ml/g']]]/Table2912[[#This Row],[APB]]</f>
        <v>8.9505444454050878</v>
      </c>
      <c r="AG457" s="18">
        <f>Table2912[[#This Row],[Propionate '[%']]]/Table2912[[#This Row],[Acetate '[%']]]</f>
        <v>0.21538920585963683</v>
      </c>
      <c r="AH457" s="51"/>
      <c r="AI457" s="18"/>
      <c r="AJ457" s="18"/>
      <c r="AK457" s="18">
        <f>(Table2912[[#This Row],[DMD '[mg/g']]]-$AK$15)/$AK$15*100</f>
        <v>85.411224795515167</v>
      </c>
      <c r="AL457" s="18">
        <f>(Table2912[[#This Row],[CH4 '[ml/g']]]-AL$15)/AL$15*100</f>
        <v>30.574544391548191</v>
      </c>
      <c r="AM457" s="18">
        <f>(Table2912[[#This Row],[CH4 '[% GP']]]-AM$15)/AM$15*100</f>
        <v>23.731197367344905</v>
      </c>
      <c r="AN457" s="18">
        <f>(Table2912[[#This Row],[CH4 '[g/g DDM']]]-AN$15)/AN$15*100</f>
        <v>10.310521104164087</v>
      </c>
      <c r="AO457" s="18"/>
      <c r="AP457" s="18"/>
      <c r="AQ457" t="e">
        <f t="shared" si="29"/>
        <v>#DIV/0!</v>
      </c>
      <c r="AR457">
        <f>_xlfn.NORM.DIST(Table2912[[#This Row],[GP '[ml/g']]],O$6,O$2,FALSE)</f>
        <v>7.2955105919742689E-3</v>
      </c>
      <c r="AS457">
        <f>_xlfn.NORM.DIST(Table2912[[#This Row],[SCFA '[mmol/g']]],P$6,P$2,FALSE)</f>
        <v>0.31295036061319176</v>
      </c>
      <c r="AT457">
        <f>_xlfn.NORM.DIST(Table2912[[#This Row],[Acetate '[%']]],Q$6,Q$2,FALSE)</f>
        <v>12.812437339716107</v>
      </c>
      <c r="AU457">
        <f>_xlfn.NORM.DIST(Table2912[[#This Row],[Propionate '[%']]],R$6,R$2,FALSE)</f>
        <v>9.962573513987369</v>
      </c>
      <c r="AV457">
        <f>_xlfn.NORM.DIST(Table2912[[#This Row],[Butyrate '[%']]],S$6,S$2,FALSE)</f>
        <v>17.968327093922312</v>
      </c>
      <c r="AW457">
        <f>_xlfn.NORM.DIST(Table2912[[#This Row],[Valerate '[%']]],T$6,T$2,FALSE)</f>
        <v>76.849225788632182</v>
      </c>
      <c r="AX457">
        <f>_xlfn.NORM.DIST(Table2912[[#This Row],[Caproate '[%']]],U$6,U$2,FALSE)</f>
        <v>401.84299753945351</v>
      </c>
      <c r="AY457">
        <f>_xlfn.NORM.DIST(Table2912[[#This Row],[Isobutyrate '[%']]],V$6,V$2,FALSE)</f>
        <v>90.154025144716684</v>
      </c>
      <c r="AZ457">
        <f>_xlfn.NORM.DIST(Table2912[[#This Row],[Isovalerate '[%']]],W$6,W$2,FALSE)</f>
        <v>45.4094634661596</v>
      </c>
      <c r="BA457">
        <f>_xlfn.NORM.DIST(Table2912[[#This Row],[CH4 '[g/mmol SCFA']]],X$6,X$2,FALSE)</f>
        <v>8.6069787074377985E-2</v>
      </c>
      <c r="BB457">
        <f>_xlfn.NORM.DIST(Table2912[[#This Row],[DMD '[mg/g']]],Y$6,Y$2,FALSE)</f>
        <v>1.8172046562769766E-3</v>
      </c>
      <c r="BC457">
        <f>_xlfn.NORM.DIST(Table2912[[#This Row],[CH4 '[ml/g']]],Z$6,Z$2,FALSE)</f>
        <v>2.3614617107388988E-2</v>
      </c>
      <c r="BD457">
        <f>_xlfn.NORM.DIST(Table2912[[#This Row],[CH4 '[% GP']]],AA$6,AA$2,FALSE)</f>
        <v>7.6848767448683672E-2</v>
      </c>
      <c r="BE457">
        <f>_xlfn.NORM.DIST(Table2912[[#This Row],[CH4 '[g/g DDM']]],AB$6,AB$2,FALSE)</f>
        <v>3.1770730148170639E-2</v>
      </c>
      <c r="BG457">
        <f>IF(Table2912[[#This Row],[GP '[ml/g']]]&lt;O$10,_xlfn.NORM.DIST(Table2912[[#This Row],[GP '[ml/g']]],O$6,O$2,FALSE),-100)</f>
        <v>-100</v>
      </c>
      <c r="BH457">
        <f>IF(Table2912[[#This Row],[SCFA '[mmol/g']]]&lt;P$10,_xlfn.NORM.DIST(Table2912[[#This Row],[SCFA '[mmol/g']]],P$6,P$2,FALSE),-100)</f>
        <v>-100</v>
      </c>
      <c r="BI457">
        <f>IF(Table2912[[#This Row],[Acetate '[%']]]&lt;Q$10,_xlfn.NORM.DIST(Table2912[[#This Row],[Acetate '[%']]],Q$6,Q$2,FALSE),-100)</f>
        <v>-100</v>
      </c>
      <c r="BJ457">
        <f>IF(Table2912[[#This Row],[Propionate '[%']]]&lt;R$10,_xlfn.NORM.DIST(Table2912[[#This Row],[Propionate '[%']]],R$6,R$2,FALSE),-100)</f>
        <v>9.962573513987369</v>
      </c>
      <c r="BK457">
        <f>IF(Table2912[[#This Row],[Butyrate '[%']]]&lt;S$10,_xlfn.NORM.DIST(Table2912[[#This Row],[Butyrate '[%']]],S$6,S$2,FALSE),-100)</f>
        <v>-100</v>
      </c>
      <c r="BL457">
        <f>IF(Table2912[[#This Row],[Valerate '[%']]]&lt;T$10,_xlfn.NORM.DIST(Table2912[[#This Row],[Valerate '[%']]],T$6,T$2,FALSE),-100)</f>
        <v>-100</v>
      </c>
      <c r="BM457">
        <f>IF(Table2912[[#This Row],[Caproate '[%']]]&lt;U$10,_xlfn.NORM.DIST(Table2912[[#This Row],[Caproate '[%']]],U$6,U$2,FALSE),-100)</f>
        <v>-100</v>
      </c>
      <c r="BN457">
        <f>IF(Table2912[[#This Row],[Isobutyrate '[%']]]&lt;V$10,_xlfn.NORM.DIST(Table2912[[#This Row],[Isobutyrate '[%']]],V$6,V$2,FALSE),-100)</f>
        <v>-100</v>
      </c>
      <c r="BO457">
        <f>IF(Table2912[[#This Row],[Isovalerate '[%']]]&lt;W$10,_xlfn.NORM.DIST(Table2912[[#This Row],[Isovalerate '[%']]],W$6,W$2,FALSE),-100)</f>
        <v>-100</v>
      </c>
      <c r="BP457">
        <f>IF(Table2912[[#This Row],[CH4 '[g/mmol SCFA']]]&lt;X$10,_xlfn.NORM.DIST(Table2912[[#This Row],[CH4 '[g/mmol SCFA']]],X$6,X$2,FALSE),-100)</f>
        <v>-100</v>
      </c>
      <c r="BQ457">
        <f>IF(Table2912[[#This Row],[DMD '[mg/g']]]&gt;Y$10,_xlfn.NORM.DIST(Table2912[[#This Row],[DMD '[mg/g']]],Y$6,Y$2,FALSE),-100)</f>
        <v>-100</v>
      </c>
      <c r="BR457">
        <f>IF(Table2912[[#This Row],[CH4 '[ml/g']]]&lt;Z$10,_xlfn.NORM.DIST(Table2912[[#This Row],[CH4 '[ml/g']]],Z$6,Z$2,FALSE),-100)</f>
        <v>-100</v>
      </c>
      <c r="BS457">
        <f>IF(Table2912[[#This Row],[CH4 '[% GP']]]&lt;AA$10,_xlfn.NORM.DIST(Table2912[[#This Row],[CH4 '[% GP']]],AA$6,AA$2,FALSE),-100)</f>
        <v>-100</v>
      </c>
      <c r="BT457">
        <f>IF(Table2912[[#This Row],[CH4 '[g/g DDM']]]&lt;AB$10,_xlfn.NORM.DIST(Table2912[[#This Row],[CH4 '[g/g DDM']]],AB$6,AB$2,FALSE),-100)</f>
        <v>-100</v>
      </c>
    </row>
    <row r="458" spans="1:72" x14ac:dyDescent="0.25">
      <c r="A458" s="12" t="s">
        <v>86</v>
      </c>
      <c r="B458" s="13">
        <v>1091</v>
      </c>
      <c r="C458" s="104" t="s">
        <v>472</v>
      </c>
      <c r="D458" s="104" t="s">
        <v>473</v>
      </c>
      <c r="E458" s="104" t="s">
        <v>474</v>
      </c>
      <c r="F458" s="104" t="s">
        <v>475</v>
      </c>
      <c r="G458" s="32" t="s">
        <v>143</v>
      </c>
      <c r="H458" s="32" t="s">
        <v>144</v>
      </c>
      <c r="I458" s="32" t="s">
        <v>52</v>
      </c>
      <c r="J458" s="100">
        <v>3</v>
      </c>
      <c r="K458" s="100"/>
      <c r="L458" s="100"/>
      <c r="M458" t="s">
        <v>475</v>
      </c>
      <c r="N458" t="s">
        <v>171</v>
      </c>
      <c r="O458" s="18">
        <v>289.19399694389881</v>
      </c>
      <c r="P458" s="18">
        <v>6.5215366037189968</v>
      </c>
      <c r="Q458" s="97">
        <v>0.66484744591126099</v>
      </c>
      <c r="R458" s="97">
        <v>0.16134509405046676</v>
      </c>
      <c r="S458" s="97">
        <v>9.4483779590703018E-2</v>
      </c>
      <c r="T458" s="97">
        <v>2.5650354303008778E-2</v>
      </c>
      <c r="U458" s="97">
        <v>1.4594820114177008E-3</v>
      </c>
      <c r="V458" s="97">
        <v>1.8506408376873226E-2</v>
      </c>
      <c r="W458" s="97">
        <v>3.3707435756269458E-2</v>
      </c>
      <c r="X458" s="51">
        <f t="shared" si="30"/>
        <v>8.7937786971262373</v>
      </c>
      <c r="Y458" s="18">
        <v>910.12844426841571</v>
      </c>
      <c r="Z458" s="18">
        <v>57.34894965831311</v>
      </c>
      <c r="AA458" s="18">
        <f t="shared" si="31"/>
        <v>19.830615526033316</v>
      </c>
      <c r="AB458" s="18">
        <f t="shared" si="32"/>
        <v>63.011929820973393</v>
      </c>
      <c r="AC458" s="18">
        <f>$CP$15*Table2912[[#This Row],[DMD '[mg/g']]]+$CS$15*Table2912[[#This Row],[CH4 '[ml/g']]]+$CR$15*Table2912[[#This Row],[CH4 '[% GP']]]+$CQ$15*Table2912[[#This Row],[CH4 '[g/g DDM']]]</f>
        <v>20.981327433443873</v>
      </c>
      <c r="AD458" s="18">
        <f>_xlfn.RANK.AVG(Table2912[[#This Row],[Index]],Table2912[Index])</f>
        <v>145</v>
      </c>
      <c r="AE45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6.0042243181384656</v>
      </c>
      <c r="AF458" s="18">
        <f>Table2912[[#This Row],[CH4 '[ml/g']]]/Table2912[[#This Row],[APB]]</f>
        <v>9.5514335607123737</v>
      </c>
      <c r="AG458" s="18">
        <f>Table2912[[#This Row],[Propionate '[%']]]/Table2912[[#This Row],[Acetate '[%']]]</f>
        <v>0.24267987346980338</v>
      </c>
      <c r="AH458" s="51"/>
      <c r="AI458" s="18"/>
      <c r="AJ458" s="18"/>
      <c r="AK458" s="18">
        <f>(Table2912[[#This Row],[DMD '[mg/g']]]-$AK$15)/$AK$15*100</f>
        <v>85.630968886643856</v>
      </c>
      <c r="AL458" s="18">
        <f>(Table2912[[#This Row],[CH4 '[ml/g']]]-AL$15)/AL$15*100</f>
        <v>45.806586222443435</v>
      </c>
      <c r="AM458" s="18">
        <f>(Table2912[[#This Row],[CH4 '[% GP']]]-AM$15)/AM$15*100</f>
        <v>27.755209027561222</v>
      </c>
      <c r="AN458" s="18">
        <f>(Table2912[[#This Row],[CH4 '[g/g DDM']]]-AN$15)/AN$15*100</f>
        <v>23.032868684599261</v>
      </c>
      <c r="AO458" s="18"/>
      <c r="AP458" s="18"/>
      <c r="AQ458" t="e">
        <f t="shared" si="29"/>
        <v>#DIV/0!</v>
      </c>
      <c r="AR458">
        <f>_xlfn.NORM.DIST(Table2912[[#This Row],[GP '[ml/g']]],O$6,O$2,FALSE)</f>
        <v>6.126034379504929E-3</v>
      </c>
      <c r="AS458">
        <f>_xlfn.NORM.DIST(Table2912[[#This Row],[SCFA '[mmol/g']]],P$6,P$2,FALSE)</f>
        <v>0.33271424099024549</v>
      </c>
      <c r="AT458">
        <f>_xlfn.NORM.DIST(Table2912[[#This Row],[Acetate '[%']]],Q$6,Q$2,FALSE)</f>
        <v>13.445238811674024</v>
      </c>
      <c r="AU458">
        <f>_xlfn.NORM.DIST(Table2912[[#This Row],[Propionate '[%']]],R$6,R$2,FALSE)</f>
        <v>15.2225502606346</v>
      </c>
      <c r="AV458">
        <f>_xlfn.NORM.DIST(Table2912[[#This Row],[Butyrate '[%']]],S$6,S$2,FALSE)</f>
        <v>22.936620189778608</v>
      </c>
      <c r="AW458">
        <f>_xlfn.NORM.DIST(Table2912[[#This Row],[Valerate '[%']]],T$6,T$2,FALSE)</f>
        <v>23.270237462454357</v>
      </c>
      <c r="AX458">
        <f>_xlfn.NORM.DIST(Table2912[[#This Row],[Caproate '[%']]],U$6,U$2,FALSE)</f>
        <v>403.54537913078372</v>
      </c>
      <c r="AY458">
        <f>_xlfn.NORM.DIST(Table2912[[#This Row],[Isobutyrate '[%']]],V$6,V$2,FALSE)</f>
        <v>69.540335038790928</v>
      </c>
      <c r="AZ458">
        <f>_xlfn.NORM.DIST(Table2912[[#This Row],[Isovalerate '[%']]],W$6,W$2,FALSE)</f>
        <v>36.49315354098264</v>
      </c>
      <c r="BA458">
        <f>_xlfn.NORM.DIST(Table2912[[#This Row],[CH4 '[g/mmol SCFA']]],X$6,X$2,FALSE)</f>
        <v>5.1572936317670286E-2</v>
      </c>
      <c r="BB458">
        <f>_xlfn.NORM.DIST(Table2912[[#This Row],[DMD '[mg/g']]],Y$6,Y$2,FALSE)</f>
        <v>1.8032840059227218E-3</v>
      </c>
      <c r="BC458">
        <f>_xlfn.NORM.DIST(Table2912[[#This Row],[CH4 '[ml/g']]],Z$6,Z$2,FALSE)</f>
        <v>1.3658624075537707E-2</v>
      </c>
      <c r="BD458">
        <f>_xlfn.NORM.DIST(Table2912[[#This Row],[CH4 '[% GP']]],AA$6,AA$2,FALSE)</f>
        <v>6.0105796225973798E-2</v>
      </c>
      <c r="BE458">
        <f>_xlfn.NORM.DIST(Table2912[[#This Row],[CH4 '[g/g DDM']]],AB$6,AB$2,FALSE)</f>
        <v>2.3945194587415144E-2</v>
      </c>
      <c r="BG458">
        <f>IF(Table2912[[#This Row],[GP '[ml/g']]]&lt;O$10,_xlfn.NORM.DIST(Table2912[[#This Row],[GP '[ml/g']]],O$6,O$2,FALSE),-100)</f>
        <v>-100</v>
      </c>
      <c r="BH458">
        <f>IF(Table2912[[#This Row],[SCFA '[mmol/g']]]&lt;P$10,_xlfn.NORM.DIST(Table2912[[#This Row],[SCFA '[mmol/g']]],P$6,P$2,FALSE),-100)</f>
        <v>-100</v>
      </c>
      <c r="BI458">
        <f>IF(Table2912[[#This Row],[Acetate '[%']]]&lt;Q$10,_xlfn.NORM.DIST(Table2912[[#This Row],[Acetate '[%']]],Q$6,Q$2,FALSE),-100)</f>
        <v>-100</v>
      </c>
      <c r="BJ458">
        <f>IF(Table2912[[#This Row],[Propionate '[%']]]&lt;R$10,_xlfn.NORM.DIST(Table2912[[#This Row],[Propionate '[%']]],R$6,R$2,FALSE),-100)</f>
        <v>-100</v>
      </c>
      <c r="BK458">
        <f>IF(Table2912[[#This Row],[Butyrate '[%']]]&lt;S$10,_xlfn.NORM.DIST(Table2912[[#This Row],[Butyrate '[%']]],S$6,S$2,FALSE),-100)</f>
        <v>-100</v>
      </c>
      <c r="BL458">
        <f>IF(Table2912[[#This Row],[Valerate '[%']]]&lt;T$10,_xlfn.NORM.DIST(Table2912[[#This Row],[Valerate '[%']]],T$6,T$2,FALSE),-100)</f>
        <v>-100</v>
      </c>
      <c r="BM458">
        <f>IF(Table2912[[#This Row],[Caproate '[%']]]&lt;U$10,_xlfn.NORM.DIST(Table2912[[#This Row],[Caproate '[%']]],U$6,U$2,FALSE),-100)</f>
        <v>-100</v>
      </c>
      <c r="BN458">
        <f>IF(Table2912[[#This Row],[Isobutyrate '[%']]]&lt;V$10,_xlfn.NORM.DIST(Table2912[[#This Row],[Isobutyrate '[%']]],V$6,V$2,FALSE),-100)</f>
        <v>-100</v>
      </c>
      <c r="BO458">
        <f>IF(Table2912[[#This Row],[Isovalerate '[%']]]&lt;W$10,_xlfn.NORM.DIST(Table2912[[#This Row],[Isovalerate '[%']]],W$6,W$2,FALSE),-100)</f>
        <v>-100</v>
      </c>
      <c r="BP458">
        <f>IF(Table2912[[#This Row],[CH4 '[g/mmol SCFA']]]&lt;X$10,_xlfn.NORM.DIST(Table2912[[#This Row],[CH4 '[g/mmol SCFA']]],X$6,X$2,FALSE),-100)</f>
        <v>-100</v>
      </c>
      <c r="BQ458">
        <f>IF(Table2912[[#This Row],[DMD '[mg/g']]]&gt;Y$10,_xlfn.NORM.DIST(Table2912[[#This Row],[DMD '[mg/g']]],Y$6,Y$2,FALSE),-100)</f>
        <v>-100</v>
      </c>
      <c r="BR458">
        <f>IF(Table2912[[#This Row],[CH4 '[ml/g']]]&lt;Z$10,_xlfn.NORM.DIST(Table2912[[#This Row],[CH4 '[ml/g']]],Z$6,Z$2,FALSE),-100)</f>
        <v>-100</v>
      </c>
      <c r="BS458">
        <f>IF(Table2912[[#This Row],[CH4 '[% GP']]]&lt;AA$10,_xlfn.NORM.DIST(Table2912[[#This Row],[CH4 '[% GP']]],AA$6,AA$2,FALSE),-100)</f>
        <v>-100</v>
      </c>
      <c r="BT458">
        <f>IF(Table2912[[#This Row],[CH4 '[g/g DDM']]]&lt;AB$10,_xlfn.NORM.DIST(Table2912[[#This Row],[CH4 '[g/g DDM']]],AB$6,AB$2,FALSE),-100)</f>
        <v>-100</v>
      </c>
    </row>
    <row r="459" spans="1:72" x14ac:dyDescent="0.25">
      <c r="A459" s="12" t="s">
        <v>86</v>
      </c>
      <c r="B459" s="13">
        <v>1093</v>
      </c>
      <c r="C459" s="104" t="s">
        <v>449</v>
      </c>
      <c r="D459" s="104" t="s">
        <v>450</v>
      </c>
      <c r="E459" s="104" t="s">
        <v>451</v>
      </c>
      <c r="F459" s="104" t="s">
        <v>452</v>
      </c>
      <c r="G459" s="32" t="s">
        <v>143</v>
      </c>
      <c r="H459" s="32" t="s">
        <v>144</v>
      </c>
      <c r="I459" s="32" t="s">
        <v>52</v>
      </c>
      <c r="J459" s="107">
        <v>1</v>
      </c>
      <c r="K459" s="107"/>
      <c r="L459" s="107"/>
      <c r="M459" t="s">
        <v>452</v>
      </c>
      <c r="N459" t="s">
        <v>171</v>
      </c>
      <c r="O459" s="18">
        <v>312.62833883388208</v>
      </c>
      <c r="P459" s="18">
        <v>6.591859185918592</v>
      </c>
      <c r="Q459" s="97">
        <v>0.68417209388649858</v>
      </c>
      <c r="R459" s="97">
        <v>0.16011835713081601</v>
      </c>
      <c r="S459" s="97">
        <v>8.6620043387807821E-2</v>
      </c>
      <c r="T459" s="97">
        <v>2.3404281465920315E-2</v>
      </c>
      <c r="U459" s="97">
        <v>1.310372236880382E-3</v>
      </c>
      <c r="V459" s="97">
        <v>1.6287334333450823E-2</v>
      </c>
      <c r="W459" s="97">
        <v>2.8087517558626179E-2</v>
      </c>
      <c r="X459" s="51">
        <f t="shared" si="30"/>
        <v>8.1169556353146053</v>
      </c>
      <c r="Y459" s="18">
        <v>910.23102310231036</v>
      </c>
      <c r="Z459" s="18">
        <v>53.505828566342259</v>
      </c>
      <c r="AA459" s="18">
        <f t="shared" si="31"/>
        <v>17.114836347185104</v>
      </c>
      <c r="AB459" s="18">
        <f t="shared" si="32"/>
        <v>58.782690556931477</v>
      </c>
      <c r="AC459" s="18">
        <f>$CP$15*Table2912[[#This Row],[DMD '[mg/g']]]+$CS$15*Table2912[[#This Row],[CH4 '[ml/g']]]+$CR$15*Table2912[[#This Row],[CH4 '[% GP']]]+$CQ$15*Table2912[[#This Row],[CH4 '[g/g DDM']]]</f>
        <v>23.269340304250974</v>
      </c>
      <c r="AD459" s="18">
        <f>_xlfn.RANK.AVG(Table2912[[#This Row],[Index]],Table2912[Index])</f>
        <v>110</v>
      </c>
      <c r="AE45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6.1364308938124239</v>
      </c>
      <c r="AF459" s="18">
        <f>Table2912[[#This Row],[CH4 '[ml/g']]]/Table2912[[#This Row],[APB]]</f>
        <v>8.719372790508249</v>
      </c>
      <c r="AG459" s="18">
        <f>Table2912[[#This Row],[Propionate '[%']]]/Table2912[[#This Row],[Acetate '[%']]]</f>
        <v>0.23403228304921045</v>
      </c>
      <c r="AH459" s="51"/>
      <c r="AI459" s="18"/>
      <c r="AJ459" s="18"/>
      <c r="AK459" s="18">
        <f>(Table2912[[#This Row],[DMD '[mg/g']]]-$AK$15)/$AK$15*100</f>
        <v>85.651890997630545</v>
      </c>
      <c r="AL459" s="18">
        <f>(Table2912[[#This Row],[CH4 '[ml/g']]]-AL$15)/AL$15*100</f>
        <v>36.035659811439643</v>
      </c>
      <c r="AM459" s="18">
        <f>(Table2912[[#This Row],[CH4 '[% GP']]]-AM$15)/AM$15*100</f>
        <v>10.259285302401253</v>
      </c>
      <c r="AN459" s="18">
        <f>(Table2912[[#This Row],[CH4 '[g/g DDM']]]-AN$15)/AN$15*100</f>
        <v>14.775139703960621</v>
      </c>
      <c r="AO459" s="18"/>
      <c r="AP459" s="18"/>
      <c r="AQ459" t="e">
        <f t="shared" si="29"/>
        <v>#DIV/0!</v>
      </c>
      <c r="AR459">
        <f>_xlfn.NORM.DIST(Table2912[[#This Row],[GP '[ml/g']]],O$6,O$2,FALSE)</f>
        <v>4.2138109445915692E-3</v>
      </c>
      <c r="AS459">
        <f>_xlfn.NORM.DIST(Table2912[[#This Row],[SCFA '[mmol/g']]],P$6,P$2,FALSE)</f>
        <v>0.33240148992207741</v>
      </c>
      <c r="AT459">
        <f>_xlfn.NORM.DIST(Table2912[[#This Row],[Acetate '[%']]],Q$6,Q$2,FALSE)</f>
        <v>13.007704560546228</v>
      </c>
      <c r="AU459">
        <f>_xlfn.NORM.DIST(Table2912[[#This Row],[Propionate '[%']]],R$6,R$2,FALSE)</f>
        <v>14.858591957406524</v>
      </c>
      <c r="AV459">
        <f>_xlfn.NORM.DIST(Table2912[[#This Row],[Butyrate '[%']]],S$6,S$2,FALSE)</f>
        <v>21.555462770119494</v>
      </c>
      <c r="AW459">
        <f>_xlfn.NORM.DIST(Table2912[[#This Row],[Valerate '[%']]],T$6,T$2,FALSE)</f>
        <v>41.58663560308996</v>
      </c>
      <c r="AX459">
        <f>_xlfn.NORM.DIST(Table2912[[#This Row],[Caproate '[%']]],U$6,U$2,FALSE)</f>
        <v>406.80531231997344</v>
      </c>
      <c r="AY459">
        <f>_xlfn.NORM.DIST(Table2912[[#This Row],[Isobutyrate '[%']]],V$6,V$2,FALSE)</f>
        <v>88.019284996024226</v>
      </c>
      <c r="AZ459">
        <f>_xlfn.NORM.DIST(Table2912[[#This Row],[Isovalerate '[%']]],W$6,W$2,FALSE)</f>
        <v>45.418991128038975</v>
      </c>
      <c r="BA459">
        <f>_xlfn.NORM.DIST(Table2912[[#This Row],[CH4 '[g/mmol SCFA']]],X$6,X$2,FALSE)</f>
        <v>0.11677223385058041</v>
      </c>
      <c r="BB459">
        <f>_xlfn.NORM.DIST(Table2912[[#This Row],[DMD '[mg/g']]],Y$6,Y$2,FALSE)</f>
        <v>1.8019583496059588E-3</v>
      </c>
      <c r="BC459">
        <f>_xlfn.NORM.DIST(Table2912[[#This Row],[CH4 '[ml/g']]],Z$6,Z$2,FALSE)</f>
        <v>1.9979127915583133E-2</v>
      </c>
      <c r="BD459">
        <f>_xlfn.NORM.DIST(Table2912[[#This Row],[CH4 '[% GP']]],AA$6,AA$2,FALSE)</f>
        <v>0.12656122189351282</v>
      </c>
      <c r="BE459">
        <f>_xlfn.NORM.DIST(Table2912[[#This Row],[CH4 '[g/g DDM']]],AB$6,AB$2,FALSE)</f>
        <v>2.9728309711794965E-2</v>
      </c>
      <c r="BG459">
        <f>IF(Table2912[[#This Row],[GP '[ml/g']]]&lt;O$10,_xlfn.NORM.DIST(Table2912[[#This Row],[GP '[ml/g']]],O$6,O$2,FALSE),-100)</f>
        <v>-100</v>
      </c>
      <c r="BH459">
        <f>IF(Table2912[[#This Row],[SCFA '[mmol/g']]]&lt;P$10,_xlfn.NORM.DIST(Table2912[[#This Row],[SCFA '[mmol/g']]],P$6,P$2,FALSE),-100)</f>
        <v>-100</v>
      </c>
      <c r="BI459">
        <f>IF(Table2912[[#This Row],[Acetate '[%']]]&lt;Q$10,_xlfn.NORM.DIST(Table2912[[#This Row],[Acetate '[%']]],Q$6,Q$2,FALSE),-100)</f>
        <v>-100</v>
      </c>
      <c r="BJ459">
        <f>IF(Table2912[[#This Row],[Propionate '[%']]]&lt;R$10,_xlfn.NORM.DIST(Table2912[[#This Row],[Propionate '[%']]],R$6,R$2,FALSE),-100)</f>
        <v>-100</v>
      </c>
      <c r="BK459">
        <f>IF(Table2912[[#This Row],[Butyrate '[%']]]&lt;S$10,_xlfn.NORM.DIST(Table2912[[#This Row],[Butyrate '[%']]],S$6,S$2,FALSE),-100)</f>
        <v>-100</v>
      </c>
      <c r="BL459">
        <f>IF(Table2912[[#This Row],[Valerate '[%']]]&lt;T$10,_xlfn.NORM.DIST(Table2912[[#This Row],[Valerate '[%']]],T$6,T$2,FALSE),-100)</f>
        <v>-100</v>
      </c>
      <c r="BM459">
        <f>IF(Table2912[[#This Row],[Caproate '[%']]]&lt;U$10,_xlfn.NORM.DIST(Table2912[[#This Row],[Caproate '[%']]],U$6,U$2,FALSE),-100)</f>
        <v>-100</v>
      </c>
      <c r="BN459">
        <f>IF(Table2912[[#This Row],[Isobutyrate '[%']]]&lt;V$10,_xlfn.NORM.DIST(Table2912[[#This Row],[Isobutyrate '[%']]],V$6,V$2,FALSE),-100)</f>
        <v>-100</v>
      </c>
      <c r="BO459">
        <f>IF(Table2912[[#This Row],[Isovalerate '[%']]]&lt;W$10,_xlfn.NORM.DIST(Table2912[[#This Row],[Isovalerate '[%']]],W$6,W$2,FALSE),-100)</f>
        <v>-100</v>
      </c>
      <c r="BP459">
        <f>IF(Table2912[[#This Row],[CH4 '[g/mmol SCFA']]]&lt;X$10,_xlfn.NORM.DIST(Table2912[[#This Row],[CH4 '[g/mmol SCFA']]],X$6,X$2,FALSE),-100)</f>
        <v>-100</v>
      </c>
      <c r="BQ459">
        <f>IF(Table2912[[#This Row],[DMD '[mg/g']]]&gt;Y$10,_xlfn.NORM.DIST(Table2912[[#This Row],[DMD '[mg/g']]],Y$6,Y$2,FALSE),-100)</f>
        <v>-100</v>
      </c>
      <c r="BR459">
        <f>IF(Table2912[[#This Row],[CH4 '[ml/g']]]&lt;Z$10,_xlfn.NORM.DIST(Table2912[[#This Row],[CH4 '[ml/g']]],Z$6,Z$2,FALSE),-100)</f>
        <v>-100</v>
      </c>
      <c r="BS459">
        <f>IF(Table2912[[#This Row],[CH4 '[% GP']]]&lt;AA$10,_xlfn.NORM.DIST(Table2912[[#This Row],[CH4 '[% GP']]],AA$6,AA$2,FALSE),-100)</f>
        <v>-100</v>
      </c>
      <c r="BT459">
        <f>IF(Table2912[[#This Row],[CH4 '[g/g DDM']]]&lt;AB$10,_xlfn.NORM.DIST(Table2912[[#This Row],[CH4 '[g/g DDM']]],AB$6,AB$2,FALSE),-100)</f>
        <v>-100</v>
      </c>
    </row>
    <row r="460" spans="1:72" x14ac:dyDescent="0.25">
      <c r="A460" s="12" t="s">
        <v>200</v>
      </c>
      <c r="B460" s="13">
        <v>1200</v>
      </c>
      <c r="C460" s="113" t="s">
        <v>551</v>
      </c>
      <c r="D460" s="113" t="s">
        <v>262</v>
      </c>
      <c r="E460" s="113" t="s">
        <v>411</v>
      </c>
      <c r="F460" s="113" t="s">
        <v>412</v>
      </c>
      <c r="G460" t="s">
        <v>73</v>
      </c>
      <c r="H460" t="s">
        <v>74</v>
      </c>
      <c r="I460" t="s">
        <v>75</v>
      </c>
      <c r="J460" s="70">
        <v>1</v>
      </c>
      <c r="K460" s="70"/>
      <c r="L460" s="70"/>
      <c r="M460" t="s">
        <v>552</v>
      </c>
      <c r="N460" t="s">
        <v>171</v>
      </c>
      <c r="O460" s="18">
        <v>284.16951058201073</v>
      </c>
      <c r="P460" s="18">
        <v>7.2752425044091709</v>
      </c>
      <c r="Q460" s="97">
        <v>0.64291585016206509</v>
      </c>
      <c r="R460" s="97">
        <v>0.18077306692662556</v>
      </c>
      <c r="S460" s="97">
        <v>9.698465051577343E-2</v>
      </c>
      <c r="T460" s="97">
        <v>2.0518699190941105E-2</v>
      </c>
      <c r="U460" s="97">
        <v>3.4226007979260191E-3</v>
      </c>
      <c r="V460" s="97">
        <v>1.9594200733107119E-2</v>
      </c>
      <c r="W460" s="97">
        <v>3.5790931673561684E-2</v>
      </c>
      <c r="X460" s="51">
        <f t="shared" si="30"/>
        <v>5.9177806648878866</v>
      </c>
      <c r="Y460" s="18">
        <v>910.38359788359776</v>
      </c>
      <c r="Z460" s="18">
        <v>43.053289424963118</v>
      </c>
      <c r="AA460" s="18">
        <f t="shared" si="31"/>
        <v>15.150566060653444</v>
      </c>
      <c r="AB460" s="18">
        <f t="shared" si="32"/>
        <v>47.291372038172355</v>
      </c>
      <c r="AC460" s="18">
        <f>$CP$15*Table2912[[#This Row],[DMD '[mg/g']]]+$CS$15*Table2912[[#This Row],[CH4 '[ml/g']]]+$CR$15*Table2912[[#This Row],[CH4 '[% GP']]]+$CQ$15*Table2912[[#This Row],[CH4 '[g/g DDM']]]</f>
        <v>27.845905472317938</v>
      </c>
      <c r="AD460" s="18">
        <f>_xlfn.RANK.AVG(Table2912[[#This Row],[Index]],Table2912[Index])</f>
        <v>62</v>
      </c>
      <c r="AE46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6.6981234717220275</v>
      </c>
      <c r="AF460" s="18">
        <f>Table2912[[#This Row],[CH4 '[ml/g']]]/Table2912[[#This Row],[APB]]</f>
        <v>6.4276643460999834</v>
      </c>
      <c r="AG460" s="18">
        <f>Table2912[[#This Row],[Propionate '[%']]]/Table2912[[#This Row],[Acetate '[%']]]</f>
        <v>0.28117687078496606</v>
      </c>
      <c r="AH460" s="51"/>
      <c r="AI460" s="18"/>
      <c r="AJ460" s="18"/>
      <c r="AK460" s="18">
        <f>(Table2912[[#This Row],[DMD '[mg/g']]]-$AK$15)/$AK$15*100</f>
        <v>85.683010346395434</v>
      </c>
      <c r="AL460" s="18">
        <f>(Table2912[[#This Row],[CH4 '[ml/g']]]-AL$15)/AL$15*100</f>
        <v>9.4606473893936212</v>
      </c>
      <c r="AM460" s="18">
        <f>(Table2912[[#This Row],[CH4 '[% GP']]]-AM$15)/AM$15*100</f>
        <v>-2.395176215096384</v>
      </c>
      <c r="AN460" s="18">
        <f>(Table2912[[#This Row],[CH4 '[g/g DDM']]]-AN$15)/AN$15*100</f>
        <v>-7.6620382454887395</v>
      </c>
      <c r="AO460" s="18"/>
      <c r="AP460" s="18"/>
      <c r="AQ460" t="e">
        <f t="shared" si="29"/>
        <v>#DIV/0!</v>
      </c>
      <c r="AR460">
        <f>_xlfn.NORM.DIST(Table2912[[#This Row],[GP '[ml/g']]],O$6,O$2,FALSE)</f>
        <v>6.4730108716276142E-3</v>
      </c>
      <c r="AS460">
        <f>_xlfn.NORM.DIST(Table2912[[#This Row],[SCFA '[mmol/g']]],P$6,P$2,FALSE)</f>
        <v>0.27535101679434221</v>
      </c>
      <c r="AT460">
        <f>_xlfn.NORM.DIST(Table2912[[#This Row],[Acetate '[%']]],Q$6,Q$2,FALSE)</f>
        <v>7.9795840594608389</v>
      </c>
      <c r="AU460">
        <f>_xlfn.NORM.DIST(Table2912[[#This Row],[Propionate '[%']]],R$6,R$2,FALSE)</f>
        <v>15.652023976255512</v>
      </c>
      <c r="AV460">
        <f>_xlfn.NORM.DIST(Table2912[[#This Row],[Butyrate '[%']]],S$6,S$2,FALSE)</f>
        <v>22.405262305026195</v>
      </c>
      <c r="AW460">
        <f>_xlfn.NORM.DIST(Table2912[[#This Row],[Valerate '[%']]],T$6,T$2,FALSE)</f>
        <v>66.356207275089076</v>
      </c>
      <c r="AX460">
        <f>_xlfn.NORM.DIST(Table2912[[#This Row],[Caproate '[%']]],U$6,U$2,FALSE)</f>
        <v>41.988508799921824</v>
      </c>
      <c r="AY460">
        <f>_xlfn.NORM.DIST(Table2912[[#This Row],[Isobutyrate '[%']]],V$6,V$2,FALSE)</f>
        <v>56.51646071475416</v>
      </c>
      <c r="AZ460">
        <f>_xlfn.NORM.DIST(Table2912[[#This Row],[Isovalerate '[%']]],W$6,W$2,FALSE)</f>
        <v>30.324010782504079</v>
      </c>
      <c r="BA460">
        <f>_xlfn.NORM.DIST(Table2912[[#This Row],[CH4 '[g/mmol SCFA']]],X$6,X$2,FALSE)</f>
        <v>0.2866008575593344</v>
      </c>
      <c r="BB460">
        <f>_xlfn.NORM.DIST(Table2912[[#This Row],[DMD '[mg/g']]],Y$6,Y$2,FALSE)</f>
        <v>1.7999865116015798E-3</v>
      </c>
      <c r="BC460">
        <f>_xlfn.NORM.DIST(Table2912[[#This Row],[CH4 '[ml/g']]],Z$6,Z$2,FALSE)</f>
        <v>3.3183827803183907E-2</v>
      </c>
      <c r="BD460">
        <f>_xlfn.NORM.DIST(Table2912[[#This Row],[CH4 '[% GP']]],AA$6,AA$2,FALSE)</f>
        <v>0.12840091705915951</v>
      </c>
      <c r="BE460">
        <f>_xlfn.NORM.DIST(Table2912[[#This Row],[CH4 '[g/g DDM']]],AB$6,AB$2,FALSE)</f>
        <v>2.9002620272840597E-2</v>
      </c>
      <c r="BG460">
        <f>IF(Table2912[[#This Row],[GP '[ml/g']]]&lt;O$10,_xlfn.NORM.DIST(Table2912[[#This Row],[GP '[ml/g']]],O$6,O$2,FALSE),-100)</f>
        <v>-100</v>
      </c>
      <c r="BH460">
        <f>IF(Table2912[[#This Row],[SCFA '[mmol/g']]]&lt;P$10,_xlfn.NORM.DIST(Table2912[[#This Row],[SCFA '[mmol/g']]],P$6,P$2,FALSE),-100)</f>
        <v>-100</v>
      </c>
      <c r="BI460">
        <f>IF(Table2912[[#This Row],[Acetate '[%']]]&lt;Q$10,_xlfn.NORM.DIST(Table2912[[#This Row],[Acetate '[%']]],Q$6,Q$2,FALSE),-100)</f>
        <v>7.9795840594608389</v>
      </c>
      <c r="BJ460">
        <f>IF(Table2912[[#This Row],[Propionate '[%']]]&lt;R$10,_xlfn.NORM.DIST(Table2912[[#This Row],[Propionate '[%']]],R$6,R$2,FALSE),-100)</f>
        <v>-100</v>
      </c>
      <c r="BK460">
        <f>IF(Table2912[[#This Row],[Butyrate '[%']]]&lt;S$10,_xlfn.NORM.DIST(Table2912[[#This Row],[Butyrate '[%']]],S$6,S$2,FALSE),-100)</f>
        <v>-100</v>
      </c>
      <c r="BL460">
        <f>IF(Table2912[[#This Row],[Valerate '[%']]]&lt;T$10,_xlfn.NORM.DIST(Table2912[[#This Row],[Valerate '[%']]],T$6,T$2,FALSE),-100)</f>
        <v>-100</v>
      </c>
      <c r="BM460">
        <f>IF(Table2912[[#This Row],[Caproate '[%']]]&lt;U$10,_xlfn.NORM.DIST(Table2912[[#This Row],[Caproate '[%']]],U$6,U$2,FALSE),-100)</f>
        <v>-100</v>
      </c>
      <c r="BN460">
        <f>IF(Table2912[[#This Row],[Isobutyrate '[%']]]&lt;V$10,_xlfn.NORM.DIST(Table2912[[#This Row],[Isobutyrate '[%']]],V$6,V$2,FALSE),-100)</f>
        <v>-100</v>
      </c>
      <c r="BO460">
        <f>IF(Table2912[[#This Row],[Isovalerate '[%']]]&lt;W$10,_xlfn.NORM.DIST(Table2912[[#This Row],[Isovalerate '[%']]],W$6,W$2,FALSE),-100)</f>
        <v>-100</v>
      </c>
      <c r="BP460">
        <f>IF(Table2912[[#This Row],[CH4 '[g/mmol SCFA']]]&lt;X$10,_xlfn.NORM.DIST(Table2912[[#This Row],[CH4 '[g/mmol SCFA']]],X$6,X$2,FALSE),-100)</f>
        <v>-100</v>
      </c>
      <c r="BQ460">
        <f>IF(Table2912[[#This Row],[DMD '[mg/g']]]&gt;Y$10,_xlfn.NORM.DIST(Table2912[[#This Row],[DMD '[mg/g']]],Y$6,Y$2,FALSE),-100)</f>
        <v>-100</v>
      </c>
      <c r="BR460">
        <f>IF(Table2912[[#This Row],[CH4 '[ml/g']]]&lt;Z$10,_xlfn.NORM.DIST(Table2912[[#This Row],[CH4 '[ml/g']]],Z$6,Z$2,FALSE),-100)</f>
        <v>-100</v>
      </c>
      <c r="BS460">
        <f>IF(Table2912[[#This Row],[CH4 '[% GP']]]&lt;AA$10,_xlfn.NORM.DIST(Table2912[[#This Row],[CH4 '[% GP']]],AA$6,AA$2,FALSE),-100)</f>
        <v>-100</v>
      </c>
      <c r="BT460">
        <f>IF(Table2912[[#This Row],[CH4 '[g/g DDM']]]&lt;AB$10,_xlfn.NORM.DIST(Table2912[[#This Row],[CH4 '[g/g DDM']]],AB$6,AB$2,FALSE),-100)</f>
        <v>-100</v>
      </c>
    </row>
    <row r="461" spans="1:72" x14ac:dyDescent="0.25">
      <c r="A461" s="12" t="s">
        <v>200</v>
      </c>
      <c r="B461" s="13">
        <v>1148</v>
      </c>
      <c r="C461" s="117" t="s">
        <v>521</v>
      </c>
      <c r="D461" s="117" t="s">
        <v>212</v>
      </c>
      <c r="E461" s="117" t="s">
        <v>522</v>
      </c>
      <c r="F461" s="117" t="s">
        <v>523</v>
      </c>
      <c r="G461" t="s">
        <v>73</v>
      </c>
      <c r="H461" t="s">
        <v>74</v>
      </c>
      <c r="I461" t="s">
        <v>75</v>
      </c>
      <c r="J461" s="70">
        <v>1</v>
      </c>
      <c r="K461" s="70"/>
      <c r="L461" s="70"/>
      <c r="M461" t="s">
        <v>524</v>
      </c>
      <c r="N461" t="s">
        <v>237</v>
      </c>
      <c r="O461" s="18">
        <v>280.01788401947772</v>
      </c>
      <c r="P461" s="18">
        <v>7.2469142133336826</v>
      </c>
      <c r="Q461" s="97">
        <v>0.69042728766112715</v>
      </c>
      <c r="R461" s="97">
        <v>0.14666468125188672</v>
      </c>
      <c r="S461" s="97">
        <v>0.1048211780853769</v>
      </c>
      <c r="T461" s="97">
        <v>1.5534493577378789E-2</v>
      </c>
      <c r="U461" s="97">
        <v>1.6378005402392136E-3</v>
      </c>
      <c r="V461" s="97">
        <v>1.4362094016438481E-2</v>
      </c>
      <c r="W461" s="97">
        <v>2.6552464867552788E-2</v>
      </c>
      <c r="X461" s="51">
        <f t="shared" si="30"/>
        <v>6.8768829287184436</v>
      </c>
      <c r="Y461" s="18">
        <v>911.43961009646773</v>
      </c>
      <c r="Z461" s="18">
        <v>49.836180639561448</v>
      </c>
      <c r="AA461" s="18">
        <f t="shared" si="31"/>
        <v>17.797499189764217</v>
      </c>
      <c r="AB461" s="18">
        <f t="shared" si="32"/>
        <v>54.678532825983645</v>
      </c>
      <c r="AC461" s="18">
        <f>$CP$15*Table2912[[#This Row],[DMD '[mg/g']]]+$CS$15*Table2912[[#This Row],[CH4 '[ml/g']]]+$CR$15*Table2912[[#This Row],[CH4 '[% GP']]]+$CQ$15*Table2912[[#This Row],[CH4 '[g/g DDM']]]</f>
        <v>24.587113764842286</v>
      </c>
      <c r="AD461" s="18">
        <f>_xlfn.RANK.AVG(Table2912[[#This Row],[Index]],Table2912[Index])</f>
        <v>95</v>
      </c>
      <c r="AE46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6.8259637727084961</v>
      </c>
      <c r="AF461" s="18">
        <f>Table2912[[#This Row],[CH4 '[ml/g']]]/Table2912[[#This Row],[APB]]</f>
        <v>7.3009735033777936</v>
      </c>
      <c r="AG461" s="18">
        <f>Table2912[[#This Row],[Propionate '[%']]]/Table2912[[#This Row],[Acetate '[%']]]</f>
        <v>0.21242596269438313</v>
      </c>
      <c r="AH461" s="51"/>
      <c r="AI461" s="18"/>
      <c r="AJ461" s="18"/>
      <c r="AK461" s="18">
        <f>(Table2912[[#This Row],[DMD '[mg/g']]]-$AK$15)/$AK$15*100</f>
        <v>85.898395956487832</v>
      </c>
      <c r="AL461" s="18">
        <f>(Table2912[[#This Row],[CH4 '[ml/g']]]-AL$15)/AL$15*100</f>
        <v>26.705779490525742</v>
      </c>
      <c r="AM461" s="18">
        <f>(Table2912[[#This Row],[CH4 '[% GP']]]-AM$15)/AM$15*100</f>
        <v>14.657219094953019</v>
      </c>
      <c r="AN461" s="18">
        <f>(Table2912[[#This Row],[CH4 '[g/g DDM']]]-AN$15)/AN$15*100</f>
        <v>6.7616365370647999</v>
      </c>
      <c r="AO461" s="18"/>
      <c r="AP461" s="18"/>
      <c r="AQ461" t="e">
        <f t="shared" si="29"/>
        <v>#DIV/0!</v>
      </c>
      <c r="AR461">
        <f>_xlfn.NORM.DIST(Table2912[[#This Row],[GP '[ml/g']]],O$6,O$2,FALSE)</f>
        <v>6.7292800618264882E-3</v>
      </c>
      <c r="AS461">
        <f>_xlfn.NORM.DIST(Table2912[[#This Row],[SCFA '[mmol/g']]],P$6,P$2,FALSE)</f>
        <v>0.27930566383493521</v>
      </c>
      <c r="AT461">
        <f>_xlfn.NORM.DIST(Table2912[[#This Row],[Acetate '[%']]],Q$6,Q$2,FALSE)</f>
        <v>11.65726499903316</v>
      </c>
      <c r="AU461">
        <f>_xlfn.NORM.DIST(Table2912[[#This Row],[Propionate '[%']]],R$6,R$2,FALSE)</f>
        <v>9.5662485780766158</v>
      </c>
      <c r="AV461">
        <f>_xlfn.NORM.DIST(Table2912[[#This Row],[Butyrate '[%']]],S$6,S$2,FALSE)</f>
        <v>18.189926554828691</v>
      </c>
      <c r="AW461">
        <f>_xlfn.NORM.DIST(Table2912[[#This Row],[Valerate '[%']]],T$6,T$2,FALSE)</f>
        <v>71.092735640328655</v>
      </c>
      <c r="AX461">
        <f>_xlfn.NORM.DIST(Table2912[[#This Row],[Caproate '[%']]],U$6,U$2,FALSE)</f>
        <v>387.72465989583759</v>
      </c>
      <c r="AY461">
        <f>_xlfn.NORM.DIST(Table2912[[#This Row],[Isobutyrate '[%']]],V$6,V$2,FALSE)</f>
        <v>88.08048741106353</v>
      </c>
      <c r="AZ461">
        <f>_xlfn.NORM.DIST(Table2912[[#This Row],[Isovalerate '[%']]],W$6,W$2,FALSE)</f>
        <v>44.901991265382684</v>
      </c>
      <c r="BA461">
        <f>_xlfn.NORM.DIST(Table2912[[#This Row],[CH4 '[g/mmol SCFA']]],X$6,X$2,FALSE)</f>
        <v>0.26961882162891332</v>
      </c>
      <c r="BB461">
        <f>_xlfn.NORM.DIST(Table2912[[#This Row],[DMD '[mg/g']]],Y$6,Y$2,FALSE)</f>
        <v>1.7863369918020846E-3</v>
      </c>
      <c r="BC461">
        <f>_xlfn.NORM.DIST(Table2912[[#This Row],[CH4 '[ml/g']]],Z$6,Z$2,FALSE)</f>
        <v>2.6065267937591206E-2</v>
      </c>
      <c r="BD461">
        <f>_xlfn.NORM.DIST(Table2912[[#This Row],[CH4 '[% GP']]],AA$6,AA$2,FALSE)</f>
        <v>0.11360023769489194</v>
      </c>
      <c r="BE461">
        <f>_xlfn.NORM.DIST(Table2912[[#This Row],[CH4 '[g/g DDM']]],AB$6,AB$2,FALSE)</f>
        <v>3.2657345535106366E-2</v>
      </c>
      <c r="BG461">
        <f>IF(Table2912[[#This Row],[GP '[ml/g']]]&lt;O$10,_xlfn.NORM.DIST(Table2912[[#This Row],[GP '[ml/g']]],O$6,O$2,FALSE),-100)</f>
        <v>-100</v>
      </c>
      <c r="BH461">
        <f>IF(Table2912[[#This Row],[SCFA '[mmol/g']]]&lt;P$10,_xlfn.NORM.DIST(Table2912[[#This Row],[SCFA '[mmol/g']]],P$6,P$2,FALSE),-100)</f>
        <v>-100</v>
      </c>
      <c r="BI461">
        <f>IF(Table2912[[#This Row],[Acetate '[%']]]&lt;Q$10,_xlfn.NORM.DIST(Table2912[[#This Row],[Acetate '[%']]],Q$6,Q$2,FALSE),-100)</f>
        <v>-100</v>
      </c>
      <c r="BJ461">
        <f>IF(Table2912[[#This Row],[Propionate '[%']]]&lt;R$10,_xlfn.NORM.DIST(Table2912[[#This Row],[Propionate '[%']]],R$6,R$2,FALSE),-100)</f>
        <v>9.5662485780766158</v>
      </c>
      <c r="BK461">
        <f>IF(Table2912[[#This Row],[Butyrate '[%']]]&lt;S$10,_xlfn.NORM.DIST(Table2912[[#This Row],[Butyrate '[%']]],S$6,S$2,FALSE),-100)</f>
        <v>-100</v>
      </c>
      <c r="BL461">
        <f>IF(Table2912[[#This Row],[Valerate '[%']]]&lt;T$10,_xlfn.NORM.DIST(Table2912[[#This Row],[Valerate '[%']]],T$6,T$2,FALSE),-100)</f>
        <v>-100</v>
      </c>
      <c r="BM461">
        <f>IF(Table2912[[#This Row],[Caproate '[%']]]&lt;U$10,_xlfn.NORM.DIST(Table2912[[#This Row],[Caproate '[%']]],U$6,U$2,FALSE),-100)</f>
        <v>-100</v>
      </c>
      <c r="BN461">
        <f>IF(Table2912[[#This Row],[Isobutyrate '[%']]]&lt;V$10,_xlfn.NORM.DIST(Table2912[[#This Row],[Isobutyrate '[%']]],V$6,V$2,FALSE),-100)</f>
        <v>-100</v>
      </c>
      <c r="BO461">
        <f>IF(Table2912[[#This Row],[Isovalerate '[%']]]&lt;W$10,_xlfn.NORM.DIST(Table2912[[#This Row],[Isovalerate '[%']]],W$6,W$2,FALSE),-100)</f>
        <v>-100</v>
      </c>
      <c r="BP461">
        <f>IF(Table2912[[#This Row],[CH4 '[g/mmol SCFA']]]&lt;X$10,_xlfn.NORM.DIST(Table2912[[#This Row],[CH4 '[g/mmol SCFA']]],X$6,X$2,FALSE),-100)</f>
        <v>-100</v>
      </c>
      <c r="BQ461">
        <f>IF(Table2912[[#This Row],[DMD '[mg/g']]]&gt;Y$10,_xlfn.NORM.DIST(Table2912[[#This Row],[DMD '[mg/g']]],Y$6,Y$2,FALSE),-100)</f>
        <v>-100</v>
      </c>
      <c r="BR461">
        <f>IF(Table2912[[#This Row],[CH4 '[ml/g']]]&lt;Z$10,_xlfn.NORM.DIST(Table2912[[#This Row],[CH4 '[ml/g']]],Z$6,Z$2,FALSE),-100)</f>
        <v>-100</v>
      </c>
      <c r="BS461">
        <f>IF(Table2912[[#This Row],[CH4 '[% GP']]]&lt;AA$10,_xlfn.NORM.DIST(Table2912[[#This Row],[CH4 '[% GP']]],AA$6,AA$2,FALSE),-100)</f>
        <v>-100</v>
      </c>
      <c r="BT461">
        <f>IF(Table2912[[#This Row],[CH4 '[g/g DDM']]]&lt;AB$10,_xlfn.NORM.DIST(Table2912[[#This Row],[CH4 '[g/g DDM']]],AB$6,AB$2,FALSE),-100)</f>
        <v>-100</v>
      </c>
    </row>
    <row r="462" spans="1:72" x14ac:dyDescent="0.25">
      <c r="A462" s="12" t="s">
        <v>200</v>
      </c>
      <c r="B462" s="13">
        <v>1252</v>
      </c>
      <c r="C462" s="113" t="s">
        <v>553</v>
      </c>
      <c r="D462" s="113" t="s">
        <v>233</v>
      </c>
      <c r="E462" s="113" t="s">
        <v>554</v>
      </c>
      <c r="F462" s="114" t="s">
        <v>555</v>
      </c>
      <c r="G462" t="s">
        <v>73</v>
      </c>
      <c r="H462" t="s">
        <v>74</v>
      </c>
      <c r="I462" t="s">
        <v>75</v>
      </c>
      <c r="J462" s="70">
        <v>3</v>
      </c>
      <c r="K462" s="70"/>
      <c r="L462" s="70"/>
      <c r="M462" t="s">
        <v>556</v>
      </c>
      <c r="N462" t="s">
        <v>352</v>
      </c>
      <c r="O462" s="18">
        <v>294.53306772908269</v>
      </c>
      <c r="P462" s="18">
        <v>7.7911998390916057</v>
      </c>
      <c r="Q462" s="97">
        <v>0.67636175184242542</v>
      </c>
      <c r="R462" s="97">
        <v>0.15901189982262456</v>
      </c>
      <c r="S462" s="97">
        <v>9.696944351887421E-2</v>
      </c>
      <c r="T462" s="97">
        <v>1.696908045361524E-2</v>
      </c>
      <c r="U462" s="97">
        <v>6.4215216560470269E-4</v>
      </c>
      <c r="V462" s="97">
        <v>1.717868705806682E-2</v>
      </c>
      <c r="W462" s="97">
        <v>3.2866985138789231E-2</v>
      </c>
      <c r="X462" s="51">
        <f t="shared" si="30"/>
        <v>7.1283266999530355</v>
      </c>
      <c r="Y462" s="18">
        <v>913.28600940154695</v>
      </c>
      <c r="Z462" s="18">
        <v>55.538217837666487</v>
      </c>
      <c r="AA462" s="18">
        <f t="shared" si="31"/>
        <v>18.856360769905685</v>
      </c>
      <c r="AB462" s="18">
        <f t="shared" si="32"/>
        <v>60.811418620174933</v>
      </c>
      <c r="AC462" s="18">
        <f>$CP$15*Table2912[[#This Row],[DMD '[mg/g']]]+$CS$15*Table2912[[#This Row],[CH4 '[ml/g']]]+$CR$15*Table2912[[#This Row],[CH4 '[% GP']]]+$CQ$15*Table2912[[#This Row],[CH4 '[g/g DDM']]]</f>
        <v>22.317533738309528</v>
      </c>
      <c r="AD462" s="18">
        <f>_xlfn.RANK.AVG(Table2912[[#This Row],[Index]],Table2912[Index])</f>
        <v>128</v>
      </c>
      <c r="AE46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7.2640713731751605</v>
      </c>
      <c r="AF462" s="18">
        <f>Table2912[[#This Row],[CH4 '[ml/g']]]/Table2912[[#This Row],[APB]]</f>
        <v>7.6456046457305753</v>
      </c>
      <c r="AG462" s="18">
        <f>Table2912[[#This Row],[Propionate '[%']]]/Table2912[[#This Row],[Acetate '[%']]]</f>
        <v>0.23509889403040959</v>
      </c>
      <c r="AH462" s="51"/>
      <c r="AI462" s="18"/>
      <c r="AJ462" s="18"/>
      <c r="AK462" s="18">
        <f>(Table2912[[#This Row],[DMD '[mg/g']]]-$AK$15)/$AK$15*100</f>
        <v>86.274989935186071</v>
      </c>
      <c r="AL462" s="18">
        <f>(Table2912[[#This Row],[CH4 '[ml/g']]]-AL$15)/AL$15*100</f>
        <v>41.202899024929735</v>
      </c>
      <c r="AM462" s="18">
        <f>(Table2912[[#This Row],[CH4 '[% GP']]]-AM$15)/AM$15*100</f>
        <v>21.478746259585908</v>
      </c>
      <c r="AN462" s="18">
        <f>(Table2912[[#This Row],[CH4 '[g/g DDM']]]-AN$15)/AN$15*100</f>
        <v>18.736298076842488</v>
      </c>
      <c r="AO462" s="18"/>
      <c r="AP462" s="18"/>
      <c r="AQ462" t="e">
        <f t="shared" si="29"/>
        <v>#DIV/0!</v>
      </c>
      <c r="AR462">
        <f>_xlfn.NORM.DIST(Table2912[[#This Row],[GP '[ml/g']]],O$6,O$2,FALSE)</f>
        <v>5.7217742978866075E-3</v>
      </c>
      <c r="AS462">
        <f>_xlfn.NORM.DIST(Table2912[[#This Row],[SCFA '[mmol/g']]],P$6,P$2,FALSE)</f>
        <v>0.19260480044758263</v>
      </c>
      <c r="AT462">
        <f>_xlfn.NORM.DIST(Table2912[[#This Row],[Acetate '[%']]],Q$6,Q$2,FALSE)</f>
        <v>13.936355251248612</v>
      </c>
      <c r="AU462">
        <f>_xlfn.NORM.DIST(Table2912[[#This Row],[Propionate '[%']]],R$6,R$2,FALSE)</f>
        <v>14.504584679345188</v>
      </c>
      <c r="AV462">
        <f>_xlfn.NORM.DIST(Table2912[[#This Row],[Butyrate '[%']]],S$6,S$2,FALSE)</f>
        <v>22.409867235661256</v>
      </c>
      <c r="AW462">
        <f>_xlfn.NORM.DIST(Table2912[[#This Row],[Valerate '[%']]],T$6,T$2,FALSE)</f>
        <v>76.705004455080996</v>
      </c>
      <c r="AX462">
        <f>_xlfn.NORM.DIST(Table2912[[#This Row],[Caproate '[%']]],U$6,U$2,FALSE)</f>
        <v>317.44042419081018</v>
      </c>
      <c r="AY462">
        <f>_xlfn.NORM.DIST(Table2912[[#This Row],[Isobutyrate '[%']]],V$6,V$2,FALSE)</f>
        <v>82.526763984950747</v>
      </c>
      <c r="AZ462">
        <f>_xlfn.NORM.DIST(Table2912[[#This Row],[Isovalerate '[%']]],W$6,W$2,FALSE)</f>
        <v>38.702019420015027</v>
      </c>
      <c r="BA462">
        <f>_xlfn.NORM.DIST(Table2912[[#This Row],[CH4 '[g/mmol SCFA']]],X$6,X$2,FALSE)</f>
        <v>0.24381612755461302</v>
      </c>
      <c r="BB462">
        <f>_xlfn.NORM.DIST(Table2912[[#This Row],[DMD '[mg/g']]],Y$6,Y$2,FALSE)</f>
        <v>1.7624671957880581E-3</v>
      </c>
      <c r="BC462">
        <f>_xlfn.NORM.DIST(Table2912[[#This Row],[CH4 '[ml/g']]],Z$6,Z$2,FALSE)</f>
        <v>1.6552570813823157E-2</v>
      </c>
      <c r="BD462">
        <f>_xlfn.NORM.DIST(Table2912[[#This Row],[CH4 '[% GP']]],AA$6,AA$2,FALSE)</f>
        <v>8.6484730190711331E-2</v>
      </c>
      <c r="BE462">
        <f>_xlfn.NORM.DIST(Table2912[[#This Row],[CH4 '[g/g DDM']]],AB$6,AB$2,FALSE)</f>
        <v>2.7206710985309298E-2</v>
      </c>
      <c r="BG462">
        <f>IF(Table2912[[#This Row],[GP '[ml/g']]]&lt;O$10,_xlfn.NORM.DIST(Table2912[[#This Row],[GP '[ml/g']]],O$6,O$2,FALSE),-100)</f>
        <v>-100</v>
      </c>
      <c r="BH462">
        <f>IF(Table2912[[#This Row],[SCFA '[mmol/g']]]&lt;P$10,_xlfn.NORM.DIST(Table2912[[#This Row],[SCFA '[mmol/g']]],P$6,P$2,FALSE),-100)</f>
        <v>-100</v>
      </c>
      <c r="BI462">
        <f>IF(Table2912[[#This Row],[Acetate '[%']]]&lt;Q$10,_xlfn.NORM.DIST(Table2912[[#This Row],[Acetate '[%']]],Q$6,Q$2,FALSE),-100)</f>
        <v>-100</v>
      </c>
      <c r="BJ462">
        <f>IF(Table2912[[#This Row],[Propionate '[%']]]&lt;R$10,_xlfn.NORM.DIST(Table2912[[#This Row],[Propionate '[%']]],R$6,R$2,FALSE),-100)</f>
        <v>-100</v>
      </c>
      <c r="BK462">
        <f>IF(Table2912[[#This Row],[Butyrate '[%']]]&lt;S$10,_xlfn.NORM.DIST(Table2912[[#This Row],[Butyrate '[%']]],S$6,S$2,FALSE),-100)</f>
        <v>-100</v>
      </c>
      <c r="BL462">
        <f>IF(Table2912[[#This Row],[Valerate '[%']]]&lt;T$10,_xlfn.NORM.DIST(Table2912[[#This Row],[Valerate '[%']]],T$6,T$2,FALSE),-100)</f>
        <v>-100</v>
      </c>
      <c r="BM462">
        <f>IF(Table2912[[#This Row],[Caproate '[%']]]&lt;U$10,_xlfn.NORM.DIST(Table2912[[#This Row],[Caproate '[%']]],U$6,U$2,FALSE),-100)</f>
        <v>-100</v>
      </c>
      <c r="BN462">
        <f>IF(Table2912[[#This Row],[Isobutyrate '[%']]]&lt;V$10,_xlfn.NORM.DIST(Table2912[[#This Row],[Isobutyrate '[%']]],V$6,V$2,FALSE),-100)</f>
        <v>-100</v>
      </c>
      <c r="BO462">
        <f>IF(Table2912[[#This Row],[Isovalerate '[%']]]&lt;W$10,_xlfn.NORM.DIST(Table2912[[#This Row],[Isovalerate '[%']]],W$6,W$2,FALSE),-100)</f>
        <v>-100</v>
      </c>
      <c r="BP462">
        <f>IF(Table2912[[#This Row],[CH4 '[g/mmol SCFA']]]&lt;X$10,_xlfn.NORM.DIST(Table2912[[#This Row],[CH4 '[g/mmol SCFA']]],X$6,X$2,FALSE),-100)</f>
        <v>-100</v>
      </c>
      <c r="BQ462">
        <f>IF(Table2912[[#This Row],[DMD '[mg/g']]]&gt;Y$10,_xlfn.NORM.DIST(Table2912[[#This Row],[DMD '[mg/g']]],Y$6,Y$2,FALSE),-100)</f>
        <v>1.7624671957880581E-3</v>
      </c>
      <c r="BR462">
        <f>IF(Table2912[[#This Row],[CH4 '[ml/g']]]&lt;Z$10,_xlfn.NORM.DIST(Table2912[[#This Row],[CH4 '[ml/g']]],Z$6,Z$2,FALSE),-100)</f>
        <v>-100</v>
      </c>
      <c r="BS462">
        <f>IF(Table2912[[#This Row],[CH4 '[% GP']]]&lt;AA$10,_xlfn.NORM.DIST(Table2912[[#This Row],[CH4 '[% GP']]],AA$6,AA$2,FALSE),-100)</f>
        <v>-100</v>
      </c>
      <c r="BT462">
        <f>IF(Table2912[[#This Row],[CH4 '[g/g DDM']]]&lt;AB$10,_xlfn.NORM.DIST(Table2912[[#This Row],[CH4 '[g/g DDM']]],AB$6,AB$2,FALSE),-100)</f>
        <v>-100</v>
      </c>
    </row>
    <row r="463" spans="1:72" x14ac:dyDescent="0.25">
      <c r="A463" s="12" t="s">
        <v>86</v>
      </c>
      <c r="B463" s="13">
        <v>1062</v>
      </c>
      <c r="C463" s="104" t="s">
        <v>444</v>
      </c>
      <c r="D463" s="104" t="s">
        <v>134</v>
      </c>
      <c r="E463" s="104" t="s">
        <v>445</v>
      </c>
      <c r="F463" s="104" t="s">
        <v>446</v>
      </c>
      <c r="G463" s="32" t="s">
        <v>73</v>
      </c>
      <c r="H463" s="32" t="s">
        <v>74</v>
      </c>
      <c r="I463" s="105" t="s">
        <v>44</v>
      </c>
      <c r="J463" s="70">
        <v>2</v>
      </c>
      <c r="K463" s="70"/>
      <c r="L463" s="70"/>
      <c r="M463" t="s">
        <v>446</v>
      </c>
      <c r="N463" t="s">
        <v>145</v>
      </c>
      <c r="O463" s="18">
        <v>264.50638670166188</v>
      </c>
      <c r="P463" s="18">
        <v>6.2034968176288725</v>
      </c>
      <c r="Q463" s="97">
        <v>0.61113292450764112</v>
      </c>
      <c r="R463" s="97">
        <v>0.16370095233053439</v>
      </c>
      <c r="S463" s="97">
        <v>0.1229887295890557</v>
      </c>
      <c r="T463" s="97">
        <v>2.8065285521327539E-2</v>
      </c>
      <c r="U463" s="97">
        <v>2.5005062052975589E-3</v>
      </c>
      <c r="V463" s="97">
        <v>2.3870547997151881E-2</v>
      </c>
      <c r="W463" s="97">
        <v>4.7741053848991806E-2</v>
      </c>
      <c r="X463" s="51">
        <f t="shared" si="30"/>
        <v>7.6880978006890111</v>
      </c>
      <c r="Y463" s="18">
        <v>913.6267702592952</v>
      </c>
      <c r="Z463" s="18">
        <v>47.693090240193811</v>
      </c>
      <c r="AA463" s="18">
        <f t="shared" si="31"/>
        <v>18.03097869768532</v>
      </c>
      <c r="AB463" s="18">
        <f t="shared" si="32"/>
        <v>52.20194043423016</v>
      </c>
      <c r="AC463" s="18">
        <f>$CP$15*Table2912[[#This Row],[DMD '[mg/g']]]+$CS$15*Table2912[[#This Row],[CH4 '[ml/g']]]+$CR$15*Table2912[[#This Row],[CH4 '[% GP']]]+$CQ$15*Table2912[[#This Row],[CH4 '[g/g DDM']]]</f>
        <v>25.556053136404323</v>
      </c>
      <c r="AD463" s="18">
        <f>_xlfn.RANK.AVG(Table2912[[#This Row],[Index]],Table2912[Index])</f>
        <v>86</v>
      </c>
      <c r="AE46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5.5696396817665885</v>
      </c>
      <c r="AF463" s="18">
        <f>Table2912[[#This Row],[CH4 '[ml/g']]]/Table2912[[#This Row],[APB]]</f>
        <v>8.5630476952265653</v>
      </c>
      <c r="AG463" s="18">
        <f>Table2912[[#This Row],[Propionate '[%']]]/Table2912[[#This Row],[Acetate '[%']]]</f>
        <v>0.26786472429450592</v>
      </c>
      <c r="AH463" s="51"/>
      <c r="AI463" s="18"/>
      <c r="AJ463" s="18"/>
      <c r="AK463" s="18">
        <f>(Table2912[[#This Row],[DMD '[mg/g']]]-$AK$15)/$AK$15*100</f>
        <v>86.344491958313469</v>
      </c>
      <c r="AL463" s="18">
        <f>(Table2912[[#This Row],[CH4 '[ml/g']]]-AL$15)/AL$15*100</f>
        <v>21.257088678233028</v>
      </c>
      <c r="AM463" s="18">
        <f>(Table2912[[#This Row],[CH4 '[% GP']]]-AM$15)/AM$15*100</f>
        <v>16.161369245963446</v>
      </c>
      <c r="AN463" s="18">
        <f>(Table2912[[#This Row],[CH4 '[g/g DDM']]]-AN$15)/AN$15*100</f>
        <v>1.9260083094325042</v>
      </c>
      <c r="AO463" s="18"/>
      <c r="AP463" s="18"/>
      <c r="AQ463" t="e">
        <f t="shared" si="29"/>
        <v>#DIV/0!</v>
      </c>
      <c r="AR463">
        <f>_xlfn.NORM.DIST(Table2912[[#This Row],[GP '[ml/g']]],O$6,O$2,FALSE)</f>
        <v>7.3737391141628899E-3</v>
      </c>
      <c r="AS463">
        <f>_xlfn.NORM.DIST(Table2912[[#This Row],[SCFA '[mmol/g']]],P$6,P$2,FALSE)</f>
        <v>0.3200812482864418</v>
      </c>
      <c r="AT463">
        <f>_xlfn.NORM.DIST(Table2912[[#This Row],[Acetate '[%']]],Q$6,Q$2,FALSE)</f>
        <v>1.3041248397211946</v>
      </c>
      <c r="AU463">
        <f>_xlfn.NORM.DIST(Table2912[[#This Row],[Propionate '[%']]],R$6,R$2,FALSE)</f>
        <v>15.827924439211195</v>
      </c>
      <c r="AV463">
        <f>_xlfn.NORM.DIST(Table2912[[#This Row],[Butyrate '[%']]],S$6,S$2,FALSE)</f>
        <v>5.1063237867840856</v>
      </c>
      <c r="AW463">
        <f>_xlfn.NORM.DIST(Table2912[[#This Row],[Valerate '[%']]],T$6,T$2,FALSE)</f>
        <v>10.085554321687704</v>
      </c>
      <c r="AX463">
        <f>_xlfn.NORM.DIST(Table2912[[#This Row],[Caproate '[%']]],U$6,U$2,FALSE)</f>
        <v>200.26314172861325</v>
      </c>
      <c r="AY463">
        <f>_xlfn.NORM.DIST(Table2912[[#This Row],[Isobutyrate '[%']]],V$6,V$2,FALSE)</f>
        <v>13.92262396049049</v>
      </c>
      <c r="AZ463">
        <f>_xlfn.NORM.DIST(Table2912[[#This Row],[Isovalerate '[%']]],W$6,W$2,FALSE)</f>
        <v>3.533986810751804</v>
      </c>
      <c r="BA463">
        <f>_xlfn.NORM.DIST(Table2912[[#This Row],[CH4 '[g/mmol SCFA']]],X$6,X$2,FALSE)</f>
        <v>0.17179207965332255</v>
      </c>
      <c r="BB463">
        <f>_xlfn.NORM.DIST(Table2912[[#This Row],[DMD '[mg/g']]],Y$6,Y$2,FALSE)</f>
        <v>1.7580619117209307E-3</v>
      </c>
      <c r="BC463">
        <f>_xlfn.NORM.DIST(Table2912[[#This Row],[CH4 '[ml/g']]],Z$6,Z$2,FALSE)</f>
        <v>2.9135690823999156E-2</v>
      </c>
      <c r="BD463">
        <f>_xlfn.NORM.DIST(Table2912[[#This Row],[CH4 '[% GP']]],AA$6,AA$2,FALSE)</f>
        <v>0.10815211064739769</v>
      </c>
      <c r="BE463">
        <f>_xlfn.NORM.DIST(Table2912[[#This Row],[CH4 '[g/g DDM']]],AB$6,AB$2,FALSE)</f>
        <v>3.270457951148472E-2</v>
      </c>
      <c r="BG463">
        <f>IF(Table2912[[#This Row],[GP '[ml/g']]]&lt;O$10,_xlfn.NORM.DIST(Table2912[[#This Row],[GP '[ml/g']]],O$6,O$2,FALSE),-100)</f>
        <v>-100</v>
      </c>
      <c r="BH463">
        <f>IF(Table2912[[#This Row],[SCFA '[mmol/g']]]&lt;P$10,_xlfn.NORM.DIST(Table2912[[#This Row],[SCFA '[mmol/g']]],P$6,P$2,FALSE),-100)</f>
        <v>-100</v>
      </c>
      <c r="BI463">
        <f>IF(Table2912[[#This Row],[Acetate '[%']]]&lt;Q$10,_xlfn.NORM.DIST(Table2912[[#This Row],[Acetate '[%']]],Q$6,Q$2,FALSE),-100)</f>
        <v>1.3041248397211946</v>
      </c>
      <c r="BJ463">
        <f>IF(Table2912[[#This Row],[Propionate '[%']]]&lt;R$10,_xlfn.NORM.DIST(Table2912[[#This Row],[Propionate '[%']]],R$6,R$2,FALSE),-100)</f>
        <v>-100</v>
      </c>
      <c r="BK463">
        <f>IF(Table2912[[#This Row],[Butyrate '[%']]]&lt;S$10,_xlfn.NORM.DIST(Table2912[[#This Row],[Butyrate '[%']]],S$6,S$2,FALSE),-100)</f>
        <v>-100</v>
      </c>
      <c r="BL463">
        <f>IF(Table2912[[#This Row],[Valerate '[%']]]&lt;T$10,_xlfn.NORM.DIST(Table2912[[#This Row],[Valerate '[%']]],T$6,T$2,FALSE),-100)</f>
        <v>-100</v>
      </c>
      <c r="BM463">
        <f>IF(Table2912[[#This Row],[Caproate '[%']]]&lt;U$10,_xlfn.NORM.DIST(Table2912[[#This Row],[Caproate '[%']]],U$6,U$2,FALSE),-100)</f>
        <v>-100</v>
      </c>
      <c r="BN463">
        <f>IF(Table2912[[#This Row],[Isobutyrate '[%']]]&lt;V$10,_xlfn.NORM.DIST(Table2912[[#This Row],[Isobutyrate '[%']]],V$6,V$2,FALSE),-100)</f>
        <v>-100</v>
      </c>
      <c r="BO463">
        <f>IF(Table2912[[#This Row],[Isovalerate '[%']]]&lt;W$10,_xlfn.NORM.DIST(Table2912[[#This Row],[Isovalerate '[%']]],W$6,W$2,FALSE),-100)</f>
        <v>-100</v>
      </c>
      <c r="BP463">
        <f>IF(Table2912[[#This Row],[CH4 '[g/mmol SCFA']]]&lt;X$10,_xlfn.NORM.DIST(Table2912[[#This Row],[CH4 '[g/mmol SCFA']]],X$6,X$2,FALSE),-100)</f>
        <v>-100</v>
      </c>
      <c r="BQ463">
        <f>IF(Table2912[[#This Row],[DMD '[mg/g']]]&gt;Y$10,_xlfn.NORM.DIST(Table2912[[#This Row],[DMD '[mg/g']]],Y$6,Y$2,FALSE),-100)</f>
        <v>1.7580619117209307E-3</v>
      </c>
      <c r="BR463">
        <f>IF(Table2912[[#This Row],[CH4 '[ml/g']]]&lt;Z$10,_xlfn.NORM.DIST(Table2912[[#This Row],[CH4 '[ml/g']]],Z$6,Z$2,FALSE),-100)</f>
        <v>-100</v>
      </c>
      <c r="BS463">
        <f>IF(Table2912[[#This Row],[CH4 '[% GP']]]&lt;AA$10,_xlfn.NORM.DIST(Table2912[[#This Row],[CH4 '[% GP']]],AA$6,AA$2,FALSE),-100)</f>
        <v>-100</v>
      </c>
      <c r="BT463">
        <f>IF(Table2912[[#This Row],[CH4 '[g/g DDM']]]&lt;AB$10,_xlfn.NORM.DIST(Table2912[[#This Row],[CH4 '[g/g DDM']]],AB$6,AB$2,FALSE),-100)</f>
        <v>-100</v>
      </c>
    </row>
    <row r="464" spans="1:72" x14ac:dyDescent="0.25">
      <c r="A464" s="12" t="s">
        <v>200</v>
      </c>
      <c r="B464" s="13">
        <v>1200</v>
      </c>
      <c r="C464" s="113" t="s">
        <v>551</v>
      </c>
      <c r="D464" s="113" t="s">
        <v>262</v>
      </c>
      <c r="E464" s="113" t="s">
        <v>411</v>
      </c>
      <c r="F464" s="113" t="s">
        <v>412</v>
      </c>
      <c r="G464" t="s">
        <v>73</v>
      </c>
      <c r="H464" t="s">
        <v>74</v>
      </c>
      <c r="I464" t="s">
        <v>75</v>
      </c>
      <c r="J464" s="70">
        <v>2</v>
      </c>
      <c r="K464" s="70"/>
      <c r="L464" s="70"/>
      <c r="M464" t="s">
        <v>552</v>
      </c>
      <c r="N464" t="s">
        <v>245</v>
      </c>
      <c r="O464" s="18">
        <v>296.32596281540413</v>
      </c>
      <c r="P464" s="18">
        <v>7.4679061531651154</v>
      </c>
      <c r="Q464" s="97">
        <v>0.63000889152341444</v>
      </c>
      <c r="R464" s="97">
        <v>0.17479253112033197</v>
      </c>
      <c r="S464" s="97">
        <v>0.10577949021932426</v>
      </c>
      <c r="T464" s="97">
        <v>2.3236514522821584E-2</v>
      </c>
      <c r="U464" s="97">
        <v>4.6087729697688214E-3</v>
      </c>
      <c r="V464" s="97">
        <v>2.1028452874925909E-2</v>
      </c>
      <c r="W464" s="97">
        <v>4.0545346769413161E-2</v>
      </c>
      <c r="X464" s="51">
        <f t="shared" si="30"/>
        <v>7.3779304290736896</v>
      </c>
      <c r="Y464" s="18">
        <v>915.67065073041169</v>
      </c>
      <c r="Z464" s="18">
        <v>55.097692048903546</v>
      </c>
      <c r="AA464" s="18">
        <f t="shared" si="31"/>
        <v>18.593609390624536</v>
      </c>
      <c r="AB464" s="18">
        <f t="shared" si="32"/>
        <v>60.171953753189804</v>
      </c>
      <c r="AC464" s="18">
        <f>$CP$15*Table2912[[#This Row],[DMD '[mg/g']]]+$CS$15*Table2912[[#This Row],[CH4 '[ml/g']]]+$CR$15*Table2912[[#This Row],[CH4 '[% GP']]]+$CQ$15*Table2912[[#This Row],[CH4 '[g/g DDM']]]</f>
        <v>22.828790601620653</v>
      </c>
      <c r="AD464" s="18">
        <f>_xlfn.RANK.AVG(Table2912[[#This Row],[Index]],Table2912[Index])</f>
        <v>121</v>
      </c>
      <c r="AE46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6.8001328021248328</v>
      </c>
      <c r="AF464" s="18">
        <f>Table2912[[#This Row],[CH4 '[ml/g']]]/Table2912[[#This Row],[APB]]</f>
        <v>8.1024435334097014</v>
      </c>
      <c r="AG464" s="18">
        <f>Table2912[[#This Row],[Propionate '[%']]]/Table2912[[#This Row],[Acetate '[%']]]</f>
        <v>0.27744454637405025</v>
      </c>
      <c r="AH464" s="51"/>
      <c r="AI464" s="18"/>
      <c r="AJ464" s="18"/>
      <c r="AK464" s="18">
        <f>(Table2912[[#This Row],[DMD '[mg/g']]]-$AK$15)/$AK$15*100</f>
        <v>86.761364449807587</v>
      </c>
      <c r="AL464" s="18">
        <f>(Table2912[[#This Row],[CH4 '[ml/g']]]-AL$15)/AL$15*100</f>
        <v>40.082886160087966</v>
      </c>
      <c r="AM464" s="18">
        <f>(Table2912[[#This Row],[CH4 '[% GP']]]-AM$15)/AM$15*100</f>
        <v>19.786017290166082</v>
      </c>
      <c r="AN464" s="18">
        <f>(Table2912[[#This Row],[CH4 '[g/g DDM']]]-AN$15)/AN$15*100</f>
        <v>17.487721859105239</v>
      </c>
      <c r="AO464" s="18"/>
      <c r="AP464" s="18"/>
      <c r="AQ464" t="e">
        <f t="shared" si="29"/>
        <v>#DIV/0!</v>
      </c>
      <c r="AR464">
        <f>_xlfn.NORM.DIST(Table2912[[#This Row],[GP '[ml/g']]],O$6,O$2,FALSE)</f>
        <v>5.579540197330631E-3</v>
      </c>
      <c r="AS464">
        <f>_xlfn.NORM.DIST(Table2912[[#This Row],[SCFA '[mmol/g']]],P$6,P$2,FALSE)</f>
        <v>0.24622678408363771</v>
      </c>
      <c r="AT464">
        <f>_xlfn.NORM.DIST(Table2912[[#This Row],[Acetate '[%']]],Q$6,Q$2,FALSE)</f>
        <v>4.445507018149887</v>
      </c>
      <c r="AU464">
        <f>_xlfn.NORM.DIST(Table2912[[#This Row],[Propionate '[%']]],R$6,R$2,FALSE)</f>
        <v>16.664314394601043</v>
      </c>
      <c r="AV464">
        <f>_xlfn.NORM.DIST(Table2912[[#This Row],[Butyrate '[%']]],S$6,S$2,FALSE)</f>
        <v>17.484875999061284</v>
      </c>
      <c r="AW464">
        <f>_xlfn.NORM.DIST(Table2912[[#This Row],[Valerate '[%']]],T$6,T$2,FALSE)</f>
        <v>43.100106931202525</v>
      </c>
      <c r="AX464">
        <f>_xlfn.NORM.DIST(Table2912[[#This Row],[Caproate '[%']]],U$6,U$2,FALSE)</f>
        <v>1.532495449746871</v>
      </c>
      <c r="AY464">
        <f>_xlfn.NORM.DIST(Table2912[[#This Row],[Isobutyrate '[%']]],V$6,V$2,FALSE)</f>
        <v>39.202338205091124</v>
      </c>
      <c r="AZ464">
        <f>_xlfn.NORM.DIST(Table2912[[#This Row],[Isovalerate '[%']]],W$6,W$2,FALSE)</f>
        <v>16.095939695234193</v>
      </c>
      <c r="BA464">
        <f>_xlfn.NORM.DIST(Table2912[[#This Row],[CH4 '[g/mmol SCFA']]],X$6,X$2,FALSE)</f>
        <v>0.21310893349736482</v>
      </c>
      <c r="BB464">
        <f>_xlfn.NORM.DIST(Table2912[[#This Row],[DMD '[mg/g']]],Y$6,Y$2,FALSE)</f>
        <v>1.7316437066427822E-3</v>
      </c>
      <c r="BC464">
        <f>_xlfn.NORM.DIST(Table2912[[#This Row],[CH4 '[ml/g']]],Z$6,Z$2,FALSE)</f>
        <v>1.7284255521251485E-2</v>
      </c>
      <c r="BD464">
        <f>_xlfn.NORM.DIST(Table2912[[#This Row],[CH4 '[% GP']]],AA$6,AA$2,FALSE)</f>
        <v>9.3650327313254317E-2</v>
      </c>
      <c r="BE464">
        <f>_xlfn.NORM.DIST(Table2912[[#This Row],[CH4 '[g/g DDM']]],AB$6,AB$2,FALSE)</f>
        <v>2.8061944238316421E-2</v>
      </c>
      <c r="BG464">
        <f>IF(Table2912[[#This Row],[GP '[ml/g']]]&lt;O$10,_xlfn.NORM.DIST(Table2912[[#This Row],[GP '[ml/g']]],O$6,O$2,FALSE),-100)</f>
        <v>-100</v>
      </c>
      <c r="BH464">
        <f>IF(Table2912[[#This Row],[SCFA '[mmol/g']]]&lt;P$10,_xlfn.NORM.DIST(Table2912[[#This Row],[SCFA '[mmol/g']]],P$6,P$2,FALSE),-100)</f>
        <v>-100</v>
      </c>
      <c r="BI464">
        <f>IF(Table2912[[#This Row],[Acetate '[%']]]&lt;Q$10,_xlfn.NORM.DIST(Table2912[[#This Row],[Acetate '[%']]],Q$6,Q$2,FALSE),-100)</f>
        <v>4.445507018149887</v>
      </c>
      <c r="BJ464">
        <f>IF(Table2912[[#This Row],[Propionate '[%']]]&lt;R$10,_xlfn.NORM.DIST(Table2912[[#This Row],[Propionate '[%']]],R$6,R$2,FALSE),-100)</f>
        <v>-100</v>
      </c>
      <c r="BK464">
        <f>IF(Table2912[[#This Row],[Butyrate '[%']]]&lt;S$10,_xlfn.NORM.DIST(Table2912[[#This Row],[Butyrate '[%']]],S$6,S$2,FALSE),-100)</f>
        <v>-100</v>
      </c>
      <c r="BL464">
        <f>IF(Table2912[[#This Row],[Valerate '[%']]]&lt;T$10,_xlfn.NORM.DIST(Table2912[[#This Row],[Valerate '[%']]],T$6,T$2,FALSE),-100)</f>
        <v>-100</v>
      </c>
      <c r="BM464">
        <f>IF(Table2912[[#This Row],[Caproate '[%']]]&lt;U$10,_xlfn.NORM.DIST(Table2912[[#This Row],[Caproate '[%']]],U$6,U$2,FALSE),-100)</f>
        <v>-100</v>
      </c>
      <c r="BN464">
        <f>IF(Table2912[[#This Row],[Isobutyrate '[%']]]&lt;V$10,_xlfn.NORM.DIST(Table2912[[#This Row],[Isobutyrate '[%']]],V$6,V$2,FALSE),-100)</f>
        <v>-100</v>
      </c>
      <c r="BO464">
        <f>IF(Table2912[[#This Row],[Isovalerate '[%']]]&lt;W$10,_xlfn.NORM.DIST(Table2912[[#This Row],[Isovalerate '[%']]],W$6,W$2,FALSE),-100)</f>
        <v>-100</v>
      </c>
      <c r="BP464">
        <f>IF(Table2912[[#This Row],[CH4 '[g/mmol SCFA']]]&lt;X$10,_xlfn.NORM.DIST(Table2912[[#This Row],[CH4 '[g/mmol SCFA']]],X$6,X$2,FALSE),-100)</f>
        <v>-100</v>
      </c>
      <c r="BQ464">
        <f>IF(Table2912[[#This Row],[DMD '[mg/g']]]&gt;Y$10,_xlfn.NORM.DIST(Table2912[[#This Row],[DMD '[mg/g']]],Y$6,Y$2,FALSE),-100)</f>
        <v>1.7316437066427822E-3</v>
      </c>
      <c r="BR464">
        <f>IF(Table2912[[#This Row],[CH4 '[ml/g']]]&lt;Z$10,_xlfn.NORM.DIST(Table2912[[#This Row],[CH4 '[ml/g']]],Z$6,Z$2,FALSE),-100)</f>
        <v>-100</v>
      </c>
      <c r="BS464">
        <f>IF(Table2912[[#This Row],[CH4 '[% GP']]]&lt;AA$10,_xlfn.NORM.DIST(Table2912[[#This Row],[CH4 '[% GP']]],AA$6,AA$2,FALSE),-100)</f>
        <v>-100</v>
      </c>
      <c r="BT464">
        <f>IF(Table2912[[#This Row],[CH4 '[g/g DDM']]]&lt;AB$10,_xlfn.NORM.DIST(Table2912[[#This Row],[CH4 '[g/g DDM']]],AB$6,AB$2,FALSE),-100)</f>
        <v>-100</v>
      </c>
    </row>
    <row r="465" spans="1:72" x14ac:dyDescent="0.25">
      <c r="A465" s="12" t="s">
        <v>200</v>
      </c>
      <c r="B465" s="13">
        <v>1253</v>
      </c>
      <c r="C465" s="113" t="s">
        <v>557</v>
      </c>
      <c r="D465" s="113" t="s">
        <v>558</v>
      </c>
      <c r="E465" s="113" t="s">
        <v>559</v>
      </c>
      <c r="F465" s="114" t="s">
        <v>560</v>
      </c>
      <c r="G465" t="s">
        <v>561</v>
      </c>
      <c r="H465" t="s">
        <v>562</v>
      </c>
      <c r="I465" s="115" t="s">
        <v>48</v>
      </c>
      <c r="J465" s="107">
        <v>1</v>
      </c>
      <c r="K465" s="107"/>
      <c r="L465" s="107"/>
      <c r="M465" s="103" t="s">
        <v>563</v>
      </c>
      <c r="N465" t="s">
        <v>363</v>
      </c>
      <c r="O465" s="18">
        <v>187.26522024983512</v>
      </c>
      <c r="P465" s="18">
        <v>4.5594599411489041</v>
      </c>
      <c r="Q465" s="97">
        <v>0.73580555031898509</v>
      </c>
      <c r="R465" s="97">
        <v>0.18169318435509571</v>
      </c>
      <c r="S465" s="97">
        <v>6.2405228834449211E-2</v>
      </c>
      <c r="T465" s="97">
        <v>5.8509831556708084E-3</v>
      </c>
      <c r="U465" s="97">
        <v>8.8946935534737147E-4</v>
      </c>
      <c r="V465" s="97">
        <v>5.610251229986235E-3</v>
      </c>
      <c r="W465" s="97">
        <v>7.7453327504656529E-3</v>
      </c>
      <c r="X465" s="51">
        <f t="shared" si="30"/>
        <v>4.5042996047929531</v>
      </c>
      <c r="Y465" s="18">
        <v>916.31238203144562</v>
      </c>
      <c r="Z465" s="18">
        <v>20.537173610986308</v>
      </c>
      <c r="AA465" s="18">
        <f t="shared" si="31"/>
        <v>10.966891547499937</v>
      </c>
      <c r="AB465" s="18">
        <f t="shared" si="32"/>
        <v>22.412851789098188</v>
      </c>
      <c r="AC465" s="18">
        <f>$CP$15*Table2912[[#This Row],[DMD '[mg/g']]]+$CS$15*Table2912[[#This Row],[CH4 '[ml/g']]]+$CR$15*Table2912[[#This Row],[CH4 '[% GP']]]+$CQ$15*Table2912[[#This Row],[CH4 '[g/g DDM']]]</f>
        <v>38.100071731490367</v>
      </c>
      <c r="AD465" s="18">
        <f>_xlfn.RANK.AVG(Table2912[[#This Row],[Index]],Table2912[Index])</f>
        <v>7</v>
      </c>
      <c r="AE46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4.4678328677901806</v>
      </c>
      <c r="AF465" s="18">
        <f>Table2912[[#This Row],[CH4 '[ml/g']]]/Table2912[[#This Row],[APB]]</f>
        <v>4.5966745441720445</v>
      </c>
      <c r="AG465" s="18">
        <f>Table2912[[#This Row],[Propionate '[%']]]/Table2912[[#This Row],[Acetate '[%']]]</f>
        <v>0.24693097826773447</v>
      </c>
      <c r="AH465" s="51"/>
      <c r="AI465" s="18"/>
      <c r="AJ465" s="18"/>
      <c r="AK465" s="18">
        <f>(Table2912[[#This Row],[DMD '[mg/g']]]-$AK$15)/$AK$15*100</f>
        <v>86.892252791915794</v>
      </c>
      <c r="AL465" s="18">
        <f>(Table2912[[#This Row],[CH4 '[ml/g']]]-AL$15)/AL$15*100</f>
        <v>-47.785352779490722</v>
      </c>
      <c r="AM465" s="18">
        <f>(Table2912[[#This Row],[CH4 '[% GP']]]-AM$15)/AM$15*100</f>
        <v>-29.34775422406145</v>
      </c>
      <c r="AN465" s="18">
        <f>(Table2912[[#This Row],[CH4 '[g/g DDM']]]-AN$15)/AN$15*100</f>
        <v>-56.238168568237235</v>
      </c>
      <c r="AO465" s="18"/>
      <c r="AP465" s="18"/>
      <c r="AQ465" t="e">
        <f t="shared" si="29"/>
        <v>#DIV/0!</v>
      </c>
      <c r="AR465">
        <f>_xlfn.NORM.DIST(Table2912[[#This Row],[GP '[ml/g']]],O$6,O$2,FALSE)</f>
        <v>3.3005590106919137E-3</v>
      </c>
      <c r="AS465">
        <f>_xlfn.NORM.DIST(Table2912[[#This Row],[SCFA '[mmol/g']]],P$6,P$2,FALSE)</f>
        <v>8.5324877075416666E-2</v>
      </c>
      <c r="AT465">
        <f>_xlfn.NORM.DIST(Table2912[[#This Row],[Acetate '[%']]],Q$6,Q$2,FALSE)</f>
        <v>1.2367277442241789</v>
      </c>
      <c r="AU465">
        <f>_xlfn.NORM.DIST(Table2912[[#This Row],[Propionate '[%']]],R$6,R$2,FALSE)</f>
        <v>15.414898756613521</v>
      </c>
      <c r="AV465">
        <f>_xlfn.NORM.DIST(Table2912[[#This Row],[Butyrate '[%']]],S$6,S$2,FALSE)</f>
        <v>4.8797104343677224</v>
      </c>
      <c r="AW465">
        <f>_xlfn.NORM.DIST(Table2912[[#This Row],[Valerate '[%']]],T$6,T$2,FALSE)</f>
        <v>5.6130513019253909</v>
      </c>
      <c r="AX465">
        <f>_xlfn.NORM.DIST(Table2912[[#This Row],[Caproate '[%']]],U$6,U$2,FALSE)</f>
        <v>367.32387637014756</v>
      </c>
      <c r="AY465">
        <f>_xlfn.NORM.DIST(Table2912[[#This Row],[Isobutyrate '[%']]],V$6,V$2,FALSE)</f>
        <v>8.1268262132435751</v>
      </c>
      <c r="AZ465">
        <f>_xlfn.NORM.DIST(Table2912[[#This Row],[Isovalerate '[%']]],W$6,W$2,FALSE)</f>
        <v>3.2662412704577535</v>
      </c>
      <c r="BA465">
        <f>_xlfn.NORM.DIST(Table2912[[#This Row],[CH4 '[g/mmol SCFA']]],X$6,X$2,FALSE)</f>
        <v>0.12349745033357619</v>
      </c>
      <c r="BB465">
        <f>_xlfn.NORM.DIST(Table2912[[#This Row],[DMD '[mg/g']]],Y$6,Y$2,FALSE)</f>
        <v>1.7233518271250311E-3</v>
      </c>
      <c r="BC465">
        <f>_xlfn.NORM.DIST(Table2912[[#This Row],[CH4 '[ml/g']]],Z$6,Z$2,FALSE)</f>
        <v>7.2202351622212705E-3</v>
      </c>
      <c r="BD465">
        <f>_xlfn.NORM.DIST(Table2912[[#This Row],[CH4 '[% GP']]],AA$6,AA$2,FALSE)</f>
        <v>3.0550970002869594E-2</v>
      </c>
      <c r="BE465">
        <f>_xlfn.NORM.DIST(Table2912[[#This Row],[CH4 '[g/g DDM']]],AB$6,AB$2,FALSE)</f>
        <v>1.2788605781553584E-3</v>
      </c>
      <c r="BG465">
        <f>IF(Table2912[[#This Row],[GP '[ml/g']]]&lt;O$10,_xlfn.NORM.DIST(Table2912[[#This Row],[GP '[ml/g']]],O$6,O$2,FALSE),-100)</f>
        <v>3.3005590106919137E-3</v>
      </c>
      <c r="BH465">
        <f>IF(Table2912[[#This Row],[SCFA '[mmol/g']]]&lt;P$10,_xlfn.NORM.DIST(Table2912[[#This Row],[SCFA '[mmol/g']]],P$6,P$2,FALSE),-100)</f>
        <v>8.5324877075416666E-2</v>
      </c>
      <c r="BI465">
        <f>IF(Table2912[[#This Row],[Acetate '[%']]]&lt;Q$10,_xlfn.NORM.DIST(Table2912[[#This Row],[Acetate '[%']]],Q$6,Q$2,FALSE),-100)</f>
        <v>-100</v>
      </c>
      <c r="BJ465">
        <f>IF(Table2912[[#This Row],[Propionate '[%']]]&lt;R$10,_xlfn.NORM.DIST(Table2912[[#This Row],[Propionate '[%']]],R$6,R$2,FALSE),-100)</f>
        <v>-100</v>
      </c>
      <c r="BK465">
        <f>IF(Table2912[[#This Row],[Butyrate '[%']]]&lt;S$10,_xlfn.NORM.DIST(Table2912[[#This Row],[Butyrate '[%']]],S$6,S$2,FALSE),-100)</f>
        <v>4.8797104343677224</v>
      </c>
      <c r="BL465">
        <f>IF(Table2912[[#This Row],[Valerate '[%']]]&lt;T$10,_xlfn.NORM.DIST(Table2912[[#This Row],[Valerate '[%']]],T$6,T$2,FALSE),-100)</f>
        <v>5.6130513019253909</v>
      </c>
      <c r="BM465">
        <f>IF(Table2912[[#This Row],[Caproate '[%']]]&lt;U$10,_xlfn.NORM.DIST(Table2912[[#This Row],[Caproate '[%']]],U$6,U$2,FALSE),-100)</f>
        <v>-100</v>
      </c>
      <c r="BN465">
        <f>IF(Table2912[[#This Row],[Isobutyrate '[%']]]&lt;V$10,_xlfn.NORM.DIST(Table2912[[#This Row],[Isobutyrate '[%']]],V$6,V$2,FALSE),-100)</f>
        <v>8.1268262132435751</v>
      </c>
      <c r="BO465">
        <f>IF(Table2912[[#This Row],[Isovalerate '[%']]]&lt;W$10,_xlfn.NORM.DIST(Table2912[[#This Row],[Isovalerate '[%']]],W$6,W$2,FALSE),-100)</f>
        <v>3.2662412704577535</v>
      </c>
      <c r="BP465">
        <f>IF(Table2912[[#This Row],[CH4 '[g/mmol SCFA']]]&lt;X$10,_xlfn.NORM.DIST(Table2912[[#This Row],[CH4 '[g/mmol SCFA']]],X$6,X$2,FALSE),-100)</f>
        <v>0.12349745033357619</v>
      </c>
      <c r="BQ465">
        <f>IF(Table2912[[#This Row],[DMD '[mg/g']]]&gt;Y$10,_xlfn.NORM.DIST(Table2912[[#This Row],[DMD '[mg/g']]],Y$6,Y$2,FALSE),-100)</f>
        <v>1.7233518271250311E-3</v>
      </c>
      <c r="BR465">
        <f>IF(Table2912[[#This Row],[CH4 '[ml/g']]]&lt;Z$10,_xlfn.NORM.DIST(Table2912[[#This Row],[CH4 '[ml/g']]],Z$6,Z$2,FALSE),-100)</f>
        <v>7.2202351622212705E-3</v>
      </c>
      <c r="BS465">
        <f>IF(Table2912[[#This Row],[CH4 '[% GP']]]&lt;AA$10,_xlfn.NORM.DIST(Table2912[[#This Row],[CH4 '[% GP']]],AA$6,AA$2,FALSE),-100)</f>
        <v>3.0550970002869594E-2</v>
      </c>
      <c r="BT465">
        <f>IF(Table2912[[#This Row],[CH4 '[g/g DDM']]]&lt;AB$10,_xlfn.NORM.DIST(Table2912[[#This Row],[CH4 '[g/g DDM']]],AB$6,AB$2,FALSE),-100)</f>
        <v>1.2788605781553584E-3</v>
      </c>
    </row>
    <row r="466" spans="1:72" x14ac:dyDescent="0.25">
      <c r="A466" s="12" t="s">
        <v>200</v>
      </c>
      <c r="B466" s="13">
        <v>1188</v>
      </c>
      <c r="C466" s="113" t="s">
        <v>564</v>
      </c>
      <c r="D466" s="113" t="s">
        <v>565</v>
      </c>
      <c r="E466" s="113" t="s">
        <v>566</v>
      </c>
      <c r="F466" s="113" t="s">
        <v>567</v>
      </c>
      <c r="G466" t="s">
        <v>73</v>
      </c>
      <c r="H466" t="s">
        <v>74</v>
      </c>
      <c r="I466" t="s">
        <v>75</v>
      </c>
      <c r="J466" s="100">
        <v>3</v>
      </c>
      <c r="K466" s="100"/>
      <c r="L466" s="100"/>
      <c r="M466" t="s">
        <v>568</v>
      </c>
      <c r="N466" t="s">
        <v>352</v>
      </c>
      <c r="O466" s="18">
        <v>293.75451527224379</v>
      </c>
      <c r="P466" s="18">
        <v>8.9265266144520794</v>
      </c>
      <c r="Q466" s="97">
        <v>0.65899011015507658</v>
      </c>
      <c r="R466" s="97">
        <v>0.17906630450203073</v>
      </c>
      <c r="S466" s="97">
        <v>9.1540291346755828E-2</v>
      </c>
      <c r="T466" s="97">
        <v>2.3619395267035211E-2</v>
      </c>
      <c r="U466" s="97">
        <v>1.0968345009130258E-3</v>
      </c>
      <c r="V466" s="97">
        <v>1.7876730413490742E-2</v>
      </c>
      <c r="W466" s="97">
        <v>2.7810333814697857E-2</v>
      </c>
      <c r="X466" s="51">
        <f t="shared" si="30"/>
        <v>5.6416513286679395</v>
      </c>
      <c r="Y466" s="18">
        <v>917.38862572457333</v>
      </c>
      <c r="Z466" s="18">
        <v>50.360350734813295</v>
      </c>
      <c r="AA466" s="18">
        <f t="shared" si="31"/>
        <v>17.143685668334552</v>
      </c>
      <c r="AB466" s="18">
        <f t="shared" si="32"/>
        <v>54.895329332252842</v>
      </c>
      <c r="AC466" s="18">
        <f>$CP$15*Table2912[[#This Row],[DMD '[mg/g']]]+$CS$15*Table2912[[#This Row],[CH4 '[ml/g']]]+$CR$15*Table2912[[#This Row],[CH4 '[% GP']]]+$CQ$15*Table2912[[#This Row],[CH4 '[g/g DDM']]]</f>
        <v>25.219935659208282</v>
      </c>
      <c r="AD466" s="18">
        <f>_xlfn.RANK.AVG(Table2912[[#This Row],[Index]],Table2912[Index])</f>
        <v>89</v>
      </c>
      <c r="AE46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8.2980697368504686</v>
      </c>
      <c r="AF466" s="18">
        <f>Table2912[[#This Row],[CH4 '[ml/g']]]/Table2912[[#This Row],[APB]]</f>
        <v>6.0689235366594501</v>
      </c>
      <c r="AG466" s="18">
        <f>Table2912[[#This Row],[Propionate '[%']]]/Table2912[[#This Row],[Acetate '[%']]]</f>
        <v>0.27172836396572331</v>
      </c>
      <c r="AH466" s="51"/>
      <c r="AI466" s="18"/>
      <c r="AJ466" s="18"/>
      <c r="AK466" s="18">
        <f>(Table2912[[#This Row],[DMD '[mg/g']]]-$AK$15)/$AK$15*100</f>
        <v>87.111764840760756</v>
      </c>
      <c r="AL466" s="18">
        <f>(Table2912[[#This Row],[CH4 '[ml/g']]]-AL$15)/AL$15*100</f>
        <v>28.038453456551661</v>
      </c>
      <c r="AM466" s="18">
        <f>(Table2912[[#This Row],[CH4 '[% GP']]]-AM$15)/AM$15*100</f>
        <v>10.445141916327959</v>
      </c>
      <c r="AN466" s="18">
        <f>(Table2912[[#This Row],[CH4 '[g/g DDM']]]-AN$15)/AN$15*100</f>
        <v>7.1849388571632398</v>
      </c>
      <c r="AO466" s="18"/>
      <c r="AP466" s="18"/>
      <c r="AQ466" t="e">
        <f t="shared" si="29"/>
        <v>#DIV/0!</v>
      </c>
      <c r="AR466">
        <f>_xlfn.NORM.DIST(Table2912[[#This Row],[GP '[ml/g']]],O$6,O$2,FALSE)</f>
        <v>5.7826270292755302E-3</v>
      </c>
      <c r="AS466">
        <f>_xlfn.NORM.DIST(Table2912[[#This Row],[SCFA '[mmol/g']]],P$6,P$2,FALSE)</f>
        <v>4.5699938313101582E-2</v>
      </c>
      <c r="AT466">
        <f>_xlfn.NORM.DIST(Table2912[[#This Row],[Acetate '[%']]],Q$6,Q$2,FALSE)</f>
        <v>12.397319125148657</v>
      </c>
      <c r="AU466">
        <f>_xlfn.NORM.DIST(Table2912[[#This Row],[Propionate '[%']]],R$6,R$2,FALSE)</f>
        <v>16.037762236077338</v>
      </c>
      <c r="AV466">
        <f>_xlfn.NORM.DIST(Table2912[[#This Row],[Butyrate '[%']]],S$6,S$2,FALSE)</f>
        <v>22.956926917324608</v>
      </c>
      <c r="AW466">
        <f>_xlfn.NORM.DIST(Table2912[[#This Row],[Valerate '[%']]],T$6,T$2,FALSE)</f>
        <v>39.662016593874313</v>
      </c>
      <c r="AX466">
        <f>_xlfn.NORM.DIST(Table2912[[#This Row],[Caproate '[%']]],U$6,U$2,FALSE)</f>
        <v>395.27217574755622</v>
      </c>
      <c r="AY466">
        <f>_xlfn.NORM.DIST(Table2912[[#This Row],[Isobutyrate '[%']]],V$6,V$2,FALSE)</f>
        <v>76.273928245429261</v>
      </c>
      <c r="AZ466">
        <f>_xlfn.NORM.DIST(Table2912[[#This Row],[Isovalerate '[%']]],W$6,W$2,FALSE)</f>
        <v>45.42777936043462</v>
      </c>
      <c r="BA466">
        <f>_xlfn.NORM.DIST(Table2912[[#This Row],[CH4 '[g/mmol SCFA']]],X$6,X$2,FALSE)</f>
        <v>0.26530941275088005</v>
      </c>
      <c r="BB466">
        <f>_xlfn.NORM.DIST(Table2912[[#This Row],[DMD '[mg/g']]],Y$6,Y$2,FALSE)</f>
        <v>1.709450164996527E-3</v>
      </c>
      <c r="BC466">
        <f>_xlfn.NORM.DIST(Table2912[[#This Row],[CH4 '[ml/g']]],Z$6,Z$2,FALSE)</f>
        <v>2.524013931468122E-2</v>
      </c>
      <c r="BD466">
        <f>_xlfn.NORM.DIST(Table2912[[#This Row],[CH4 '[% GP']]],AA$6,AA$2,FALSE)</f>
        <v>0.12612024772498243</v>
      </c>
      <c r="BE466">
        <f>_xlfn.NORM.DIST(Table2912[[#This Row],[CH4 '[g/g DDM']]],AB$6,AB$2,FALSE)</f>
        <v>3.2588630081026825E-2</v>
      </c>
      <c r="BG466">
        <f>IF(Table2912[[#This Row],[GP '[ml/g']]]&lt;O$10,_xlfn.NORM.DIST(Table2912[[#This Row],[GP '[ml/g']]],O$6,O$2,FALSE),-100)</f>
        <v>-100</v>
      </c>
      <c r="BH466">
        <f>IF(Table2912[[#This Row],[SCFA '[mmol/g']]]&lt;P$10,_xlfn.NORM.DIST(Table2912[[#This Row],[SCFA '[mmol/g']]],P$6,P$2,FALSE),-100)</f>
        <v>-100</v>
      </c>
      <c r="BI466">
        <f>IF(Table2912[[#This Row],[Acetate '[%']]]&lt;Q$10,_xlfn.NORM.DIST(Table2912[[#This Row],[Acetate '[%']]],Q$6,Q$2,FALSE),-100)</f>
        <v>-100</v>
      </c>
      <c r="BJ466">
        <f>IF(Table2912[[#This Row],[Propionate '[%']]]&lt;R$10,_xlfn.NORM.DIST(Table2912[[#This Row],[Propionate '[%']]],R$6,R$2,FALSE),-100)</f>
        <v>-100</v>
      </c>
      <c r="BK466">
        <f>IF(Table2912[[#This Row],[Butyrate '[%']]]&lt;S$10,_xlfn.NORM.DIST(Table2912[[#This Row],[Butyrate '[%']]],S$6,S$2,FALSE),-100)</f>
        <v>-100</v>
      </c>
      <c r="BL466">
        <f>IF(Table2912[[#This Row],[Valerate '[%']]]&lt;T$10,_xlfn.NORM.DIST(Table2912[[#This Row],[Valerate '[%']]],T$6,T$2,FALSE),-100)</f>
        <v>-100</v>
      </c>
      <c r="BM466">
        <f>IF(Table2912[[#This Row],[Caproate '[%']]]&lt;U$10,_xlfn.NORM.DIST(Table2912[[#This Row],[Caproate '[%']]],U$6,U$2,FALSE),-100)</f>
        <v>-100</v>
      </c>
      <c r="BN466">
        <f>IF(Table2912[[#This Row],[Isobutyrate '[%']]]&lt;V$10,_xlfn.NORM.DIST(Table2912[[#This Row],[Isobutyrate '[%']]],V$6,V$2,FALSE),-100)</f>
        <v>-100</v>
      </c>
      <c r="BO466">
        <f>IF(Table2912[[#This Row],[Isovalerate '[%']]]&lt;W$10,_xlfn.NORM.DIST(Table2912[[#This Row],[Isovalerate '[%']]],W$6,W$2,FALSE),-100)</f>
        <v>-100</v>
      </c>
      <c r="BP466">
        <f>IF(Table2912[[#This Row],[CH4 '[g/mmol SCFA']]]&lt;X$10,_xlfn.NORM.DIST(Table2912[[#This Row],[CH4 '[g/mmol SCFA']]],X$6,X$2,FALSE),-100)</f>
        <v>-100</v>
      </c>
      <c r="BQ466">
        <f>IF(Table2912[[#This Row],[DMD '[mg/g']]]&gt;Y$10,_xlfn.NORM.DIST(Table2912[[#This Row],[DMD '[mg/g']]],Y$6,Y$2,FALSE),-100)</f>
        <v>1.709450164996527E-3</v>
      </c>
      <c r="BR466">
        <f>IF(Table2912[[#This Row],[CH4 '[ml/g']]]&lt;Z$10,_xlfn.NORM.DIST(Table2912[[#This Row],[CH4 '[ml/g']]],Z$6,Z$2,FALSE),-100)</f>
        <v>-100</v>
      </c>
      <c r="BS466">
        <f>IF(Table2912[[#This Row],[CH4 '[% GP']]]&lt;AA$10,_xlfn.NORM.DIST(Table2912[[#This Row],[CH4 '[% GP']]],AA$6,AA$2,FALSE),-100)</f>
        <v>-100</v>
      </c>
      <c r="BT466">
        <f>IF(Table2912[[#This Row],[CH4 '[g/g DDM']]]&lt;AB$10,_xlfn.NORM.DIST(Table2912[[#This Row],[CH4 '[g/g DDM']]],AB$6,AB$2,FALSE),-100)</f>
        <v>-100</v>
      </c>
    </row>
    <row r="467" spans="1:72" x14ac:dyDescent="0.25">
      <c r="A467" s="12" t="s">
        <v>200</v>
      </c>
      <c r="B467" s="13">
        <v>1196</v>
      </c>
      <c r="C467" s="113" t="s">
        <v>345</v>
      </c>
      <c r="D467" s="113" t="s">
        <v>346</v>
      </c>
      <c r="E467" s="113" t="s">
        <v>347</v>
      </c>
      <c r="F467" s="113" t="s">
        <v>348</v>
      </c>
      <c r="G467" s="99" t="s">
        <v>349</v>
      </c>
      <c r="H467" s="99" t="s">
        <v>350</v>
      </c>
      <c r="I467" s="99" t="s">
        <v>48</v>
      </c>
      <c r="J467" s="70">
        <v>2</v>
      </c>
      <c r="K467" s="70"/>
      <c r="L467" s="70"/>
      <c r="M467" t="s">
        <v>351</v>
      </c>
      <c r="N467" t="s">
        <v>208</v>
      </c>
      <c r="O467" s="18">
        <v>244.10821736249204</v>
      </c>
      <c r="P467" s="18">
        <v>5.6908848340102409</v>
      </c>
      <c r="Q467" s="97">
        <v>0.7171786919243297</v>
      </c>
      <c r="R467" s="97">
        <v>0.15103634621579243</v>
      </c>
      <c r="S467" s="97">
        <v>9.2830484577209077E-2</v>
      </c>
      <c r="T467" s="97">
        <v>1.1080981002144856E-2</v>
      </c>
      <c r="U467" s="97">
        <v>6.8749838799927652E-4</v>
      </c>
      <c r="V467" s="97">
        <v>1.0827739189547627E-2</v>
      </c>
      <c r="W467" s="97">
        <v>1.6358258702976795E-2</v>
      </c>
      <c r="X467" s="51">
        <f t="shared" si="30"/>
        <v>6.2958868833643784</v>
      </c>
      <c r="Y467" s="18">
        <v>917.58513823549379</v>
      </c>
      <c r="Z467" s="18">
        <v>35.829167181182342</v>
      </c>
      <c r="AA467" s="18">
        <f t="shared" si="31"/>
        <v>14.677575203450566</v>
      </c>
      <c r="AB467" s="18">
        <f t="shared" si="32"/>
        <v>39.047240074181495</v>
      </c>
      <c r="AC467" s="18">
        <f>$CP$15*Table2912[[#This Row],[DMD '[mg/g']]]+$CS$15*Table2912[[#This Row],[CH4 '[ml/g']]]+$CR$15*Table2912[[#This Row],[CH4 '[% GP']]]+$CQ$15*Table2912[[#This Row],[CH4 '[g/g DDM']]]</f>
        <v>31.38966193196292</v>
      </c>
      <c r="AD467" s="18">
        <f>_xlfn.RANK.AVG(Table2912[[#This Row],[Index]],Table2912[Index])</f>
        <v>40</v>
      </c>
      <c r="AE46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5.4691993900255049</v>
      </c>
      <c r="AF467" s="18">
        <f>Table2912[[#This Row],[CH4 '[ml/g']]]/Table2912[[#This Row],[APB]]</f>
        <v>6.5510808120336712</v>
      </c>
      <c r="AG467" s="18">
        <f>Table2912[[#This Row],[Propionate '[%']]]/Table2912[[#This Row],[Acetate '[%']]]</f>
        <v>0.21059792756883586</v>
      </c>
      <c r="AH467" s="51"/>
      <c r="AI467" s="18"/>
      <c r="AJ467" s="18"/>
      <c r="AK467" s="18">
        <f>(Table2912[[#This Row],[DMD '[mg/g']]]-$AK$15)/$AK$15*100</f>
        <v>87.151845785412291</v>
      </c>
      <c r="AL467" s="18">
        <f>(Table2912[[#This Row],[CH4 '[ml/g']]]-AL$15)/AL$15*100</f>
        <v>-8.9062906120002179</v>
      </c>
      <c r="AM467" s="18">
        <f>(Table2912[[#This Row],[CH4 '[% GP']]]-AM$15)/AM$15*100</f>
        <v>-5.4423355809139231</v>
      </c>
      <c r="AN467" s="18">
        <f>(Table2912[[#This Row],[CH4 '[g/g DDM']]]-AN$15)/AN$15*100</f>
        <v>-23.758977479471501</v>
      </c>
      <c r="AO467" s="18"/>
      <c r="AP467" s="18"/>
      <c r="AQ467" t="e">
        <f t="shared" si="29"/>
        <v>#DIV/0!</v>
      </c>
      <c r="AR467">
        <f>_xlfn.NORM.DIST(Table2912[[#This Row],[GP '[ml/g']]],O$6,O$2,FALSE)</f>
        <v>7.3114818218872552E-3</v>
      </c>
      <c r="AS467">
        <f>_xlfn.NORM.DIST(Table2912[[#This Row],[SCFA '[mmol/g']]],P$6,P$2,FALSE)</f>
        <v>0.25932355347851466</v>
      </c>
      <c r="AT467">
        <f>_xlfn.NORM.DIST(Table2912[[#This Row],[Acetate '[%']]],Q$6,Q$2,FALSE)</f>
        <v>4.2264835824858489</v>
      </c>
      <c r="AU467">
        <f>_xlfn.NORM.DIST(Table2912[[#This Row],[Propionate '[%']]],R$6,R$2,FALSE)</f>
        <v>11.432866666570561</v>
      </c>
      <c r="AV467">
        <f>_xlfn.NORM.DIST(Table2912[[#This Row],[Butyrate '[%']]],S$6,S$2,FALSE)</f>
        <v>23.02973137282023</v>
      </c>
      <c r="AW467">
        <f>_xlfn.NORM.DIST(Table2912[[#This Row],[Valerate '[%']]],T$6,T$2,FALSE)</f>
        <v>34.282784662676264</v>
      </c>
      <c r="AX467">
        <f>_xlfn.NORM.DIST(Table2912[[#This Row],[Caproate '[%']]],U$6,U$2,FALSE)</f>
        <v>327.607192179013</v>
      </c>
      <c r="AY467">
        <f>_xlfn.NORM.DIST(Table2912[[#This Row],[Isobutyrate '[%']]],V$6,V$2,FALSE)</f>
        <v>53.880587613489979</v>
      </c>
      <c r="AZ467">
        <f>_xlfn.NORM.DIST(Table2912[[#This Row],[Isovalerate '[%']]],W$6,W$2,FALSE)</f>
        <v>19.166760869798065</v>
      </c>
      <c r="BA467">
        <f>_xlfn.NORM.DIST(Table2912[[#This Row],[CH4 '[g/mmol SCFA']]],X$6,X$2,FALSE)</f>
        <v>0.29739285022401041</v>
      </c>
      <c r="BB467">
        <f>_xlfn.NORM.DIST(Table2912[[#This Row],[DMD '[mg/g']]],Y$6,Y$2,FALSE)</f>
        <v>1.7069125743892908E-3</v>
      </c>
      <c r="BC467">
        <f>_xlfn.NORM.DIST(Table2912[[#This Row],[CH4 '[ml/g']]],Z$6,Z$2,FALSE)</f>
        <v>3.0034455537627142E-2</v>
      </c>
      <c r="BD467">
        <f>_xlfn.NORM.DIST(Table2912[[#This Row],[CH4 '[% GP']]],AA$6,AA$2,FALSE)</f>
        <v>0.12065133473885828</v>
      </c>
      <c r="BE467">
        <f>_xlfn.NORM.DIST(Table2912[[#This Row],[CH4 '[g/g DDM']]],AB$6,AB$2,FALSE)</f>
        <v>1.6411778641083685E-2</v>
      </c>
      <c r="BG467">
        <f>IF(Table2912[[#This Row],[GP '[ml/g']]]&lt;O$10,_xlfn.NORM.DIST(Table2912[[#This Row],[GP '[ml/g']]],O$6,O$2,FALSE),-100)</f>
        <v>-100</v>
      </c>
      <c r="BH467">
        <f>IF(Table2912[[#This Row],[SCFA '[mmol/g']]]&lt;P$10,_xlfn.NORM.DIST(Table2912[[#This Row],[SCFA '[mmol/g']]],P$6,P$2,FALSE),-100)</f>
        <v>-100</v>
      </c>
      <c r="BI467">
        <f>IF(Table2912[[#This Row],[Acetate '[%']]]&lt;Q$10,_xlfn.NORM.DIST(Table2912[[#This Row],[Acetate '[%']]],Q$6,Q$2,FALSE),-100)</f>
        <v>-100</v>
      </c>
      <c r="BJ467">
        <f>IF(Table2912[[#This Row],[Propionate '[%']]]&lt;R$10,_xlfn.NORM.DIST(Table2912[[#This Row],[Propionate '[%']]],R$6,R$2,FALSE),-100)</f>
        <v>-100</v>
      </c>
      <c r="BK467">
        <f>IF(Table2912[[#This Row],[Butyrate '[%']]]&lt;S$10,_xlfn.NORM.DIST(Table2912[[#This Row],[Butyrate '[%']]],S$6,S$2,FALSE),-100)</f>
        <v>-100</v>
      </c>
      <c r="BL467">
        <f>IF(Table2912[[#This Row],[Valerate '[%']]]&lt;T$10,_xlfn.NORM.DIST(Table2912[[#This Row],[Valerate '[%']]],T$6,T$2,FALSE),-100)</f>
        <v>34.282784662676264</v>
      </c>
      <c r="BM467">
        <f>IF(Table2912[[#This Row],[Caproate '[%']]]&lt;U$10,_xlfn.NORM.DIST(Table2912[[#This Row],[Caproate '[%']]],U$6,U$2,FALSE),-100)</f>
        <v>-100</v>
      </c>
      <c r="BN467">
        <f>IF(Table2912[[#This Row],[Isobutyrate '[%']]]&lt;V$10,_xlfn.NORM.DIST(Table2912[[#This Row],[Isobutyrate '[%']]],V$6,V$2,FALSE),-100)</f>
        <v>53.880587613489979</v>
      </c>
      <c r="BO467">
        <f>IF(Table2912[[#This Row],[Isovalerate '[%']]]&lt;W$10,_xlfn.NORM.DIST(Table2912[[#This Row],[Isovalerate '[%']]],W$6,W$2,FALSE),-100)</f>
        <v>19.166760869798065</v>
      </c>
      <c r="BP467">
        <f>IF(Table2912[[#This Row],[CH4 '[g/mmol SCFA']]]&lt;X$10,_xlfn.NORM.DIST(Table2912[[#This Row],[CH4 '[g/mmol SCFA']]],X$6,X$2,FALSE),-100)</f>
        <v>-100</v>
      </c>
      <c r="BQ467">
        <f>IF(Table2912[[#This Row],[DMD '[mg/g']]]&gt;Y$10,_xlfn.NORM.DIST(Table2912[[#This Row],[DMD '[mg/g']]],Y$6,Y$2,FALSE),-100)</f>
        <v>1.7069125743892908E-3</v>
      </c>
      <c r="BR467">
        <f>IF(Table2912[[#This Row],[CH4 '[ml/g']]]&lt;Z$10,_xlfn.NORM.DIST(Table2912[[#This Row],[CH4 '[ml/g']]],Z$6,Z$2,FALSE),-100)</f>
        <v>-100</v>
      </c>
      <c r="BS467">
        <f>IF(Table2912[[#This Row],[CH4 '[% GP']]]&lt;AA$10,_xlfn.NORM.DIST(Table2912[[#This Row],[CH4 '[% GP']]],AA$6,AA$2,FALSE),-100)</f>
        <v>-100</v>
      </c>
      <c r="BT467">
        <f>IF(Table2912[[#This Row],[CH4 '[g/g DDM']]]&lt;AB$10,_xlfn.NORM.DIST(Table2912[[#This Row],[CH4 '[g/g DDM']]],AB$6,AB$2,FALSE),-100)</f>
        <v>-100</v>
      </c>
    </row>
    <row r="468" spans="1:72" x14ac:dyDescent="0.25">
      <c r="A468" s="12" t="s">
        <v>200</v>
      </c>
      <c r="B468" s="13">
        <v>1192</v>
      </c>
      <c r="C468" s="113" t="s">
        <v>527</v>
      </c>
      <c r="D468" s="113" t="s">
        <v>528</v>
      </c>
      <c r="E468" s="113" t="s">
        <v>529</v>
      </c>
      <c r="F468" s="113" t="s">
        <v>530</v>
      </c>
      <c r="G468" s="53" t="s">
        <v>349</v>
      </c>
      <c r="H468" s="53" t="s">
        <v>350</v>
      </c>
      <c r="I468" t="s">
        <v>48</v>
      </c>
      <c r="J468" s="70">
        <v>1</v>
      </c>
      <c r="K468" s="70"/>
      <c r="L468" s="70"/>
      <c r="M468" t="s">
        <v>531</v>
      </c>
      <c r="N468" t="s">
        <v>363</v>
      </c>
      <c r="O468" s="18">
        <v>275.16527777777731</v>
      </c>
      <c r="P468" s="18">
        <v>5.8897707231040561</v>
      </c>
      <c r="Q468" s="97">
        <v>0.68050980685731399</v>
      </c>
      <c r="R468" s="97">
        <v>0.21657433747567001</v>
      </c>
      <c r="S468" s="97">
        <v>7.6602036232969017E-2</v>
      </c>
      <c r="T468" s="97">
        <v>8.7962269800868388E-3</v>
      </c>
      <c r="U468" s="97">
        <v>2.0586914208713881E-4</v>
      </c>
      <c r="V468" s="97">
        <v>7.4112891151369969E-3</v>
      </c>
      <c r="W468" s="97">
        <v>9.9004341967360385E-3</v>
      </c>
      <c r="X468" s="51">
        <f t="shared" si="30"/>
        <v>6.449564510290517</v>
      </c>
      <c r="Y468" s="18">
        <v>918.01637266349019</v>
      </c>
      <c r="Z468" s="18">
        <v>37.986456229480034</v>
      </c>
      <c r="AA468" s="18">
        <f t="shared" si="31"/>
        <v>13.804959890381877</v>
      </c>
      <c r="AB468" s="18">
        <f t="shared" si="32"/>
        <v>41.378843951625704</v>
      </c>
      <c r="AC468" s="18">
        <f>$CP$15*Table2912[[#This Row],[DMD '[mg/g']]]+$CS$15*Table2912[[#This Row],[CH4 '[ml/g']]]+$CR$15*Table2912[[#This Row],[CH4 '[% GP']]]+$CQ$15*Table2912[[#This Row],[CH4 '[g/g DDM']]]</f>
        <v>30.889355043426043</v>
      </c>
      <c r="AD468" s="18">
        <f>_xlfn.RANK.AVG(Table2912[[#This Row],[Index]],Table2912[Index])</f>
        <v>43</v>
      </c>
      <c r="AE46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5.7347883597883591</v>
      </c>
      <c r="AF468" s="18">
        <f>Table2912[[#This Row],[CH4 '[ml/g']]]/Table2912[[#This Row],[APB]]</f>
        <v>6.623863662665646</v>
      </c>
      <c r="AG468" s="18">
        <f>Table2912[[#This Row],[Propionate '[%']]]/Table2912[[#This Row],[Acetate '[%']]]</f>
        <v>0.31825307334781772</v>
      </c>
      <c r="AH468" s="51"/>
      <c r="AI468" s="18"/>
      <c r="AJ468" s="18"/>
      <c r="AK468" s="18">
        <f>(Table2912[[#This Row],[DMD '[mg/g']]]-$AK$15)/$AK$15*100</f>
        <v>87.239800914372793</v>
      </c>
      <c r="AL468" s="18">
        <f>(Table2912[[#This Row],[CH4 '[ml/g']]]-AL$15)/AL$15*100</f>
        <v>-3.4215005068382021</v>
      </c>
      <c r="AM468" s="18">
        <f>(Table2912[[#This Row],[CH4 '[% GP']]]-AM$15)/AM$15*100</f>
        <v>-11.06400433725638</v>
      </c>
      <c r="AN468" s="18">
        <f>(Table2912[[#This Row],[CH4 '[g/g DDM']]]-AN$15)/AN$15*100</f>
        <v>-19.206444102171037</v>
      </c>
      <c r="AO468" s="18"/>
      <c r="AP468" s="18"/>
      <c r="AQ468" t="e">
        <f t="shared" si="29"/>
        <v>#DIV/0!</v>
      </c>
      <c r="AR468">
        <f>_xlfn.NORM.DIST(Table2912[[#This Row],[GP '[ml/g']]],O$6,O$2,FALSE)</f>
        <v>6.987834443840925E-3</v>
      </c>
      <c r="AS468">
        <f>_xlfn.NORM.DIST(Table2912[[#This Row],[SCFA '[mmol/g']]],P$6,P$2,FALSE)</f>
        <v>0.28756530629852323</v>
      </c>
      <c r="AT468">
        <f>_xlfn.NORM.DIST(Table2912[[#This Row],[Acetate '[%']]],Q$6,Q$2,FALSE)</f>
        <v>13.561935425425762</v>
      </c>
      <c r="AU468">
        <f>_xlfn.NORM.DIST(Table2912[[#This Row],[Propionate '[%']]],R$6,R$2,FALSE)</f>
        <v>2.8591178316911323</v>
      </c>
      <c r="AV468">
        <f>_xlfn.NORM.DIST(Table2912[[#This Row],[Butyrate '[%']]],S$6,S$2,FALSE)</f>
        <v>14.776221422738507</v>
      </c>
      <c r="AW468">
        <f>_xlfn.NORM.DIST(Table2912[[#This Row],[Valerate '[%']]],T$6,T$2,FALSE)</f>
        <v>17.650471081687414</v>
      </c>
      <c r="AX468">
        <f>_xlfn.NORM.DIST(Table2912[[#This Row],[Caproate '[%']]],U$6,U$2,FALSE)</f>
        <v>210.11975910941413</v>
      </c>
      <c r="AY468">
        <f>_xlfn.NORM.DIST(Table2912[[#This Row],[Isobutyrate '[%']]],V$6,V$2,FALSE)</f>
        <v>18.270119367100467</v>
      </c>
      <c r="AZ468">
        <f>_xlfn.NORM.DIST(Table2912[[#This Row],[Isovalerate '[%']]],W$6,W$2,FALSE)</f>
        <v>5.565829505743892</v>
      </c>
      <c r="BA468">
        <f>_xlfn.NORM.DIST(Table2912[[#This Row],[CH4 '[g/mmol SCFA']]],X$6,X$2,FALSE)</f>
        <v>0.29511597740334705</v>
      </c>
      <c r="BB468">
        <f>_xlfn.NORM.DIST(Table2912[[#This Row],[DMD '[mg/g']]],Y$6,Y$2,FALSE)</f>
        <v>1.7013448819534892E-3</v>
      </c>
      <c r="BC468">
        <f>_xlfn.NORM.DIST(Table2912[[#This Row],[CH4 '[ml/g']]],Z$6,Z$2,FALSE)</f>
        <v>3.2158429028361545E-2</v>
      </c>
      <c r="BD468">
        <f>_xlfn.NORM.DIST(Table2912[[#This Row],[CH4 '[% GP']]],AA$6,AA$2,FALSE)</f>
        <v>0.1005955569770544</v>
      </c>
      <c r="BE468">
        <f>_xlfn.NORM.DIST(Table2912[[#This Row],[CH4 '[g/g DDM']]],AB$6,AB$2,FALSE)</f>
        <v>2.0201865143859694E-2</v>
      </c>
      <c r="BG468">
        <f>IF(Table2912[[#This Row],[GP '[ml/g']]]&lt;O$10,_xlfn.NORM.DIST(Table2912[[#This Row],[GP '[ml/g']]],O$6,O$2,FALSE),-100)</f>
        <v>-100</v>
      </c>
      <c r="BH468">
        <f>IF(Table2912[[#This Row],[SCFA '[mmol/g']]]&lt;P$10,_xlfn.NORM.DIST(Table2912[[#This Row],[SCFA '[mmol/g']]],P$6,P$2,FALSE),-100)</f>
        <v>-100</v>
      </c>
      <c r="BI468">
        <f>IF(Table2912[[#This Row],[Acetate '[%']]]&lt;Q$10,_xlfn.NORM.DIST(Table2912[[#This Row],[Acetate '[%']]],Q$6,Q$2,FALSE),-100)</f>
        <v>-100</v>
      </c>
      <c r="BJ468">
        <f>IF(Table2912[[#This Row],[Propionate '[%']]]&lt;R$10,_xlfn.NORM.DIST(Table2912[[#This Row],[Propionate '[%']]],R$6,R$2,FALSE),-100)</f>
        <v>-100</v>
      </c>
      <c r="BK468">
        <f>IF(Table2912[[#This Row],[Butyrate '[%']]]&lt;S$10,_xlfn.NORM.DIST(Table2912[[#This Row],[Butyrate '[%']]],S$6,S$2,FALSE),-100)</f>
        <v>-100</v>
      </c>
      <c r="BL468">
        <f>IF(Table2912[[#This Row],[Valerate '[%']]]&lt;T$10,_xlfn.NORM.DIST(Table2912[[#This Row],[Valerate '[%']]],T$6,T$2,FALSE),-100)</f>
        <v>17.650471081687414</v>
      </c>
      <c r="BM468">
        <f>IF(Table2912[[#This Row],[Caproate '[%']]]&lt;U$10,_xlfn.NORM.DIST(Table2912[[#This Row],[Caproate '[%']]],U$6,U$2,FALSE),-100)</f>
        <v>210.11975910941413</v>
      </c>
      <c r="BN468">
        <f>IF(Table2912[[#This Row],[Isobutyrate '[%']]]&lt;V$10,_xlfn.NORM.DIST(Table2912[[#This Row],[Isobutyrate '[%']]],V$6,V$2,FALSE),-100)</f>
        <v>18.270119367100467</v>
      </c>
      <c r="BO468">
        <f>IF(Table2912[[#This Row],[Isovalerate '[%']]]&lt;W$10,_xlfn.NORM.DIST(Table2912[[#This Row],[Isovalerate '[%']]],W$6,W$2,FALSE),-100)</f>
        <v>5.565829505743892</v>
      </c>
      <c r="BP468">
        <f>IF(Table2912[[#This Row],[CH4 '[g/mmol SCFA']]]&lt;X$10,_xlfn.NORM.DIST(Table2912[[#This Row],[CH4 '[g/mmol SCFA']]],X$6,X$2,FALSE),-100)</f>
        <v>-100</v>
      </c>
      <c r="BQ468">
        <f>IF(Table2912[[#This Row],[DMD '[mg/g']]]&gt;Y$10,_xlfn.NORM.DIST(Table2912[[#This Row],[DMD '[mg/g']]],Y$6,Y$2,FALSE),-100)</f>
        <v>1.7013448819534892E-3</v>
      </c>
      <c r="BR468">
        <f>IF(Table2912[[#This Row],[CH4 '[ml/g']]]&lt;Z$10,_xlfn.NORM.DIST(Table2912[[#This Row],[CH4 '[ml/g']]],Z$6,Z$2,FALSE),-100)</f>
        <v>-100</v>
      </c>
      <c r="BS468">
        <f>IF(Table2912[[#This Row],[CH4 '[% GP']]]&lt;AA$10,_xlfn.NORM.DIST(Table2912[[#This Row],[CH4 '[% GP']]],AA$6,AA$2,FALSE),-100)</f>
        <v>-100</v>
      </c>
      <c r="BT468">
        <f>IF(Table2912[[#This Row],[CH4 '[g/g DDM']]]&lt;AB$10,_xlfn.NORM.DIST(Table2912[[#This Row],[CH4 '[g/g DDM']]],AB$6,AB$2,FALSE),-100)</f>
        <v>-100</v>
      </c>
    </row>
    <row r="469" spans="1:72" x14ac:dyDescent="0.25">
      <c r="A469" s="12" t="s">
        <v>200</v>
      </c>
      <c r="B469" s="13">
        <v>1256</v>
      </c>
      <c r="C469" s="113" t="s">
        <v>541</v>
      </c>
      <c r="D469" s="113" t="s">
        <v>542</v>
      </c>
      <c r="E469" s="113" t="s">
        <v>543</v>
      </c>
      <c r="F469" s="114" t="s">
        <v>544</v>
      </c>
      <c r="G469" t="s">
        <v>73</v>
      </c>
      <c r="H469" t="s">
        <v>74</v>
      </c>
      <c r="I469" t="s">
        <v>75</v>
      </c>
      <c r="J469" s="100">
        <v>1</v>
      </c>
      <c r="K469" s="100"/>
      <c r="L469" s="100"/>
      <c r="M469" t="s">
        <v>550</v>
      </c>
      <c r="N469" t="s">
        <v>363</v>
      </c>
      <c r="O469" s="18">
        <v>244.33497122620608</v>
      </c>
      <c r="P469" s="18">
        <v>6.1339540427355814</v>
      </c>
      <c r="Q469" s="97">
        <v>0.69968309279070917</v>
      </c>
      <c r="R469" s="97">
        <v>0.16635326387439686</v>
      </c>
      <c r="S469" s="97">
        <v>9.1885210215043325E-2</v>
      </c>
      <c r="T469" s="97">
        <v>1.3156240543870993E-2</v>
      </c>
      <c r="U469" s="97">
        <v>1.877659708294357E-3</v>
      </c>
      <c r="V469" s="97">
        <v>9.9857265292620997E-3</v>
      </c>
      <c r="W469" s="97">
        <v>1.7058806338423271E-2</v>
      </c>
      <c r="X469" s="51">
        <f t="shared" si="30"/>
        <v>6.4604539276880182</v>
      </c>
      <c r="Y469" s="18">
        <v>918.5985335553728</v>
      </c>
      <c r="Z469" s="18">
        <v>39.628127487648882</v>
      </c>
      <c r="AA469" s="18">
        <f t="shared" si="31"/>
        <v>16.218770194366094</v>
      </c>
      <c r="AB469" s="18">
        <f t="shared" si="32"/>
        <v>43.139767852960667</v>
      </c>
      <c r="AC469" s="18">
        <f>$CP$15*Table2912[[#This Row],[DMD '[mg/g']]]+$CS$15*Table2912[[#This Row],[CH4 '[ml/g']]]+$CR$15*Table2912[[#This Row],[CH4 '[% GP']]]+$CQ$15*Table2912[[#This Row],[CH4 '[g/g DDM']]]</f>
        <v>29.609033692834259</v>
      </c>
      <c r="AD469" s="18">
        <f>_xlfn.RANK.AVG(Table2912[[#This Row],[Index]],Table2912[Index])</f>
        <v>52</v>
      </c>
      <c r="AE46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5.8758468677880948</v>
      </c>
      <c r="AF469" s="18">
        <f>Table2912[[#This Row],[CH4 '[ml/g']]]/Table2912[[#This Row],[APB]]</f>
        <v>6.7442410224973246</v>
      </c>
      <c r="AG469" s="18">
        <f>Table2912[[#This Row],[Propionate '[%']]]/Table2912[[#This Row],[Acetate '[%']]]</f>
        <v>0.23775515742547296</v>
      </c>
      <c r="AH469" s="51"/>
      <c r="AI469" s="18"/>
      <c r="AJ469" s="18"/>
      <c r="AK469" s="18">
        <f>(Table2912[[#This Row],[DMD '[mg/g']]]-$AK$15)/$AK$15*100</f>
        <v>87.358539199159551</v>
      </c>
      <c r="AL469" s="18">
        <f>(Table2912[[#This Row],[CH4 '[ml/g']]]-AL$15)/AL$15*100</f>
        <v>0.75235940305128346</v>
      </c>
      <c r="AM469" s="18">
        <f>(Table2912[[#This Row],[CH4 '[% GP']]]-AM$15)/AM$15*100</f>
        <v>4.4865386871672719</v>
      </c>
      <c r="AN469" s="18">
        <f>(Table2912[[#This Row],[CH4 '[g/g DDM']]]-AN$15)/AN$15*100</f>
        <v>-15.768182177293365</v>
      </c>
      <c r="AO469" s="18"/>
      <c r="AP469" s="18"/>
      <c r="AQ469" t="e">
        <f t="shared" si="29"/>
        <v>#DIV/0!</v>
      </c>
      <c r="AR469">
        <f>_xlfn.NORM.DIST(Table2912[[#This Row],[GP '[ml/g']]],O$6,O$2,FALSE)</f>
        <v>7.318051975814038E-3</v>
      </c>
      <c r="AS469">
        <f>_xlfn.NORM.DIST(Table2912[[#This Row],[SCFA '[mmol/g']]],P$6,P$2,FALSE)</f>
        <v>0.3144217992113395</v>
      </c>
      <c r="AT469">
        <f>_xlfn.NORM.DIST(Table2912[[#This Row],[Acetate '[%']]],Q$6,Q$2,FALSE)</f>
        <v>9.0702047803074546</v>
      </c>
      <c r="AU469">
        <f>_xlfn.NORM.DIST(Table2912[[#This Row],[Propionate '[%']]],R$6,R$2,FALSE)</f>
        <v>16.344892254081802</v>
      </c>
      <c r="AV469">
        <f>_xlfn.NORM.DIST(Table2912[[#This Row],[Butyrate '[%']]],S$6,S$2,FALSE)</f>
        <v>22.9888535394782</v>
      </c>
      <c r="AW469">
        <f>_xlfn.NORM.DIST(Table2912[[#This Row],[Valerate '[%']]],T$6,T$2,FALSE)</f>
        <v>52.845952706832783</v>
      </c>
      <c r="AX469">
        <f>_xlfn.NORM.DIST(Table2912[[#This Row],[Caproate '[%']]],U$6,U$2,FALSE)</f>
        <v>348.73882410779663</v>
      </c>
      <c r="AY469">
        <f>_xlfn.NORM.DIST(Table2912[[#This Row],[Isobutyrate '[%']]],V$6,V$2,FALSE)</f>
        <v>43.622824276037292</v>
      </c>
      <c r="AZ469">
        <f>_xlfn.NORM.DIST(Table2912[[#This Row],[Isovalerate '[%']]],W$6,W$2,FALSE)</f>
        <v>21.216982938956324</v>
      </c>
      <c r="BA469">
        <f>_xlfn.NORM.DIST(Table2912[[#This Row],[CH4 '[g/mmol SCFA']]],X$6,X$2,FALSE)</f>
        <v>0.29480846248502923</v>
      </c>
      <c r="BB469">
        <f>_xlfn.NORM.DIST(Table2912[[#This Row],[DMD '[mg/g']]],Y$6,Y$2,FALSE)</f>
        <v>1.6938306703104334E-3</v>
      </c>
      <c r="BC469">
        <f>_xlfn.NORM.DIST(Table2912[[#This Row],[CH4 '[ml/g']]],Z$6,Z$2,FALSE)</f>
        <v>3.3137854499312967E-2</v>
      </c>
      <c r="BD469">
        <f>_xlfn.NORM.DIST(Table2912[[#This Row],[CH4 '[% GP']]],AA$6,AA$2,FALSE)</f>
        <v>0.13454299129383018</v>
      </c>
      <c r="BE469">
        <f>_xlfn.NORM.DIST(Table2912[[#This Row],[CH4 '[g/g DDM']]],AB$6,AB$2,FALSE)</f>
        <v>2.3063721647134598E-2</v>
      </c>
      <c r="BG469">
        <f>IF(Table2912[[#This Row],[GP '[ml/g']]]&lt;O$10,_xlfn.NORM.DIST(Table2912[[#This Row],[GP '[ml/g']]],O$6,O$2,FALSE),-100)</f>
        <v>-100</v>
      </c>
      <c r="BH469">
        <f>IF(Table2912[[#This Row],[SCFA '[mmol/g']]]&lt;P$10,_xlfn.NORM.DIST(Table2912[[#This Row],[SCFA '[mmol/g']]],P$6,P$2,FALSE),-100)</f>
        <v>-100</v>
      </c>
      <c r="BI469">
        <f>IF(Table2912[[#This Row],[Acetate '[%']]]&lt;Q$10,_xlfn.NORM.DIST(Table2912[[#This Row],[Acetate '[%']]],Q$6,Q$2,FALSE),-100)</f>
        <v>-100</v>
      </c>
      <c r="BJ469">
        <f>IF(Table2912[[#This Row],[Propionate '[%']]]&lt;R$10,_xlfn.NORM.DIST(Table2912[[#This Row],[Propionate '[%']]],R$6,R$2,FALSE),-100)</f>
        <v>-100</v>
      </c>
      <c r="BK469">
        <f>IF(Table2912[[#This Row],[Butyrate '[%']]]&lt;S$10,_xlfn.NORM.DIST(Table2912[[#This Row],[Butyrate '[%']]],S$6,S$2,FALSE),-100)</f>
        <v>-100</v>
      </c>
      <c r="BL469">
        <f>IF(Table2912[[#This Row],[Valerate '[%']]]&lt;T$10,_xlfn.NORM.DIST(Table2912[[#This Row],[Valerate '[%']]],T$6,T$2,FALSE),-100)</f>
        <v>-100</v>
      </c>
      <c r="BM469">
        <f>IF(Table2912[[#This Row],[Caproate '[%']]]&lt;U$10,_xlfn.NORM.DIST(Table2912[[#This Row],[Caproate '[%']]],U$6,U$2,FALSE),-100)</f>
        <v>-100</v>
      </c>
      <c r="BN469">
        <f>IF(Table2912[[#This Row],[Isobutyrate '[%']]]&lt;V$10,_xlfn.NORM.DIST(Table2912[[#This Row],[Isobutyrate '[%']]],V$6,V$2,FALSE),-100)</f>
        <v>43.622824276037292</v>
      </c>
      <c r="BO469">
        <f>IF(Table2912[[#This Row],[Isovalerate '[%']]]&lt;W$10,_xlfn.NORM.DIST(Table2912[[#This Row],[Isovalerate '[%']]],W$6,W$2,FALSE),-100)</f>
        <v>21.216982938956324</v>
      </c>
      <c r="BP469">
        <f>IF(Table2912[[#This Row],[CH4 '[g/mmol SCFA']]]&lt;X$10,_xlfn.NORM.DIST(Table2912[[#This Row],[CH4 '[g/mmol SCFA']]],X$6,X$2,FALSE),-100)</f>
        <v>-100</v>
      </c>
      <c r="BQ469">
        <f>IF(Table2912[[#This Row],[DMD '[mg/g']]]&gt;Y$10,_xlfn.NORM.DIST(Table2912[[#This Row],[DMD '[mg/g']]],Y$6,Y$2,FALSE),-100)</f>
        <v>1.6938306703104334E-3</v>
      </c>
      <c r="BR469">
        <f>IF(Table2912[[#This Row],[CH4 '[ml/g']]]&lt;Z$10,_xlfn.NORM.DIST(Table2912[[#This Row],[CH4 '[ml/g']]],Z$6,Z$2,FALSE),-100)</f>
        <v>-100</v>
      </c>
      <c r="BS469">
        <f>IF(Table2912[[#This Row],[CH4 '[% GP']]]&lt;AA$10,_xlfn.NORM.DIST(Table2912[[#This Row],[CH4 '[% GP']]],AA$6,AA$2,FALSE),-100)</f>
        <v>-100</v>
      </c>
      <c r="BT469">
        <f>IF(Table2912[[#This Row],[CH4 '[g/g DDM']]]&lt;AB$10,_xlfn.NORM.DIST(Table2912[[#This Row],[CH4 '[g/g DDM']]],AB$6,AB$2,FALSE),-100)</f>
        <v>-100</v>
      </c>
    </row>
    <row r="470" spans="1:72" x14ac:dyDescent="0.25">
      <c r="A470" s="12" t="s">
        <v>200</v>
      </c>
      <c r="B470" s="13">
        <v>1209</v>
      </c>
      <c r="C470" s="113" t="s">
        <v>519</v>
      </c>
      <c r="D470" s="113" t="s">
        <v>391</v>
      </c>
      <c r="E470" s="113" t="s">
        <v>392</v>
      </c>
      <c r="F470" s="113" t="s">
        <v>393</v>
      </c>
      <c r="G470" t="s">
        <v>143</v>
      </c>
      <c r="H470" t="s">
        <v>144</v>
      </c>
      <c r="I470" t="s">
        <v>52</v>
      </c>
      <c r="J470" s="70">
        <v>2</v>
      </c>
      <c r="K470" s="70"/>
      <c r="L470" s="70"/>
      <c r="M470" t="s">
        <v>520</v>
      </c>
      <c r="N470" t="s">
        <v>237</v>
      </c>
      <c r="O470" s="18">
        <v>351.2418871252209</v>
      </c>
      <c r="P470" s="18">
        <v>8.888347823114227</v>
      </c>
      <c r="Q470" s="97">
        <v>0.66960278983408794</v>
      </c>
      <c r="R470" s="97">
        <v>0.17641139771013292</v>
      </c>
      <c r="S470" s="97">
        <v>0.10198934495168296</v>
      </c>
      <c r="T470" s="97">
        <v>1.3047231483730748E-2</v>
      </c>
      <c r="U470" s="97">
        <v>2.1102733099655968E-3</v>
      </c>
      <c r="V470" s="97">
        <v>1.3270688063898479E-2</v>
      </c>
      <c r="W470" s="97">
        <v>2.3568274646501318E-2</v>
      </c>
      <c r="X470" s="51">
        <f t="shared" si="30"/>
        <v>7.3056430782416415</v>
      </c>
      <c r="Y470" s="18">
        <v>918.79148390082798</v>
      </c>
      <c r="Z470" s="18">
        <v>64.935096750938612</v>
      </c>
      <c r="AA470" s="18">
        <f t="shared" si="31"/>
        <v>18.487287288656624</v>
      </c>
      <c r="AB470" s="18">
        <f t="shared" si="32"/>
        <v>70.674465195573731</v>
      </c>
      <c r="AC470" s="18">
        <f>$CP$15*Table2912[[#This Row],[DMD '[mg/g']]]+$CS$15*Table2912[[#This Row],[CH4 '[ml/g']]]+$CR$15*Table2912[[#This Row],[CH4 '[% GP']]]+$CQ$15*Table2912[[#This Row],[CH4 '[g/g DDM']]]</f>
        <v>19.559757392270392</v>
      </c>
      <c r="AD470" s="18">
        <f>_xlfn.RANK.AVG(Table2912[[#This Row],[Index]],Table2912[Index])</f>
        <v>171</v>
      </c>
      <c r="AE47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8.4261851343645642</v>
      </c>
      <c r="AF470" s="18">
        <f>Table2912[[#This Row],[CH4 '[ml/g']]]/Table2912[[#This Row],[APB]]</f>
        <v>7.7063458392473949</v>
      </c>
      <c r="AG470" s="18">
        <f>Table2912[[#This Row],[Propionate '[%']]]/Table2912[[#This Row],[Acetate '[%']]]</f>
        <v>0.26345678421358365</v>
      </c>
      <c r="AH470" s="51"/>
      <c r="AI470" s="18"/>
      <c r="AJ470" s="18"/>
      <c r="AK470" s="18">
        <f>(Table2912[[#This Row],[DMD '[mg/g']]]-$AK$15)/$AK$15*100</f>
        <v>87.397893599958067</v>
      </c>
      <c r="AL470" s="18">
        <f>(Table2912[[#This Row],[CH4 '[ml/g']]]-AL$15)/AL$15*100</f>
        <v>65.09395271733618</v>
      </c>
      <c r="AM470" s="18">
        <f>(Table2912[[#This Row],[CH4 '[% GP']]]-AM$15)/AM$15*100</f>
        <v>19.101056082414942</v>
      </c>
      <c r="AN470" s="18">
        <f>(Table2912[[#This Row],[CH4 '[g/g DDM']]]-AN$15)/AN$15*100</f>
        <v>37.994221419117636</v>
      </c>
      <c r="AO470" s="18"/>
      <c r="AP470" s="18"/>
      <c r="AQ470" t="e">
        <f t="shared" si="29"/>
        <v>#DIV/0!</v>
      </c>
      <c r="AR470">
        <f>_xlfn.NORM.DIST(Table2912[[#This Row],[GP '[ml/g']]],O$6,O$2,FALSE)</f>
        <v>1.4928693331193279E-3</v>
      </c>
      <c r="AS470">
        <f>_xlfn.NORM.DIST(Table2912[[#This Row],[SCFA '[mmol/g']]],P$6,P$2,FALSE)</f>
        <v>4.8668997396278606E-2</v>
      </c>
      <c r="AT470">
        <f>_xlfn.NORM.DIST(Table2912[[#This Row],[Acetate '[%']]],Q$6,Q$2,FALSE)</f>
        <v>13.919750256618089</v>
      </c>
      <c r="AU470">
        <f>_xlfn.NORM.DIST(Table2912[[#This Row],[Propionate '[%']]],R$6,R$2,FALSE)</f>
        <v>16.486796460448655</v>
      </c>
      <c r="AV470">
        <f>_xlfn.NORM.DIST(Table2912[[#This Row],[Butyrate '[%']]],S$6,S$2,FALSE)</f>
        <v>20.081539799740142</v>
      </c>
      <c r="AW470">
        <f>_xlfn.NORM.DIST(Table2912[[#This Row],[Valerate '[%']]],T$6,T$2,FALSE)</f>
        <v>51.867054137353513</v>
      </c>
      <c r="AX470">
        <f>_xlfn.NORM.DIST(Table2912[[#This Row],[Caproate '[%']]],U$6,U$2,FALSE)</f>
        <v>297.19318047293308</v>
      </c>
      <c r="AY470">
        <f>_xlfn.NORM.DIST(Table2912[[#This Row],[Isobutyrate '[%']]],V$6,V$2,FALSE)</f>
        <v>81.009702279886753</v>
      </c>
      <c r="AZ470">
        <f>_xlfn.NORM.DIST(Table2912[[#This Row],[Isovalerate '[%']]],W$6,W$2,FALSE)</f>
        <v>40.236857209786045</v>
      </c>
      <c r="BA470">
        <f>_xlfn.NORM.DIST(Table2912[[#This Row],[CH4 '[g/mmol SCFA']]],X$6,X$2,FALSE)</f>
        <v>0.22237155847424203</v>
      </c>
      <c r="BB470">
        <f>_xlfn.NORM.DIST(Table2912[[#This Row],[DMD '[mg/g']]],Y$6,Y$2,FALSE)</f>
        <v>1.6913407461065419E-3</v>
      </c>
      <c r="BC470">
        <f>_xlfn.NORM.DIST(Table2912[[#This Row],[CH4 '[ml/g']]],Z$6,Z$2,FALSE)</f>
        <v>4.7485725032555097E-3</v>
      </c>
      <c r="BD470">
        <f>_xlfn.NORM.DIST(Table2912[[#This Row],[CH4 '[% GP']]],AA$6,AA$2,FALSE)</f>
        <v>9.6499775521246431E-2</v>
      </c>
      <c r="BE470">
        <f>_xlfn.NORM.DIST(Table2912[[#This Row],[CH4 '[g/g DDM']]],AB$6,AB$2,FALSE)</f>
        <v>1.1880061369761918E-2</v>
      </c>
      <c r="BG470">
        <f>IF(Table2912[[#This Row],[GP '[ml/g']]]&lt;O$10,_xlfn.NORM.DIST(Table2912[[#This Row],[GP '[ml/g']]],O$6,O$2,FALSE),-100)</f>
        <v>-100</v>
      </c>
      <c r="BH470">
        <f>IF(Table2912[[#This Row],[SCFA '[mmol/g']]]&lt;P$10,_xlfn.NORM.DIST(Table2912[[#This Row],[SCFA '[mmol/g']]],P$6,P$2,FALSE),-100)</f>
        <v>-100</v>
      </c>
      <c r="BI470">
        <f>IF(Table2912[[#This Row],[Acetate '[%']]]&lt;Q$10,_xlfn.NORM.DIST(Table2912[[#This Row],[Acetate '[%']]],Q$6,Q$2,FALSE),-100)</f>
        <v>-100</v>
      </c>
      <c r="BJ470">
        <f>IF(Table2912[[#This Row],[Propionate '[%']]]&lt;R$10,_xlfn.NORM.DIST(Table2912[[#This Row],[Propionate '[%']]],R$6,R$2,FALSE),-100)</f>
        <v>-100</v>
      </c>
      <c r="BK470">
        <f>IF(Table2912[[#This Row],[Butyrate '[%']]]&lt;S$10,_xlfn.NORM.DIST(Table2912[[#This Row],[Butyrate '[%']]],S$6,S$2,FALSE),-100)</f>
        <v>-100</v>
      </c>
      <c r="BL470">
        <f>IF(Table2912[[#This Row],[Valerate '[%']]]&lt;T$10,_xlfn.NORM.DIST(Table2912[[#This Row],[Valerate '[%']]],T$6,T$2,FALSE),-100)</f>
        <v>-100</v>
      </c>
      <c r="BM470">
        <f>IF(Table2912[[#This Row],[Caproate '[%']]]&lt;U$10,_xlfn.NORM.DIST(Table2912[[#This Row],[Caproate '[%']]],U$6,U$2,FALSE),-100)</f>
        <v>-100</v>
      </c>
      <c r="BN470">
        <f>IF(Table2912[[#This Row],[Isobutyrate '[%']]]&lt;V$10,_xlfn.NORM.DIST(Table2912[[#This Row],[Isobutyrate '[%']]],V$6,V$2,FALSE),-100)</f>
        <v>-100</v>
      </c>
      <c r="BO470">
        <f>IF(Table2912[[#This Row],[Isovalerate '[%']]]&lt;W$10,_xlfn.NORM.DIST(Table2912[[#This Row],[Isovalerate '[%']]],W$6,W$2,FALSE),-100)</f>
        <v>-100</v>
      </c>
      <c r="BP470">
        <f>IF(Table2912[[#This Row],[CH4 '[g/mmol SCFA']]]&lt;X$10,_xlfn.NORM.DIST(Table2912[[#This Row],[CH4 '[g/mmol SCFA']]],X$6,X$2,FALSE),-100)</f>
        <v>-100</v>
      </c>
      <c r="BQ470">
        <f>IF(Table2912[[#This Row],[DMD '[mg/g']]]&gt;Y$10,_xlfn.NORM.DIST(Table2912[[#This Row],[DMD '[mg/g']]],Y$6,Y$2,FALSE),-100)</f>
        <v>1.6913407461065419E-3</v>
      </c>
      <c r="BR470">
        <f>IF(Table2912[[#This Row],[CH4 '[ml/g']]]&lt;Z$10,_xlfn.NORM.DIST(Table2912[[#This Row],[CH4 '[ml/g']]],Z$6,Z$2,FALSE),-100)</f>
        <v>-100</v>
      </c>
      <c r="BS470">
        <f>IF(Table2912[[#This Row],[CH4 '[% GP']]]&lt;AA$10,_xlfn.NORM.DIST(Table2912[[#This Row],[CH4 '[% GP']]],AA$6,AA$2,FALSE),-100)</f>
        <v>-100</v>
      </c>
      <c r="BT470">
        <f>IF(Table2912[[#This Row],[CH4 '[g/g DDM']]]&lt;AB$10,_xlfn.NORM.DIST(Table2912[[#This Row],[CH4 '[g/g DDM']]],AB$6,AB$2,FALSE),-100)</f>
        <v>-100</v>
      </c>
    </row>
    <row r="471" spans="1:72" x14ac:dyDescent="0.25">
      <c r="A471" s="12" t="s">
        <v>200</v>
      </c>
      <c r="B471" s="13">
        <v>1197</v>
      </c>
      <c r="C471" s="119" t="s">
        <v>534</v>
      </c>
      <c r="D471" s="119" t="s">
        <v>535</v>
      </c>
      <c r="E471" s="119" t="s">
        <v>536</v>
      </c>
      <c r="F471" s="131" t="s">
        <v>537</v>
      </c>
      <c r="G471" t="s">
        <v>538</v>
      </c>
      <c r="H471" t="s">
        <v>539</v>
      </c>
      <c r="I471" s="53" t="s">
        <v>48</v>
      </c>
      <c r="J471" s="100">
        <v>1</v>
      </c>
      <c r="K471" s="100"/>
      <c r="L471" s="100"/>
      <c r="M471" t="s">
        <v>540</v>
      </c>
      <c r="N471" t="s">
        <v>363</v>
      </c>
      <c r="O471" s="18">
        <v>219.6879188712519</v>
      </c>
      <c r="P471" s="18">
        <v>7.0433201058201051</v>
      </c>
      <c r="Q471" s="97">
        <v>0.58880698624348571</v>
      </c>
      <c r="R471" s="97">
        <v>0.19201214454512736</v>
      </c>
      <c r="S471" s="97">
        <v>0.14218194907429144</v>
      </c>
      <c r="T471" s="97">
        <v>4.4274379078830001E-2</v>
      </c>
      <c r="U471" s="97">
        <v>3.9594973159929265E-3</v>
      </c>
      <c r="V471" s="97">
        <v>1.2363647745590562E-2</v>
      </c>
      <c r="W471" s="97">
        <v>1.6401395996682163E-2</v>
      </c>
      <c r="X471" s="51">
        <f t="shared" si="30"/>
        <v>3.0126500595948738</v>
      </c>
      <c r="Y471" s="18">
        <v>918.95070459426915</v>
      </c>
      <c r="Z471" s="18">
        <v>21.219058736544714</v>
      </c>
      <c r="AA471" s="18">
        <f t="shared" si="31"/>
        <v>9.6587280928179506</v>
      </c>
      <c r="AB471" s="18">
        <f t="shared" si="32"/>
        <v>23.090529916850386</v>
      </c>
      <c r="AC471" s="18">
        <f>$CP$15*Table2912[[#This Row],[DMD '[mg/g']]]+$CS$15*Table2912[[#This Row],[CH4 '[ml/g']]]+$CR$15*Table2912[[#This Row],[CH4 '[% GP']]]+$CQ$15*Table2912[[#This Row],[CH4 '[g/g DDM']]]</f>
        <v>38.438511845299345</v>
      </c>
      <c r="AD471" s="18">
        <f>_xlfn.RANK.AVG(Table2912[[#This Row],[Index]],Table2912[Index])</f>
        <v>6</v>
      </c>
      <c r="AE47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6.5009920634920633</v>
      </c>
      <c r="AF471" s="18">
        <f>Table2912[[#This Row],[CH4 '[ml/g']]]/Table2912[[#This Row],[APB]]</f>
        <v>3.2639724105657062</v>
      </c>
      <c r="AG471" s="18">
        <f>Table2912[[#This Row],[Propionate '[%']]]/Table2912[[#This Row],[Acetate '[%']]]</f>
        <v>0.32610371315418762</v>
      </c>
      <c r="AH471" s="51"/>
      <c r="AI471" s="18"/>
      <c r="AJ471" s="18"/>
      <c r="AK471" s="18">
        <f>(Table2912[[#This Row],[DMD '[mg/g']]]-$AK$15)/$AK$15*100</f>
        <v>87.430368457519563</v>
      </c>
      <c r="AL471" s="18">
        <f>(Table2912[[#This Row],[CH4 '[ml/g']]]-AL$15)/AL$15*100</f>
        <v>-46.051696924485512</v>
      </c>
      <c r="AM471" s="18">
        <f>(Table2912[[#This Row],[CH4 '[% GP']]]-AM$15)/AM$15*100</f>
        <v>-37.775364318953116</v>
      </c>
      <c r="AN471" s="18">
        <f>(Table2912[[#This Row],[CH4 '[g/g DDM']]]-AN$15)/AN$15*100</f>
        <v>-54.914979700049138</v>
      </c>
      <c r="AO471" s="18"/>
      <c r="AP471" s="18"/>
      <c r="AQ471" t="e">
        <f t="shared" si="29"/>
        <v>#DIV/0!</v>
      </c>
      <c r="AR471">
        <f>_xlfn.NORM.DIST(Table2912[[#This Row],[GP '[ml/g']]],O$6,O$2,FALSE)</f>
        <v>5.9710427628976341E-3</v>
      </c>
      <c r="AS471">
        <f>_xlfn.NORM.DIST(Table2912[[#This Row],[SCFA '[mmol/g']]],P$6,P$2,FALSE)</f>
        <v>0.30440805205654481</v>
      </c>
      <c r="AT471">
        <f>_xlfn.NORM.DIST(Table2912[[#This Row],[Acetate '[%']]],Q$6,Q$2,FALSE)</f>
        <v>0.1731557595826895</v>
      </c>
      <c r="AU471">
        <f>_xlfn.NORM.DIST(Table2912[[#This Row],[Propionate '[%']]],R$6,R$2,FALSE)</f>
        <v>11.721295797342467</v>
      </c>
      <c r="AV471">
        <f>_xlfn.NORM.DIST(Table2912[[#This Row],[Butyrate '[%']]],S$6,S$2,FALSE)</f>
        <v>0.40395493073024874</v>
      </c>
      <c r="AW471">
        <f>_xlfn.NORM.DIST(Table2912[[#This Row],[Valerate '[%']]],T$6,T$2,FALSE)</f>
        <v>1.2572074627451463E-4</v>
      </c>
      <c r="AX471">
        <f>_xlfn.NORM.DIST(Table2912[[#This Row],[Caproate '[%']]],U$6,U$2,FALSE)</f>
        <v>11.249223152860377</v>
      </c>
      <c r="AY471">
        <f>_xlfn.NORM.DIST(Table2912[[#This Row],[Isobutyrate '[%']]],V$6,V$2,FALSE)</f>
        <v>72.149003019639494</v>
      </c>
      <c r="AZ471">
        <f>_xlfn.NORM.DIST(Table2912[[#This Row],[Isovalerate '[%']]],W$6,W$2,FALSE)</f>
        <v>19.290623045637975</v>
      </c>
      <c r="BA471">
        <f>_xlfn.NORM.DIST(Table2912[[#This Row],[CH4 '[g/mmol SCFA']]],X$6,X$2,FALSE)</f>
        <v>1.523553905328129E-2</v>
      </c>
      <c r="BB471">
        <f>_xlfn.NORM.DIST(Table2912[[#This Row],[DMD '[mg/g']]],Y$6,Y$2,FALSE)</f>
        <v>1.6892863117135557E-3</v>
      </c>
      <c r="BC471">
        <f>_xlfn.NORM.DIST(Table2912[[#This Row],[CH4 '[ml/g']]],Z$6,Z$2,FALSE)</f>
        <v>7.9692209828546579E-3</v>
      </c>
      <c r="BD471">
        <f>_xlfn.NORM.DIST(Table2912[[#This Row],[CH4 '[% GP']]],AA$6,AA$2,FALSE)</f>
        <v>1.29467627188996E-2</v>
      </c>
      <c r="BE471">
        <f>_xlfn.NORM.DIST(Table2912[[#This Row],[CH4 '[g/g DDM']]],AB$6,AB$2,FALSE)</f>
        <v>1.4719712456550882E-3</v>
      </c>
      <c r="BG471">
        <f>IF(Table2912[[#This Row],[GP '[ml/g']]]&lt;O$10,_xlfn.NORM.DIST(Table2912[[#This Row],[GP '[ml/g']]],O$6,O$2,FALSE),-100)</f>
        <v>-100</v>
      </c>
      <c r="BH471">
        <f>IF(Table2912[[#This Row],[SCFA '[mmol/g']]]&lt;P$10,_xlfn.NORM.DIST(Table2912[[#This Row],[SCFA '[mmol/g']]],P$6,P$2,FALSE),-100)</f>
        <v>-100</v>
      </c>
      <c r="BI471">
        <f>IF(Table2912[[#This Row],[Acetate '[%']]]&lt;Q$10,_xlfn.NORM.DIST(Table2912[[#This Row],[Acetate '[%']]],Q$6,Q$2,FALSE),-100)</f>
        <v>0.1731557595826895</v>
      </c>
      <c r="BJ471">
        <f>IF(Table2912[[#This Row],[Propionate '[%']]]&lt;R$10,_xlfn.NORM.DIST(Table2912[[#This Row],[Propionate '[%']]],R$6,R$2,FALSE),-100)</f>
        <v>-100</v>
      </c>
      <c r="BK471">
        <f>IF(Table2912[[#This Row],[Butyrate '[%']]]&lt;S$10,_xlfn.NORM.DIST(Table2912[[#This Row],[Butyrate '[%']]],S$6,S$2,FALSE),-100)</f>
        <v>-100</v>
      </c>
      <c r="BL471">
        <f>IF(Table2912[[#This Row],[Valerate '[%']]]&lt;T$10,_xlfn.NORM.DIST(Table2912[[#This Row],[Valerate '[%']]],T$6,T$2,FALSE),-100)</f>
        <v>-100</v>
      </c>
      <c r="BM471">
        <f>IF(Table2912[[#This Row],[Caproate '[%']]]&lt;U$10,_xlfn.NORM.DIST(Table2912[[#This Row],[Caproate '[%']]],U$6,U$2,FALSE),-100)</f>
        <v>-100</v>
      </c>
      <c r="BN471">
        <f>IF(Table2912[[#This Row],[Isobutyrate '[%']]]&lt;V$10,_xlfn.NORM.DIST(Table2912[[#This Row],[Isobutyrate '[%']]],V$6,V$2,FALSE),-100)</f>
        <v>-100</v>
      </c>
      <c r="BO471">
        <f>IF(Table2912[[#This Row],[Isovalerate '[%']]]&lt;W$10,_xlfn.NORM.DIST(Table2912[[#This Row],[Isovalerate '[%']]],W$6,W$2,FALSE),-100)</f>
        <v>19.290623045637975</v>
      </c>
      <c r="BP471">
        <f>IF(Table2912[[#This Row],[CH4 '[g/mmol SCFA']]]&lt;X$10,_xlfn.NORM.DIST(Table2912[[#This Row],[CH4 '[g/mmol SCFA']]],X$6,X$2,FALSE),-100)</f>
        <v>1.523553905328129E-2</v>
      </c>
      <c r="BQ471">
        <f>IF(Table2912[[#This Row],[DMD '[mg/g']]]&gt;Y$10,_xlfn.NORM.DIST(Table2912[[#This Row],[DMD '[mg/g']]],Y$6,Y$2,FALSE),-100)</f>
        <v>1.6892863117135557E-3</v>
      </c>
      <c r="BR471">
        <f>IF(Table2912[[#This Row],[CH4 '[ml/g']]]&lt;Z$10,_xlfn.NORM.DIST(Table2912[[#This Row],[CH4 '[ml/g']]],Z$6,Z$2,FALSE),-100)</f>
        <v>7.9692209828546579E-3</v>
      </c>
      <c r="BS471">
        <f>IF(Table2912[[#This Row],[CH4 '[% GP']]]&lt;AA$10,_xlfn.NORM.DIST(Table2912[[#This Row],[CH4 '[% GP']]],AA$6,AA$2,FALSE),-100)</f>
        <v>1.29467627188996E-2</v>
      </c>
      <c r="BT471">
        <f>IF(Table2912[[#This Row],[CH4 '[g/g DDM']]]&lt;AB$10,_xlfn.NORM.DIST(Table2912[[#This Row],[CH4 '[g/g DDM']]],AB$6,AB$2,FALSE),-100)</f>
        <v>1.4719712456550882E-3</v>
      </c>
    </row>
    <row r="472" spans="1:72" x14ac:dyDescent="0.25">
      <c r="A472" s="12" t="s">
        <v>86</v>
      </c>
      <c r="B472" s="13">
        <v>1079</v>
      </c>
      <c r="C472" s="104" t="s">
        <v>516</v>
      </c>
      <c r="D472" s="104" t="s">
        <v>494</v>
      </c>
      <c r="E472" s="104" t="s">
        <v>517</v>
      </c>
      <c r="F472" s="104" t="s">
        <v>518</v>
      </c>
      <c r="G472" s="32" t="s">
        <v>73</v>
      </c>
      <c r="H472" s="32" t="s">
        <v>74</v>
      </c>
      <c r="I472" s="104" t="s">
        <v>75</v>
      </c>
      <c r="J472" s="107">
        <v>2</v>
      </c>
      <c r="K472" s="107"/>
      <c r="L472" s="107"/>
      <c r="M472" t="s">
        <v>518</v>
      </c>
      <c r="N472" t="s">
        <v>124</v>
      </c>
      <c r="O472" s="18">
        <v>300.56019438921942</v>
      </c>
      <c r="P472" s="18">
        <v>7.2903911194189455</v>
      </c>
      <c r="Q472" s="97">
        <v>0.67190326753583451</v>
      </c>
      <c r="R472" s="97">
        <v>0.15056029663237999</v>
      </c>
      <c r="S472" s="97">
        <v>0.11421609935627342</v>
      </c>
      <c r="T472" s="97">
        <v>1.9164815026899772E-2</v>
      </c>
      <c r="U472" s="97">
        <v>1.3172754107140302E-3</v>
      </c>
      <c r="V472" s="97">
        <v>1.4860478279121309E-2</v>
      </c>
      <c r="W472" s="97">
        <v>2.7977767758776879E-2</v>
      </c>
      <c r="X472" s="51">
        <f t="shared" si="30"/>
        <v>7.2547535846168181</v>
      </c>
      <c r="Y472" s="18">
        <v>919.62457217738279</v>
      </c>
      <c r="Z472" s="18">
        <v>52.889991106863214</v>
      </c>
      <c r="AA472" s="18">
        <f t="shared" si="31"/>
        <v>17.597137643041229</v>
      </c>
      <c r="AB472" s="18">
        <f t="shared" si="32"/>
        <v>57.512590144950444</v>
      </c>
      <c r="AC472" s="18">
        <f>$CP$15*Table2912[[#This Row],[DMD '[mg/g']]]+$CS$15*Table2912[[#This Row],[CH4 '[ml/g']]]+$CR$15*Table2912[[#This Row],[CH4 '[% GP']]]+$CQ$15*Table2912[[#This Row],[CH4 '[g/g DDM']]]</f>
        <v>24.385194801628764</v>
      </c>
      <c r="AD472" s="18">
        <f>_xlfn.RANK.AVG(Table2912[[#This Row],[Index]],Table2912[Index])</f>
        <v>97</v>
      </c>
      <c r="AE47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6.8287611006992526</v>
      </c>
      <c r="AF472" s="18">
        <f>Table2912[[#This Row],[CH4 '[ml/g']]]/Table2912[[#This Row],[APB]]</f>
        <v>7.7451810550888034</v>
      </c>
      <c r="AG472" s="18">
        <f>Table2912[[#This Row],[Propionate '[%']]]/Table2912[[#This Row],[Acetate '[%']]]</f>
        <v>0.22408031618085589</v>
      </c>
      <c r="AH472" s="51"/>
      <c r="AI472" s="18"/>
      <c r="AJ472" s="18"/>
      <c r="AK472" s="18">
        <f>(Table2912[[#This Row],[DMD '[mg/g']]]-$AK$15)/$AK$15*100</f>
        <v>87.567811357082206</v>
      </c>
      <c r="AL472" s="18">
        <f>(Table2912[[#This Row],[CH4 '[ml/g']]]-AL$15)/AL$15*100</f>
        <v>34.469926556174592</v>
      </c>
      <c r="AM472" s="18">
        <f>(Table2912[[#This Row],[CH4 '[% GP']]]-AM$15)/AM$15*100</f>
        <v>13.366425511209886</v>
      </c>
      <c r="AN472" s="18">
        <f>(Table2912[[#This Row],[CH4 '[g/g DDM']]]-AN$15)/AN$15*100</f>
        <v>12.295226810521422</v>
      </c>
      <c r="AO472" s="18"/>
      <c r="AP472" s="18"/>
      <c r="AQ472" t="e">
        <f t="shared" si="29"/>
        <v>#DIV/0!</v>
      </c>
      <c r="AR472">
        <f>_xlfn.NORM.DIST(Table2912[[#This Row],[GP '[ml/g']]],O$6,O$2,FALSE)</f>
        <v>5.2339767379571446E-3</v>
      </c>
      <c r="AS472">
        <f>_xlfn.NORM.DIST(Table2912[[#This Row],[SCFA '[mmol/g']]],P$6,P$2,FALSE)</f>
        <v>0.27319669555575599</v>
      </c>
      <c r="AT472">
        <f>_xlfn.NORM.DIST(Table2912[[#This Row],[Acetate '[%']]],Q$6,Q$2,FALSE)</f>
        <v>14.013965003507026</v>
      </c>
      <c r="AU472">
        <f>_xlfn.NORM.DIST(Table2912[[#This Row],[Propionate '[%']]],R$6,R$2,FALSE)</f>
        <v>11.231522386651863</v>
      </c>
      <c r="AV472">
        <f>_xlfn.NORM.DIST(Table2912[[#This Row],[Butyrate '[%']]],S$6,S$2,FALSE)</f>
        <v>10.818371340720125</v>
      </c>
      <c r="AW472">
        <f>_xlfn.NORM.DIST(Table2912[[#This Row],[Valerate '[%']]],T$6,T$2,FALSE)</f>
        <v>74.162464153451737</v>
      </c>
      <c r="AX472">
        <f>_xlfn.NORM.DIST(Table2912[[#This Row],[Caproate '[%']]],U$6,U$2,FALSE)</f>
        <v>406.86152223283966</v>
      </c>
      <c r="AY472">
        <f>_xlfn.NORM.DIST(Table2912[[#This Row],[Isobutyrate '[%']]],V$6,V$2,FALSE)</f>
        <v>89.678468414903179</v>
      </c>
      <c r="AZ472">
        <f>_xlfn.NORM.DIST(Table2912[[#This Row],[Isovalerate '[%']]],W$6,W$2,FALSE)</f>
        <v>45.427882832543979</v>
      </c>
      <c r="BA472">
        <f>_xlfn.NORM.DIST(Table2912[[#This Row],[CH4 '[g/mmol SCFA']]],X$6,X$2,FALSE)</f>
        <v>0.22873402903477733</v>
      </c>
      <c r="BB472">
        <f>_xlfn.NORM.DIST(Table2912[[#This Row],[DMD '[mg/g']]],Y$6,Y$2,FALSE)</f>
        <v>1.6805937471120556E-3</v>
      </c>
      <c r="BC472">
        <f>_xlfn.NORM.DIST(Table2912[[#This Row],[CH4 '[ml/g']]],Z$6,Z$2,FALSE)</f>
        <v>2.1029932409133281E-2</v>
      </c>
      <c r="BD472">
        <f>_xlfn.NORM.DIST(Table2912[[#This Row],[CH4 '[% GP']]],AA$6,AA$2,FALSE)</f>
        <v>0.1179080620041449</v>
      </c>
      <c r="BE472">
        <f>_xlfn.NORM.DIST(Table2912[[#This Row],[CH4 '[g/g DDM']]],AB$6,AB$2,FALSE)</f>
        <v>3.0981336811297042E-2</v>
      </c>
      <c r="BG472">
        <f>IF(Table2912[[#This Row],[GP '[ml/g']]]&lt;O$10,_xlfn.NORM.DIST(Table2912[[#This Row],[GP '[ml/g']]],O$6,O$2,FALSE),-100)</f>
        <v>-100</v>
      </c>
      <c r="BH472">
        <f>IF(Table2912[[#This Row],[SCFA '[mmol/g']]]&lt;P$10,_xlfn.NORM.DIST(Table2912[[#This Row],[SCFA '[mmol/g']]],P$6,P$2,FALSE),-100)</f>
        <v>-100</v>
      </c>
      <c r="BI472">
        <f>IF(Table2912[[#This Row],[Acetate '[%']]]&lt;Q$10,_xlfn.NORM.DIST(Table2912[[#This Row],[Acetate '[%']]],Q$6,Q$2,FALSE),-100)</f>
        <v>-100</v>
      </c>
      <c r="BJ472">
        <f>IF(Table2912[[#This Row],[Propionate '[%']]]&lt;R$10,_xlfn.NORM.DIST(Table2912[[#This Row],[Propionate '[%']]],R$6,R$2,FALSE),-100)</f>
        <v>-100</v>
      </c>
      <c r="BK472">
        <f>IF(Table2912[[#This Row],[Butyrate '[%']]]&lt;S$10,_xlfn.NORM.DIST(Table2912[[#This Row],[Butyrate '[%']]],S$6,S$2,FALSE),-100)</f>
        <v>-100</v>
      </c>
      <c r="BL472">
        <f>IF(Table2912[[#This Row],[Valerate '[%']]]&lt;T$10,_xlfn.NORM.DIST(Table2912[[#This Row],[Valerate '[%']]],T$6,T$2,FALSE),-100)</f>
        <v>-100</v>
      </c>
      <c r="BM472">
        <f>IF(Table2912[[#This Row],[Caproate '[%']]]&lt;U$10,_xlfn.NORM.DIST(Table2912[[#This Row],[Caproate '[%']]],U$6,U$2,FALSE),-100)</f>
        <v>-100</v>
      </c>
      <c r="BN472">
        <f>IF(Table2912[[#This Row],[Isobutyrate '[%']]]&lt;V$10,_xlfn.NORM.DIST(Table2912[[#This Row],[Isobutyrate '[%']]],V$6,V$2,FALSE),-100)</f>
        <v>-100</v>
      </c>
      <c r="BO472">
        <f>IF(Table2912[[#This Row],[Isovalerate '[%']]]&lt;W$10,_xlfn.NORM.DIST(Table2912[[#This Row],[Isovalerate '[%']]],W$6,W$2,FALSE),-100)</f>
        <v>-100</v>
      </c>
      <c r="BP472">
        <f>IF(Table2912[[#This Row],[CH4 '[g/mmol SCFA']]]&lt;X$10,_xlfn.NORM.DIST(Table2912[[#This Row],[CH4 '[g/mmol SCFA']]],X$6,X$2,FALSE),-100)</f>
        <v>-100</v>
      </c>
      <c r="BQ472">
        <f>IF(Table2912[[#This Row],[DMD '[mg/g']]]&gt;Y$10,_xlfn.NORM.DIST(Table2912[[#This Row],[DMD '[mg/g']]],Y$6,Y$2,FALSE),-100)</f>
        <v>1.6805937471120556E-3</v>
      </c>
      <c r="BR472">
        <f>IF(Table2912[[#This Row],[CH4 '[ml/g']]]&lt;Z$10,_xlfn.NORM.DIST(Table2912[[#This Row],[CH4 '[ml/g']]],Z$6,Z$2,FALSE),-100)</f>
        <v>-100</v>
      </c>
      <c r="BS472">
        <f>IF(Table2912[[#This Row],[CH4 '[% GP']]]&lt;AA$10,_xlfn.NORM.DIST(Table2912[[#This Row],[CH4 '[% GP']]],AA$6,AA$2,FALSE),-100)</f>
        <v>-100</v>
      </c>
      <c r="BT472">
        <f>IF(Table2912[[#This Row],[CH4 '[g/g DDM']]]&lt;AB$10,_xlfn.NORM.DIST(Table2912[[#This Row],[CH4 '[g/g DDM']]],AB$6,AB$2,FALSE),-100)</f>
        <v>-100</v>
      </c>
    </row>
    <row r="473" spans="1:72" x14ac:dyDescent="0.25">
      <c r="A473" s="12" t="s">
        <v>200</v>
      </c>
      <c r="B473" s="13">
        <v>1200</v>
      </c>
      <c r="C473" s="113" t="s">
        <v>551</v>
      </c>
      <c r="D473" s="113" t="s">
        <v>262</v>
      </c>
      <c r="E473" s="113" t="s">
        <v>411</v>
      </c>
      <c r="F473" s="113" t="s">
        <v>412</v>
      </c>
      <c r="G473" t="s">
        <v>73</v>
      </c>
      <c r="H473" t="s">
        <v>74</v>
      </c>
      <c r="I473" t="s">
        <v>75</v>
      </c>
      <c r="J473" s="70">
        <v>3</v>
      </c>
      <c r="K473" s="70"/>
      <c r="L473" s="70"/>
      <c r="M473" t="s">
        <v>552</v>
      </c>
      <c r="N473" t="s">
        <v>237</v>
      </c>
      <c r="O473" s="18">
        <v>287.98884523029898</v>
      </c>
      <c r="P473" s="18">
        <v>8.192713320479271</v>
      </c>
      <c r="Q473" s="97">
        <v>0.64433461920269652</v>
      </c>
      <c r="R473" s="97">
        <v>0.17665811835919143</v>
      </c>
      <c r="S473" s="97">
        <v>9.8913702821179006E-2</v>
      </c>
      <c r="T473" s="97">
        <v>2.0029042431579824E-2</v>
      </c>
      <c r="U473" s="97">
        <v>3.2188333576594437E-3</v>
      </c>
      <c r="V473" s="97">
        <v>1.9789671274153858E-2</v>
      </c>
      <c r="W473" s="97">
        <v>3.705601255353988E-2</v>
      </c>
      <c r="X473" s="51">
        <f t="shared" si="30"/>
        <v>7.0696601504954355</v>
      </c>
      <c r="Y473" s="18">
        <v>919.94736617816011</v>
      </c>
      <c r="Z473" s="18">
        <v>57.91969888622544</v>
      </c>
      <c r="AA473" s="18">
        <f t="shared" si="31"/>
        <v>20.111785524160911</v>
      </c>
      <c r="AB473" s="18">
        <f t="shared" si="32"/>
        <v>62.959796414057578</v>
      </c>
      <c r="AC473" s="18">
        <f>$CP$15*Table2912[[#This Row],[DMD '[mg/g']]]+$CS$15*Table2912[[#This Row],[CH4 '[ml/g']]]+$CR$15*Table2912[[#This Row],[CH4 '[% GP']]]+$CQ$15*Table2912[[#This Row],[CH4 '[g/g DDM']]]</f>
        <v>21.805195486603999</v>
      </c>
      <c r="AD473" s="18">
        <f>_xlfn.RANK.AVG(Table2912[[#This Row],[Index]],Table2912[Index])</f>
        <v>137</v>
      </c>
      <c r="AE47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7.5365297477210227</v>
      </c>
      <c r="AF473" s="18">
        <f>Table2912[[#This Row],[CH4 '[ml/g']]]/Table2912[[#This Row],[APB]]</f>
        <v>7.6851947547529846</v>
      </c>
      <c r="AG473" s="18">
        <f>Table2912[[#This Row],[Propionate '[%']]]/Table2912[[#This Row],[Acetate '[%']]]</f>
        <v>0.27417139029063692</v>
      </c>
      <c r="AH473" s="51"/>
      <c r="AI473" s="18"/>
      <c r="AJ473" s="18"/>
      <c r="AK473" s="18">
        <f>(Table2912[[#This Row],[DMD '[mg/g']]]-$AK$15)/$AK$15*100</f>
        <v>87.633648836937326</v>
      </c>
      <c r="AL473" s="18">
        <f>(Table2912[[#This Row],[CH4 '[ml/g']]]-AL$15)/AL$15*100</f>
        <v>47.257685100571344</v>
      </c>
      <c r="AM473" s="18">
        <f>(Table2912[[#This Row],[CH4 '[% GP']]]-AM$15)/AM$15*100</f>
        <v>29.566596668853219</v>
      </c>
      <c r="AN473" s="18">
        <f>(Table2912[[#This Row],[CH4 '[g/g DDM']]]-AN$15)/AN$15*100</f>
        <v>22.931076490242138</v>
      </c>
      <c r="AO473" s="18"/>
      <c r="AP473" s="18"/>
      <c r="AQ473" t="e">
        <f t="shared" si="29"/>
        <v>#DIV/0!</v>
      </c>
      <c r="AR473">
        <f>_xlfn.NORM.DIST(Table2912[[#This Row],[GP '[ml/g']]],O$6,O$2,FALSE)</f>
        <v>6.2125485232953515E-3</v>
      </c>
      <c r="AS473">
        <f>_xlfn.NORM.DIST(Table2912[[#This Row],[SCFA '[mmol/g']]],P$6,P$2,FALSE)</f>
        <v>0.12830070262266305</v>
      </c>
      <c r="AT473">
        <f>_xlfn.NORM.DIST(Table2912[[#This Row],[Acetate '[%']]],Q$6,Q$2,FALSE)</f>
        <v>8.4033215149721077</v>
      </c>
      <c r="AU473">
        <f>_xlfn.NORM.DIST(Table2912[[#This Row],[Propionate '[%']]],R$6,R$2,FALSE)</f>
        <v>16.453199554986881</v>
      </c>
      <c r="AV473">
        <f>_xlfn.NORM.DIST(Table2912[[#This Row],[Butyrate '[%']]],S$6,S$2,FALSE)</f>
        <v>21.692730087248083</v>
      </c>
      <c r="AW473">
        <f>_xlfn.NORM.DIST(Table2912[[#This Row],[Valerate '[%']]],T$6,T$2,FALSE)</f>
        <v>69.632104918448704</v>
      </c>
      <c r="AX473">
        <f>_xlfn.NORM.DIST(Table2912[[#This Row],[Caproate '[%']]],U$6,U$2,FALSE)</f>
        <v>63.992377302949947</v>
      </c>
      <c r="AY473">
        <f>_xlfn.NORM.DIST(Table2912[[#This Row],[Isobutyrate '[%']]],V$6,V$2,FALSE)</f>
        <v>54.101513099635007</v>
      </c>
      <c r="AZ473">
        <f>_xlfn.NORM.DIST(Table2912[[#This Row],[Isovalerate '[%']]],W$6,W$2,FALSE)</f>
        <v>26.364809422649884</v>
      </c>
      <c r="BA473">
        <f>_xlfn.NORM.DIST(Table2912[[#This Row],[CH4 '[g/mmol SCFA']]],X$6,X$2,FALSE)</f>
        <v>0.25039200164792363</v>
      </c>
      <c r="BB473">
        <f>_xlfn.NORM.DIST(Table2912[[#This Row],[DMD '[mg/g']]],Y$6,Y$2,FALSE)</f>
        <v>1.6764313122773107E-3</v>
      </c>
      <c r="BC473">
        <f>_xlfn.NORM.DIST(Table2912[[#This Row],[CH4 '[ml/g']]],Z$6,Z$2,FALSE)</f>
        <v>1.2794360088665066E-2</v>
      </c>
      <c r="BD473">
        <f>_xlfn.NORM.DIST(Table2912[[#This Row],[CH4 '[% GP']]],AA$6,AA$2,FALSE)</f>
        <v>5.3035950058426963E-2</v>
      </c>
      <c r="BE473">
        <f>_xlfn.NORM.DIST(Table2912[[#This Row],[CH4 '[g/g DDM']]],AB$6,AB$2,FALSE)</f>
        <v>2.4026868505069982E-2</v>
      </c>
      <c r="BG473">
        <f>IF(Table2912[[#This Row],[GP '[ml/g']]]&lt;O$10,_xlfn.NORM.DIST(Table2912[[#This Row],[GP '[ml/g']]],O$6,O$2,FALSE),-100)</f>
        <v>-100</v>
      </c>
      <c r="BH473">
        <f>IF(Table2912[[#This Row],[SCFA '[mmol/g']]]&lt;P$10,_xlfn.NORM.DIST(Table2912[[#This Row],[SCFA '[mmol/g']]],P$6,P$2,FALSE),-100)</f>
        <v>-100</v>
      </c>
      <c r="BI473">
        <f>IF(Table2912[[#This Row],[Acetate '[%']]]&lt;Q$10,_xlfn.NORM.DIST(Table2912[[#This Row],[Acetate '[%']]],Q$6,Q$2,FALSE),-100)</f>
        <v>8.4033215149721077</v>
      </c>
      <c r="BJ473">
        <f>IF(Table2912[[#This Row],[Propionate '[%']]]&lt;R$10,_xlfn.NORM.DIST(Table2912[[#This Row],[Propionate '[%']]],R$6,R$2,FALSE),-100)</f>
        <v>-100</v>
      </c>
      <c r="BK473">
        <f>IF(Table2912[[#This Row],[Butyrate '[%']]]&lt;S$10,_xlfn.NORM.DIST(Table2912[[#This Row],[Butyrate '[%']]],S$6,S$2,FALSE),-100)</f>
        <v>-100</v>
      </c>
      <c r="BL473">
        <f>IF(Table2912[[#This Row],[Valerate '[%']]]&lt;T$10,_xlfn.NORM.DIST(Table2912[[#This Row],[Valerate '[%']]],T$6,T$2,FALSE),-100)</f>
        <v>-100</v>
      </c>
      <c r="BM473">
        <f>IF(Table2912[[#This Row],[Caproate '[%']]]&lt;U$10,_xlfn.NORM.DIST(Table2912[[#This Row],[Caproate '[%']]],U$6,U$2,FALSE),-100)</f>
        <v>-100</v>
      </c>
      <c r="BN473">
        <f>IF(Table2912[[#This Row],[Isobutyrate '[%']]]&lt;V$10,_xlfn.NORM.DIST(Table2912[[#This Row],[Isobutyrate '[%']]],V$6,V$2,FALSE),-100)</f>
        <v>-100</v>
      </c>
      <c r="BO473">
        <f>IF(Table2912[[#This Row],[Isovalerate '[%']]]&lt;W$10,_xlfn.NORM.DIST(Table2912[[#This Row],[Isovalerate '[%']]],W$6,W$2,FALSE),-100)</f>
        <v>-100</v>
      </c>
      <c r="BP473">
        <f>IF(Table2912[[#This Row],[CH4 '[g/mmol SCFA']]]&lt;X$10,_xlfn.NORM.DIST(Table2912[[#This Row],[CH4 '[g/mmol SCFA']]],X$6,X$2,FALSE),-100)</f>
        <v>-100</v>
      </c>
      <c r="BQ473">
        <f>IF(Table2912[[#This Row],[DMD '[mg/g']]]&gt;Y$10,_xlfn.NORM.DIST(Table2912[[#This Row],[DMD '[mg/g']]],Y$6,Y$2,FALSE),-100)</f>
        <v>1.6764313122773107E-3</v>
      </c>
      <c r="BR473">
        <f>IF(Table2912[[#This Row],[CH4 '[ml/g']]]&lt;Z$10,_xlfn.NORM.DIST(Table2912[[#This Row],[CH4 '[ml/g']]],Z$6,Z$2,FALSE),-100)</f>
        <v>-100</v>
      </c>
      <c r="BS473">
        <f>IF(Table2912[[#This Row],[CH4 '[% GP']]]&lt;AA$10,_xlfn.NORM.DIST(Table2912[[#This Row],[CH4 '[% GP']]],AA$6,AA$2,FALSE),-100)</f>
        <v>-100</v>
      </c>
      <c r="BT473">
        <f>IF(Table2912[[#This Row],[CH4 '[g/g DDM']]]&lt;AB$10,_xlfn.NORM.DIST(Table2912[[#This Row],[CH4 '[g/g DDM']]],AB$6,AB$2,FALSE),-100)</f>
        <v>-100</v>
      </c>
    </row>
    <row r="474" spans="1:72" x14ac:dyDescent="0.25">
      <c r="A474" s="12" t="s">
        <v>86</v>
      </c>
      <c r="B474" s="13">
        <v>1083</v>
      </c>
      <c r="C474" s="104" t="s">
        <v>422</v>
      </c>
      <c r="D474" s="104" t="s">
        <v>164</v>
      </c>
      <c r="E474" s="104" t="s">
        <v>423</v>
      </c>
      <c r="F474" s="104" t="s">
        <v>424</v>
      </c>
      <c r="G474" s="32" t="s">
        <v>143</v>
      </c>
      <c r="H474" s="32" t="s">
        <v>144</v>
      </c>
      <c r="I474" s="32" t="s">
        <v>52</v>
      </c>
      <c r="J474" s="100">
        <v>2</v>
      </c>
      <c r="K474" s="100"/>
      <c r="L474" s="100"/>
      <c r="M474" s="118" t="s">
        <v>424</v>
      </c>
      <c r="N474" t="s">
        <v>145</v>
      </c>
      <c r="O474" s="18">
        <v>319.96192680776011</v>
      </c>
      <c r="P474" s="18">
        <v>6.3784474096559087</v>
      </c>
      <c r="Q474" s="97">
        <v>0.64345171476284435</v>
      </c>
      <c r="R474" s="97">
        <v>0.18887841876380088</v>
      </c>
      <c r="S474" s="97">
        <v>0.10946157911039914</v>
      </c>
      <c r="T474" s="97">
        <v>1.4827237393296829E-2</v>
      </c>
      <c r="U474" s="97">
        <v>1.3737466058486833E-4</v>
      </c>
      <c r="V474" s="97">
        <v>1.468078320267897E-2</v>
      </c>
      <c r="W474" s="97">
        <v>2.8562892106394906E-2</v>
      </c>
      <c r="X474" s="51">
        <f t="shared" si="30"/>
        <v>7.3903926795857586</v>
      </c>
      <c r="Y474" s="132">
        <v>920.58983349377343</v>
      </c>
      <c r="Z474" s="18">
        <v>47.139231043443772</v>
      </c>
      <c r="AA474" s="18">
        <f t="shared" si="31"/>
        <v>14.732762586395481</v>
      </c>
      <c r="AB474" s="18">
        <f t="shared" si="32"/>
        <v>51.205465592144854</v>
      </c>
      <c r="AC474" s="18">
        <f>$CP$15*Table2912[[#This Row],[DMD '[mg/g']]]+$CS$15*Table2912[[#This Row],[CH4 '[ml/g']]]+$CR$15*Table2912[[#This Row],[CH4 '[% GP']]]+$CQ$15*Table2912[[#This Row],[CH4 '[g/g DDM']]]</f>
        <v>27.473009505896016</v>
      </c>
      <c r="AD474" s="18">
        <f>_xlfn.RANK.AVG(Table2912[[#This Row],[Index]],Table2912[Index])</f>
        <v>65</v>
      </c>
      <c r="AE47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6.0071689099051575</v>
      </c>
      <c r="AF474" s="18">
        <f>Table2912[[#This Row],[CH4 '[ml/g']]]/Table2912[[#This Row],[APB]]</f>
        <v>7.847162573657017</v>
      </c>
      <c r="AG474" s="18">
        <f>Table2912[[#This Row],[Propionate '[%']]]/Table2912[[#This Row],[Acetate '[%']]]</f>
        <v>0.29353938210175629</v>
      </c>
      <c r="AH474" s="51"/>
      <c r="AI474" s="18"/>
      <c r="AJ474" s="18"/>
      <c r="AK474" s="18">
        <f>(Table2912[[#This Row],[DMD '[mg/g']]]-$AK$15)/$AK$15*100</f>
        <v>87.76468729752645</v>
      </c>
      <c r="AL474" s="18">
        <f>(Table2912[[#This Row],[CH4 '[ml/g']]]-AL$15)/AL$15*100</f>
        <v>19.848931785959035</v>
      </c>
      <c r="AM474" s="18">
        <f>(Table2912[[#This Row],[CH4 '[% GP']]]-AM$15)/AM$15*100</f>
        <v>-5.0868006942354977</v>
      </c>
      <c r="AN474" s="18">
        <f>(Table2912[[#This Row],[CH4 '[g/g DDM']]]-AN$15)/AN$15*100</f>
        <v>-1.9641645141356526E-2</v>
      </c>
      <c r="AO474" s="18"/>
      <c r="AP474" s="18"/>
      <c r="AQ474" t="e">
        <f t="shared" si="29"/>
        <v>#DIV/0!</v>
      </c>
      <c r="AR474">
        <f>_xlfn.NORM.DIST(Table2912[[#This Row],[GP '[ml/g']]],O$6,O$2,FALSE)</f>
        <v>3.6024380073174643E-3</v>
      </c>
      <c r="AS474">
        <f>_xlfn.NORM.DIST(Table2912[[#This Row],[SCFA '[mmol/g']]],P$6,P$2,FALSE)</f>
        <v>0.32982949497475933</v>
      </c>
      <c r="AT474">
        <f>_xlfn.NORM.DIST(Table2912[[#This Row],[Acetate '[%']]],Q$6,Q$2,FALSE)</f>
        <v>8.1394373217698419</v>
      </c>
      <c r="AU474">
        <f>_xlfn.NORM.DIST(Table2912[[#This Row],[Propionate '[%']]],R$6,R$2,FALSE)</f>
        <v>12.994667655119889</v>
      </c>
      <c r="AV474">
        <f>_xlfn.NORM.DIST(Table2912[[#This Row],[Butyrate '[%']]],S$6,S$2,FALSE)</f>
        <v>14.599320445509955</v>
      </c>
      <c r="AW474">
        <f>_xlfn.NORM.DIST(Table2912[[#This Row],[Valerate '[%']]],T$6,T$2,FALSE)</f>
        <v>66.554385806736391</v>
      </c>
      <c r="AX474">
        <f>_xlfn.NORM.DIST(Table2912[[#This Row],[Caproate '[%']]],U$6,U$2,FALSE)</f>
        <v>193.42973069481562</v>
      </c>
      <c r="AY474">
        <f>_xlfn.NORM.DIST(Table2912[[#This Row],[Isobutyrate '[%']]],V$6,V$2,FALSE)</f>
        <v>89.229386622083638</v>
      </c>
      <c r="AZ474">
        <f>_xlfn.NORM.DIST(Table2912[[#This Row],[Isovalerate '[%']]],W$6,W$2,FALSE)</f>
        <v>45.298727130730903</v>
      </c>
      <c r="BA474">
        <f>_xlfn.NORM.DIST(Table2912[[#This Row],[CH4 '[g/mmol SCFA']]],X$6,X$2,FALSE)</f>
        <v>0.21148943825941391</v>
      </c>
      <c r="BB474">
        <f>_xlfn.NORM.DIST(Table2912[[#This Row],[DMD '[mg/g']]],Y$6,Y$2,FALSE)</f>
        <v>1.6681497022008622E-3</v>
      </c>
      <c r="BC474">
        <f>_xlfn.NORM.DIST(Table2912[[#This Row],[CH4 '[ml/g']]],Z$6,Z$2,FALSE)</f>
        <v>2.9828834312059085E-2</v>
      </c>
      <c r="BD474">
        <f>_xlfn.NORM.DIST(Table2912[[#This Row],[CH4 '[% GP']]],AA$6,AA$2,FALSE)</f>
        <v>0.12169074834199735</v>
      </c>
      <c r="BE474">
        <f>_xlfn.NORM.DIST(Table2912[[#This Row],[CH4 '[g/g DDM']]],AB$6,AB$2,FALSE)</f>
        <v>3.2341859840457218E-2</v>
      </c>
      <c r="BG474">
        <f>IF(Table2912[[#This Row],[GP '[ml/g']]]&lt;O$10,_xlfn.NORM.DIST(Table2912[[#This Row],[GP '[ml/g']]],O$6,O$2,FALSE),-100)</f>
        <v>-100</v>
      </c>
      <c r="BH474">
        <f>IF(Table2912[[#This Row],[SCFA '[mmol/g']]]&lt;P$10,_xlfn.NORM.DIST(Table2912[[#This Row],[SCFA '[mmol/g']]],P$6,P$2,FALSE),-100)</f>
        <v>-100</v>
      </c>
      <c r="BI474">
        <f>IF(Table2912[[#This Row],[Acetate '[%']]]&lt;Q$10,_xlfn.NORM.DIST(Table2912[[#This Row],[Acetate '[%']]],Q$6,Q$2,FALSE),-100)</f>
        <v>8.1394373217698419</v>
      </c>
      <c r="BJ474">
        <f>IF(Table2912[[#This Row],[Propionate '[%']]]&lt;R$10,_xlfn.NORM.DIST(Table2912[[#This Row],[Propionate '[%']]],R$6,R$2,FALSE),-100)</f>
        <v>-100</v>
      </c>
      <c r="BK474">
        <f>IF(Table2912[[#This Row],[Butyrate '[%']]]&lt;S$10,_xlfn.NORM.DIST(Table2912[[#This Row],[Butyrate '[%']]],S$6,S$2,FALSE),-100)</f>
        <v>-100</v>
      </c>
      <c r="BL474">
        <f>IF(Table2912[[#This Row],[Valerate '[%']]]&lt;T$10,_xlfn.NORM.DIST(Table2912[[#This Row],[Valerate '[%']]],T$6,T$2,FALSE),-100)</f>
        <v>-100</v>
      </c>
      <c r="BM474">
        <f>IF(Table2912[[#This Row],[Caproate '[%']]]&lt;U$10,_xlfn.NORM.DIST(Table2912[[#This Row],[Caproate '[%']]],U$6,U$2,FALSE),-100)</f>
        <v>193.42973069481562</v>
      </c>
      <c r="BN474">
        <f>IF(Table2912[[#This Row],[Isobutyrate '[%']]]&lt;V$10,_xlfn.NORM.DIST(Table2912[[#This Row],[Isobutyrate '[%']]],V$6,V$2,FALSE),-100)</f>
        <v>-100</v>
      </c>
      <c r="BO474">
        <f>IF(Table2912[[#This Row],[Isovalerate '[%']]]&lt;W$10,_xlfn.NORM.DIST(Table2912[[#This Row],[Isovalerate '[%']]],W$6,W$2,FALSE),-100)</f>
        <v>-100</v>
      </c>
      <c r="BP474">
        <f>IF(Table2912[[#This Row],[CH4 '[g/mmol SCFA']]]&lt;X$10,_xlfn.NORM.DIST(Table2912[[#This Row],[CH4 '[g/mmol SCFA']]],X$6,X$2,FALSE),-100)</f>
        <v>-100</v>
      </c>
      <c r="BQ474">
        <f>IF(Table2912[[#This Row],[DMD '[mg/g']]]&gt;Y$10,_xlfn.NORM.DIST(Table2912[[#This Row],[DMD '[mg/g']]],Y$6,Y$2,FALSE),-100)</f>
        <v>1.6681497022008622E-3</v>
      </c>
      <c r="BR474">
        <f>IF(Table2912[[#This Row],[CH4 '[ml/g']]]&lt;Z$10,_xlfn.NORM.DIST(Table2912[[#This Row],[CH4 '[ml/g']]],Z$6,Z$2,FALSE),-100)</f>
        <v>-100</v>
      </c>
      <c r="BS474">
        <f>IF(Table2912[[#This Row],[CH4 '[% GP']]]&lt;AA$10,_xlfn.NORM.DIST(Table2912[[#This Row],[CH4 '[% GP']]],AA$6,AA$2,FALSE),-100)</f>
        <v>-100</v>
      </c>
      <c r="BT474">
        <f>IF(Table2912[[#This Row],[CH4 '[g/g DDM']]]&lt;AB$10,_xlfn.NORM.DIST(Table2912[[#This Row],[CH4 '[g/g DDM']]],AB$6,AB$2,FALSE),-100)</f>
        <v>-100</v>
      </c>
    </row>
    <row r="475" spans="1:72" x14ac:dyDescent="0.25">
      <c r="A475" s="12" t="s">
        <v>200</v>
      </c>
      <c r="B475" s="13">
        <v>1206</v>
      </c>
      <c r="C475" s="113" t="s">
        <v>525</v>
      </c>
      <c r="D475" s="113" t="s">
        <v>262</v>
      </c>
      <c r="E475" s="113" t="s">
        <v>411</v>
      </c>
      <c r="F475" s="113" t="s">
        <v>412</v>
      </c>
      <c r="G475" t="s">
        <v>73</v>
      </c>
      <c r="H475" t="s">
        <v>74</v>
      </c>
      <c r="I475" t="s">
        <v>75</v>
      </c>
      <c r="J475" s="70">
        <v>1</v>
      </c>
      <c r="K475" s="70"/>
      <c r="L475" s="70"/>
      <c r="M475" t="s">
        <v>526</v>
      </c>
      <c r="N475" t="s">
        <v>171</v>
      </c>
      <c r="O475" s="18">
        <v>275.18256477821677</v>
      </c>
      <c r="P475" s="18">
        <v>7.0498977344988294</v>
      </c>
      <c r="Q475" s="97">
        <v>0.65418946021864222</v>
      </c>
      <c r="R475" s="97">
        <v>0.1726063531797952</v>
      </c>
      <c r="S475" s="97">
        <v>9.6797454383590734E-2</v>
      </c>
      <c r="T475" s="97">
        <v>2.0145011679765765E-2</v>
      </c>
      <c r="U475" s="97">
        <v>3.6224329760684527E-3</v>
      </c>
      <c r="V475" s="97">
        <v>1.8103386558192942E-2</v>
      </c>
      <c r="W475" s="97">
        <v>3.4535901003944672E-2</v>
      </c>
      <c r="X475" s="51">
        <f t="shared" si="30"/>
        <v>6.9280736349354219</v>
      </c>
      <c r="Y475" s="18">
        <v>920.83407751384198</v>
      </c>
      <c r="Z475" s="18">
        <v>48.842210623372303</v>
      </c>
      <c r="AA475" s="18">
        <f t="shared" si="31"/>
        <v>17.749020786522816</v>
      </c>
      <c r="AB475" s="18">
        <f t="shared" si="32"/>
        <v>53.041271838289568</v>
      </c>
      <c r="AC475" s="18">
        <f>$CP$15*Table2912[[#This Row],[DMD '[mg/g']]]+$CS$15*Table2912[[#This Row],[CH4 '[ml/g']]]+$CR$15*Table2912[[#This Row],[CH4 '[% GP']]]+$CQ$15*Table2912[[#This Row],[CH4 '[g/g DDM']]]</f>
        <v>25.963598166676796</v>
      </c>
      <c r="AD475" s="18">
        <f>_xlfn.RANK.AVG(Table2912[[#This Row],[Index]],Table2912[Index])</f>
        <v>80</v>
      </c>
      <c r="AE47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6.5112380861348917</v>
      </c>
      <c r="AF475" s="18">
        <f>Table2912[[#This Row],[CH4 '[ml/g']]]/Table2912[[#This Row],[APB]]</f>
        <v>7.5012171229581499</v>
      </c>
      <c r="AG475" s="18">
        <f>Table2912[[#This Row],[Propionate '[%']]]/Table2912[[#This Row],[Acetate '[%']]]</f>
        <v>0.26384765221088546</v>
      </c>
      <c r="AH475" s="51"/>
      <c r="AI475" s="18"/>
      <c r="AJ475" s="18"/>
      <c r="AK475" s="18">
        <f>(Table2912[[#This Row],[DMD '[mg/g']]]-$AK$15)/$AK$15*100</f>
        <v>87.81450362221733</v>
      </c>
      <c r="AL475" s="18">
        <f>(Table2912[[#This Row],[CH4 '[ml/g']]]-AL$15)/AL$15*100</f>
        <v>24.178664770352349</v>
      </c>
      <c r="AM475" s="18">
        <f>(Table2912[[#This Row],[CH4 '[% GP']]]-AM$15)/AM$15*100</f>
        <v>14.344905615258103</v>
      </c>
      <c r="AN475" s="18">
        <f>(Table2912[[#This Row],[CH4 '[g/g DDM']]]-AN$15)/AN$15*100</f>
        <v>3.5648305247160903</v>
      </c>
      <c r="AO475" s="18"/>
      <c r="AP475" s="18"/>
      <c r="AQ475" t="e">
        <f t="shared" ref="AQ475:AQ533" si="33">(AB475-$AR$10)/$AR$10%</f>
        <v>#DIV/0!</v>
      </c>
      <c r="AR475">
        <f>_xlfn.NORM.DIST(Table2912[[#This Row],[GP '[ml/g']]],O$6,O$2,FALSE)</f>
        <v>6.9869986086157371E-3</v>
      </c>
      <c r="AS475">
        <f>_xlfn.NORM.DIST(Table2912[[#This Row],[SCFA '[mmol/g']]],P$6,P$2,FALSE)</f>
        <v>0.30369969565595106</v>
      </c>
      <c r="AT475">
        <f>_xlfn.NORM.DIST(Table2912[[#This Row],[Acetate '[%']]],Q$6,Q$2,FALSE)</f>
        <v>11.238529162311192</v>
      </c>
      <c r="AU475">
        <f>_xlfn.NORM.DIST(Table2912[[#This Row],[Propionate '[%']]],R$6,R$2,FALSE)</f>
        <v>16.782964167367695</v>
      </c>
      <c r="AV475">
        <f>_xlfn.NORM.DIST(Table2912[[#This Row],[Butyrate '[%']]],S$6,S$2,FALSE)</f>
        <v>22.460809360210128</v>
      </c>
      <c r="AW475">
        <f>_xlfn.NORM.DIST(Table2912[[#This Row],[Valerate '[%']]],T$6,T$2,FALSE)</f>
        <v>68.898086568433101</v>
      </c>
      <c r="AX475">
        <f>_xlfn.NORM.DIST(Table2912[[#This Row],[Caproate '[%']]],U$6,U$2,FALSE)</f>
        <v>26.634618329923548</v>
      </c>
      <c r="AY475">
        <f>_xlfn.NORM.DIST(Table2912[[#This Row],[Isobutyrate '[%']]],V$6,V$2,FALSE)</f>
        <v>73.950448125200467</v>
      </c>
      <c r="AZ475">
        <f>_xlfn.NORM.DIST(Table2912[[#This Row],[Isovalerate '[%']]],W$6,W$2,FALSE)</f>
        <v>34.131843782893242</v>
      </c>
      <c r="BA475">
        <f>_xlfn.NORM.DIST(Table2912[[#This Row],[CH4 '[g/mmol SCFA']]],X$6,X$2,FALSE)</f>
        <v>0.26490676293472887</v>
      </c>
      <c r="BB475">
        <f>_xlfn.NORM.DIST(Table2912[[#This Row],[DMD '[mg/g']]],Y$6,Y$2,FALSE)</f>
        <v>1.6650024291729635E-3</v>
      </c>
      <c r="BC475">
        <f>_xlfn.NORM.DIST(Table2912[[#This Row],[CH4 '[ml/g']]],Z$6,Z$2,FALSE)</f>
        <v>2.7557679002506622E-2</v>
      </c>
      <c r="BD475">
        <f>_xlfn.NORM.DIST(Table2912[[#This Row],[CH4 '[% GP']]],AA$6,AA$2,FALSE)</f>
        <v>0.11467601123333519</v>
      </c>
      <c r="BE475">
        <f>_xlfn.NORM.DIST(Table2912[[#This Row],[CH4 '[g/g DDM']]],AB$6,AB$2,FALSE)</f>
        <v>3.2841227909534025E-2</v>
      </c>
      <c r="BG475">
        <f>IF(Table2912[[#This Row],[GP '[ml/g']]]&lt;O$10,_xlfn.NORM.DIST(Table2912[[#This Row],[GP '[ml/g']]],O$6,O$2,FALSE),-100)</f>
        <v>-100</v>
      </c>
      <c r="BH475">
        <f>IF(Table2912[[#This Row],[SCFA '[mmol/g']]]&lt;P$10,_xlfn.NORM.DIST(Table2912[[#This Row],[SCFA '[mmol/g']]],P$6,P$2,FALSE),-100)</f>
        <v>-100</v>
      </c>
      <c r="BI475">
        <f>IF(Table2912[[#This Row],[Acetate '[%']]]&lt;Q$10,_xlfn.NORM.DIST(Table2912[[#This Row],[Acetate '[%']]],Q$6,Q$2,FALSE),-100)</f>
        <v>-100</v>
      </c>
      <c r="BJ475">
        <f>IF(Table2912[[#This Row],[Propionate '[%']]]&lt;R$10,_xlfn.NORM.DIST(Table2912[[#This Row],[Propionate '[%']]],R$6,R$2,FALSE),-100)</f>
        <v>-100</v>
      </c>
      <c r="BK475">
        <f>IF(Table2912[[#This Row],[Butyrate '[%']]]&lt;S$10,_xlfn.NORM.DIST(Table2912[[#This Row],[Butyrate '[%']]],S$6,S$2,FALSE),-100)</f>
        <v>-100</v>
      </c>
      <c r="BL475">
        <f>IF(Table2912[[#This Row],[Valerate '[%']]]&lt;T$10,_xlfn.NORM.DIST(Table2912[[#This Row],[Valerate '[%']]],T$6,T$2,FALSE),-100)</f>
        <v>-100</v>
      </c>
      <c r="BM475">
        <f>IF(Table2912[[#This Row],[Caproate '[%']]]&lt;U$10,_xlfn.NORM.DIST(Table2912[[#This Row],[Caproate '[%']]],U$6,U$2,FALSE),-100)</f>
        <v>-100</v>
      </c>
      <c r="BN475">
        <f>IF(Table2912[[#This Row],[Isobutyrate '[%']]]&lt;V$10,_xlfn.NORM.DIST(Table2912[[#This Row],[Isobutyrate '[%']]],V$6,V$2,FALSE),-100)</f>
        <v>-100</v>
      </c>
      <c r="BO475">
        <f>IF(Table2912[[#This Row],[Isovalerate '[%']]]&lt;W$10,_xlfn.NORM.DIST(Table2912[[#This Row],[Isovalerate '[%']]],W$6,W$2,FALSE),-100)</f>
        <v>-100</v>
      </c>
      <c r="BP475">
        <f>IF(Table2912[[#This Row],[CH4 '[g/mmol SCFA']]]&lt;X$10,_xlfn.NORM.DIST(Table2912[[#This Row],[CH4 '[g/mmol SCFA']]],X$6,X$2,FALSE),-100)</f>
        <v>-100</v>
      </c>
      <c r="BQ475">
        <f>IF(Table2912[[#This Row],[DMD '[mg/g']]]&gt;Y$10,_xlfn.NORM.DIST(Table2912[[#This Row],[DMD '[mg/g']]],Y$6,Y$2,FALSE),-100)</f>
        <v>1.6650024291729635E-3</v>
      </c>
      <c r="BR475">
        <f>IF(Table2912[[#This Row],[CH4 '[ml/g']]]&lt;Z$10,_xlfn.NORM.DIST(Table2912[[#This Row],[CH4 '[ml/g']]],Z$6,Z$2,FALSE),-100)</f>
        <v>-100</v>
      </c>
      <c r="BS475">
        <f>IF(Table2912[[#This Row],[CH4 '[% GP']]]&lt;AA$10,_xlfn.NORM.DIST(Table2912[[#This Row],[CH4 '[% GP']]],AA$6,AA$2,FALSE),-100)</f>
        <v>-100</v>
      </c>
      <c r="BT475">
        <f>IF(Table2912[[#This Row],[CH4 '[g/g DDM']]]&lt;AB$10,_xlfn.NORM.DIST(Table2912[[#This Row],[CH4 '[g/g DDM']]],AB$6,AB$2,FALSE),-100)</f>
        <v>-100</v>
      </c>
    </row>
    <row r="476" spans="1:72" x14ac:dyDescent="0.25">
      <c r="A476" s="12" t="s">
        <v>86</v>
      </c>
      <c r="B476" s="13">
        <v>1076</v>
      </c>
      <c r="C476" s="104" t="s">
        <v>469</v>
      </c>
      <c r="D476" s="104" t="s">
        <v>377</v>
      </c>
      <c r="E476" s="104" t="s">
        <v>470</v>
      </c>
      <c r="F476" s="104" t="s">
        <v>471</v>
      </c>
      <c r="G476" s="32" t="s">
        <v>73</v>
      </c>
      <c r="H476" s="32" t="s">
        <v>74</v>
      </c>
      <c r="I476" s="105" t="s">
        <v>44</v>
      </c>
      <c r="J476" s="107">
        <v>1</v>
      </c>
      <c r="K476" s="107"/>
      <c r="L476" s="107"/>
      <c r="M476" s="118" t="s">
        <v>471</v>
      </c>
      <c r="N476" t="s">
        <v>145</v>
      </c>
      <c r="O476" s="18">
        <v>281.74563492063459</v>
      </c>
      <c r="P476" s="18">
        <v>6.55304995929996</v>
      </c>
      <c r="Q476" s="97">
        <v>0.63022611285347496</v>
      </c>
      <c r="R476" s="97">
        <v>0.16321886464677982</v>
      </c>
      <c r="S476" s="97">
        <v>0.10162515415705313</v>
      </c>
      <c r="T476" s="97">
        <v>2.7697387458662855E-2</v>
      </c>
      <c r="U476" s="97">
        <v>1.0227808610524529E-3</v>
      </c>
      <c r="V476" s="97">
        <v>2.5394875866362947E-2</v>
      </c>
      <c r="W476" s="97">
        <v>5.0814824156613814E-2</v>
      </c>
      <c r="X476" s="51">
        <f t="shared" si="30"/>
        <v>6.0347263035102205</v>
      </c>
      <c r="Y476" s="18">
        <v>920.84820450205098</v>
      </c>
      <c r="Z476" s="18">
        <v>39.545862957604051</v>
      </c>
      <c r="AA476" s="18">
        <f t="shared" si="31"/>
        <v>14.036016199059764</v>
      </c>
      <c r="AB476" s="18">
        <f t="shared" si="32"/>
        <v>42.945039979730957</v>
      </c>
      <c r="AC476" s="18">
        <f>$CP$15*Table2912[[#This Row],[DMD '[mg/g']]]+$CS$15*Table2912[[#This Row],[CH4 '[ml/g']]]+$CR$15*Table2912[[#This Row],[CH4 '[% GP']]]+$CQ$15*Table2912[[#This Row],[CH4 '[g/g DDM']]]</f>
        <v>30.508854479154394</v>
      </c>
      <c r="AD476" s="18">
        <f>_xlfn.RANK.AVG(Table2912[[#This Row],[Index]],Table2912[Index])</f>
        <v>45</v>
      </c>
      <c r="AE47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5.8654392898275312</v>
      </c>
      <c r="AF476" s="18">
        <f>Table2912[[#This Row],[CH4 '[ml/g']]]/Table2912[[#This Row],[APB]]</f>
        <v>6.7421826402992</v>
      </c>
      <c r="AG476" s="18">
        <f>Table2912[[#This Row],[Propionate '[%']]]/Table2912[[#This Row],[Acetate '[%']]]</f>
        <v>0.2589846109482416</v>
      </c>
      <c r="AH476" s="51"/>
      <c r="AI476" s="18"/>
      <c r="AJ476" s="18"/>
      <c r="AK476" s="18">
        <f>(Table2912[[#This Row],[DMD '[mg/g']]]-$AK$15)/$AK$15*100</f>
        <v>87.817384980914781</v>
      </c>
      <c r="AL476" s="18">
        <f>(Table2912[[#This Row],[CH4 '[ml/g']]]-AL$15)/AL$15*100</f>
        <v>0.54320630845242202</v>
      </c>
      <c r="AM476" s="18">
        <f>(Table2912[[#This Row],[CH4 '[% GP']]]-AM$15)/AM$15*100</f>
        <v>-9.5754652158393672</v>
      </c>
      <c r="AN476" s="18">
        <f>(Table2912[[#This Row],[CH4 '[g/g DDM']]]-AN$15)/AN$15*100</f>
        <v>-16.148394764407744</v>
      </c>
      <c r="AO476" s="18"/>
      <c r="AP476" s="18"/>
      <c r="AQ476" t="e">
        <f t="shared" si="33"/>
        <v>#DIV/0!</v>
      </c>
      <c r="AR476">
        <f>_xlfn.NORM.DIST(Table2912[[#This Row],[GP '[ml/g']]],O$6,O$2,FALSE)</f>
        <v>6.6262961206640606E-3</v>
      </c>
      <c r="AS476">
        <f>_xlfn.NORM.DIST(Table2912[[#This Row],[SCFA '[mmol/g']]],P$6,P$2,FALSE)</f>
        <v>0.33271556043463507</v>
      </c>
      <c r="AT476">
        <f>_xlfn.NORM.DIST(Table2912[[#This Row],[Acetate '[%']]],Q$6,Q$2,FALSE)</f>
        <v>4.4971463929318585</v>
      </c>
      <c r="AU476">
        <f>_xlfn.NORM.DIST(Table2912[[#This Row],[Propionate '[%']]],R$6,R$2,FALSE)</f>
        <v>15.714684444238202</v>
      </c>
      <c r="AV476">
        <f>_xlfn.NORM.DIST(Table2912[[#This Row],[Butyrate '[%']]],S$6,S$2,FALSE)</f>
        <v>20.299269637146033</v>
      </c>
      <c r="AW476">
        <f>_xlfn.NORM.DIST(Table2912[[#This Row],[Valerate '[%']]],T$6,T$2,FALSE)</f>
        <v>11.619047364323102</v>
      </c>
      <c r="AX476">
        <f>_xlfn.NORM.DIST(Table2912[[#This Row],[Caproate '[%']]],U$6,U$2,FALSE)</f>
        <v>387.03777830566372</v>
      </c>
      <c r="AY476">
        <f>_xlfn.NORM.DIST(Table2912[[#This Row],[Isobutyrate '[%']]],V$6,V$2,FALSE)</f>
        <v>6.7417359671040709</v>
      </c>
      <c r="AZ476">
        <f>_xlfn.NORM.DIST(Table2912[[#This Row],[Isovalerate '[%']]],W$6,W$2,FALSE)</f>
        <v>1.5069860219793685</v>
      </c>
      <c r="BA476">
        <f>_xlfn.NORM.DIST(Table2912[[#This Row],[CH4 '[g/mmol SCFA']]],X$6,X$2,FALSE)</f>
        <v>0.29236700060354132</v>
      </c>
      <c r="BB476">
        <f>_xlfn.NORM.DIST(Table2912[[#This Row],[DMD '[mg/g']]],Y$6,Y$2,FALSE)</f>
        <v>1.6648204114403417E-3</v>
      </c>
      <c r="BC476">
        <f>_xlfn.NORM.DIST(Table2912[[#This Row],[CH4 '[ml/g']]],Z$6,Z$2,FALSE)</f>
        <v>3.3103046766480494E-2</v>
      </c>
      <c r="BD476">
        <f>_xlfn.NORM.DIST(Table2912[[#This Row],[CH4 '[% GP']]],AA$6,AA$2,FALSE)</f>
        <v>0.10645231161609728</v>
      </c>
      <c r="BE476">
        <f>_xlfn.NORM.DIST(Table2912[[#This Row],[CH4 '[g/g DDM']]],AB$6,AB$2,FALSE)</f>
        <v>2.2751800796767221E-2</v>
      </c>
      <c r="BG476">
        <f>IF(Table2912[[#This Row],[GP '[ml/g']]]&lt;O$10,_xlfn.NORM.DIST(Table2912[[#This Row],[GP '[ml/g']]],O$6,O$2,FALSE),-100)</f>
        <v>-100</v>
      </c>
      <c r="BH476">
        <f>IF(Table2912[[#This Row],[SCFA '[mmol/g']]]&lt;P$10,_xlfn.NORM.DIST(Table2912[[#This Row],[SCFA '[mmol/g']]],P$6,P$2,FALSE),-100)</f>
        <v>-100</v>
      </c>
      <c r="BI476">
        <f>IF(Table2912[[#This Row],[Acetate '[%']]]&lt;Q$10,_xlfn.NORM.DIST(Table2912[[#This Row],[Acetate '[%']]],Q$6,Q$2,FALSE),-100)</f>
        <v>4.4971463929318585</v>
      </c>
      <c r="BJ476">
        <f>IF(Table2912[[#This Row],[Propionate '[%']]]&lt;R$10,_xlfn.NORM.DIST(Table2912[[#This Row],[Propionate '[%']]],R$6,R$2,FALSE),-100)</f>
        <v>-100</v>
      </c>
      <c r="BK476">
        <f>IF(Table2912[[#This Row],[Butyrate '[%']]]&lt;S$10,_xlfn.NORM.DIST(Table2912[[#This Row],[Butyrate '[%']]],S$6,S$2,FALSE),-100)</f>
        <v>-100</v>
      </c>
      <c r="BL476">
        <f>IF(Table2912[[#This Row],[Valerate '[%']]]&lt;T$10,_xlfn.NORM.DIST(Table2912[[#This Row],[Valerate '[%']]],T$6,T$2,FALSE),-100)</f>
        <v>-100</v>
      </c>
      <c r="BM476">
        <f>IF(Table2912[[#This Row],[Caproate '[%']]]&lt;U$10,_xlfn.NORM.DIST(Table2912[[#This Row],[Caproate '[%']]],U$6,U$2,FALSE),-100)</f>
        <v>-100</v>
      </c>
      <c r="BN476">
        <f>IF(Table2912[[#This Row],[Isobutyrate '[%']]]&lt;V$10,_xlfn.NORM.DIST(Table2912[[#This Row],[Isobutyrate '[%']]],V$6,V$2,FALSE),-100)</f>
        <v>-100</v>
      </c>
      <c r="BO476">
        <f>IF(Table2912[[#This Row],[Isovalerate '[%']]]&lt;W$10,_xlfn.NORM.DIST(Table2912[[#This Row],[Isovalerate '[%']]],W$6,W$2,FALSE),-100)</f>
        <v>-100</v>
      </c>
      <c r="BP476">
        <f>IF(Table2912[[#This Row],[CH4 '[g/mmol SCFA']]]&lt;X$10,_xlfn.NORM.DIST(Table2912[[#This Row],[CH4 '[g/mmol SCFA']]],X$6,X$2,FALSE),-100)</f>
        <v>-100</v>
      </c>
      <c r="BQ476">
        <f>IF(Table2912[[#This Row],[DMD '[mg/g']]]&gt;Y$10,_xlfn.NORM.DIST(Table2912[[#This Row],[DMD '[mg/g']]],Y$6,Y$2,FALSE),-100)</f>
        <v>1.6648204114403417E-3</v>
      </c>
      <c r="BR476">
        <f>IF(Table2912[[#This Row],[CH4 '[ml/g']]]&lt;Z$10,_xlfn.NORM.DIST(Table2912[[#This Row],[CH4 '[ml/g']]],Z$6,Z$2,FALSE),-100)</f>
        <v>-100</v>
      </c>
      <c r="BS476">
        <f>IF(Table2912[[#This Row],[CH4 '[% GP']]]&lt;AA$10,_xlfn.NORM.DIST(Table2912[[#This Row],[CH4 '[% GP']]],AA$6,AA$2,FALSE),-100)</f>
        <v>-100</v>
      </c>
      <c r="BT476">
        <f>IF(Table2912[[#This Row],[CH4 '[g/g DDM']]]&lt;AB$10,_xlfn.NORM.DIST(Table2912[[#This Row],[CH4 '[g/g DDM']]],AB$6,AB$2,FALSE),-100)</f>
        <v>-100</v>
      </c>
    </row>
    <row r="477" spans="1:72" x14ac:dyDescent="0.25">
      <c r="A477" s="12" t="s">
        <v>86</v>
      </c>
      <c r="B477" s="13">
        <v>1078</v>
      </c>
      <c r="C477" s="104" t="s">
        <v>493</v>
      </c>
      <c r="D477" s="104" t="s">
        <v>494</v>
      </c>
      <c r="E477" s="104" t="s">
        <v>495</v>
      </c>
      <c r="F477" s="104" t="s">
        <v>496</v>
      </c>
      <c r="G477" s="32" t="s">
        <v>73</v>
      </c>
      <c r="H477" s="32" t="s">
        <v>74</v>
      </c>
      <c r="I477" s="104" t="s">
        <v>75</v>
      </c>
      <c r="J477" s="107">
        <v>1</v>
      </c>
      <c r="K477" s="107"/>
      <c r="L477" s="107"/>
      <c r="M477" s="118" t="s">
        <v>496</v>
      </c>
      <c r="N477" t="s">
        <v>145</v>
      </c>
      <c r="O477" s="18">
        <v>354.10493581230673</v>
      </c>
      <c r="P477" s="18">
        <v>6.5294134049976815</v>
      </c>
      <c r="Q477" s="97">
        <v>0.65572549380742462</v>
      </c>
      <c r="R477" s="97">
        <v>0.1466079386612554</v>
      </c>
      <c r="S477" s="97">
        <v>0.10753035214118027</v>
      </c>
      <c r="T477" s="97">
        <v>2.787672169170953E-2</v>
      </c>
      <c r="U477" s="97">
        <v>1.0023676232479596E-3</v>
      </c>
      <c r="V477" s="97">
        <v>2.0236267173248543E-2</v>
      </c>
      <c r="W477" s="97">
        <v>4.102085890193357E-2</v>
      </c>
      <c r="X477" s="51">
        <f t="shared" si="30"/>
        <v>8.5245002786903186</v>
      </c>
      <c r="Y477" s="18">
        <v>921.88943264562022</v>
      </c>
      <c r="Z477" s="18">
        <v>55.659986390587036</v>
      </c>
      <c r="AA477" s="18">
        <f t="shared" si="31"/>
        <v>15.718500580316567</v>
      </c>
      <c r="AB477" s="18">
        <f t="shared" si="32"/>
        <v>60.375989158325744</v>
      </c>
      <c r="AC477" s="18">
        <f>$CP$15*Table2912[[#This Row],[DMD '[mg/g']]]+$CS$15*Table2912[[#This Row],[CH4 '[ml/g']]]+$CR$15*Table2912[[#This Row],[CH4 '[% GP']]]+$CQ$15*Table2912[[#This Row],[CH4 '[g/g DDM']]]</f>
        <v>24.177391301191896</v>
      </c>
      <c r="AD477" s="18">
        <f>_xlfn.RANK.AVG(Table2912[[#This Row],[Index]],Table2912[Index])</f>
        <v>101</v>
      </c>
      <c r="AE47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5.9408767919535448</v>
      </c>
      <c r="AF477" s="18">
        <f>Table2912[[#This Row],[CH4 '[ml/g']]]/Table2912[[#This Row],[APB]]</f>
        <v>9.3689851413808398</v>
      </c>
      <c r="AG477" s="18">
        <f>Table2912[[#This Row],[Propionate '[%']]]/Table2912[[#This Row],[Acetate '[%']]]</f>
        <v>0.22358126997623132</v>
      </c>
      <c r="AH477" s="51"/>
      <c r="AI477" s="18"/>
      <c r="AJ477" s="18"/>
      <c r="AK477" s="18">
        <f>(Table2912[[#This Row],[DMD '[mg/g']]]-$AK$15)/$AK$15*100</f>
        <v>88.029755213204538</v>
      </c>
      <c r="AL477" s="18">
        <f>(Table2912[[#This Row],[CH4 '[ml/g']]]-AL$15)/AL$15*100</f>
        <v>41.512488949703865</v>
      </c>
      <c r="AM477" s="18">
        <f>(Table2912[[#This Row],[CH4 '[% GP']]]-AM$15)/AM$15*100</f>
        <v>1.2636407882527381</v>
      </c>
      <c r="AN477" s="18">
        <f>(Table2912[[#This Row],[CH4 '[g/g DDM']]]-AN$15)/AN$15*100</f>
        <v>17.886107708870842</v>
      </c>
      <c r="AO477" s="18"/>
      <c r="AP477" s="18"/>
      <c r="AQ477" t="e">
        <f t="shared" si="33"/>
        <v>#DIV/0!</v>
      </c>
      <c r="AR477">
        <f>_xlfn.NORM.DIST(Table2912[[#This Row],[GP '[ml/g']]],O$6,O$2,FALSE)</f>
        <v>1.3537636831490686E-3</v>
      </c>
      <c r="AS477">
        <f>_xlfn.NORM.DIST(Table2912[[#This Row],[SCFA '[mmol/g']]],P$6,P$2,FALSE)</f>
        <v>0.33273611791152485</v>
      </c>
      <c r="AT477">
        <f>_xlfn.NORM.DIST(Table2912[[#This Row],[Acetate '[%']]],Q$6,Q$2,FALSE)</f>
        <v>11.633005314949004</v>
      </c>
      <c r="AU477">
        <f>_xlfn.NORM.DIST(Table2912[[#This Row],[Propionate '[%']]],R$6,R$2,FALSE)</f>
        <v>9.5420173792991694</v>
      </c>
      <c r="AV477">
        <f>_xlfn.NORM.DIST(Table2912[[#This Row],[Butyrate '[%']]],S$6,S$2,FALSE)</f>
        <v>16.138491313836617</v>
      </c>
      <c r="AW477">
        <f>_xlfn.NORM.DIST(Table2912[[#This Row],[Valerate '[%']]],T$6,T$2,FALSE)</f>
        <v>10.851320310058762</v>
      </c>
      <c r="AX477">
        <f>_xlfn.NORM.DIST(Table2912[[#This Row],[Caproate '[%']]],U$6,U$2,FALSE)</f>
        <v>384.41244072604337</v>
      </c>
      <c r="AY477">
        <f>_xlfn.NORM.DIST(Table2912[[#This Row],[Isobutyrate '[%']]],V$6,V$2,FALSE)</f>
        <v>48.606942730517879</v>
      </c>
      <c r="AZ477">
        <f>_xlfn.NORM.DIST(Table2912[[#This Row],[Isovalerate '[%']]],W$6,W$2,FALSE)</f>
        <v>14.866282052398944</v>
      </c>
      <c r="BA477">
        <f>_xlfn.NORM.DIST(Table2912[[#This Row],[CH4 '[g/mmol SCFA']]],X$6,X$2,FALSE)</f>
        <v>7.3599014406229971E-2</v>
      </c>
      <c r="BB477">
        <f>_xlfn.NORM.DIST(Table2912[[#This Row],[DMD '[mg/g']]],Y$6,Y$2,FALSE)</f>
        <v>1.6514109716496419E-3</v>
      </c>
      <c r="BC477">
        <f>_xlfn.NORM.DIST(Table2912[[#This Row],[CH4 '[ml/g']]],Z$6,Z$2,FALSE)</f>
        <v>1.6351892900369546E-2</v>
      </c>
      <c r="BD477">
        <f>_xlfn.NORM.DIST(Table2912[[#This Row],[CH4 '[% GP']]],AA$6,AA$2,FALSE)</f>
        <v>0.13378043094262415</v>
      </c>
      <c r="BE477">
        <f>_xlfn.NORM.DIST(Table2912[[#This Row],[CH4 '[g/g DDM']]],AB$6,AB$2,FALSE)</f>
        <v>2.7794553664503324E-2</v>
      </c>
      <c r="BG477">
        <f>IF(Table2912[[#This Row],[GP '[ml/g']]]&lt;O$10,_xlfn.NORM.DIST(Table2912[[#This Row],[GP '[ml/g']]],O$6,O$2,FALSE),-100)</f>
        <v>-100</v>
      </c>
      <c r="BH477">
        <f>IF(Table2912[[#This Row],[SCFA '[mmol/g']]]&lt;P$10,_xlfn.NORM.DIST(Table2912[[#This Row],[SCFA '[mmol/g']]],P$6,P$2,FALSE),-100)</f>
        <v>-100</v>
      </c>
      <c r="BI477">
        <f>IF(Table2912[[#This Row],[Acetate '[%']]]&lt;Q$10,_xlfn.NORM.DIST(Table2912[[#This Row],[Acetate '[%']]],Q$6,Q$2,FALSE),-100)</f>
        <v>-100</v>
      </c>
      <c r="BJ477">
        <f>IF(Table2912[[#This Row],[Propionate '[%']]]&lt;R$10,_xlfn.NORM.DIST(Table2912[[#This Row],[Propionate '[%']]],R$6,R$2,FALSE),-100)</f>
        <v>9.5420173792991694</v>
      </c>
      <c r="BK477">
        <f>IF(Table2912[[#This Row],[Butyrate '[%']]]&lt;S$10,_xlfn.NORM.DIST(Table2912[[#This Row],[Butyrate '[%']]],S$6,S$2,FALSE),-100)</f>
        <v>-100</v>
      </c>
      <c r="BL477">
        <f>IF(Table2912[[#This Row],[Valerate '[%']]]&lt;T$10,_xlfn.NORM.DIST(Table2912[[#This Row],[Valerate '[%']]],T$6,T$2,FALSE),-100)</f>
        <v>-100</v>
      </c>
      <c r="BM477">
        <f>IF(Table2912[[#This Row],[Caproate '[%']]]&lt;U$10,_xlfn.NORM.DIST(Table2912[[#This Row],[Caproate '[%']]],U$6,U$2,FALSE),-100)</f>
        <v>-100</v>
      </c>
      <c r="BN477">
        <f>IF(Table2912[[#This Row],[Isobutyrate '[%']]]&lt;V$10,_xlfn.NORM.DIST(Table2912[[#This Row],[Isobutyrate '[%']]],V$6,V$2,FALSE),-100)</f>
        <v>-100</v>
      </c>
      <c r="BO477">
        <f>IF(Table2912[[#This Row],[Isovalerate '[%']]]&lt;W$10,_xlfn.NORM.DIST(Table2912[[#This Row],[Isovalerate '[%']]],W$6,W$2,FALSE),-100)</f>
        <v>-100</v>
      </c>
      <c r="BP477">
        <f>IF(Table2912[[#This Row],[CH4 '[g/mmol SCFA']]]&lt;X$10,_xlfn.NORM.DIST(Table2912[[#This Row],[CH4 '[g/mmol SCFA']]],X$6,X$2,FALSE),-100)</f>
        <v>-100</v>
      </c>
      <c r="BQ477">
        <f>IF(Table2912[[#This Row],[DMD '[mg/g']]]&gt;Y$10,_xlfn.NORM.DIST(Table2912[[#This Row],[DMD '[mg/g']]],Y$6,Y$2,FALSE),-100)</f>
        <v>1.6514109716496419E-3</v>
      </c>
      <c r="BR477">
        <f>IF(Table2912[[#This Row],[CH4 '[ml/g']]]&lt;Z$10,_xlfn.NORM.DIST(Table2912[[#This Row],[CH4 '[ml/g']]],Z$6,Z$2,FALSE),-100)</f>
        <v>-100</v>
      </c>
      <c r="BS477">
        <f>IF(Table2912[[#This Row],[CH4 '[% GP']]]&lt;AA$10,_xlfn.NORM.DIST(Table2912[[#This Row],[CH4 '[% GP']]],AA$6,AA$2,FALSE),-100)</f>
        <v>-100</v>
      </c>
      <c r="BT477">
        <f>IF(Table2912[[#This Row],[CH4 '[g/g DDM']]]&lt;AB$10,_xlfn.NORM.DIST(Table2912[[#This Row],[CH4 '[g/g DDM']]],AB$6,AB$2,FALSE),-100)</f>
        <v>-100</v>
      </c>
    </row>
    <row r="478" spans="1:72" x14ac:dyDescent="0.25">
      <c r="A478" s="12" t="s">
        <v>200</v>
      </c>
      <c r="B478" s="13">
        <v>1188</v>
      </c>
      <c r="C478" s="113" t="s">
        <v>564</v>
      </c>
      <c r="D478" s="113" t="s">
        <v>565</v>
      </c>
      <c r="E478" s="113" t="s">
        <v>566</v>
      </c>
      <c r="F478" s="113" t="s">
        <v>567</v>
      </c>
      <c r="G478" t="s">
        <v>73</v>
      </c>
      <c r="H478" t="s">
        <v>74</v>
      </c>
      <c r="I478" t="s">
        <v>75</v>
      </c>
      <c r="J478" s="100">
        <v>1</v>
      </c>
      <c r="K478" s="100"/>
      <c r="L478" s="100"/>
      <c r="M478" t="s">
        <v>568</v>
      </c>
      <c r="N478" t="s">
        <v>363</v>
      </c>
      <c r="O478" s="18">
        <v>281.18793714032728</v>
      </c>
      <c r="P478" s="18">
        <v>7.4233910813439152</v>
      </c>
      <c r="Q478" s="97">
        <v>0.67103746653167207</v>
      </c>
      <c r="R478" s="97">
        <v>0.21229254344005599</v>
      </c>
      <c r="S478" s="97">
        <v>6.2749273415736218E-2</v>
      </c>
      <c r="T478" s="97">
        <v>2.1003127813408729E-2</v>
      </c>
      <c r="U478" s="97">
        <v>4.8955476150853202E-4</v>
      </c>
      <c r="V478" s="97">
        <v>1.4381002480821758E-2</v>
      </c>
      <c r="W478" s="97">
        <v>1.8047031556796732E-2</v>
      </c>
      <c r="X478" s="51">
        <f t="shared" si="30"/>
        <v>4.8622000186040815</v>
      </c>
      <c r="Y478" s="18">
        <v>922.32687796495588</v>
      </c>
      <c r="Z478" s="18">
        <v>36.094012253815755</v>
      </c>
      <c r="AA478" s="18">
        <f t="shared" si="31"/>
        <v>12.836259130064667</v>
      </c>
      <c r="AB478" s="18">
        <f t="shared" si="32"/>
        <v>39.133644607055629</v>
      </c>
      <c r="AC478" s="18">
        <f>$CP$15*Table2912[[#This Row],[DMD '[mg/g']]]+$CS$15*Table2912[[#This Row],[CH4 '[ml/g']]]+$CR$15*Table2912[[#This Row],[CH4 '[% GP']]]+$CQ$15*Table2912[[#This Row],[CH4 '[g/g DDM']]]</f>
        <v>32.276883413819249</v>
      </c>
      <c r="AD478" s="18">
        <f>_xlfn.RANK.AVG(Table2912[[#This Row],[Index]],Table2912[Index])</f>
        <v>33</v>
      </c>
      <c r="AE47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7.0231165145427443</v>
      </c>
      <c r="AF478" s="18">
        <f>Table2912[[#This Row],[CH4 '[ml/g']]]/Table2912[[#This Row],[APB]]</f>
        <v>5.1393155985773555</v>
      </c>
      <c r="AG478" s="18">
        <f>Table2912[[#This Row],[Propionate '[%']]]/Table2912[[#This Row],[Acetate '[%']]]</f>
        <v>0.31636466520612089</v>
      </c>
      <c r="AH478" s="51"/>
      <c r="AI478" s="18"/>
      <c r="AJ478" s="18"/>
      <c r="AK478" s="18">
        <f>(Table2912[[#This Row],[DMD '[mg/g']]]-$AK$15)/$AK$15*100</f>
        <v>88.118977123556419</v>
      </c>
      <c r="AL478" s="18">
        <f>(Table2912[[#This Row],[CH4 '[ml/g']]]-AL$15)/AL$15*100</f>
        <v>-8.2329364154789335</v>
      </c>
      <c r="AM478" s="18">
        <f>(Table2912[[#This Row],[CH4 '[% GP']]]-AM$15)/AM$15*100</f>
        <v>-17.30468647629624</v>
      </c>
      <c r="AN478" s="18">
        <f>(Table2912[[#This Row],[CH4 '[g/g DDM']]]-AN$15)/AN$15*100</f>
        <v>-23.590269782737554</v>
      </c>
      <c r="AO478" s="18"/>
      <c r="AP478" s="18"/>
      <c r="AQ478" t="e">
        <f t="shared" si="33"/>
        <v>#DIV/0!</v>
      </c>
      <c r="AR478">
        <f>_xlfn.NORM.DIST(Table2912[[#This Row],[GP '[ml/g']]],O$6,O$2,FALSE)</f>
        <v>6.6601285351098917E-3</v>
      </c>
      <c r="AS478">
        <f>_xlfn.NORM.DIST(Table2912[[#This Row],[SCFA '[mmol/g']]],P$6,P$2,FALSE)</f>
        <v>0.25324994112117244</v>
      </c>
      <c r="AT478">
        <f>_xlfn.NORM.DIST(Table2912[[#This Row],[Acetate '[%']]],Q$6,Q$2,FALSE)</f>
        <v>13.989168708238482</v>
      </c>
      <c r="AU478">
        <f>_xlfn.NORM.DIST(Table2912[[#This Row],[Propionate '[%']]],R$6,R$2,FALSE)</f>
        <v>3.9486801931951256</v>
      </c>
      <c r="AV478">
        <f>_xlfn.NORM.DIST(Table2912[[#This Row],[Butyrate '[%']]],S$6,S$2,FALSE)</f>
        <v>5.0524675962562098</v>
      </c>
      <c r="AW478">
        <f>_xlfn.NORM.DIST(Table2912[[#This Row],[Valerate '[%']]],T$6,T$2,FALSE)</f>
        <v>62.707656438538613</v>
      </c>
      <c r="AX478">
        <f>_xlfn.NORM.DIST(Table2912[[#This Row],[Caproate '[%']]],U$6,U$2,FALSE)</f>
        <v>281.03815918759807</v>
      </c>
      <c r="AY478">
        <f>_xlfn.NORM.DIST(Table2912[[#This Row],[Isobutyrate '[%']]],V$6,V$2,FALSE)</f>
        <v>88.160999672065373</v>
      </c>
      <c r="AZ478">
        <f>_xlfn.NORM.DIST(Table2912[[#This Row],[Isovalerate '[%']]],W$6,W$2,FALSE)</f>
        <v>24.22383815595289</v>
      </c>
      <c r="BA478">
        <f>_xlfn.NORM.DIST(Table2912[[#This Row],[CH4 '[g/mmol SCFA']]],X$6,X$2,FALSE)</f>
        <v>0.16975667634173969</v>
      </c>
      <c r="BB478">
        <f>_xlfn.NORM.DIST(Table2912[[#This Row],[DMD '[mg/g']]],Y$6,Y$2,FALSE)</f>
        <v>1.6457811707681529E-3</v>
      </c>
      <c r="BC478">
        <f>_xlfn.NORM.DIST(Table2912[[#This Row],[CH4 '[ml/g']]],Z$6,Z$2,FALSE)</f>
        <v>3.0341049838395966E-2</v>
      </c>
      <c r="BD478">
        <f>_xlfn.NORM.DIST(Table2912[[#This Row],[CH4 '[% GP']]],AA$6,AA$2,FALSE)</f>
        <v>7.4261710566819059E-2</v>
      </c>
      <c r="BE478">
        <f>_xlfn.NORM.DIST(Table2912[[#This Row],[CH4 '[g/g DDM']]],AB$6,AB$2,FALSE)</f>
        <v>1.654951496883484E-2</v>
      </c>
      <c r="BG478">
        <f>IF(Table2912[[#This Row],[GP '[ml/g']]]&lt;O$10,_xlfn.NORM.DIST(Table2912[[#This Row],[GP '[ml/g']]],O$6,O$2,FALSE),-100)</f>
        <v>-100</v>
      </c>
      <c r="BH478">
        <f>IF(Table2912[[#This Row],[SCFA '[mmol/g']]]&lt;P$10,_xlfn.NORM.DIST(Table2912[[#This Row],[SCFA '[mmol/g']]],P$6,P$2,FALSE),-100)</f>
        <v>-100</v>
      </c>
      <c r="BI478">
        <f>IF(Table2912[[#This Row],[Acetate '[%']]]&lt;Q$10,_xlfn.NORM.DIST(Table2912[[#This Row],[Acetate '[%']]],Q$6,Q$2,FALSE),-100)</f>
        <v>-100</v>
      </c>
      <c r="BJ478">
        <f>IF(Table2912[[#This Row],[Propionate '[%']]]&lt;R$10,_xlfn.NORM.DIST(Table2912[[#This Row],[Propionate '[%']]],R$6,R$2,FALSE),-100)</f>
        <v>-100</v>
      </c>
      <c r="BK478">
        <f>IF(Table2912[[#This Row],[Butyrate '[%']]]&lt;S$10,_xlfn.NORM.DIST(Table2912[[#This Row],[Butyrate '[%']]],S$6,S$2,FALSE),-100)</f>
        <v>5.0524675962562098</v>
      </c>
      <c r="BL478">
        <f>IF(Table2912[[#This Row],[Valerate '[%']]]&lt;T$10,_xlfn.NORM.DIST(Table2912[[#This Row],[Valerate '[%']]],T$6,T$2,FALSE),-100)</f>
        <v>-100</v>
      </c>
      <c r="BM478">
        <f>IF(Table2912[[#This Row],[Caproate '[%']]]&lt;U$10,_xlfn.NORM.DIST(Table2912[[#This Row],[Caproate '[%']]],U$6,U$2,FALSE),-100)</f>
        <v>-100</v>
      </c>
      <c r="BN478">
        <f>IF(Table2912[[#This Row],[Isobutyrate '[%']]]&lt;V$10,_xlfn.NORM.DIST(Table2912[[#This Row],[Isobutyrate '[%']]],V$6,V$2,FALSE),-100)</f>
        <v>-100</v>
      </c>
      <c r="BO478">
        <f>IF(Table2912[[#This Row],[Isovalerate '[%']]]&lt;W$10,_xlfn.NORM.DIST(Table2912[[#This Row],[Isovalerate '[%']]],W$6,W$2,FALSE),-100)</f>
        <v>24.22383815595289</v>
      </c>
      <c r="BP478">
        <f>IF(Table2912[[#This Row],[CH4 '[g/mmol SCFA']]]&lt;X$10,_xlfn.NORM.DIST(Table2912[[#This Row],[CH4 '[g/mmol SCFA']]],X$6,X$2,FALSE),-100)</f>
        <v>0.16975667634173969</v>
      </c>
      <c r="BQ478">
        <f>IF(Table2912[[#This Row],[DMD '[mg/g']]]&gt;Y$10,_xlfn.NORM.DIST(Table2912[[#This Row],[DMD '[mg/g']]],Y$6,Y$2,FALSE),-100)</f>
        <v>1.6457811707681529E-3</v>
      </c>
      <c r="BR478">
        <f>IF(Table2912[[#This Row],[CH4 '[ml/g']]]&lt;Z$10,_xlfn.NORM.DIST(Table2912[[#This Row],[CH4 '[ml/g']]],Z$6,Z$2,FALSE),-100)</f>
        <v>-100</v>
      </c>
      <c r="BS478">
        <f>IF(Table2912[[#This Row],[CH4 '[% GP']]]&lt;AA$10,_xlfn.NORM.DIST(Table2912[[#This Row],[CH4 '[% GP']]],AA$6,AA$2,FALSE),-100)</f>
        <v>-100</v>
      </c>
      <c r="BT478">
        <f>IF(Table2912[[#This Row],[CH4 '[g/g DDM']]]&lt;AB$10,_xlfn.NORM.DIST(Table2912[[#This Row],[CH4 '[g/g DDM']]],AB$6,AB$2,FALSE),-100)</f>
        <v>-100</v>
      </c>
    </row>
    <row r="479" spans="1:72" x14ac:dyDescent="0.25">
      <c r="A479" s="12" t="s">
        <v>200</v>
      </c>
      <c r="B479" s="13">
        <v>1198</v>
      </c>
      <c r="C479" s="119" t="s">
        <v>569</v>
      </c>
      <c r="D479" s="119" t="s">
        <v>570</v>
      </c>
      <c r="E479" s="119" t="s">
        <v>571</v>
      </c>
      <c r="F479" s="119" t="s">
        <v>572</v>
      </c>
      <c r="G479" t="s">
        <v>457</v>
      </c>
      <c r="H479" t="s">
        <v>458</v>
      </c>
      <c r="I479" s="53" t="s">
        <v>48</v>
      </c>
      <c r="J479" s="100">
        <v>2</v>
      </c>
      <c r="K479" s="100"/>
      <c r="L479" s="100"/>
      <c r="M479" t="s">
        <v>573</v>
      </c>
      <c r="N479" t="s">
        <v>352</v>
      </c>
      <c r="O479" s="18">
        <v>279.51377865961109</v>
      </c>
      <c r="P479" s="18">
        <v>7.6152021795886622</v>
      </c>
      <c r="Q479" s="97">
        <v>0.68749352455547763</v>
      </c>
      <c r="R479" s="97">
        <v>0.14900350892734993</v>
      </c>
      <c r="S479" s="97">
        <v>9.3914042877129927E-2</v>
      </c>
      <c r="T479" s="97">
        <v>2.0624334010283879E-2</v>
      </c>
      <c r="U479" s="97">
        <v>1.3637072041136641E-3</v>
      </c>
      <c r="V479" s="97">
        <v>1.8039104080653595E-2</v>
      </c>
      <c r="W479" s="97">
        <v>2.9561778344991383E-2</v>
      </c>
      <c r="X479" s="51">
        <f t="shared" si="30"/>
        <v>5.3913097792186226</v>
      </c>
      <c r="Y479" s="18">
        <v>922.63640656029111</v>
      </c>
      <c r="Z479" s="18">
        <v>41.055913981543327</v>
      </c>
      <c r="AA479" s="18">
        <f t="shared" si="31"/>
        <v>14.688332782170566</v>
      </c>
      <c r="AB479" s="18">
        <f t="shared" si="32"/>
        <v>44.498475986445328</v>
      </c>
      <c r="AC479" s="18">
        <f>$CP$15*Table2912[[#This Row],[DMD '[mg/g']]]+$CS$15*Table2912[[#This Row],[CH4 '[ml/g']]]+$CR$15*Table2912[[#This Row],[CH4 '[% GP']]]+$CQ$15*Table2912[[#This Row],[CH4 '[g/g DDM']]]</f>
        <v>29.928020528408979</v>
      </c>
      <c r="AD479" s="18">
        <f>_xlfn.RANK.AVG(Table2912[[#This Row],[Index]],Table2912[Index])</f>
        <v>50</v>
      </c>
      <c r="AE47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7.0852684566097812</v>
      </c>
      <c r="AF479" s="18">
        <f>Table2912[[#This Row],[CH4 '[ml/g']]]/Table2912[[#This Row],[APB]]</f>
        <v>5.7945459982172798</v>
      </c>
      <c r="AG479" s="18">
        <f>Table2912[[#This Row],[Propionate '[%']]]/Table2912[[#This Row],[Acetate '[%']]]</f>
        <v>0.21673441800589063</v>
      </c>
      <c r="AH479" s="51"/>
      <c r="AI479" s="18"/>
      <c r="AJ479" s="18"/>
      <c r="AK479" s="18">
        <f>(Table2912[[#This Row],[DMD '[mg/g']]]-$AK$15)/$AK$15*100</f>
        <v>88.18210897424413</v>
      </c>
      <c r="AL479" s="18">
        <f>(Table2912[[#This Row],[CH4 '[ml/g']]]-AL$15)/AL$15*100</f>
        <v>4.3824289295135417</v>
      </c>
      <c r="AM479" s="18">
        <f>(Table2912[[#This Row],[CH4 '[% GP']]]-AM$15)/AM$15*100</f>
        <v>-5.3730317957540619</v>
      </c>
      <c r="AN479" s="18">
        <f>(Table2912[[#This Row],[CH4 '[g/g DDM']]]-AN$15)/AN$15*100</f>
        <v>-13.115259788744735</v>
      </c>
      <c r="AO479" s="18"/>
      <c r="AP479" s="18"/>
      <c r="AQ479" t="e">
        <f t="shared" si="33"/>
        <v>#DIV/0!</v>
      </c>
      <c r="AR479">
        <f>_xlfn.NORM.DIST(Table2912[[#This Row],[GP '[ml/g']]],O$6,O$2,FALSE)</f>
        <v>6.7582915680393964E-3</v>
      </c>
      <c r="AS479">
        <f>_xlfn.NORM.DIST(Table2912[[#This Row],[SCFA '[mmol/g']]],P$6,P$2,FALSE)</f>
        <v>0.22215301857328418</v>
      </c>
      <c r="AT479">
        <f>_xlfn.NORM.DIST(Table2912[[#This Row],[Acetate '[%']]],Q$6,Q$2,FALSE)</f>
        <v>12.346371773088539</v>
      </c>
      <c r="AU479">
        <f>_xlfn.NORM.DIST(Table2912[[#This Row],[Propionate '[%']]],R$6,R$2,FALSE)</f>
        <v>10.567847813474334</v>
      </c>
      <c r="AV479">
        <f>_xlfn.NORM.DIST(Table2912[[#This Row],[Butyrate '[%']]],S$6,S$2,FALSE)</f>
        <v>22.992303141567017</v>
      </c>
      <c r="AW479">
        <f>_xlfn.NORM.DIST(Table2912[[#This Row],[Valerate '[%']]],T$6,T$2,FALSE)</f>
        <v>65.592289413262137</v>
      </c>
      <c r="AX479">
        <f>_xlfn.NORM.DIST(Table2912[[#This Row],[Caproate '[%']]],U$6,U$2,FALSE)</f>
        <v>406.71553203988913</v>
      </c>
      <c r="AY479">
        <f>_xlfn.NORM.DIST(Table2912[[#This Row],[Isobutyrate '[%']]],V$6,V$2,FALSE)</f>
        <v>74.622017552489808</v>
      </c>
      <c r="AZ479">
        <f>_xlfn.NORM.DIST(Table2912[[#This Row],[Isovalerate '[%']]],W$6,W$2,FALSE)</f>
        <v>44.618984038976578</v>
      </c>
      <c r="BA479">
        <f>_xlfn.NORM.DIST(Table2912[[#This Row],[CH4 '[g/mmol SCFA']]],X$6,X$2,FALSE)</f>
        <v>0.23848075363234456</v>
      </c>
      <c r="BB479">
        <f>_xlfn.NORM.DIST(Table2912[[#This Row],[DMD '[mg/g']]],Y$6,Y$2,FALSE)</f>
        <v>1.6417990807577423E-3</v>
      </c>
      <c r="BC479">
        <f>_xlfn.NORM.DIST(Table2912[[#This Row],[CH4 '[ml/g']]],Z$6,Z$2,FALSE)</f>
        <v>3.3492192286983934E-2</v>
      </c>
      <c r="BD479">
        <f>_xlfn.NORM.DIST(Table2912[[#This Row],[CH4 '[% GP']]],AA$6,AA$2,FALSE)</f>
        <v>0.12085654020267428</v>
      </c>
      <c r="BE479">
        <f>_xlfn.NORM.DIST(Table2912[[#This Row],[CH4 '[g/g DDM']]],AB$6,AB$2,FALSE)</f>
        <v>2.5181607031856186E-2</v>
      </c>
      <c r="BG479">
        <f>IF(Table2912[[#This Row],[GP '[ml/g']]]&lt;O$10,_xlfn.NORM.DIST(Table2912[[#This Row],[GP '[ml/g']]],O$6,O$2,FALSE),-100)</f>
        <v>-100</v>
      </c>
      <c r="BH479">
        <f>IF(Table2912[[#This Row],[SCFA '[mmol/g']]]&lt;P$10,_xlfn.NORM.DIST(Table2912[[#This Row],[SCFA '[mmol/g']]],P$6,P$2,FALSE),-100)</f>
        <v>-100</v>
      </c>
      <c r="BI479">
        <f>IF(Table2912[[#This Row],[Acetate '[%']]]&lt;Q$10,_xlfn.NORM.DIST(Table2912[[#This Row],[Acetate '[%']]],Q$6,Q$2,FALSE),-100)</f>
        <v>-100</v>
      </c>
      <c r="BJ479">
        <f>IF(Table2912[[#This Row],[Propionate '[%']]]&lt;R$10,_xlfn.NORM.DIST(Table2912[[#This Row],[Propionate '[%']]],R$6,R$2,FALSE),-100)</f>
        <v>-100</v>
      </c>
      <c r="BK479">
        <f>IF(Table2912[[#This Row],[Butyrate '[%']]]&lt;S$10,_xlfn.NORM.DIST(Table2912[[#This Row],[Butyrate '[%']]],S$6,S$2,FALSE),-100)</f>
        <v>-100</v>
      </c>
      <c r="BL479">
        <f>IF(Table2912[[#This Row],[Valerate '[%']]]&lt;T$10,_xlfn.NORM.DIST(Table2912[[#This Row],[Valerate '[%']]],T$6,T$2,FALSE),-100)</f>
        <v>-100</v>
      </c>
      <c r="BM479">
        <f>IF(Table2912[[#This Row],[Caproate '[%']]]&lt;U$10,_xlfn.NORM.DIST(Table2912[[#This Row],[Caproate '[%']]],U$6,U$2,FALSE),-100)</f>
        <v>-100</v>
      </c>
      <c r="BN479">
        <f>IF(Table2912[[#This Row],[Isobutyrate '[%']]]&lt;V$10,_xlfn.NORM.DIST(Table2912[[#This Row],[Isobutyrate '[%']]],V$6,V$2,FALSE),-100)</f>
        <v>-100</v>
      </c>
      <c r="BO479">
        <f>IF(Table2912[[#This Row],[Isovalerate '[%']]]&lt;W$10,_xlfn.NORM.DIST(Table2912[[#This Row],[Isovalerate '[%']]],W$6,W$2,FALSE),-100)</f>
        <v>-100</v>
      </c>
      <c r="BP479">
        <f>IF(Table2912[[#This Row],[CH4 '[g/mmol SCFA']]]&lt;X$10,_xlfn.NORM.DIST(Table2912[[#This Row],[CH4 '[g/mmol SCFA']]],X$6,X$2,FALSE),-100)</f>
        <v>-100</v>
      </c>
      <c r="BQ479">
        <f>IF(Table2912[[#This Row],[DMD '[mg/g']]]&gt;Y$10,_xlfn.NORM.DIST(Table2912[[#This Row],[DMD '[mg/g']]],Y$6,Y$2,FALSE),-100)</f>
        <v>1.6417990807577423E-3</v>
      </c>
      <c r="BR479">
        <f>IF(Table2912[[#This Row],[CH4 '[ml/g']]]&lt;Z$10,_xlfn.NORM.DIST(Table2912[[#This Row],[CH4 '[ml/g']]],Z$6,Z$2,FALSE),-100)</f>
        <v>-100</v>
      </c>
      <c r="BS479">
        <f>IF(Table2912[[#This Row],[CH4 '[% GP']]]&lt;AA$10,_xlfn.NORM.DIST(Table2912[[#This Row],[CH4 '[% GP']]],AA$6,AA$2,FALSE),-100)</f>
        <v>-100</v>
      </c>
      <c r="BT479">
        <f>IF(Table2912[[#This Row],[CH4 '[g/g DDM']]]&lt;AB$10,_xlfn.NORM.DIST(Table2912[[#This Row],[CH4 '[g/g DDM']]],AB$6,AB$2,FALSE),-100)</f>
        <v>-100</v>
      </c>
    </row>
    <row r="480" spans="1:72" x14ac:dyDescent="0.25">
      <c r="A480" s="12" t="s">
        <v>86</v>
      </c>
      <c r="B480" s="13">
        <v>1072</v>
      </c>
      <c r="C480" s="32">
        <v>17488</v>
      </c>
      <c r="D480" s="104" t="s">
        <v>161</v>
      </c>
      <c r="E480" t="s">
        <v>242</v>
      </c>
      <c r="F480" t="s">
        <v>147</v>
      </c>
      <c r="G480" s="32" t="s">
        <v>73</v>
      </c>
      <c r="H480" s="32" t="s">
        <v>74</v>
      </c>
      <c r="I480" s="105" t="s">
        <v>44</v>
      </c>
      <c r="J480" s="70">
        <v>2</v>
      </c>
      <c r="K480" s="70"/>
      <c r="L480" s="70"/>
      <c r="M480" t="s">
        <v>147</v>
      </c>
      <c r="N480" t="s">
        <v>124</v>
      </c>
      <c r="O480" s="18">
        <v>261.43521845198438</v>
      </c>
      <c r="P480" s="18">
        <v>6.8644610955159191</v>
      </c>
      <c r="Q480" s="97">
        <v>0.66192207744685361</v>
      </c>
      <c r="R480" s="97">
        <v>0.16935289877810658</v>
      </c>
      <c r="S480" s="97">
        <v>7.9230468180221419E-2</v>
      </c>
      <c r="T480" s="97">
        <v>2.5781151373374341E-2</v>
      </c>
      <c r="U480" s="97">
        <v>8.3108080728212233E-4</v>
      </c>
      <c r="V480" s="97">
        <v>2.2141140253787141E-2</v>
      </c>
      <c r="W480" s="97">
        <v>4.0741183160374721E-2</v>
      </c>
      <c r="X480" s="51">
        <f t="shared" si="30"/>
        <v>7.1352477275220885</v>
      </c>
      <c r="Y480" s="18">
        <v>923.39491004710385</v>
      </c>
      <c r="Z480" s="18">
        <v>48.979630432443749</v>
      </c>
      <c r="AA480" s="18">
        <f t="shared" si="31"/>
        <v>18.734901411700744</v>
      </c>
      <c r="AB480" s="18">
        <f t="shared" si="32"/>
        <v>53.042993739206572</v>
      </c>
      <c r="AC480" s="18">
        <f>$CP$15*Table2912[[#This Row],[DMD '[mg/g']]]+$CS$15*Table2912[[#This Row],[CH4 '[ml/g']]]+$CR$15*Table2912[[#This Row],[CH4 '[% GP']]]+$CQ$15*Table2912[[#This Row],[CH4 '[g/g DDM']]]</f>
        <v>25.883946646976746</v>
      </c>
      <c r="AD480" s="18">
        <f>_xlfn.RANK.AVG(Table2912[[#This Row],[Index]],Table2912[Index])</f>
        <v>82</v>
      </c>
      <c r="AE48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6.2501292003748015</v>
      </c>
      <c r="AF480" s="18">
        <f>Table2912[[#This Row],[CH4 '[ml/g']]]/Table2912[[#This Row],[APB]]</f>
        <v>7.8365788709626338</v>
      </c>
      <c r="AG480" s="18">
        <f>Table2912[[#This Row],[Propionate '[%']]]/Table2912[[#This Row],[Acetate '[%']]]</f>
        <v>0.25585020434932404</v>
      </c>
      <c r="AH480" s="51"/>
      <c r="AI480" s="18"/>
      <c r="AJ480" s="18"/>
      <c r="AK480" s="18">
        <f>(Table2912[[#This Row],[DMD '[mg/g']]]-$AK$15)/$AK$15*100</f>
        <v>88.336814321657073</v>
      </c>
      <c r="AL480" s="18">
        <f>(Table2912[[#This Row],[CH4 '[ml/g']]]-AL$15)/AL$15*100</f>
        <v>24.528047162870902</v>
      </c>
      <c r="AM480" s="18">
        <f>(Table2912[[#This Row],[CH4 '[% GP']]]-AM$15)/AM$15*100</f>
        <v>20.69626597421831</v>
      </c>
      <c r="AN480" s="18">
        <f>(Table2912[[#This Row],[CH4 '[g/g DDM']]]-AN$15)/AN$15*100</f>
        <v>3.568192592978586</v>
      </c>
      <c r="AO480" s="18"/>
      <c r="AP480" s="18"/>
      <c r="AQ480" t="e">
        <f t="shared" si="33"/>
        <v>#DIV/0!</v>
      </c>
      <c r="AR480">
        <f>_xlfn.NORM.DIST(Table2912[[#This Row],[GP '[ml/g']]],O$6,O$2,FALSE)</f>
        <v>7.4335356719173531E-3</v>
      </c>
      <c r="AS480">
        <f>_xlfn.NORM.DIST(Table2912[[#This Row],[SCFA '[mmol/g']]],P$6,P$2,FALSE)</f>
        <v>0.32059607498287979</v>
      </c>
      <c r="AT480">
        <f>_xlfn.NORM.DIST(Table2912[[#This Row],[Acetate '[%']]],Q$6,Q$2,FALSE)</f>
        <v>12.979874367505152</v>
      </c>
      <c r="AU480">
        <f>_xlfn.NORM.DIST(Table2912[[#This Row],[Propionate '[%']]],R$6,R$2,FALSE)</f>
        <v>16.697302979121716</v>
      </c>
      <c r="AV480">
        <f>_xlfn.NORM.DIST(Table2912[[#This Row],[Butyrate '[%']]],S$6,S$2,FALSE)</f>
        <v>16.851785020879831</v>
      </c>
      <c r="AW480">
        <f>_xlfn.NORM.DIST(Table2912[[#This Row],[Valerate '[%']]],T$6,T$2,FALSE)</f>
        <v>22.365378187017257</v>
      </c>
      <c r="AX480">
        <f>_xlfn.NORM.DIST(Table2912[[#This Row],[Caproate '[%']]],U$6,U$2,FALSE)</f>
        <v>356.92452034107271</v>
      </c>
      <c r="AY480">
        <f>_xlfn.NORM.DIST(Table2912[[#This Row],[Isobutyrate '[%']]],V$6,V$2,FALSE)</f>
        <v>27.455990704345965</v>
      </c>
      <c r="AZ480">
        <f>_xlfn.NORM.DIST(Table2912[[#This Row],[Isovalerate '[%']]],W$6,W$2,FALSE)</f>
        <v>15.583184966199246</v>
      </c>
      <c r="BA480">
        <f>_xlfn.NORM.DIST(Table2912[[#This Row],[CH4 '[g/mmol SCFA']]],X$6,X$2,FALSE)</f>
        <v>0.24302117809344753</v>
      </c>
      <c r="BB480">
        <f>_xlfn.NORM.DIST(Table2912[[#This Row],[DMD '[mg/g']]],Y$6,Y$2,FALSE)</f>
        <v>1.6320462887390963E-3</v>
      </c>
      <c r="BC480">
        <f>_xlfn.NORM.DIST(Table2912[[#This Row],[CH4 '[ml/g']]],Z$6,Z$2,FALSE)</f>
        <v>2.7357720049159252E-2</v>
      </c>
      <c r="BD480">
        <f>_xlfn.NORM.DIST(Table2912[[#This Row],[CH4 '[% GP']]],AA$6,AA$2,FALSE)</f>
        <v>8.9814121684843304E-2</v>
      </c>
      <c r="BE480">
        <f>_xlfn.NORM.DIST(Table2912[[#This Row],[CH4 '[g/g DDM']]],AB$6,AB$2,FALSE)</f>
        <v>3.2841347570306406E-2</v>
      </c>
      <c r="BG480">
        <f>IF(Table2912[[#This Row],[GP '[ml/g']]]&lt;O$10,_xlfn.NORM.DIST(Table2912[[#This Row],[GP '[ml/g']]],O$6,O$2,FALSE),-100)</f>
        <v>-100</v>
      </c>
      <c r="BH480">
        <f>IF(Table2912[[#This Row],[SCFA '[mmol/g']]]&lt;P$10,_xlfn.NORM.DIST(Table2912[[#This Row],[SCFA '[mmol/g']]],P$6,P$2,FALSE),-100)</f>
        <v>-100</v>
      </c>
      <c r="BI480">
        <f>IF(Table2912[[#This Row],[Acetate '[%']]]&lt;Q$10,_xlfn.NORM.DIST(Table2912[[#This Row],[Acetate '[%']]],Q$6,Q$2,FALSE),-100)</f>
        <v>-100</v>
      </c>
      <c r="BJ480">
        <f>IF(Table2912[[#This Row],[Propionate '[%']]]&lt;R$10,_xlfn.NORM.DIST(Table2912[[#This Row],[Propionate '[%']]],R$6,R$2,FALSE),-100)</f>
        <v>-100</v>
      </c>
      <c r="BK480">
        <f>IF(Table2912[[#This Row],[Butyrate '[%']]]&lt;S$10,_xlfn.NORM.DIST(Table2912[[#This Row],[Butyrate '[%']]],S$6,S$2,FALSE),-100)</f>
        <v>-100</v>
      </c>
      <c r="BL480">
        <f>IF(Table2912[[#This Row],[Valerate '[%']]]&lt;T$10,_xlfn.NORM.DIST(Table2912[[#This Row],[Valerate '[%']]],T$6,T$2,FALSE),-100)</f>
        <v>-100</v>
      </c>
      <c r="BM480">
        <f>IF(Table2912[[#This Row],[Caproate '[%']]]&lt;U$10,_xlfn.NORM.DIST(Table2912[[#This Row],[Caproate '[%']]],U$6,U$2,FALSE),-100)</f>
        <v>-100</v>
      </c>
      <c r="BN480">
        <f>IF(Table2912[[#This Row],[Isobutyrate '[%']]]&lt;V$10,_xlfn.NORM.DIST(Table2912[[#This Row],[Isobutyrate '[%']]],V$6,V$2,FALSE),-100)</f>
        <v>-100</v>
      </c>
      <c r="BO480">
        <f>IF(Table2912[[#This Row],[Isovalerate '[%']]]&lt;W$10,_xlfn.NORM.DIST(Table2912[[#This Row],[Isovalerate '[%']]],W$6,W$2,FALSE),-100)</f>
        <v>-100</v>
      </c>
      <c r="BP480">
        <f>IF(Table2912[[#This Row],[CH4 '[g/mmol SCFA']]]&lt;X$10,_xlfn.NORM.DIST(Table2912[[#This Row],[CH4 '[g/mmol SCFA']]],X$6,X$2,FALSE),-100)</f>
        <v>-100</v>
      </c>
      <c r="BQ480">
        <f>IF(Table2912[[#This Row],[DMD '[mg/g']]]&gt;Y$10,_xlfn.NORM.DIST(Table2912[[#This Row],[DMD '[mg/g']]],Y$6,Y$2,FALSE),-100)</f>
        <v>1.6320462887390963E-3</v>
      </c>
      <c r="BR480">
        <f>IF(Table2912[[#This Row],[CH4 '[ml/g']]]&lt;Z$10,_xlfn.NORM.DIST(Table2912[[#This Row],[CH4 '[ml/g']]],Z$6,Z$2,FALSE),-100)</f>
        <v>-100</v>
      </c>
      <c r="BS480">
        <f>IF(Table2912[[#This Row],[CH4 '[% GP']]]&lt;AA$10,_xlfn.NORM.DIST(Table2912[[#This Row],[CH4 '[% GP']]],AA$6,AA$2,FALSE),-100)</f>
        <v>-100</v>
      </c>
      <c r="BT480">
        <f>IF(Table2912[[#This Row],[CH4 '[g/g DDM']]]&lt;AB$10,_xlfn.NORM.DIST(Table2912[[#This Row],[CH4 '[g/g DDM']]],AB$6,AB$2,FALSE),-100)</f>
        <v>-100</v>
      </c>
    </row>
    <row r="481" spans="1:72" x14ac:dyDescent="0.25">
      <c r="A481" s="12" t="s">
        <v>200</v>
      </c>
      <c r="B481" s="13">
        <v>1252</v>
      </c>
      <c r="C481" s="113" t="s">
        <v>553</v>
      </c>
      <c r="D481" s="113" t="s">
        <v>233</v>
      </c>
      <c r="E481" s="113" t="s">
        <v>554</v>
      </c>
      <c r="F481" s="114" t="s">
        <v>555</v>
      </c>
      <c r="G481" t="s">
        <v>73</v>
      </c>
      <c r="H481" t="s">
        <v>74</v>
      </c>
      <c r="I481" t="s">
        <v>75</v>
      </c>
      <c r="J481" s="70">
        <v>1</v>
      </c>
      <c r="K481" s="70"/>
      <c r="L481" s="70"/>
      <c r="M481" t="s">
        <v>556</v>
      </c>
      <c r="N481" t="s">
        <v>363</v>
      </c>
      <c r="O481" s="18">
        <v>255.60770574110464</v>
      </c>
      <c r="P481" s="18">
        <v>6.6151671419539042</v>
      </c>
      <c r="Q481" s="97">
        <v>0.7142375550360216</v>
      </c>
      <c r="R481" s="97">
        <v>0.16996649467379141</v>
      </c>
      <c r="S481" s="97">
        <v>7.9874511169639645E-2</v>
      </c>
      <c r="T481" s="97">
        <v>1.1603624328562798E-2</v>
      </c>
      <c r="U481" s="97">
        <v>1.4427860514669349E-4</v>
      </c>
      <c r="V481" s="97">
        <v>8.9010738596903369E-3</v>
      </c>
      <c r="W481" s="97">
        <v>1.527246232714758E-2</v>
      </c>
      <c r="X481" s="51">
        <f t="shared" si="30"/>
        <v>5.6429563899891804</v>
      </c>
      <c r="Y481" s="18">
        <v>926.02391134001437</v>
      </c>
      <c r="Z481" s="18">
        <v>37.329099694535245</v>
      </c>
      <c r="AA481" s="18">
        <f t="shared" si="31"/>
        <v>14.604058819863777</v>
      </c>
      <c r="AB481" s="18">
        <f t="shared" si="32"/>
        <v>40.311161771749184</v>
      </c>
      <c r="AC481" s="18">
        <f>$CP$15*Table2912[[#This Row],[DMD '[mg/g']]]+$CS$15*Table2912[[#This Row],[CH4 '[ml/g']]]+$CR$15*Table2912[[#This Row],[CH4 '[% GP']]]+$CQ$15*Table2912[[#This Row],[CH4 '[g/g DDM']]]</f>
        <v>31.632645717236848</v>
      </c>
      <c r="AD481" s="18">
        <f>_xlfn.RANK.AVG(Table2912[[#This Row],[Index]],Table2912[Index])</f>
        <v>37</v>
      </c>
      <c r="AE48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6.3775408181919619</v>
      </c>
      <c r="AF481" s="18">
        <f>Table2912[[#This Row],[CH4 '[ml/g']]]/Table2912[[#This Row],[APB]]</f>
        <v>5.8532121955305767</v>
      </c>
      <c r="AG481" s="18">
        <f>Table2912[[#This Row],[Propionate '[%']]]/Table2912[[#This Row],[Acetate '[%']]]</f>
        <v>0.23796913712443948</v>
      </c>
      <c r="AH481" s="51"/>
      <c r="AI481" s="18"/>
      <c r="AJ481" s="18"/>
      <c r="AK481" s="18">
        <f>(Table2912[[#This Row],[DMD '[mg/g']]]-$AK$15)/$AK$15*100</f>
        <v>88.873028809052329</v>
      </c>
      <c r="AL481" s="18">
        <f>(Table2912[[#This Row],[CH4 '[ml/g']]]-AL$15)/AL$15*100</f>
        <v>-5.0927937539224652</v>
      </c>
      <c r="AM481" s="18">
        <f>(Table2912[[#This Row],[CH4 '[% GP']]]-AM$15)/AM$15*100</f>
        <v>-5.9159517901410528</v>
      </c>
      <c r="AN481" s="18">
        <f>(Table2912[[#This Row],[CH4 '[g/g DDM']]]-AN$15)/AN$15*100</f>
        <v>-21.291128729460638</v>
      </c>
      <c r="AO481" s="18"/>
      <c r="AP481" s="18"/>
      <c r="AQ481" t="e">
        <f t="shared" si="33"/>
        <v>#DIV/0!</v>
      </c>
      <c r="AR481">
        <f>_xlfn.NORM.DIST(Table2912[[#This Row],[GP '[ml/g']]],O$6,O$2,FALSE)</f>
        <v>7.4798465084289041E-3</v>
      </c>
      <c r="AS481">
        <f>_xlfn.NORM.DIST(Table2912[[#This Row],[SCFA '[mmol/g']]],P$6,P$2,FALSE)</f>
        <v>0.33204574848593243</v>
      </c>
      <c r="AT481">
        <f>_xlfn.NORM.DIST(Table2912[[#This Row],[Acetate '[%']]],Q$6,Q$2,FALSE)</f>
        <v>4.9342507316243438</v>
      </c>
      <c r="AU481">
        <f>_xlfn.NORM.DIST(Table2912[[#This Row],[Propionate '[%']]],R$6,R$2,FALSE)</f>
        <v>16.737421479709901</v>
      </c>
      <c r="AV481">
        <f>_xlfn.NORM.DIST(Table2912[[#This Row],[Butyrate '[%']]],S$6,S$2,FALSE)</f>
        <v>17.342337909192256</v>
      </c>
      <c r="AW481">
        <f>_xlfn.NORM.DIST(Table2912[[#This Row],[Valerate '[%']]],T$6,T$2,FALSE)</f>
        <v>38.81847938032729</v>
      </c>
      <c r="AX481">
        <f>_xlfn.NORM.DIST(Table2912[[#This Row],[Caproate '[%']]],U$6,U$2,FALSE)</f>
        <v>195.0932545680545</v>
      </c>
      <c r="AY481">
        <f>_xlfn.NORM.DIST(Table2912[[#This Row],[Isobutyrate '[%']]],V$6,V$2,FALSE)</f>
        <v>31.505671987274297</v>
      </c>
      <c r="AZ481">
        <f>_xlfn.NORM.DIST(Table2912[[#This Row],[Isovalerate '[%']]],W$6,W$2,FALSE)</f>
        <v>16.168926569233346</v>
      </c>
      <c r="BA481">
        <f>_xlfn.NORM.DIST(Table2912[[#This Row],[CH4 '[g/mmol SCFA']]],X$6,X$2,FALSE)</f>
        <v>0.26543267827143163</v>
      </c>
      <c r="BB481">
        <f>_xlfn.NORM.DIST(Table2912[[#This Row],[DMD '[mg/g']]],Y$6,Y$2,FALSE)</f>
        <v>1.5983086635804763E-3</v>
      </c>
      <c r="BC481">
        <f>_xlfn.NORM.DIST(Table2912[[#This Row],[CH4 '[ml/g']]],Z$6,Z$2,FALSE)</f>
        <v>3.1605500835649315E-2</v>
      </c>
      <c r="BD481">
        <f>_xlfn.NORM.DIST(Table2912[[#This Row],[CH4 '[% GP']]],AA$6,AA$2,FALSE)</f>
        <v>0.11921615438679295</v>
      </c>
      <c r="BE481">
        <f>_xlfn.NORM.DIST(Table2912[[#This Row],[CH4 '[g/g DDM']]],AB$6,AB$2,FALSE)</f>
        <v>1.8452619502276287E-2</v>
      </c>
      <c r="BG481">
        <f>IF(Table2912[[#This Row],[GP '[ml/g']]]&lt;O$10,_xlfn.NORM.DIST(Table2912[[#This Row],[GP '[ml/g']]],O$6,O$2,FALSE),-100)</f>
        <v>-100</v>
      </c>
      <c r="BH481">
        <f>IF(Table2912[[#This Row],[SCFA '[mmol/g']]]&lt;P$10,_xlfn.NORM.DIST(Table2912[[#This Row],[SCFA '[mmol/g']]],P$6,P$2,FALSE),-100)</f>
        <v>-100</v>
      </c>
      <c r="BI481">
        <f>IF(Table2912[[#This Row],[Acetate '[%']]]&lt;Q$10,_xlfn.NORM.DIST(Table2912[[#This Row],[Acetate '[%']]],Q$6,Q$2,FALSE),-100)</f>
        <v>-100</v>
      </c>
      <c r="BJ481">
        <f>IF(Table2912[[#This Row],[Propionate '[%']]]&lt;R$10,_xlfn.NORM.DIST(Table2912[[#This Row],[Propionate '[%']]],R$6,R$2,FALSE),-100)</f>
        <v>-100</v>
      </c>
      <c r="BK481">
        <f>IF(Table2912[[#This Row],[Butyrate '[%']]]&lt;S$10,_xlfn.NORM.DIST(Table2912[[#This Row],[Butyrate '[%']]],S$6,S$2,FALSE),-100)</f>
        <v>-100</v>
      </c>
      <c r="BL481">
        <f>IF(Table2912[[#This Row],[Valerate '[%']]]&lt;T$10,_xlfn.NORM.DIST(Table2912[[#This Row],[Valerate '[%']]],T$6,T$2,FALSE),-100)</f>
        <v>38.81847938032729</v>
      </c>
      <c r="BM481">
        <f>IF(Table2912[[#This Row],[Caproate '[%']]]&lt;U$10,_xlfn.NORM.DIST(Table2912[[#This Row],[Caproate '[%']]],U$6,U$2,FALSE),-100)</f>
        <v>195.0932545680545</v>
      </c>
      <c r="BN481">
        <f>IF(Table2912[[#This Row],[Isobutyrate '[%']]]&lt;V$10,_xlfn.NORM.DIST(Table2912[[#This Row],[Isobutyrate '[%']]],V$6,V$2,FALSE),-100)</f>
        <v>31.505671987274297</v>
      </c>
      <c r="BO481">
        <f>IF(Table2912[[#This Row],[Isovalerate '[%']]]&lt;W$10,_xlfn.NORM.DIST(Table2912[[#This Row],[Isovalerate '[%']]],W$6,W$2,FALSE),-100)</f>
        <v>16.168926569233346</v>
      </c>
      <c r="BP481">
        <f>IF(Table2912[[#This Row],[CH4 '[g/mmol SCFA']]]&lt;X$10,_xlfn.NORM.DIST(Table2912[[#This Row],[CH4 '[g/mmol SCFA']]],X$6,X$2,FALSE),-100)</f>
        <v>-100</v>
      </c>
      <c r="BQ481">
        <f>IF(Table2912[[#This Row],[DMD '[mg/g']]]&gt;Y$10,_xlfn.NORM.DIST(Table2912[[#This Row],[DMD '[mg/g']]],Y$6,Y$2,FALSE),-100)</f>
        <v>1.5983086635804763E-3</v>
      </c>
      <c r="BR481">
        <f>IF(Table2912[[#This Row],[CH4 '[ml/g']]]&lt;Z$10,_xlfn.NORM.DIST(Table2912[[#This Row],[CH4 '[ml/g']]],Z$6,Z$2,FALSE),-100)</f>
        <v>-100</v>
      </c>
      <c r="BS481">
        <f>IF(Table2912[[#This Row],[CH4 '[% GP']]]&lt;AA$10,_xlfn.NORM.DIST(Table2912[[#This Row],[CH4 '[% GP']]],AA$6,AA$2,FALSE),-100)</f>
        <v>-100</v>
      </c>
      <c r="BT481">
        <f>IF(Table2912[[#This Row],[CH4 '[g/g DDM']]]&lt;AB$10,_xlfn.NORM.DIST(Table2912[[#This Row],[CH4 '[g/g DDM']]],AB$6,AB$2,FALSE),-100)</f>
        <v>-100</v>
      </c>
    </row>
    <row r="482" spans="1:72" x14ac:dyDescent="0.25">
      <c r="A482" s="12" t="s">
        <v>86</v>
      </c>
      <c r="B482" s="13">
        <v>1067</v>
      </c>
      <c r="C482" s="32">
        <v>21802</v>
      </c>
      <c r="D482" t="s">
        <v>323</v>
      </c>
      <c r="E482" t="s">
        <v>324</v>
      </c>
      <c r="F482" t="s">
        <v>325</v>
      </c>
      <c r="G482" s="32" t="s">
        <v>73</v>
      </c>
      <c r="H482" s="32" t="s">
        <v>74</v>
      </c>
      <c r="I482" s="105" t="s">
        <v>44</v>
      </c>
      <c r="J482" s="70">
        <v>2</v>
      </c>
      <c r="K482" s="70"/>
      <c r="L482" s="70"/>
      <c r="M482" t="s">
        <v>325</v>
      </c>
      <c r="N482" t="s">
        <v>124</v>
      </c>
      <c r="O482" s="18">
        <v>243.15213165451769</v>
      </c>
      <c r="P482" s="18">
        <v>6.2529068016145555</v>
      </c>
      <c r="Q482" s="97">
        <v>0.6493134188834091</v>
      </c>
      <c r="R482" s="97">
        <v>0.18674992547953936</v>
      </c>
      <c r="S482" s="97">
        <v>7.072295405199383E-2</v>
      </c>
      <c r="T482" s="97">
        <v>2.534510442067045E-2</v>
      </c>
      <c r="U482" s="97">
        <v>8.199098972163873E-4</v>
      </c>
      <c r="V482" s="97">
        <v>2.3194946132775753E-2</v>
      </c>
      <c r="W482" s="97">
        <v>4.3853741134395038E-2</v>
      </c>
      <c r="X482" s="51">
        <f t="shared" si="30"/>
        <v>7.325141814626944</v>
      </c>
      <c r="Y482" s="18">
        <v>926.91021198238786</v>
      </c>
      <c r="Z482" s="18">
        <v>45.803429075472003</v>
      </c>
      <c r="AA482" s="18">
        <f t="shared" si="31"/>
        <v>18.83735452525324</v>
      </c>
      <c r="AB482" s="18">
        <f t="shared" si="32"/>
        <v>49.415173641805026</v>
      </c>
      <c r="AC482" s="18">
        <f>$CP$15*Table2912[[#This Row],[DMD '[mg/g']]]+$CS$15*Table2912[[#This Row],[CH4 '[ml/g']]]+$CR$15*Table2912[[#This Row],[CH4 '[% GP']]]+$CQ$15*Table2912[[#This Row],[CH4 '[g/g DDM']]]</f>
        <v>27.370199370501268</v>
      </c>
      <c r="AD482" s="18">
        <f>_xlfn.RANK.AVG(Table2912[[#This Row],[Index]],Table2912[Index])</f>
        <v>67</v>
      </c>
      <c r="AE48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5.670050212969679</v>
      </c>
      <c r="AF482" s="18">
        <f>Table2912[[#This Row],[CH4 '[ml/g']]]/Table2912[[#This Row],[APB]]</f>
        <v>8.0781346469738828</v>
      </c>
      <c r="AG482" s="18">
        <f>Table2912[[#This Row],[Propionate '[%']]]/Table2912[[#This Row],[Acetate '[%']]]</f>
        <v>0.28761137541356163</v>
      </c>
      <c r="AH482" s="51"/>
      <c r="AI482" s="18"/>
      <c r="AJ482" s="18"/>
      <c r="AK482" s="18">
        <f>(Table2912[[#This Row],[DMD '[mg/g']]]-$AK$15)/$AK$15*100</f>
        <v>89.053799828796571</v>
      </c>
      <c r="AL482" s="18">
        <f>(Table2912[[#This Row],[CH4 '[ml/g']]]-AL$15)/AL$15*100</f>
        <v>16.452727915101352</v>
      </c>
      <c r="AM482" s="18">
        <f>(Table2912[[#This Row],[CH4 '[% GP']]]-AM$15)/AM$15*100</f>
        <v>21.356301913104858</v>
      </c>
      <c r="AN482" s="18">
        <f>(Table2912[[#This Row],[CH4 '[g/g DDM']]]-AN$15)/AN$15*100</f>
        <v>-3.5152456531293881</v>
      </c>
      <c r="AO482" s="18"/>
      <c r="AP482" s="18"/>
      <c r="AQ482" t="e">
        <f t="shared" si="33"/>
        <v>#DIV/0!</v>
      </c>
      <c r="AR482">
        <f>_xlfn.NORM.DIST(Table2912[[#This Row],[GP '[ml/g']]],O$6,O$2,FALSE)</f>
        <v>7.2823965144313265E-3</v>
      </c>
      <c r="AS482">
        <f>_xlfn.NORM.DIST(Table2912[[#This Row],[SCFA '[mmol/g']]],P$6,P$2,FALSE)</f>
        <v>0.32350203414988976</v>
      </c>
      <c r="AT482">
        <f>_xlfn.NORM.DIST(Table2912[[#This Row],[Acetate '[%']]],Q$6,Q$2,FALSE)</f>
        <v>9.8799675353421428</v>
      </c>
      <c r="AU482">
        <f>_xlfn.NORM.DIST(Table2912[[#This Row],[Propionate '[%']]],R$6,R$2,FALSE)</f>
        <v>13.79998542044102</v>
      </c>
      <c r="AV482">
        <f>_xlfn.NORM.DIST(Table2912[[#This Row],[Butyrate '[%']]],S$6,S$2,FALSE)</f>
        <v>10.131913255335542</v>
      </c>
      <c r="AW482">
        <f>_xlfn.NORM.DIST(Table2912[[#This Row],[Valerate '[%']]],T$6,T$2,FALSE)</f>
        <v>25.463091962511594</v>
      </c>
      <c r="AX482">
        <f>_xlfn.NORM.DIST(Table2912[[#This Row],[Caproate '[%']]],U$6,U$2,FALSE)</f>
        <v>354.82527423762593</v>
      </c>
      <c r="AY482">
        <f>_xlfn.NORM.DIST(Table2912[[#This Row],[Isobutyrate '[%']]],V$6,V$2,FALSE)</f>
        <v>18.48533638214165</v>
      </c>
      <c r="AZ482">
        <f>_xlfn.NORM.DIST(Table2912[[#This Row],[Isovalerate '[%']]],W$6,W$2,FALSE)</f>
        <v>8.7134989615116005</v>
      </c>
      <c r="BA482">
        <f>_xlfn.NORM.DIST(Table2912[[#This Row],[CH4 '[g/mmol SCFA']]],X$6,X$2,FALSE)</f>
        <v>0.21989701179355581</v>
      </c>
      <c r="BB482">
        <f>_xlfn.NORM.DIST(Table2912[[#This Row],[DMD '[mg/g']]],Y$6,Y$2,FALSE)</f>
        <v>1.5869607106599052E-3</v>
      </c>
      <c r="BC482">
        <f>_xlfn.NORM.DIST(Table2912[[#This Row],[CH4 '[ml/g']]],Z$6,Z$2,FALSE)</f>
        <v>3.1289366236929114E-2</v>
      </c>
      <c r="BD482">
        <f>_xlfn.NORM.DIST(Table2912[[#This Row],[CH4 '[% GP']]],AA$6,AA$2,FALSE)</f>
        <v>8.7007116245419444E-2</v>
      </c>
      <c r="BE482">
        <f>_xlfn.NORM.DIST(Table2912[[#This Row],[CH4 '[g/g DDM']]],AB$6,AB$2,FALSE)</f>
        <v>3.1168528847797496E-2</v>
      </c>
      <c r="BG482">
        <f>IF(Table2912[[#This Row],[GP '[ml/g']]]&lt;O$10,_xlfn.NORM.DIST(Table2912[[#This Row],[GP '[ml/g']]],O$6,O$2,FALSE),-100)</f>
        <v>-100</v>
      </c>
      <c r="BH482">
        <f>IF(Table2912[[#This Row],[SCFA '[mmol/g']]]&lt;P$10,_xlfn.NORM.DIST(Table2912[[#This Row],[SCFA '[mmol/g']]],P$6,P$2,FALSE),-100)</f>
        <v>-100</v>
      </c>
      <c r="BI482">
        <f>IF(Table2912[[#This Row],[Acetate '[%']]]&lt;Q$10,_xlfn.NORM.DIST(Table2912[[#This Row],[Acetate '[%']]],Q$6,Q$2,FALSE),-100)</f>
        <v>-100</v>
      </c>
      <c r="BJ482">
        <f>IF(Table2912[[#This Row],[Propionate '[%']]]&lt;R$10,_xlfn.NORM.DIST(Table2912[[#This Row],[Propionate '[%']]],R$6,R$2,FALSE),-100)</f>
        <v>-100</v>
      </c>
      <c r="BK482">
        <f>IF(Table2912[[#This Row],[Butyrate '[%']]]&lt;S$10,_xlfn.NORM.DIST(Table2912[[#This Row],[Butyrate '[%']]],S$6,S$2,FALSE),-100)</f>
        <v>10.131913255335542</v>
      </c>
      <c r="BL482">
        <f>IF(Table2912[[#This Row],[Valerate '[%']]]&lt;T$10,_xlfn.NORM.DIST(Table2912[[#This Row],[Valerate '[%']]],T$6,T$2,FALSE),-100)</f>
        <v>-100</v>
      </c>
      <c r="BM482">
        <f>IF(Table2912[[#This Row],[Caproate '[%']]]&lt;U$10,_xlfn.NORM.DIST(Table2912[[#This Row],[Caproate '[%']]],U$6,U$2,FALSE),-100)</f>
        <v>-100</v>
      </c>
      <c r="BN482">
        <f>IF(Table2912[[#This Row],[Isobutyrate '[%']]]&lt;V$10,_xlfn.NORM.DIST(Table2912[[#This Row],[Isobutyrate '[%']]],V$6,V$2,FALSE),-100)</f>
        <v>-100</v>
      </c>
      <c r="BO482">
        <f>IF(Table2912[[#This Row],[Isovalerate '[%']]]&lt;W$10,_xlfn.NORM.DIST(Table2912[[#This Row],[Isovalerate '[%']]],W$6,W$2,FALSE),-100)</f>
        <v>-100</v>
      </c>
      <c r="BP482">
        <f>IF(Table2912[[#This Row],[CH4 '[g/mmol SCFA']]]&lt;X$10,_xlfn.NORM.DIST(Table2912[[#This Row],[CH4 '[g/mmol SCFA']]],X$6,X$2,FALSE),-100)</f>
        <v>-100</v>
      </c>
      <c r="BQ482">
        <f>IF(Table2912[[#This Row],[DMD '[mg/g']]]&gt;Y$10,_xlfn.NORM.DIST(Table2912[[#This Row],[DMD '[mg/g']]],Y$6,Y$2,FALSE),-100)</f>
        <v>1.5869607106599052E-3</v>
      </c>
      <c r="BR482">
        <f>IF(Table2912[[#This Row],[CH4 '[ml/g']]]&lt;Z$10,_xlfn.NORM.DIST(Table2912[[#This Row],[CH4 '[ml/g']]],Z$6,Z$2,FALSE),-100)</f>
        <v>-100</v>
      </c>
      <c r="BS482">
        <f>IF(Table2912[[#This Row],[CH4 '[% GP']]]&lt;AA$10,_xlfn.NORM.DIST(Table2912[[#This Row],[CH4 '[% GP']]],AA$6,AA$2,FALSE),-100)</f>
        <v>-100</v>
      </c>
      <c r="BT482">
        <f>IF(Table2912[[#This Row],[CH4 '[g/g DDM']]]&lt;AB$10,_xlfn.NORM.DIST(Table2912[[#This Row],[CH4 '[g/g DDM']]],AB$6,AB$2,FALSE),-100)</f>
        <v>-100</v>
      </c>
    </row>
    <row r="483" spans="1:72" x14ac:dyDescent="0.25">
      <c r="A483" s="12" t="s">
        <v>200</v>
      </c>
      <c r="B483" s="13">
        <v>1254</v>
      </c>
      <c r="C483" s="113" t="s">
        <v>201</v>
      </c>
      <c r="D483" s="113" t="s">
        <v>202</v>
      </c>
      <c r="E483" s="113" t="s">
        <v>203</v>
      </c>
      <c r="F483" s="114" t="s">
        <v>204</v>
      </c>
      <c r="G483" t="s">
        <v>205</v>
      </c>
      <c r="H483" t="s">
        <v>206</v>
      </c>
      <c r="I483" s="115" t="s">
        <v>48</v>
      </c>
      <c r="J483" s="107">
        <v>2</v>
      </c>
      <c r="K483" s="107"/>
      <c r="L483" s="107"/>
      <c r="M483" t="s">
        <v>207</v>
      </c>
      <c r="N483" t="s">
        <v>342</v>
      </c>
      <c r="O483" s="18">
        <v>173.35133333333388</v>
      </c>
      <c r="P483" s="18">
        <v>4.241869449966865</v>
      </c>
      <c r="Q483" s="97">
        <v>0.74158159489169306</v>
      </c>
      <c r="R483" s="97">
        <v>0.17249802461061484</v>
      </c>
      <c r="S483" s="97">
        <v>5.1186678368966038E-2</v>
      </c>
      <c r="T483" s="97">
        <v>1.9997258559753199E-2</v>
      </c>
      <c r="U483" s="97">
        <v>6.2608719014705533E-4</v>
      </c>
      <c r="V483" s="97">
        <v>5.5490863874585045E-3</v>
      </c>
      <c r="W483" s="97">
        <v>8.5612699913674359E-3</v>
      </c>
      <c r="X483" s="51">
        <f t="shared" si="30"/>
        <v>4.0451835133298335</v>
      </c>
      <c r="Y483" s="18">
        <v>927.49458802739105</v>
      </c>
      <c r="Z483" s="18">
        <v>17.15914036470345</v>
      </c>
      <c r="AA483" s="18">
        <f t="shared" si="31"/>
        <v>9.8984761378837938</v>
      </c>
      <c r="AB483" s="18">
        <f t="shared" si="32"/>
        <v>18.500528829173827</v>
      </c>
      <c r="AC483" s="18">
        <f>$CP$15*Table2912[[#This Row],[DMD '[mg/g']]]+$CS$15*Table2912[[#This Row],[CH4 '[ml/g']]]+$CR$15*Table2912[[#This Row],[CH4 '[% GP']]]+$CQ$15*Table2912[[#This Row],[CH4 '[g/g DDM']]]</f>
        <v>40.480835848503276</v>
      </c>
      <c r="AD483" s="18">
        <f>_xlfn.RANK.AVG(Table2912[[#This Row],[Index]],Table2912[Index])</f>
        <v>5</v>
      </c>
      <c r="AE48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4.0945336200227729</v>
      </c>
      <c r="AF483" s="18">
        <f>Table2912[[#This Row],[CH4 '[ml/g']]]/Table2912[[#This Row],[APB]]</f>
        <v>4.1907435515471514</v>
      </c>
      <c r="AG483" s="18">
        <f>Table2912[[#This Row],[Propionate '[%']]]/Table2912[[#This Row],[Acetate '[%']]]</f>
        <v>0.23260828720514284</v>
      </c>
      <c r="AH483" s="51"/>
      <c r="AI483" s="18"/>
      <c r="AJ483" s="18"/>
      <c r="AK483" s="18">
        <f>(Table2912[[#This Row],[DMD '[mg/g']]]-$AK$15)/$AK$15*100</f>
        <v>89.172989919064847</v>
      </c>
      <c r="AL483" s="18">
        <f>(Table2912[[#This Row],[CH4 '[ml/g']]]-AL$15)/AL$15*100</f>
        <v>-56.373818631454675</v>
      </c>
      <c r="AM483" s="18">
        <f>(Table2912[[#This Row],[CH4 '[% GP']]]-AM$15)/AM$15*100</f>
        <v>-36.23083023370868</v>
      </c>
      <c r="AN483" s="18">
        <f>(Table2912[[#This Row],[CH4 '[g/g DDM']]]-AN$15)/AN$15*100</f>
        <v>-63.877108025379549</v>
      </c>
      <c r="AO483" s="18"/>
      <c r="AP483" s="18"/>
      <c r="AQ483" t="e">
        <f t="shared" si="33"/>
        <v>#DIV/0!</v>
      </c>
      <c r="AR483">
        <f>_xlfn.NORM.DIST(Table2912[[#This Row],[GP '[ml/g']]],O$6,O$2,FALSE)</f>
        <v>2.2849950482793906E-3</v>
      </c>
      <c r="AS483">
        <f>_xlfn.NORM.DIST(Table2912[[#This Row],[SCFA '[mmol/g']]],P$6,P$2,FALSE)</f>
        <v>5.3216446151806547E-2</v>
      </c>
      <c r="AT483">
        <f>_xlfn.NORM.DIST(Table2912[[#This Row],[Acetate '[%']]],Q$6,Q$2,FALSE)</f>
        <v>0.7743515398172055</v>
      </c>
      <c r="AU483">
        <f>_xlfn.NORM.DIST(Table2912[[#This Row],[Propionate '[%']]],R$6,R$2,FALSE)</f>
        <v>16.785169529852364</v>
      </c>
      <c r="AV483">
        <f>_xlfn.NORM.DIST(Table2912[[#This Row],[Butyrate '[%']]],S$6,S$2,FALSE)</f>
        <v>1.2642667030320753</v>
      </c>
      <c r="AW483">
        <f>_xlfn.NORM.DIST(Table2912[[#This Row],[Valerate '[%']]],T$6,T$2,FALSE)</f>
        <v>69.828469025596505</v>
      </c>
      <c r="AX483">
        <f>_xlfn.NORM.DIST(Table2912[[#This Row],[Caproate '[%']]],U$6,U$2,FALSE)</f>
        <v>313.75374709900353</v>
      </c>
      <c r="AY483">
        <f>_xlfn.NORM.DIST(Table2912[[#This Row],[Isobutyrate '[%']]],V$6,V$2,FALSE)</f>
        <v>7.8833286235682918</v>
      </c>
      <c r="AZ483">
        <f>_xlfn.NORM.DIST(Table2912[[#This Row],[Isovalerate '[%']]],W$6,W$2,FALSE)</f>
        <v>4.0249989742889465</v>
      </c>
      <c r="BA483">
        <f>_xlfn.NORM.DIST(Table2912[[#This Row],[CH4 '[g/mmol SCFA']]],X$6,X$2,FALSE)</f>
        <v>7.3985482537985897E-2</v>
      </c>
      <c r="BB483">
        <f>_xlfn.NORM.DIST(Table2912[[#This Row],[DMD '[mg/g']]],Y$6,Y$2,FALSE)</f>
        <v>1.5794863652464864E-3</v>
      </c>
      <c r="BC483">
        <f>_xlfn.NORM.DIST(Table2912[[#This Row],[CH4 '[ml/g']]],Z$6,Z$2,FALSE)</f>
        <v>4.2188610731112106E-3</v>
      </c>
      <c r="BD483">
        <f>_xlfn.NORM.DIST(Table2912[[#This Row],[CH4 '[% GP']]],AA$6,AA$2,FALSE)</f>
        <v>1.5375841418236478E-2</v>
      </c>
      <c r="BE483">
        <f>_xlfn.NORM.DIST(Table2912[[#This Row],[CH4 '[g/g DDM']]],AB$6,AB$2,FALSE)</f>
        <v>5.3429362048582497E-4</v>
      </c>
      <c r="BG483">
        <f>IF(Table2912[[#This Row],[GP '[ml/g']]]&lt;O$10,_xlfn.NORM.DIST(Table2912[[#This Row],[GP '[ml/g']]],O$6,O$2,FALSE),-100)</f>
        <v>2.2849950482793906E-3</v>
      </c>
      <c r="BH483">
        <f>IF(Table2912[[#This Row],[SCFA '[mmol/g']]]&lt;P$10,_xlfn.NORM.DIST(Table2912[[#This Row],[SCFA '[mmol/g']]],P$6,P$2,FALSE),-100)</f>
        <v>5.3216446151806547E-2</v>
      </c>
      <c r="BI483">
        <f>IF(Table2912[[#This Row],[Acetate '[%']]]&lt;Q$10,_xlfn.NORM.DIST(Table2912[[#This Row],[Acetate '[%']]],Q$6,Q$2,FALSE),-100)</f>
        <v>-100</v>
      </c>
      <c r="BJ483">
        <f>IF(Table2912[[#This Row],[Propionate '[%']]]&lt;R$10,_xlfn.NORM.DIST(Table2912[[#This Row],[Propionate '[%']]],R$6,R$2,FALSE),-100)</f>
        <v>-100</v>
      </c>
      <c r="BK483">
        <f>IF(Table2912[[#This Row],[Butyrate '[%']]]&lt;S$10,_xlfn.NORM.DIST(Table2912[[#This Row],[Butyrate '[%']]],S$6,S$2,FALSE),-100)</f>
        <v>1.2642667030320753</v>
      </c>
      <c r="BL483">
        <f>IF(Table2912[[#This Row],[Valerate '[%']]]&lt;T$10,_xlfn.NORM.DIST(Table2912[[#This Row],[Valerate '[%']]],T$6,T$2,FALSE),-100)</f>
        <v>-100</v>
      </c>
      <c r="BM483">
        <f>IF(Table2912[[#This Row],[Caproate '[%']]]&lt;U$10,_xlfn.NORM.DIST(Table2912[[#This Row],[Caproate '[%']]],U$6,U$2,FALSE),-100)</f>
        <v>-100</v>
      </c>
      <c r="BN483">
        <f>IF(Table2912[[#This Row],[Isobutyrate '[%']]]&lt;V$10,_xlfn.NORM.DIST(Table2912[[#This Row],[Isobutyrate '[%']]],V$6,V$2,FALSE),-100)</f>
        <v>7.8833286235682918</v>
      </c>
      <c r="BO483">
        <f>IF(Table2912[[#This Row],[Isovalerate '[%']]]&lt;W$10,_xlfn.NORM.DIST(Table2912[[#This Row],[Isovalerate '[%']]],W$6,W$2,FALSE),-100)</f>
        <v>4.0249989742889465</v>
      </c>
      <c r="BP483">
        <f>IF(Table2912[[#This Row],[CH4 '[g/mmol SCFA']]]&lt;X$10,_xlfn.NORM.DIST(Table2912[[#This Row],[CH4 '[g/mmol SCFA']]],X$6,X$2,FALSE),-100)</f>
        <v>7.3985482537985897E-2</v>
      </c>
      <c r="BQ483">
        <f>IF(Table2912[[#This Row],[DMD '[mg/g']]]&gt;Y$10,_xlfn.NORM.DIST(Table2912[[#This Row],[DMD '[mg/g']]],Y$6,Y$2,FALSE),-100)</f>
        <v>1.5794863652464864E-3</v>
      </c>
      <c r="BR483">
        <f>IF(Table2912[[#This Row],[CH4 '[ml/g']]]&lt;Z$10,_xlfn.NORM.DIST(Table2912[[#This Row],[CH4 '[ml/g']]],Z$6,Z$2,FALSE),-100)</f>
        <v>4.2188610731112106E-3</v>
      </c>
      <c r="BS483">
        <f>IF(Table2912[[#This Row],[CH4 '[% GP']]]&lt;AA$10,_xlfn.NORM.DIST(Table2912[[#This Row],[CH4 '[% GP']]],AA$6,AA$2,FALSE),-100)</f>
        <v>1.5375841418236478E-2</v>
      </c>
      <c r="BT483">
        <f>IF(Table2912[[#This Row],[CH4 '[g/g DDM']]]&lt;AB$10,_xlfn.NORM.DIST(Table2912[[#This Row],[CH4 '[g/g DDM']]],AB$6,AB$2,FALSE),-100)</f>
        <v>5.3429362048582497E-4</v>
      </c>
    </row>
    <row r="484" spans="1:72" x14ac:dyDescent="0.25">
      <c r="A484" s="12" t="s">
        <v>200</v>
      </c>
      <c r="B484" s="13">
        <v>1214</v>
      </c>
      <c r="C484" s="113" t="s">
        <v>532</v>
      </c>
      <c r="D484" s="113" t="s">
        <v>391</v>
      </c>
      <c r="E484" s="113" t="s">
        <v>392</v>
      </c>
      <c r="F484" s="113" t="s">
        <v>393</v>
      </c>
      <c r="G484" s="32" t="s">
        <v>73</v>
      </c>
      <c r="H484" s="32" t="s">
        <v>74</v>
      </c>
      <c r="I484" s="105" t="s">
        <v>75</v>
      </c>
      <c r="J484" s="70">
        <v>2</v>
      </c>
      <c r="K484" s="70"/>
      <c r="L484" s="70"/>
      <c r="M484" t="s">
        <v>533</v>
      </c>
      <c r="N484" t="s">
        <v>208</v>
      </c>
      <c r="O484" s="18">
        <v>362.94996686547432</v>
      </c>
      <c r="P484" s="18">
        <v>7.9430638391870998</v>
      </c>
      <c r="Q484" s="97">
        <v>0.67789398269913725</v>
      </c>
      <c r="R484" s="97">
        <v>0.17532817655702185</v>
      </c>
      <c r="S484" s="97">
        <v>0.10153714194005085</v>
      </c>
      <c r="T484" s="97">
        <v>1.319185837938517E-2</v>
      </c>
      <c r="U484" s="97">
        <v>2.2384583185352681E-3</v>
      </c>
      <c r="V484" s="97">
        <v>1.1141097407080611E-2</v>
      </c>
      <c r="W484" s="97">
        <v>1.8669284698788934E-2</v>
      </c>
      <c r="X484" s="51">
        <f t="shared" si="30"/>
        <v>7.706606254571545</v>
      </c>
      <c r="Y484" s="18">
        <v>929.20256240335766</v>
      </c>
      <c r="Z484" s="18">
        <v>61.214065463540372</v>
      </c>
      <c r="AA484" s="18">
        <f t="shared" si="31"/>
        <v>16.865703554735155</v>
      </c>
      <c r="AB484" s="18">
        <f t="shared" si="32"/>
        <v>65.878063557220315</v>
      </c>
      <c r="AC484" s="18">
        <f>$CP$15*Table2912[[#This Row],[DMD '[mg/g']]]+$CS$15*Table2912[[#This Row],[CH4 '[ml/g']]]+$CR$15*Table2912[[#This Row],[CH4 '[% GP']]]+$CQ$15*Table2912[[#This Row],[CH4 '[g/g DDM']]]</f>
        <v>22.643483239039192</v>
      </c>
      <c r="AD484" s="18">
        <f>_xlfn.RANK.AVG(Table2912[[#This Row],[Index]],Table2912[Index])</f>
        <v>122</v>
      </c>
      <c r="AE48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7.5837140804591598</v>
      </c>
      <c r="AF484" s="18">
        <f>Table2912[[#This Row],[CH4 '[ml/g']]]/Table2912[[#This Row],[APB]]</f>
        <v>8.0717791855140906</v>
      </c>
      <c r="AG484" s="18">
        <f>Table2912[[#This Row],[Propionate '[%']]]/Table2912[[#This Row],[Acetate '[%']]]</f>
        <v>0.25863657302123594</v>
      </c>
      <c r="AH484" s="51"/>
      <c r="AI484" s="18"/>
      <c r="AJ484" s="18"/>
      <c r="AK484" s="18">
        <f>(Table2912[[#This Row],[DMD '[mg/g']]]-$AK$15)/$AK$15*100</f>
        <v>89.521350571059514</v>
      </c>
      <c r="AL484" s="18">
        <f>(Table2912[[#This Row],[CH4 '[ml/g']]]-AL$15)/AL$15*100</f>
        <v>55.633432995964185</v>
      </c>
      <c r="AM484" s="18">
        <f>(Table2912[[#This Row],[CH4 '[% GP']]]-AM$15)/AM$15*100</f>
        <v>8.6542916534002963</v>
      </c>
      <c r="AN484" s="18">
        <f>(Table2912[[#This Row],[CH4 '[g/g DDM']]]-AN$15)/AN$15*100</f>
        <v>28.629089219441472</v>
      </c>
      <c r="AO484" s="18"/>
      <c r="AP484" s="18"/>
      <c r="AQ484" t="e">
        <f t="shared" si="33"/>
        <v>#DIV/0!</v>
      </c>
      <c r="AR484">
        <f>_xlfn.NORM.DIST(Table2912[[#This Row],[GP '[ml/g']]],O$6,O$2,FALSE)</f>
        <v>9.8266254649419368E-4</v>
      </c>
      <c r="AS484">
        <f>_xlfn.NORM.DIST(Table2912[[#This Row],[SCFA '[mmol/g']]],P$6,P$2,FALSE)</f>
        <v>0.16736332243548971</v>
      </c>
      <c r="AT484">
        <f>_xlfn.NORM.DIST(Table2912[[#This Row],[Acetate '[%']]],Q$6,Q$2,FALSE)</f>
        <v>13.83108451472161</v>
      </c>
      <c r="AU484">
        <f>_xlfn.NORM.DIST(Table2912[[#This Row],[Propionate '[%']]],R$6,R$2,FALSE)</f>
        <v>16.613903386971351</v>
      </c>
      <c r="AV484">
        <f>_xlfn.NORM.DIST(Table2912[[#This Row],[Butyrate '[%']]],S$6,S$2,FALSE)</f>
        <v>20.350890936453727</v>
      </c>
      <c r="AW484">
        <f>_xlfn.NORM.DIST(Table2912[[#This Row],[Valerate '[%']]],T$6,T$2,FALSE)</f>
        <v>53.16463366567838</v>
      </c>
      <c r="AX484">
        <f>_xlfn.NORM.DIST(Table2912[[#This Row],[Caproate '[%']]],U$6,U$2,FALSE)</f>
        <v>265.65188798173625</v>
      </c>
      <c r="AY484">
        <f>_xlfn.NORM.DIST(Table2912[[#This Row],[Isobutyrate '[%']]],V$6,V$2,FALSE)</f>
        <v>57.749803806447069</v>
      </c>
      <c r="AZ484">
        <f>_xlfn.NORM.DIST(Table2912[[#This Row],[Isovalerate '[%']]],W$6,W$2,FALSE)</f>
        <v>26.161599834834472</v>
      </c>
      <c r="BA484">
        <f>_xlfn.NORM.DIST(Table2912[[#This Row],[CH4 '[g/mmol SCFA']]],X$6,X$2,FALSE)</f>
        <v>0.16931044412597906</v>
      </c>
      <c r="BB484">
        <f>_xlfn.NORM.DIST(Table2912[[#This Row],[DMD '[mg/g']]],Y$6,Y$2,FALSE)</f>
        <v>1.5576791224190562E-3</v>
      </c>
      <c r="BC484">
        <f>_xlfn.NORM.DIST(Table2912[[#This Row],[CH4 '[ml/g']]],Z$6,Z$2,FALSE)</f>
        <v>8.3879752100605737E-3</v>
      </c>
      <c r="BD484">
        <f>_xlfn.NORM.DIST(Table2912[[#This Row],[CH4 '[% GP']]],AA$6,AA$2,FALSE)</f>
        <v>0.12992003132508104</v>
      </c>
      <c r="BE484">
        <f>_xlfn.NORM.DIST(Table2912[[#This Row],[CH4 '[g/g DDM']]],AB$6,AB$2,FALSE)</f>
        <v>1.9301990118596967E-2</v>
      </c>
      <c r="BG484">
        <f>IF(Table2912[[#This Row],[GP '[ml/g']]]&lt;O$10,_xlfn.NORM.DIST(Table2912[[#This Row],[GP '[ml/g']]],O$6,O$2,FALSE),-100)</f>
        <v>-100</v>
      </c>
      <c r="BH484">
        <f>IF(Table2912[[#This Row],[SCFA '[mmol/g']]]&lt;P$10,_xlfn.NORM.DIST(Table2912[[#This Row],[SCFA '[mmol/g']]],P$6,P$2,FALSE),-100)</f>
        <v>-100</v>
      </c>
      <c r="BI484">
        <f>IF(Table2912[[#This Row],[Acetate '[%']]]&lt;Q$10,_xlfn.NORM.DIST(Table2912[[#This Row],[Acetate '[%']]],Q$6,Q$2,FALSE),-100)</f>
        <v>-100</v>
      </c>
      <c r="BJ484">
        <f>IF(Table2912[[#This Row],[Propionate '[%']]]&lt;R$10,_xlfn.NORM.DIST(Table2912[[#This Row],[Propionate '[%']]],R$6,R$2,FALSE),-100)</f>
        <v>-100</v>
      </c>
      <c r="BK484">
        <f>IF(Table2912[[#This Row],[Butyrate '[%']]]&lt;S$10,_xlfn.NORM.DIST(Table2912[[#This Row],[Butyrate '[%']]],S$6,S$2,FALSE),-100)</f>
        <v>-100</v>
      </c>
      <c r="BL484">
        <f>IF(Table2912[[#This Row],[Valerate '[%']]]&lt;T$10,_xlfn.NORM.DIST(Table2912[[#This Row],[Valerate '[%']]],T$6,T$2,FALSE),-100)</f>
        <v>-100</v>
      </c>
      <c r="BM484">
        <f>IF(Table2912[[#This Row],[Caproate '[%']]]&lt;U$10,_xlfn.NORM.DIST(Table2912[[#This Row],[Caproate '[%']]],U$6,U$2,FALSE),-100)</f>
        <v>-100</v>
      </c>
      <c r="BN484">
        <f>IF(Table2912[[#This Row],[Isobutyrate '[%']]]&lt;V$10,_xlfn.NORM.DIST(Table2912[[#This Row],[Isobutyrate '[%']]],V$6,V$2,FALSE),-100)</f>
        <v>-100</v>
      </c>
      <c r="BO484">
        <f>IF(Table2912[[#This Row],[Isovalerate '[%']]]&lt;W$10,_xlfn.NORM.DIST(Table2912[[#This Row],[Isovalerate '[%']]],W$6,W$2,FALSE),-100)</f>
        <v>26.161599834834472</v>
      </c>
      <c r="BP484">
        <f>IF(Table2912[[#This Row],[CH4 '[g/mmol SCFA']]]&lt;X$10,_xlfn.NORM.DIST(Table2912[[#This Row],[CH4 '[g/mmol SCFA']]],X$6,X$2,FALSE),-100)</f>
        <v>-100</v>
      </c>
      <c r="BQ484">
        <f>IF(Table2912[[#This Row],[DMD '[mg/g']]]&gt;Y$10,_xlfn.NORM.DIST(Table2912[[#This Row],[DMD '[mg/g']]],Y$6,Y$2,FALSE),-100)</f>
        <v>1.5576791224190562E-3</v>
      </c>
      <c r="BR484">
        <f>IF(Table2912[[#This Row],[CH4 '[ml/g']]]&lt;Z$10,_xlfn.NORM.DIST(Table2912[[#This Row],[CH4 '[ml/g']]],Z$6,Z$2,FALSE),-100)</f>
        <v>-100</v>
      </c>
      <c r="BS484">
        <f>IF(Table2912[[#This Row],[CH4 '[% GP']]]&lt;AA$10,_xlfn.NORM.DIST(Table2912[[#This Row],[CH4 '[% GP']]],AA$6,AA$2,FALSE),-100)</f>
        <v>-100</v>
      </c>
      <c r="BT484">
        <f>IF(Table2912[[#This Row],[CH4 '[g/g DDM']]]&lt;AB$10,_xlfn.NORM.DIST(Table2912[[#This Row],[CH4 '[g/g DDM']]],AB$6,AB$2,FALSE),-100)</f>
        <v>-100</v>
      </c>
    </row>
    <row r="485" spans="1:72" x14ac:dyDescent="0.25">
      <c r="A485" s="12" t="s">
        <v>200</v>
      </c>
      <c r="B485" s="13">
        <v>1188</v>
      </c>
      <c r="C485" s="113" t="s">
        <v>564</v>
      </c>
      <c r="D485" s="113" t="s">
        <v>565</v>
      </c>
      <c r="E485" s="113" t="s">
        <v>566</v>
      </c>
      <c r="F485" s="113" t="s">
        <v>567</v>
      </c>
      <c r="G485" t="s">
        <v>73</v>
      </c>
      <c r="H485" t="s">
        <v>74</v>
      </c>
      <c r="I485" t="s">
        <v>75</v>
      </c>
      <c r="J485" s="100">
        <v>2</v>
      </c>
      <c r="K485" s="100"/>
      <c r="L485" s="100"/>
      <c r="M485" t="s">
        <v>568</v>
      </c>
      <c r="N485" t="s">
        <v>208</v>
      </c>
      <c r="O485" s="18">
        <v>295.56925925925839</v>
      </c>
      <c r="P485" s="18">
        <v>6.6542516209671128</v>
      </c>
      <c r="Q485" s="97">
        <v>0.67441879249308334</v>
      </c>
      <c r="R485" s="97">
        <v>0.18647767006948446</v>
      </c>
      <c r="S485" s="97">
        <v>7.4834894283379624E-2</v>
      </c>
      <c r="T485" s="97">
        <v>2.3013690095607518E-2</v>
      </c>
      <c r="U485" s="97">
        <v>6.9092350035122201E-4</v>
      </c>
      <c r="V485" s="97">
        <v>1.6519563781480368E-2</v>
      </c>
      <c r="W485" s="97">
        <v>2.404446577661342E-2</v>
      </c>
      <c r="X485" s="51">
        <f t="shared" si="30"/>
        <v>7.2935153691025256</v>
      </c>
      <c r="Y485" s="18">
        <v>929.7294482201911</v>
      </c>
      <c r="Z485" s="18">
        <v>48.532886467399031</v>
      </c>
      <c r="AA485" s="18">
        <f t="shared" si="31"/>
        <v>16.42014010152133</v>
      </c>
      <c r="AB485" s="18">
        <f t="shared" si="32"/>
        <v>52.201085552691687</v>
      </c>
      <c r="AC485" s="18">
        <f>$CP$15*Table2912[[#This Row],[DMD '[mg/g']]]+$CS$15*Table2912[[#This Row],[CH4 '[ml/g']]]+$CR$15*Table2912[[#This Row],[CH4 '[% GP']]]+$CQ$15*Table2912[[#This Row],[CH4 '[g/g DDM']]]</f>
        <v>27.398428613864041</v>
      </c>
      <c r="AD485" s="18">
        <f>_xlfn.RANK.AVG(Table2912[[#This Row],[Index]],Table2912[Index])</f>
        <v>66</v>
      </c>
      <c r="AE48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6.2265918980819013</v>
      </c>
      <c r="AF485" s="18">
        <f>Table2912[[#This Row],[CH4 '[ml/g']]]/Table2912[[#This Row],[APB]]</f>
        <v>7.7944543759724425</v>
      </c>
      <c r="AG485" s="18">
        <f>Table2912[[#This Row],[Propionate '[%']]]/Table2912[[#This Row],[Acetate '[%']]]</f>
        <v>0.27650129584933969</v>
      </c>
      <c r="AH485" s="51"/>
      <c r="AI485" s="18"/>
      <c r="AJ485" s="18"/>
      <c r="AK485" s="18">
        <f>(Table2912[[#This Row],[DMD '[mg/g']]]-$AK$15)/$AK$15*100</f>
        <v>89.628814880396703</v>
      </c>
      <c r="AL485" s="18">
        <f>(Table2912[[#This Row],[CH4 '[ml/g']]]-AL$15)/AL$15*100</f>
        <v>23.392224922938968</v>
      </c>
      <c r="AM485" s="18">
        <f>(Table2912[[#This Row],[CH4 '[% GP']]]-AM$15)/AM$15*100</f>
        <v>5.7838284534231406</v>
      </c>
      <c r="AN485" s="18">
        <f>(Table2912[[#This Row],[CH4 '[g/g DDM']]]-AN$15)/AN$15*100</f>
        <v>1.9243391250675332</v>
      </c>
      <c r="AO485" s="18"/>
      <c r="AP485" s="18"/>
      <c r="AQ485" t="e">
        <f t="shared" si="33"/>
        <v>#DIV/0!</v>
      </c>
      <c r="AR485">
        <f>_xlfn.NORM.DIST(Table2912[[#This Row],[GP '[ml/g']]],O$6,O$2,FALSE)</f>
        <v>5.6399119060570706E-3</v>
      </c>
      <c r="AS485">
        <f>_xlfn.NORM.DIST(Table2912[[#This Row],[SCFA '[mmol/g']]],P$6,P$2,FALSE)</f>
        <v>0.33116904807012421</v>
      </c>
      <c r="AT485">
        <f>_xlfn.NORM.DIST(Table2912[[#This Row],[Acetate '[%']]],Q$6,Q$2,FALSE)</f>
        <v>14.01239276982785</v>
      </c>
      <c r="AU485">
        <f>_xlfn.NORM.DIST(Table2912[[#This Row],[Propionate '[%']]],R$6,R$2,FALSE)</f>
        <v>13.898481982210367</v>
      </c>
      <c r="AV485">
        <f>_xlfn.NORM.DIST(Table2912[[#This Row],[Butyrate '[%']]],S$6,S$2,FALSE)</f>
        <v>13.352568712448559</v>
      </c>
      <c r="AW485">
        <f>_xlfn.NORM.DIST(Table2912[[#This Row],[Valerate '[%']]],T$6,T$2,FALSE)</f>
        <v>45.121802576297007</v>
      </c>
      <c r="AX485">
        <f>_xlfn.NORM.DIST(Table2912[[#This Row],[Caproate '[%']]],U$6,U$2,FALSE)</f>
        <v>328.35967674723179</v>
      </c>
      <c r="AY485">
        <f>_xlfn.NORM.DIST(Table2912[[#This Row],[Isobutyrate '[%']]],V$6,V$2,FALSE)</f>
        <v>86.893008315626773</v>
      </c>
      <c r="AZ485">
        <f>_xlfn.NORM.DIST(Table2912[[#This Row],[Isovalerate '[%']]],W$6,W$2,FALSE)</f>
        <v>41.265705266450816</v>
      </c>
      <c r="BA485">
        <f>_xlfn.NORM.DIST(Table2912[[#This Row],[CH4 '[g/mmol SCFA']]],X$6,X$2,FALSE)</f>
        <v>0.22390082381687507</v>
      </c>
      <c r="BB485">
        <f>_xlfn.NORM.DIST(Table2912[[#This Row],[DMD '[mg/g']]],Y$6,Y$2,FALSE)</f>
        <v>1.5509640699610814E-3</v>
      </c>
      <c r="BC485">
        <f>_xlfn.NORM.DIST(Table2912[[#This Row],[CH4 '[ml/g']]],Z$6,Z$2,FALSE)</f>
        <v>2.7999489214904281E-2</v>
      </c>
      <c r="BD485">
        <f>_xlfn.NORM.DIST(Table2912[[#This Row],[CH4 '[% GP']]],AA$6,AA$2,FALSE)</f>
        <v>0.13376921040615927</v>
      </c>
      <c r="BE485">
        <f>_xlfn.NORM.DIST(Table2912[[#This Row],[CH4 '[g/g DDM']]],AB$6,AB$2,FALSE)</f>
        <v>3.2704360975543495E-2</v>
      </c>
      <c r="BG485">
        <f>IF(Table2912[[#This Row],[GP '[ml/g']]]&lt;O$10,_xlfn.NORM.DIST(Table2912[[#This Row],[GP '[ml/g']]],O$6,O$2,FALSE),-100)</f>
        <v>-100</v>
      </c>
      <c r="BH485">
        <f>IF(Table2912[[#This Row],[SCFA '[mmol/g']]]&lt;P$10,_xlfn.NORM.DIST(Table2912[[#This Row],[SCFA '[mmol/g']]],P$6,P$2,FALSE),-100)</f>
        <v>-100</v>
      </c>
      <c r="BI485">
        <f>IF(Table2912[[#This Row],[Acetate '[%']]]&lt;Q$10,_xlfn.NORM.DIST(Table2912[[#This Row],[Acetate '[%']]],Q$6,Q$2,FALSE),-100)</f>
        <v>-100</v>
      </c>
      <c r="BJ485">
        <f>IF(Table2912[[#This Row],[Propionate '[%']]]&lt;R$10,_xlfn.NORM.DIST(Table2912[[#This Row],[Propionate '[%']]],R$6,R$2,FALSE),-100)</f>
        <v>-100</v>
      </c>
      <c r="BK485">
        <f>IF(Table2912[[#This Row],[Butyrate '[%']]]&lt;S$10,_xlfn.NORM.DIST(Table2912[[#This Row],[Butyrate '[%']]],S$6,S$2,FALSE),-100)</f>
        <v>13.352568712448559</v>
      </c>
      <c r="BL485">
        <f>IF(Table2912[[#This Row],[Valerate '[%']]]&lt;T$10,_xlfn.NORM.DIST(Table2912[[#This Row],[Valerate '[%']]],T$6,T$2,FALSE),-100)</f>
        <v>-100</v>
      </c>
      <c r="BM485">
        <f>IF(Table2912[[#This Row],[Caproate '[%']]]&lt;U$10,_xlfn.NORM.DIST(Table2912[[#This Row],[Caproate '[%']]],U$6,U$2,FALSE),-100)</f>
        <v>-100</v>
      </c>
      <c r="BN485">
        <f>IF(Table2912[[#This Row],[Isobutyrate '[%']]]&lt;V$10,_xlfn.NORM.DIST(Table2912[[#This Row],[Isobutyrate '[%']]],V$6,V$2,FALSE),-100)</f>
        <v>-100</v>
      </c>
      <c r="BO485">
        <f>IF(Table2912[[#This Row],[Isovalerate '[%']]]&lt;W$10,_xlfn.NORM.DIST(Table2912[[#This Row],[Isovalerate '[%']]],W$6,W$2,FALSE),-100)</f>
        <v>-100</v>
      </c>
      <c r="BP485">
        <f>IF(Table2912[[#This Row],[CH4 '[g/mmol SCFA']]]&lt;X$10,_xlfn.NORM.DIST(Table2912[[#This Row],[CH4 '[g/mmol SCFA']]],X$6,X$2,FALSE),-100)</f>
        <v>-100</v>
      </c>
      <c r="BQ485">
        <f>IF(Table2912[[#This Row],[DMD '[mg/g']]]&gt;Y$10,_xlfn.NORM.DIST(Table2912[[#This Row],[DMD '[mg/g']]],Y$6,Y$2,FALSE),-100)</f>
        <v>1.5509640699610814E-3</v>
      </c>
      <c r="BR485">
        <f>IF(Table2912[[#This Row],[CH4 '[ml/g']]]&lt;Z$10,_xlfn.NORM.DIST(Table2912[[#This Row],[CH4 '[ml/g']]],Z$6,Z$2,FALSE),-100)</f>
        <v>-100</v>
      </c>
      <c r="BS485">
        <f>IF(Table2912[[#This Row],[CH4 '[% GP']]]&lt;AA$10,_xlfn.NORM.DIST(Table2912[[#This Row],[CH4 '[% GP']]],AA$6,AA$2,FALSE),-100)</f>
        <v>-100</v>
      </c>
      <c r="BT485">
        <f>IF(Table2912[[#This Row],[CH4 '[g/g DDM']]]&lt;AB$10,_xlfn.NORM.DIST(Table2912[[#This Row],[CH4 '[g/g DDM']]],AB$6,AB$2,FALSE),-100)</f>
        <v>-100</v>
      </c>
    </row>
    <row r="486" spans="1:72" x14ac:dyDescent="0.25">
      <c r="A486" s="12" t="s">
        <v>200</v>
      </c>
      <c r="B486" s="13">
        <v>1149</v>
      </c>
      <c r="C486" s="117" t="s">
        <v>574</v>
      </c>
      <c r="D486" s="117" t="s">
        <v>212</v>
      </c>
      <c r="E486" s="117" t="s">
        <v>522</v>
      </c>
      <c r="F486" s="117" t="s">
        <v>523</v>
      </c>
      <c r="G486" t="s">
        <v>73</v>
      </c>
      <c r="H486" t="s">
        <v>74</v>
      </c>
      <c r="I486" t="s">
        <v>75</v>
      </c>
      <c r="J486" s="70">
        <v>1</v>
      </c>
      <c r="K486" s="70"/>
      <c r="L486" s="70"/>
      <c r="M486" t="s">
        <v>575</v>
      </c>
      <c r="N486" t="s">
        <v>245</v>
      </c>
      <c r="O486" s="18">
        <v>290.59825491495502</v>
      </c>
      <c r="P486" s="18">
        <v>6.9543997040683587</v>
      </c>
      <c r="Q486" s="97">
        <v>0.67072239357298191</v>
      </c>
      <c r="R486" s="97">
        <v>0.15435294948406489</v>
      </c>
      <c r="S486" s="97">
        <v>0.10687746040529281</v>
      </c>
      <c r="T486" s="97">
        <v>1.7975372200451936E-2</v>
      </c>
      <c r="U486" s="97">
        <v>1.9196040402205054E-3</v>
      </c>
      <c r="V486" s="97">
        <v>1.6603831072423782E-2</v>
      </c>
      <c r="W486" s="97">
        <v>3.1548389224564218E-2</v>
      </c>
      <c r="X486" s="51">
        <f t="shared" si="30"/>
        <v>8.1873120687242906</v>
      </c>
      <c r="Y486" s="18">
        <v>930.94212502761206</v>
      </c>
      <c r="Z486" s="18">
        <v>56.937840627851514</v>
      </c>
      <c r="AA486" s="18">
        <f t="shared" si="31"/>
        <v>19.593318151382103</v>
      </c>
      <c r="AB486" s="18">
        <f t="shared" si="32"/>
        <v>61.161525617033085</v>
      </c>
      <c r="AC486" s="18">
        <f>$CP$15*Table2912[[#This Row],[DMD '[mg/g']]]+$CS$15*Table2912[[#This Row],[CH4 '[ml/g']]]+$CR$15*Table2912[[#This Row],[CH4 '[% GP']]]+$CQ$15*Table2912[[#This Row],[CH4 '[g/g DDM']]]</f>
        <v>23.557869588489751</v>
      </c>
      <c r="AD486" s="18">
        <f>_xlfn.RANK.AVG(Table2912[[#This Row],[Index]],Table2912[Index])</f>
        <v>106</v>
      </c>
      <c r="AE48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6.4811723006041717</v>
      </c>
      <c r="AF486" s="18">
        <f>Table2912[[#This Row],[CH4 '[ml/g']]]/Table2912[[#This Row],[APB]]</f>
        <v>8.7851144803763042</v>
      </c>
      <c r="AG486" s="18">
        <f>Table2912[[#This Row],[Propionate '[%']]]/Table2912[[#This Row],[Acetate '[%']]]</f>
        <v>0.23012941115893965</v>
      </c>
      <c r="AH486" s="51"/>
      <c r="AI486" s="18"/>
      <c r="AJ486" s="18"/>
      <c r="AK486" s="18">
        <f>(Table2912[[#This Row],[DMD '[mg/g']]]-$AK$15)/$AK$15*100</f>
        <v>89.876154002831072</v>
      </c>
      <c r="AL486" s="18">
        <f>(Table2912[[#This Row],[CH4 '[ml/g']]]-AL$15)/AL$15*100</f>
        <v>44.76136386608011</v>
      </c>
      <c r="AM486" s="18">
        <f>(Table2912[[#This Row],[CH4 '[% GP']]]-AM$15)/AM$15*100</f>
        <v>26.226462950039881</v>
      </c>
      <c r="AN486" s="18">
        <f>(Table2912[[#This Row],[CH4 '[g/g DDM']]]-AN$15)/AN$15*100</f>
        <v>19.419893521266907</v>
      </c>
      <c r="AO486" s="18"/>
      <c r="AP486" s="18"/>
      <c r="AQ486" t="e">
        <f t="shared" si="33"/>
        <v>#DIV/0!</v>
      </c>
      <c r="AR486">
        <f>_xlfn.NORM.DIST(Table2912[[#This Row],[GP '[ml/g']]],O$6,O$2,FALSE)</f>
        <v>6.022865279579322E-3</v>
      </c>
      <c r="AS486">
        <f>_xlfn.NORM.DIST(Table2912[[#This Row],[SCFA '[mmol/g']]],P$6,P$2,FALSE)</f>
        <v>0.31322124704266396</v>
      </c>
      <c r="AT486">
        <f>_xlfn.NORM.DIST(Table2912[[#This Row],[Acetate '[%']]],Q$6,Q$2,FALSE)</f>
        <v>13.97694122971645</v>
      </c>
      <c r="AU486">
        <f>_xlfn.NORM.DIST(Table2912[[#This Row],[Propionate '[%']]],R$6,R$2,FALSE)</f>
        <v>12.796076474028677</v>
      </c>
      <c r="AV486">
        <f>_xlfn.NORM.DIST(Table2912[[#This Row],[Butyrate '[%']]],S$6,S$2,FALSE)</f>
        <v>16.647858151095321</v>
      </c>
      <c r="AW486">
        <f>_xlfn.NORM.DIST(Table2912[[#This Row],[Valerate '[%']]],T$6,T$2,FALSE)</f>
        <v>77.249654088583299</v>
      </c>
      <c r="AX486">
        <f>_xlfn.NORM.DIST(Table2912[[#This Row],[Caproate '[%']]],U$6,U$2,FALSE)</f>
        <v>340.23728699327756</v>
      </c>
      <c r="AY486">
        <f>_xlfn.NORM.DIST(Table2912[[#This Row],[Isobutyrate '[%']]],V$6,V$2,FALSE)</f>
        <v>86.429014233817469</v>
      </c>
      <c r="AZ486">
        <f>_xlfn.NORM.DIST(Table2912[[#This Row],[Isovalerate '[%']]],W$6,W$2,FALSE)</f>
        <v>41.663833571590814</v>
      </c>
      <c r="BA486">
        <f>_xlfn.NORM.DIST(Table2912[[#This Row],[CH4 '[g/mmol SCFA']]],X$6,X$2,FALSE)</f>
        <v>0.10854125273993516</v>
      </c>
      <c r="BB486">
        <f>_xlfn.NORM.DIST(Table2912[[#This Row],[DMD '[mg/g']]],Y$6,Y$2,FALSE)</f>
        <v>1.5355319965425997E-3</v>
      </c>
      <c r="BC486">
        <f>_xlfn.NORM.DIST(Table2912[[#This Row],[CH4 '[ml/g']]],Z$6,Z$2,FALSE)</f>
        <v>1.4296730869237913E-2</v>
      </c>
      <c r="BD486">
        <f>_xlfn.NORM.DIST(Table2912[[#This Row],[CH4 '[% GP']]],AA$6,AA$2,FALSE)</f>
        <v>6.6333969817822025E-2</v>
      </c>
      <c r="BE486">
        <f>_xlfn.NORM.DIST(Table2912[[#This Row],[CH4 '[g/g DDM']]],AB$6,AB$2,FALSE)</f>
        <v>2.6718159705936054E-2</v>
      </c>
      <c r="BG486">
        <f>IF(Table2912[[#This Row],[GP '[ml/g']]]&lt;O$10,_xlfn.NORM.DIST(Table2912[[#This Row],[GP '[ml/g']]],O$6,O$2,FALSE),-100)</f>
        <v>-100</v>
      </c>
      <c r="BH486">
        <f>IF(Table2912[[#This Row],[SCFA '[mmol/g']]]&lt;P$10,_xlfn.NORM.DIST(Table2912[[#This Row],[SCFA '[mmol/g']]],P$6,P$2,FALSE),-100)</f>
        <v>-100</v>
      </c>
      <c r="BI486">
        <f>IF(Table2912[[#This Row],[Acetate '[%']]]&lt;Q$10,_xlfn.NORM.DIST(Table2912[[#This Row],[Acetate '[%']]],Q$6,Q$2,FALSE),-100)</f>
        <v>-100</v>
      </c>
      <c r="BJ486">
        <f>IF(Table2912[[#This Row],[Propionate '[%']]]&lt;R$10,_xlfn.NORM.DIST(Table2912[[#This Row],[Propionate '[%']]],R$6,R$2,FALSE),-100)</f>
        <v>-100</v>
      </c>
      <c r="BK486">
        <f>IF(Table2912[[#This Row],[Butyrate '[%']]]&lt;S$10,_xlfn.NORM.DIST(Table2912[[#This Row],[Butyrate '[%']]],S$6,S$2,FALSE),-100)</f>
        <v>-100</v>
      </c>
      <c r="BL486">
        <f>IF(Table2912[[#This Row],[Valerate '[%']]]&lt;T$10,_xlfn.NORM.DIST(Table2912[[#This Row],[Valerate '[%']]],T$6,T$2,FALSE),-100)</f>
        <v>-100</v>
      </c>
      <c r="BM486">
        <f>IF(Table2912[[#This Row],[Caproate '[%']]]&lt;U$10,_xlfn.NORM.DIST(Table2912[[#This Row],[Caproate '[%']]],U$6,U$2,FALSE),-100)</f>
        <v>-100</v>
      </c>
      <c r="BN486">
        <f>IF(Table2912[[#This Row],[Isobutyrate '[%']]]&lt;V$10,_xlfn.NORM.DIST(Table2912[[#This Row],[Isobutyrate '[%']]],V$6,V$2,FALSE),-100)</f>
        <v>-100</v>
      </c>
      <c r="BO486">
        <f>IF(Table2912[[#This Row],[Isovalerate '[%']]]&lt;W$10,_xlfn.NORM.DIST(Table2912[[#This Row],[Isovalerate '[%']]],W$6,W$2,FALSE),-100)</f>
        <v>-100</v>
      </c>
      <c r="BP486">
        <f>IF(Table2912[[#This Row],[CH4 '[g/mmol SCFA']]]&lt;X$10,_xlfn.NORM.DIST(Table2912[[#This Row],[CH4 '[g/mmol SCFA']]],X$6,X$2,FALSE),-100)</f>
        <v>-100</v>
      </c>
      <c r="BQ486">
        <f>IF(Table2912[[#This Row],[DMD '[mg/g']]]&gt;Y$10,_xlfn.NORM.DIST(Table2912[[#This Row],[DMD '[mg/g']]],Y$6,Y$2,FALSE),-100)</f>
        <v>1.5355319965425997E-3</v>
      </c>
      <c r="BR486">
        <f>IF(Table2912[[#This Row],[CH4 '[ml/g']]]&lt;Z$10,_xlfn.NORM.DIST(Table2912[[#This Row],[CH4 '[ml/g']]],Z$6,Z$2,FALSE),-100)</f>
        <v>-100</v>
      </c>
      <c r="BS486">
        <f>IF(Table2912[[#This Row],[CH4 '[% GP']]]&lt;AA$10,_xlfn.NORM.DIST(Table2912[[#This Row],[CH4 '[% GP']]],AA$6,AA$2,FALSE),-100)</f>
        <v>-100</v>
      </c>
      <c r="BT486">
        <f>IF(Table2912[[#This Row],[CH4 '[g/g DDM']]]&lt;AB$10,_xlfn.NORM.DIST(Table2912[[#This Row],[CH4 '[g/g DDM']]],AB$6,AB$2,FALSE),-100)</f>
        <v>-100</v>
      </c>
    </row>
    <row r="487" spans="1:72" x14ac:dyDescent="0.25">
      <c r="A487" s="12" t="s">
        <v>200</v>
      </c>
      <c r="B487" s="13">
        <v>1149</v>
      </c>
      <c r="C487" s="117" t="s">
        <v>574</v>
      </c>
      <c r="D487" s="117" t="s">
        <v>212</v>
      </c>
      <c r="E487" s="117" t="s">
        <v>522</v>
      </c>
      <c r="F487" s="117" t="s">
        <v>523</v>
      </c>
      <c r="G487" t="s">
        <v>73</v>
      </c>
      <c r="H487" t="s">
        <v>74</v>
      </c>
      <c r="I487" t="s">
        <v>75</v>
      </c>
      <c r="J487" s="70">
        <v>2</v>
      </c>
      <c r="K487" s="70"/>
      <c r="L487" s="70"/>
      <c r="M487" t="s">
        <v>575</v>
      </c>
      <c r="N487" t="s">
        <v>237</v>
      </c>
      <c r="O487" s="18">
        <v>290.56588081204904</v>
      </c>
      <c r="P487" s="18">
        <v>7.9583006219396122</v>
      </c>
      <c r="Q487" s="97">
        <v>0.68684567525660567</v>
      </c>
      <c r="R487" s="97">
        <v>0.1554483712902846</v>
      </c>
      <c r="S487" s="97">
        <v>9.7467010363018081E-2</v>
      </c>
      <c r="T487" s="97">
        <v>1.5352820137492824E-2</v>
      </c>
      <c r="U487" s="97">
        <v>1.7673059739052401E-3</v>
      </c>
      <c r="V487" s="97">
        <v>1.5175587098744085E-2</v>
      </c>
      <c r="W487" s="97">
        <v>2.7943229879949377E-2</v>
      </c>
      <c r="X487" s="51">
        <f t="shared" si="30"/>
        <v>6.23420855408673</v>
      </c>
      <c r="Y487" s="18">
        <v>931.30694115160622</v>
      </c>
      <c r="Z487" s="18">
        <v>49.613705813289677</v>
      </c>
      <c r="AA487" s="18">
        <f t="shared" si="31"/>
        <v>17.074856027360635</v>
      </c>
      <c r="AB487" s="18">
        <f t="shared" si="32"/>
        <v>53.27320523557993</v>
      </c>
      <c r="AC487" s="18">
        <f>$CP$15*Table2912[[#This Row],[DMD '[mg/g']]]+$CS$15*Table2912[[#This Row],[CH4 '[ml/g']]]+$CR$15*Table2912[[#This Row],[CH4 '[% GP']]]+$CQ$15*Table2912[[#This Row],[CH4 '[g/g DDM']]]</f>
        <v>26.977269125645059</v>
      </c>
      <c r="AD487" s="18">
        <f>_xlfn.RANK.AVG(Table2912[[#This Row],[Index]],Table2912[Index])</f>
        <v>72</v>
      </c>
      <c r="AE48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7.4789010036807504</v>
      </c>
      <c r="AF487" s="18">
        <f>Table2912[[#This Row],[CH4 '[ml/g']]]/Table2912[[#This Row],[APB]]</f>
        <v>6.6338230428337308</v>
      </c>
      <c r="AG487" s="18">
        <f>Table2912[[#This Row],[Propionate '[%']]]/Table2912[[#This Row],[Acetate '[%']]]</f>
        <v>0.22632212284398392</v>
      </c>
      <c r="AH487" s="51"/>
      <c r="AI487" s="18"/>
      <c r="AJ487" s="18"/>
      <c r="AK487" s="18">
        <f>(Table2912[[#This Row],[DMD '[mg/g']]]-$AK$15)/$AK$15*100</f>
        <v>89.950562369022663</v>
      </c>
      <c r="AL487" s="18">
        <f>(Table2912[[#This Row],[CH4 '[ml/g']]]-AL$15)/AL$15*100</f>
        <v>26.140149341545044</v>
      </c>
      <c r="AM487" s="18">
        <f>(Table2912[[#This Row],[CH4 '[% GP']]]-AM$15)/AM$15*100</f>
        <v>10.001719211754269</v>
      </c>
      <c r="AN487" s="18">
        <f>(Table2912[[#This Row],[CH4 '[g/g DDM']]]-AN$15)/AN$15*100</f>
        <v>4.0176881231656481</v>
      </c>
      <c r="AO487" s="18"/>
      <c r="AP487" s="18"/>
      <c r="AQ487" t="e">
        <f t="shared" si="33"/>
        <v>#DIV/0!</v>
      </c>
      <c r="AR487">
        <f>_xlfn.NORM.DIST(Table2912[[#This Row],[GP '[ml/g']]],O$6,O$2,FALSE)</f>
        <v>6.0252711208853048E-3</v>
      </c>
      <c r="AS487">
        <f>_xlfn.NORM.DIST(Table2912[[#This Row],[SCFA '[mmol/g']]],P$6,P$2,FALSE)</f>
        <v>0.1648749788287118</v>
      </c>
      <c r="AT487">
        <f>_xlfn.NORM.DIST(Table2912[[#This Row],[Acetate '[%']]],Q$6,Q$2,FALSE)</f>
        <v>12.486031855093215</v>
      </c>
      <c r="AU487">
        <f>_xlfn.NORM.DIST(Table2912[[#This Row],[Propionate '[%']]],R$6,R$2,FALSE)</f>
        <v>13.224393242575966</v>
      </c>
      <c r="AV487">
        <f>_xlfn.NORM.DIST(Table2912[[#This Row],[Butyrate '[%']]],S$6,S$2,FALSE)</f>
        <v>22.250785662906313</v>
      </c>
      <c r="AW487">
        <f>_xlfn.NORM.DIST(Table2912[[#This Row],[Valerate '[%']]],T$6,T$2,FALSE)</f>
        <v>70.023951181421538</v>
      </c>
      <c r="AX487">
        <f>_xlfn.NORM.DIST(Table2912[[#This Row],[Caproate '[%']]],U$6,U$2,FALSE)</f>
        <v>368.89527725307579</v>
      </c>
      <c r="AY487">
        <f>_xlfn.NORM.DIST(Table2912[[#This Row],[Isobutyrate '[%']]],V$6,V$2,FALSE)</f>
        <v>90.111927440037334</v>
      </c>
      <c r="AZ487">
        <f>_xlfn.NORM.DIST(Table2912[[#This Row],[Isovalerate '[%']]],W$6,W$2,FALSE)</f>
        <v>45.42921346738035</v>
      </c>
      <c r="BA487">
        <f>_xlfn.NORM.DIST(Table2912[[#This Row],[CH4 '[g/mmol SCFA']]],X$6,X$2,FALSE)</f>
        <v>0.29721256896101977</v>
      </c>
      <c r="BB487">
        <f>_xlfn.NORM.DIST(Table2912[[#This Row],[DMD '[mg/g']]],Y$6,Y$2,FALSE)</f>
        <v>1.5308960611402477E-3</v>
      </c>
      <c r="BC487">
        <f>_xlfn.NORM.DIST(Table2912[[#This Row],[CH4 '[ml/g']]],Z$6,Z$2,FALSE)</f>
        <v>2.6408107002624946E-2</v>
      </c>
      <c r="BD487">
        <f>_xlfn.NORM.DIST(Table2912[[#This Row],[CH4 '[% GP']]],AA$6,AA$2,FALSE)</f>
        <v>0.12715493638851649</v>
      </c>
      <c r="BE487">
        <f>_xlfn.NORM.DIST(Table2912[[#This Row],[CH4 '[g/g DDM']]],AB$6,AB$2,FALSE)</f>
        <v>3.2851401822556213E-2</v>
      </c>
      <c r="BG487">
        <f>IF(Table2912[[#This Row],[GP '[ml/g']]]&lt;O$10,_xlfn.NORM.DIST(Table2912[[#This Row],[GP '[ml/g']]],O$6,O$2,FALSE),-100)</f>
        <v>-100</v>
      </c>
      <c r="BH487">
        <f>IF(Table2912[[#This Row],[SCFA '[mmol/g']]]&lt;P$10,_xlfn.NORM.DIST(Table2912[[#This Row],[SCFA '[mmol/g']]],P$6,P$2,FALSE),-100)</f>
        <v>-100</v>
      </c>
      <c r="BI487">
        <f>IF(Table2912[[#This Row],[Acetate '[%']]]&lt;Q$10,_xlfn.NORM.DIST(Table2912[[#This Row],[Acetate '[%']]],Q$6,Q$2,FALSE),-100)</f>
        <v>-100</v>
      </c>
      <c r="BJ487">
        <f>IF(Table2912[[#This Row],[Propionate '[%']]]&lt;R$10,_xlfn.NORM.DIST(Table2912[[#This Row],[Propionate '[%']]],R$6,R$2,FALSE),-100)</f>
        <v>-100</v>
      </c>
      <c r="BK487">
        <f>IF(Table2912[[#This Row],[Butyrate '[%']]]&lt;S$10,_xlfn.NORM.DIST(Table2912[[#This Row],[Butyrate '[%']]],S$6,S$2,FALSE),-100)</f>
        <v>-100</v>
      </c>
      <c r="BL487">
        <f>IF(Table2912[[#This Row],[Valerate '[%']]]&lt;T$10,_xlfn.NORM.DIST(Table2912[[#This Row],[Valerate '[%']]],T$6,T$2,FALSE),-100)</f>
        <v>-100</v>
      </c>
      <c r="BM487">
        <f>IF(Table2912[[#This Row],[Caproate '[%']]]&lt;U$10,_xlfn.NORM.DIST(Table2912[[#This Row],[Caproate '[%']]],U$6,U$2,FALSE),-100)</f>
        <v>-100</v>
      </c>
      <c r="BN487">
        <f>IF(Table2912[[#This Row],[Isobutyrate '[%']]]&lt;V$10,_xlfn.NORM.DIST(Table2912[[#This Row],[Isobutyrate '[%']]],V$6,V$2,FALSE),-100)</f>
        <v>-100</v>
      </c>
      <c r="BO487">
        <f>IF(Table2912[[#This Row],[Isovalerate '[%']]]&lt;W$10,_xlfn.NORM.DIST(Table2912[[#This Row],[Isovalerate '[%']]],W$6,W$2,FALSE),-100)</f>
        <v>-100</v>
      </c>
      <c r="BP487">
        <f>IF(Table2912[[#This Row],[CH4 '[g/mmol SCFA']]]&lt;X$10,_xlfn.NORM.DIST(Table2912[[#This Row],[CH4 '[g/mmol SCFA']]],X$6,X$2,FALSE),-100)</f>
        <v>-100</v>
      </c>
      <c r="BQ487">
        <f>IF(Table2912[[#This Row],[DMD '[mg/g']]]&gt;Y$10,_xlfn.NORM.DIST(Table2912[[#This Row],[DMD '[mg/g']]],Y$6,Y$2,FALSE),-100)</f>
        <v>1.5308960611402477E-3</v>
      </c>
      <c r="BR487">
        <f>IF(Table2912[[#This Row],[CH4 '[ml/g']]]&lt;Z$10,_xlfn.NORM.DIST(Table2912[[#This Row],[CH4 '[ml/g']]],Z$6,Z$2,FALSE),-100)</f>
        <v>-100</v>
      </c>
      <c r="BS487">
        <f>IF(Table2912[[#This Row],[CH4 '[% GP']]]&lt;AA$10,_xlfn.NORM.DIST(Table2912[[#This Row],[CH4 '[% GP']]],AA$6,AA$2,FALSE),-100)</f>
        <v>-100</v>
      </c>
      <c r="BT487">
        <f>IF(Table2912[[#This Row],[CH4 '[g/g DDM']]]&lt;AB$10,_xlfn.NORM.DIST(Table2912[[#This Row],[CH4 '[g/g DDM']]],AB$6,AB$2,FALSE),-100)</f>
        <v>-100</v>
      </c>
    </row>
    <row r="488" spans="1:72" x14ac:dyDescent="0.25">
      <c r="A488" s="12" t="s">
        <v>200</v>
      </c>
      <c r="B488" s="13">
        <v>1193</v>
      </c>
      <c r="C488" s="113" t="s">
        <v>576</v>
      </c>
      <c r="D488" s="113" t="s">
        <v>577</v>
      </c>
      <c r="E488" s="113" t="s">
        <v>578</v>
      </c>
      <c r="F488" s="113" t="s">
        <v>579</v>
      </c>
      <c r="G488" t="s">
        <v>73</v>
      </c>
      <c r="H488" t="s">
        <v>74</v>
      </c>
      <c r="I488" t="s">
        <v>75</v>
      </c>
      <c r="J488" s="107">
        <v>3</v>
      </c>
      <c r="K488" s="107"/>
      <c r="L488" s="107"/>
      <c r="M488" t="s">
        <v>580</v>
      </c>
      <c r="N488" t="s">
        <v>352</v>
      </c>
      <c r="O488" s="18">
        <v>289.59473913992474</v>
      </c>
      <c r="P488" s="18">
        <v>7.2626064178127043</v>
      </c>
      <c r="Q488" s="97">
        <v>0.66602043883378415</v>
      </c>
      <c r="R488" s="97">
        <v>0.16854523594830176</v>
      </c>
      <c r="S488" s="97">
        <v>9.2380522993688013E-2</v>
      </c>
      <c r="T488" s="97">
        <v>2.0874661857529304E-2</v>
      </c>
      <c r="U488" s="97">
        <v>1.0820559062218215E-3</v>
      </c>
      <c r="V488" s="97">
        <v>1.9401863540727381E-2</v>
      </c>
      <c r="W488" s="97">
        <v>3.1695220919747524E-2</v>
      </c>
      <c r="X488" s="51">
        <f t="shared" si="30"/>
        <v>6.7971461191202911</v>
      </c>
      <c r="Y488" s="18">
        <v>932.16849790196193</v>
      </c>
      <c r="Z488" s="18">
        <v>49.36499702753374</v>
      </c>
      <c r="AA488" s="18">
        <f t="shared" si="31"/>
        <v>17.046234049052199</v>
      </c>
      <c r="AB488" s="18">
        <f t="shared" si="32"/>
        <v>52.957160790822556</v>
      </c>
      <c r="AC488" s="18">
        <f>$CP$15*Table2912[[#This Row],[DMD '[mg/g']]]+$CS$15*Table2912[[#This Row],[CH4 '[ml/g']]]+$CR$15*Table2912[[#This Row],[CH4 '[% GP']]]+$CQ$15*Table2912[[#This Row],[CH4 '[g/g DDM']]]</f>
        <v>27.164274404067406</v>
      </c>
      <c r="AD488" s="18">
        <f>_xlfn.RANK.AVG(Table2912[[#This Row],[Index]],Table2912[Index])</f>
        <v>69</v>
      </c>
      <c r="AE48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6.7320454049334204</v>
      </c>
      <c r="AF488" s="18">
        <f>Table2912[[#This Row],[CH4 '[ml/g']]]/Table2912[[#This Row],[APB]]</f>
        <v>7.332837801622337</v>
      </c>
      <c r="AG488" s="18">
        <f>Table2912[[#This Row],[Propionate '[%']]]/Table2912[[#This Row],[Acetate '[%']]]</f>
        <v>0.25306315860730644</v>
      </c>
      <c r="AH488" s="51"/>
      <c r="AI488" s="18"/>
      <c r="AJ488" s="18"/>
      <c r="AK488" s="18">
        <f>(Table2912[[#This Row],[DMD '[mg/g']]]-$AK$15)/$AK$15*100</f>
        <v>90.126286592703991</v>
      </c>
      <c r="AL488" s="18">
        <f>(Table2912[[#This Row],[CH4 '[ml/g']]]-AL$15)/AL$15*100</f>
        <v>25.507820777017525</v>
      </c>
      <c r="AM488" s="18">
        <f>(Table2912[[#This Row],[CH4 '[% GP']]]-AM$15)/AM$15*100</f>
        <v>9.8173272135948437</v>
      </c>
      <c r="AN488" s="18">
        <f>(Table2912[[#This Row],[CH4 '[g/g DDM']]]-AN$15)/AN$15*100</f>
        <v>3.4006009337904604</v>
      </c>
      <c r="AO488" s="18"/>
      <c r="AP488" s="18"/>
      <c r="AQ488" t="e">
        <f t="shared" si="33"/>
        <v>#DIV/0!</v>
      </c>
      <c r="AR488">
        <f>_xlfn.NORM.DIST(Table2912[[#This Row],[GP '[ml/g']]],O$6,O$2,FALSE)</f>
        <v>6.0968443915134238E-3</v>
      </c>
      <c r="AS488">
        <f>_xlfn.NORM.DIST(Table2912[[#This Row],[SCFA '[mmol/g']]],P$6,P$2,FALSE)</f>
        <v>0.27712717006854365</v>
      </c>
      <c r="AT488">
        <f>_xlfn.NORM.DIST(Table2912[[#This Row],[Acetate '[%']]],Q$6,Q$2,FALSE)</f>
        <v>13.596029499909049</v>
      </c>
      <c r="AU488">
        <f>_xlfn.NORM.DIST(Table2912[[#This Row],[Propionate '[%']]],R$6,R$2,FALSE)</f>
        <v>16.627727736086467</v>
      </c>
      <c r="AV488">
        <f>_xlfn.NORM.DIST(Table2912[[#This Row],[Butyrate '[%']]],S$6,S$2,FALSE)</f>
        <v>23.018810661300197</v>
      </c>
      <c r="AW488">
        <f>_xlfn.NORM.DIST(Table2912[[#This Row],[Valerate '[%']]],T$6,T$2,FALSE)</f>
        <v>63.710005454162371</v>
      </c>
      <c r="AX488">
        <f>_xlfn.NORM.DIST(Table2912[[#This Row],[Caproate '[%']]],U$6,U$2,FALSE)</f>
        <v>393.7943982459883</v>
      </c>
      <c r="AY488">
        <f>_xlfn.NORM.DIST(Table2912[[#This Row],[Isobutyrate '[%']]],V$6,V$2,FALSE)</f>
        <v>58.885620936910762</v>
      </c>
      <c r="AZ488">
        <f>_xlfn.NORM.DIST(Table2912[[#This Row],[Isovalerate '[%']]],W$6,W$2,FALSE)</f>
        <v>41.369237135918162</v>
      </c>
      <c r="BA488">
        <f>_xlfn.NORM.DIST(Table2912[[#This Row],[CH4 '[g/mmol SCFA']]],X$6,X$2,FALSE)</f>
        <v>0.27632326416785491</v>
      </c>
      <c r="BB488">
        <f>_xlfn.NORM.DIST(Table2912[[#This Row],[DMD '[mg/g']]],Y$6,Y$2,FALSE)</f>
        <v>1.5199603259752614E-3</v>
      </c>
      <c r="BC488">
        <f>_xlfn.NORM.DIST(Table2912[[#This Row],[CH4 '[ml/g']]],Z$6,Z$2,FALSE)</f>
        <v>2.6785641254776123E-2</v>
      </c>
      <c r="BD488">
        <f>_xlfn.NORM.DIST(Table2912[[#This Row],[CH4 '[% GP']]],AA$6,AA$2,FALSE)</f>
        <v>0.12756740529205043</v>
      </c>
      <c r="BE488">
        <f>_xlfn.NORM.DIST(Table2912[[#This Row],[CH4 '[g/g DDM']]],AB$6,AB$2,FALSE)</f>
        <v>3.2834579526786777E-2</v>
      </c>
      <c r="BG488">
        <f>IF(Table2912[[#This Row],[GP '[ml/g']]]&lt;O$10,_xlfn.NORM.DIST(Table2912[[#This Row],[GP '[ml/g']]],O$6,O$2,FALSE),-100)</f>
        <v>-100</v>
      </c>
      <c r="BH488">
        <f>IF(Table2912[[#This Row],[SCFA '[mmol/g']]]&lt;P$10,_xlfn.NORM.DIST(Table2912[[#This Row],[SCFA '[mmol/g']]],P$6,P$2,FALSE),-100)</f>
        <v>-100</v>
      </c>
      <c r="BI488">
        <f>IF(Table2912[[#This Row],[Acetate '[%']]]&lt;Q$10,_xlfn.NORM.DIST(Table2912[[#This Row],[Acetate '[%']]],Q$6,Q$2,FALSE),-100)</f>
        <v>-100</v>
      </c>
      <c r="BJ488">
        <f>IF(Table2912[[#This Row],[Propionate '[%']]]&lt;R$10,_xlfn.NORM.DIST(Table2912[[#This Row],[Propionate '[%']]],R$6,R$2,FALSE),-100)</f>
        <v>-100</v>
      </c>
      <c r="BK488">
        <f>IF(Table2912[[#This Row],[Butyrate '[%']]]&lt;S$10,_xlfn.NORM.DIST(Table2912[[#This Row],[Butyrate '[%']]],S$6,S$2,FALSE),-100)</f>
        <v>-100</v>
      </c>
      <c r="BL488">
        <f>IF(Table2912[[#This Row],[Valerate '[%']]]&lt;T$10,_xlfn.NORM.DIST(Table2912[[#This Row],[Valerate '[%']]],T$6,T$2,FALSE),-100)</f>
        <v>-100</v>
      </c>
      <c r="BM488">
        <f>IF(Table2912[[#This Row],[Caproate '[%']]]&lt;U$10,_xlfn.NORM.DIST(Table2912[[#This Row],[Caproate '[%']]],U$6,U$2,FALSE),-100)</f>
        <v>-100</v>
      </c>
      <c r="BN488">
        <f>IF(Table2912[[#This Row],[Isobutyrate '[%']]]&lt;V$10,_xlfn.NORM.DIST(Table2912[[#This Row],[Isobutyrate '[%']]],V$6,V$2,FALSE),-100)</f>
        <v>-100</v>
      </c>
      <c r="BO488">
        <f>IF(Table2912[[#This Row],[Isovalerate '[%']]]&lt;W$10,_xlfn.NORM.DIST(Table2912[[#This Row],[Isovalerate '[%']]],W$6,W$2,FALSE),-100)</f>
        <v>-100</v>
      </c>
      <c r="BP488">
        <f>IF(Table2912[[#This Row],[CH4 '[g/mmol SCFA']]]&lt;X$10,_xlfn.NORM.DIST(Table2912[[#This Row],[CH4 '[g/mmol SCFA']]],X$6,X$2,FALSE),-100)</f>
        <v>-100</v>
      </c>
      <c r="BQ488">
        <f>IF(Table2912[[#This Row],[DMD '[mg/g']]]&gt;Y$10,_xlfn.NORM.DIST(Table2912[[#This Row],[DMD '[mg/g']]],Y$6,Y$2,FALSE),-100)</f>
        <v>1.5199603259752614E-3</v>
      </c>
      <c r="BR488">
        <f>IF(Table2912[[#This Row],[CH4 '[ml/g']]]&lt;Z$10,_xlfn.NORM.DIST(Table2912[[#This Row],[CH4 '[ml/g']]],Z$6,Z$2,FALSE),-100)</f>
        <v>-100</v>
      </c>
      <c r="BS488">
        <f>IF(Table2912[[#This Row],[CH4 '[% GP']]]&lt;AA$10,_xlfn.NORM.DIST(Table2912[[#This Row],[CH4 '[% GP']]],AA$6,AA$2,FALSE),-100)</f>
        <v>-100</v>
      </c>
      <c r="BT488">
        <f>IF(Table2912[[#This Row],[CH4 '[g/g DDM']]]&lt;AB$10,_xlfn.NORM.DIST(Table2912[[#This Row],[CH4 '[g/g DDM']]],AB$6,AB$2,FALSE),-100)</f>
        <v>-100</v>
      </c>
    </row>
    <row r="489" spans="1:72" x14ac:dyDescent="0.25">
      <c r="A489" s="12" t="s">
        <v>200</v>
      </c>
      <c r="B489" s="13">
        <v>1182</v>
      </c>
      <c r="C489" s="113" t="s">
        <v>581</v>
      </c>
      <c r="D489" s="113" t="s">
        <v>582</v>
      </c>
      <c r="E489" s="113" t="s">
        <v>583</v>
      </c>
      <c r="F489" s="113" t="s">
        <v>584</v>
      </c>
      <c r="G489" t="s">
        <v>457</v>
      </c>
      <c r="H489" t="s">
        <v>458</v>
      </c>
      <c r="I489" s="115" t="s">
        <v>48</v>
      </c>
      <c r="J489" s="107">
        <v>3</v>
      </c>
      <c r="K489" s="107"/>
      <c r="L489" s="107"/>
      <c r="M489" t="s">
        <v>585</v>
      </c>
      <c r="N489" t="s">
        <v>352</v>
      </c>
      <c r="O489" s="18">
        <v>275.67236580516874</v>
      </c>
      <c r="P489" s="18">
        <v>7.7659597967749079</v>
      </c>
      <c r="Q489" s="97">
        <v>0.67825118096501913</v>
      </c>
      <c r="R489" s="97">
        <v>0.14854571599169661</v>
      </c>
      <c r="S489" s="97">
        <v>0.10286475933867684</v>
      </c>
      <c r="T489" s="97">
        <v>2.3668618755873984E-2</v>
      </c>
      <c r="U489" s="97">
        <v>1.4735056620747207E-3</v>
      </c>
      <c r="V489" s="97">
        <v>1.7112258981363017E-2</v>
      </c>
      <c r="W489" s="97">
        <v>2.8083960305295672E-2</v>
      </c>
      <c r="X489" s="51">
        <f t="shared" si="30"/>
        <v>5.4329343195636222</v>
      </c>
      <c r="Y489" s="18">
        <v>933.17870554451065</v>
      </c>
      <c r="Z489" s="18">
        <v>42.191949504249727</v>
      </c>
      <c r="AA489" s="18">
        <f t="shared" si="31"/>
        <v>15.305106618509909</v>
      </c>
      <c r="AB489" s="18">
        <f t="shared" si="32"/>
        <v>45.213150764762347</v>
      </c>
      <c r="AC489" s="18">
        <f>$CP$15*Table2912[[#This Row],[DMD '[mg/g']]]+$CS$15*Table2912[[#This Row],[CH4 '[ml/g']]]+$CR$15*Table2912[[#This Row],[CH4 '[% GP']]]+$CQ$15*Table2912[[#This Row],[CH4 '[g/g DDM']]]</f>
        <v>30.346345039763534</v>
      </c>
      <c r="AD489" s="18">
        <f>_xlfn.RANK.AVG(Table2912[[#This Row],[Index]],Table2912[Index])</f>
        <v>46</v>
      </c>
      <c r="AE48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7.2197150473931906</v>
      </c>
      <c r="AF489" s="18">
        <f>Table2912[[#This Row],[CH4 '[ml/g']]]/Table2912[[#This Row],[APB]]</f>
        <v>5.8439909646411738</v>
      </c>
      <c r="AG489" s="18">
        <f>Table2912[[#This Row],[Propionate '[%']]]/Table2912[[#This Row],[Acetate '[%']]]</f>
        <v>0.21901283795826942</v>
      </c>
      <c r="AH489" s="51"/>
      <c r="AI489" s="18"/>
      <c r="AJ489" s="18"/>
      <c r="AK489" s="18">
        <f>(Table2912[[#This Row],[DMD '[mg/g']]]-$AK$15)/$AK$15*100</f>
        <v>90.332329843680228</v>
      </c>
      <c r="AL489" s="18">
        <f>(Table2912[[#This Row],[CH4 '[ml/g']]]-AL$15)/AL$15*100</f>
        <v>7.2707374753569542</v>
      </c>
      <c r="AM489" s="18">
        <f>(Table2912[[#This Row],[CH4 '[% GP']]]-AM$15)/AM$15*100</f>
        <v>-1.3995761921788041</v>
      </c>
      <c r="AN489" s="18">
        <f>(Table2912[[#This Row],[CH4 '[g/g DDM']]]-AN$15)/AN$15*100</f>
        <v>-11.71983374160269</v>
      </c>
      <c r="AO489" s="18"/>
      <c r="AP489" s="18"/>
      <c r="AQ489" t="e">
        <f t="shared" si="33"/>
        <v>#DIV/0!</v>
      </c>
      <c r="AR489">
        <f>_xlfn.NORM.DIST(Table2912[[#This Row],[GP '[ml/g']]],O$6,O$2,FALSE)</f>
        <v>6.9630539987508948E-3</v>
      </c>
      <c r="AS489">
        <f>_xlfn.NORM.DIST(Table2912[[#This Row],[SCFA '[mmol/g']]],P$6,P$2,FALSE)</f>
        <v>0.19684812259437259</v>
      </c>
      <c r="AT489">
        <f>_xlfn.NORM.DIST(Table2912[[#This Row],[Acetate '[%']]],Q$6,Q$2,FALSE)</f>
        <v>13.80089947657469</v>
      </c>
      <c r="AU489">
        <f>_xlfn.NORM.DIST(Table2912[[#This Row],[Propionate '[%']]],R$6,R$2,FALSE)</f>
        <v>10.371778110502134</v>
      </c>
      <c r="AV489">
        <f>_xlfn.NORM.DIST(Table2912[[#This Row],[Butyrate '[%']]],S$6,S$2,FALSE)</f>
        <v>19.532333351345475</v>
      </c>
      <c r="AW489">
        <f>_xlfn.NORM.DIST(Table2912[[#This Row],[Valerate '[%']]],T$6,T$2,FALSE)</f>
        <v>39.224684320610756</v>
      </c>
      <c r="AX489">
        <f>_xlfn.NORM.DIST(Table2912[[#This Row],[Caproate '[%']]],U$6,U$2,FALSE)</f>
        <v>402.76054788904622</v>
      </c>
      <c r="AY489">
        <f>_xlfn.NORM.DIST(Table2912[[#This Row],[Isobutyrate '[%']]],V$6,V$2,FALSE)</f>
        <v>83.040122921179133</v>
      </c>
      <c r="AZ489">
        <f>_xlfn.NORM.DIST(Table2912[[#This Row],[Isovalerate '[%']]],W$6,W$2,FALSE)</f>
        <v>45.419390547770348</v>
      </c>
      <c r="BA489">
        <f>_xlfn.NORM.DIST(Table2912[[#This Row],[CH4 '[g/mmol SCFA']]],X$6,X$2,FALSE)</f>
        <v>0.24333244050179018</v>
      </c>
      <c r="BB489">
        <f>_xlfn.NORM.DIST(Table2912[[#This Row],[DMD '[mg/g']]],Y$6,Y$2,FALSE)</f>
        <v>1.5071610897280912E-3</v>
      </c>
      <c r="BC489">
        <f>_xlfn.NORM.DIST(Table2912[[#This Row],[CH4 '[ml/g']]],Z$6,Z$2,FALSE)</f>
        <v>3.3431634196303045E-2</v>
      </c>
      <c r="BD489">
        <f>_xlfn.NORM.DIST(Table2912[[#This Row],[CH4 '[% GP']]],AA$6,AA$2,FALSE)</f>
        <v>0.13031675522331776</v>
      </c>
      <c r="BE489">
        <f>_xlfn.NORM.DIST(Table2912[[#This Row],[CH4 '[g/g DDM']]],AB$6,AB$2,FALSE)</f>
        <v>2.6240393434750695E-2</v>
      </c>
      <c r="BG489">
        <f>IF(Table2912[[#This Row],[GP '[ml/g']]]&lt;O$10,_xlfn.NORM.DIST(Table2912[[#This Row],[GP '[ml/g']]],O$6,O$2,FALSE),-100)</f>
        <v>-100</v>
      </c>
      <c r="BH489">
        <f>IF(Table2912[[#This Row],[SCFA '[mmol/g']]]&lt;P$10,_xlfn.NORM.DIST(Table2912[[#This Row],[SCFA '[mmol/g']]],P$6,P$2,FALSE),-100)</f>
        <v>-100</v>
      </c>
      <c r="BI489">
        <f>IF(Table2912[[#This Row],[Acetate '[%']]]&lt;Q$10,_xlfn.NORM.DIST(Table2912[[#This Row],[Acetate '[%']]],Q$6,Q$2,FALSE),-100)</f>
        <v>-100</v>
      </c>
      <c r="BJ489">
        <f>IF(Table2912[[#This Row],[Propionate '[%']]]&lt;R$10,_xlfn.NORM.DIST(Table2912[[#This Row],[Propionate '[%']]],R$6,R$2,FALSE),-100)</f>
        <v>-100</v>
      </c>
      <c r="BK489">
        <f>IF(Table2912[[#This Row],[Butyrate '[%']]]&lt;S$10,_xlfn.NORM.DIST(Table2912[[#This Row],[Butyrate '[%']]],S$6,S$2,FALSE),-100)</f>
        <v>-100</v>
      </c>
      <c r="BL489">
        <f>IF(Table2912[[#This Row],[Valerate '[%']]]&lt;T$10,_xlfn.NORM.DIST(Table2912[[#This Row],[Valerate '[%']]],T$6,T$2,FALSE),-100)</f>
        <v>-100</v>
      </c>
      <c r="BM489">
        <f>IF(Table2912[[#This Row],[Caproate '[%']]]&lt;U$10,_xlfn.NORM.DIST(Table2912[[#This Row],[Caproate '[%']]],U$6,U$2,FALSE),-100)</f>
        <v>-100</v>
      </c>
      <c r="BN489">
        <f>IF(Table2912[[#This Row],[Isobutyrate '[%']]]&lt;V$10,_xlfn.NORM.DIST(Table2912[[#This Row],[Isobutyrate '[%']]],V$6,V$2,FALSE),-100)</f>
        <v>-100</v>
      </c>
      <c r="BO489">
        <f>IF(Table2912[[#This Row],[Isovalerate '[%']]]&lt;W$10,_xlfn.NORM.DIST(Table2912[[#This Row],[Isovalerate '[%']]],W$6,W$2,FALSE),-100)</f>
        <v>-100</v>
      </c>
      <c r="BP489">
        <f>IF(Table2912[[#This Row],[CH4 '[g/mmol SCFA']]]&lt;X$10,_xlfn.NORM.DIST(Table2912[[#This Row],[CH4 '[g/mmol SCFA']]],X$6,X$2,FALSE),-100)</f>
        <v>-100</v>
      </c>
      <c r="BQ489">
        <f>IF(Table2912[[#This Row],[DMD '[mg/g']]]&gt;Y$10,_xlfn.NORM.DIST(Table2912[[#This Row],[DMD '[mg/g']]],Y$6,Y$2,FALSE),-100)</f>
        <v>1.5071610897280912E-3</v>
      </c>
      <c r="BR489">
        <f>IF(Table2912[[#This Row],[CH4 '[ml/g']]]&lt;Z$10,_xlfn.NORM.DIST(Table2912[[#This Row],[CH4 '[ml/g']]],Z$6,Z$2,FALSE),-100)</f>
        <v>-100</v>
      </c>
      <c r="BS489">
        <f>IF(Table2912[[#This Row],[CH4 '[% GP']]]&lt;AA$10,_xlfn.NORM.DIST(Table2912[[#This Row],[CH4 '[% GP']]],AA$6,AA$2,FALSE),-100)</f>
        <v>-100</v>
      </c>
      <c r="BT489">
        <f>IF(Table2912[[#This Row],[CH4 '[g/g DDM']]]&lt;AB$10,_xlfn.NORM.DIST(Table2912[[#This Row],[CH4 '[g/g DDM']]],AB$6,AB$2,FALSE),-100)</f>
        <v>-100</v>
      </c>
    </row>
    <row r="490" spans="1:72" x14ac:dyDescent="0.25">
      <c r="A490" s="12" t="s">
        <v>86</v>
      </c>
      <c r="B490" s="13">
        <v>1079</v>
      </c>
      <c r="C490" s="104" t="s">
        <v>516</v>
      </c>
      <c r="D490" s="104" t="s">
        <v>494</v>
      </c>
      <c r="E490" s="104" t="s">
        <v>517</v>
      </c>
      <c r="F490" s="104" t="s">
        <v>518</v>
      </c>
      <c r="G490" s="32" t="s">
        <v>73</v>
      </c>
      <c r="H490" s="32" t="s">
        <v>74</v>
      </c>
      <c r="I490" s="104" t="s">
        <v>75</v>
      </c>
      <c r="J490" s="107">
        <v>1</v>
      </c>
      <c r="K490" s="107"/>
      <c r="L490" s="107"/>
      <c r="M490" t="s">
        <v>518</v>
      </c>
      <c r="N490" t="s">
        <v>145</v>
      </c>
      <c r="O490" s="18">
        <v>311.10066401062409</v>
      </c>
      <c r="P490" s="18">
        <v>6.9300727781941536</v>
      </c>
      <c r="Q490" s="97">
        <v>0.64393636990464531</v>
      </c>
      <c r="R490" s="97">
        <v>0.14358712047781194</v>
      </c>
      <c r="S490" s="97">
        <v>0.1346628172125747</v>
      </c>
      <c r="T490" s="97">
        <v>2.3161402118087857E-2</v>
      </c>
      <c r="U490" s="97">
        <v>1.4333423569511438E-3</v>
      </c>
      <c r="V490" s="97">
        <v>1.7500740368832063E-2</v>
      </c>
      <c r="W490" s="97">
        <v>3.5718207561096976E-2</v>
      </c>
      <c r="X490" s="51">
        <f t="shared" si="30"/>
        <v>7.3219054152521164</v>
      </c>
      <c r="Y490" s="132">
        <v>933.59192492954458</v>
      </c>
      <c r="Z490" s="18">
        <v>50.74133740275105</v>
      </c>
      <c r="AA490" s="18">
        <f t="shared" si="31"/>
        <v>16.310263291825773</v>
      </c>
      <c r="AB490" s="18">
        <f t="shared" si="32"/>
        <v>54.350660120137981</v>
      </c>
      <c r="AC490" s="18">
        <f>$CP$15*Table2912[[#This Row],[DMD '[mg/g']]]+$CS$15*Table2912[[#This Row],[CH4 '[ml/g']]]+$CR$15*Table2912[[#This Row],[CH4 '[% GP']]]+$CQ$15*Table2912[[#This Row],[CH4 '[g/g DDM']]]</f>
        <v>27.043450281747148</v>
      </c>
      <c r="AD490" s="18">
        <f>_xlfn.RANK.AVG(Table2912[[#This Row],[Index]],Table2912[Index])</f>
        <v>71</v>
      </c>
      <c r="AE49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6.3908182266877116</v>
      </c>
      <c r="AF490" s="18">
        <f>Table2912[[#This Row],[CH4 '[ml/g']]]/Table2912[[#This Row],[APB]]</f>
        <v>7.9397247117525529</v>
      </c>
      <c r="AG490" s="18">
        <f>Table2912[[#This Row],[Propionate '[%']]]/Table2912[[#This Row],[Acetate '[%']]]</f>
        <v>0.22298339896389832</v>
      </c>
      <c r="AH490" s="51"/>
      <c r="AI490" s="18"/>
      <c r="AJ490" s="18"/>
      <c r="AK490" s="18">
        <f>(Table2912[[#This Row],[DMD '[mg/g']]]-$AK$15)/$AK$15*100</f>
        <v>90.416610601291595</v>
      </c>
      <c r="AL490" s="18">
        <f>(Table2912[[#This Row],[CH4 '[ml/g']]]-AL$15)/AL$15*100</f>
        <v>29.007091344067277</v>
      </c>
      <c r="AM490" s="18">
        <f>(Table2912[[#This Row],[CH4 '[% GP']]]-AM$15)/AM$15*100</f>
        <v>5.0759666741702771</v>
      </c>
      <c r="AN490" s="18">
        <f>(Table2912[[#This Row],[CH4 '[g/g DDM']]]-AN$15)/AN$15*100</f>
        <v>6.1214542782737507</v>
      </c>
      <c r="AO490" s="18"/>
      <c r="AP490" s="18"/>
      <c r="AQ490" t="e">
        <f t="shared" si="33"/>
        <v>#DIV/0!</v>
      </c>
      <c r="AR490">
        <f>_xlfn.NORM.DIST(Table2912[[#This Row],[GP '[ml/g']]],O$6,O$2,FALSE)</f>
        <v>4.3433344635563833E-3</v>
      </c>
      <c r="AS490">
        <f>_xlfn.NORM.DIST(Table2912[[#This Row],[SCFA '[mmol/g']]],P$6,P$2,FALSE)</f>
        <v>0.31537415732831259</v>
      </c>
      <c r="AT490">
        <f>_xlfn.NORM.DIST(Table2912[[#This Row],[Acetate '[%']]],Q$6,Q$2,FALSE)</f>
        <v>8.2842374124891371</v>
      </c>
      <c r="AU490">
        <f>_xlfn.NORM.DIST(Table2912[[#This Row],[Propionate '[%']]],R$6,R$2,FALSE)</f>
        <v>8.2684745855293968</v>
      </c>
      <c r="AV490">
        <f>_xlfn.NORM.DIST(Table2912[[#This Row],[Butyrate '[%']]],S$6,S$2,FALSE)</f>
        <v>1.26323703236273</v>
      </c>
      <c r="AW490">
        <f>_xlfn.NORM.DIST(Table2912[[#This Row],[Valerate '[%']]],T$6,T$2,FALSE)</f>
        <v>43.780416487879037</v>
      </c>
      <c r="AX490">
        <f>_xlfn.NORM.DIST(Table2912[[#This Row],[Caproate '[%']]],U$6,U$2,FALSE)</f>
        <v>404.79124146472958</v>
      </c>
      <c r="AY490">
        <f>_xlfn.NORM.DIST(Table2912[[#This Row],[Isobutyrate '[%']]],V$6,V$2,FALSE)</f>
        <v>79.827108618685401</v>
      </c>
      <c r="AZ490">
        <f>_xlfn.NORM.DIST(Table2912[[#This Row],[Isovalerate '[%']]],W$6,W$2,FALSE)</f>
        <v>30.549607179319157</v>
      </c>
      <c r="BA490">
        <f>_xlfn.NORM.DIST(Table2912[[#This Row],[CH4 '[g/mmol SCFA']]],X$6,X$2,FALSE)</f>
        <v>0.22030904469334814</v>
      </c>
      <c r="BB490">
        <f>_xlfn.NORM.DIST(Table2912[[#This Row],[DMD '[mg/g']]],Y$6,Y$2,FALSE)</f>
        <v>1.5019331504683212E-3</v>
      </c>
      <c r="BC490">
        <f>_xlfn.NORM.DIST(Table2912[[#This Row],[CH4 '[ml/g']]],Z$6,Z$2,FALSE)</f>
        <v>2.4626873539452136E-2</v>
      </c>
      <c r="BD490">
        <f>_xlfn.NORM.DIST(Table2912[[#This Row],[CH4 '[% GP']]],AA$6,AA$2,FALSE)</f>
        <v>0.13426780510854341</v>
      </c>
      <c r="BE490">
        <f>_xlfn.NORM.DIST(Table2912[[#This Row],[CH4 '[g/g DDM']]],AB$6,AB$2,FALSE)</f>
        <v>3.2741711722115097E-2</v>
      </c>
      <c r="BG490">
        <f>IF(Table2912[[#This Row],[GP '[ml/g']]]&lt;O$10,_xlfn.NORM.DIST(Table2912[[#This Row],[GP '[ml/g']]],O$6,O$2,FALSE),-100)</f>
        <v>-100</v>
      </c>
      <c r="BH490">
        <f>IF(Table2912[[#This Row],[SCFA '[mmol/g']]]&lt;P$10,_xlfn.NORM.DIST(Table2912[[#This Row],[SCFA '[mmol/g']]],P$6,P$2,FALSE),-100)</f>
        <v>-100</v>
      </c>
      <c r="BI490">
        <f>IF(Table2912[[#This Row],[Acetate '[%']]]&lt;Q$10,_xlfn.NORM.DIST(Table2912[[#This Row],[Acetate '[%']]],Q$6,Q$2,FALSE),-100)</f>
        <v>8.2842374124891371</v>
      </c>
      <c r="BJ490">
        <f>IF(Table2912[[#This Row],[Propionate '[%']]]&lt;R$10,_xlfn.NORM.DIST(Table2912[[#This Row],[Propionate '[%']]],R$6,R$2,FALSE),-100)</f>
        <v>8.2684745855293968</v>
      </c>
      <c r="BK490">
        <f>IF(Table2912[[#This Row],[Butyrate '[%']]]&lt;S$10,_xlfn.NORM.DIST(Table2912[[#This Row],[Butyrate '[%']]],S$6,S$2,FALSE),-100)</f>
        <v>-100</v>
      </c>
      <c r="BL490">
        <f>IF(Table2912[[#This Row],[Valerate '[%']]]&lt;T$10,_xlfn.NORM.DIST(Table2912[[#This Row],[Valerate '[%']]],T$6,T$2,FALSE),-100)</f>
        <v>-100</v>
      </c>
      <c r="BM490">
        <f>IF(Table2912[[#This Row],[Caproate '[%']]]&lt;U$10,_xlfn.NORM.DIST(Table2912[[#This Row],[Caproate '[%']]],U$6,U$2,FALSE),-100)</f>
        <v>-100</v>
      </c>
      <c r="BN490">
        <f>IF(Table2912[[#This Row],[Isobutyrate '[%']]]&lt;V$10,_xlfn.NORM.DIST(Table2912[[#This Row],[Isobutyrate '[%']]],V$6,V$2,FALSE),-100)</f>
        <v>-100</v>
      </c>
      <c r="BO490">
        <f>IF(Table2912[[#This Row],[Isovalerate '[%']]]&lt;W$10,_xlfn.NORM.DIST(Table2912[[#This Row],[Isovalerate '[%']]],W$6,W$2,FALSE),-100)</f>
        <v>-100</v>
      </c>
      <c r="BP490">
        <f>IF(Table2912[[#This Row],[CH4 '[g/mmol SCFA']]]&lt;X$10,_xlfn.NORM.DIST(Table2912[[#This Row],[CH4 '[g/mmol SCFA']]],X$6,X$2,FALSE),-100)</f>
        <v>-100</v>
      </c>
      <c r="BQ490">
        <f>IF(Table2912[[#This Row],[DMD '[mg/g']]]&gt;Y$10,_xlfn.NORM.DIST(Table2912[[#This Row],[DMD '[mg/g']]],Y$6,Y$2,FALSE),-100)</f>
        <v>1.5019331504683212E-3</v>
      </c>
      <c r="BR490">
        <f>IF(Table2912[[#This Row],[CH4 '[ml/g']]]&lt;Z$10,_xlfn.NORM.DIST(Table2912[[#This Row],[CH4 '[ml/g']]],Z$6,Z$2,FALSE),-100)</f>
        <v>-100</v>
      </c>
      <c r="BS490">
        <f>IF(Table2912[[#This Row],[CH4 '[% GP']]]&lt;AA$10,_xlfn.NORM.DIST(Table2912[[#This Row],[CH4 '[% GP']]],AA$6,AA$2,FALSE),-100)</f>
        <v>-100</v>
      </c>
      <c r="BT490">
        <f>IF(Table2912[[#This Row],[CH4 '[g/g DDM']]]&lt;AB$10,_xlfn.NORM.DIST(Table2912[[#This Row],[CH4 '[g/g DDM']]],AB$6,AB$2,FALSE),-100)</f>
        <v>-100</v>
      </c>
    </row>
    <row r="491" spans="1:72" x14ac:dyDescent="0.25">
      <c r="A491" s="12" t="s">
        <v>86</v>
      </c>
      <c r="B491" s="13">
        <v>1066</v>
      </c>
      <c r="C491" s="32">
        <v>20417</v>
      </c>
      <c r="D491" t="s">
        <v>323</v>
      </c>
      <c r="E491" t="s">
        <v>324</v>
      </c>
      <c r="F491" t="s">
        <v>325</v>
      </c>
      <c r="G491" s="32" t="s">
        <v>73</v>
      </c>
      <c r="H491" s="32" t="s">
        <v>74</v>
      </c>
      <c r="I491" s="105" t="s">
        <v>44</v>
      </c>
      <c r="J491" s="70">
        <v>1</v>
      </c>
      <c r="K491" s="70"/>
      <c r="L491" s="70"/>
      <c r="M491" t="s">
        <v>325</v>
      </c>
      <c r="N491" t="s">
        <v>145</v>
      </c>
      <c r="O491" s="18">
        <v>259.87705599300114</v>
      </c>
      <c r="P491" s="18">
        <v>6.5377296587926512</v>
      </c>
      <c r="Q491" s="97">
        <v>0.63302721600508516</v>
      </c>
      <c r="R491" s="97">
        <v>0.18305147120322512</v>
      </c>
      <c r="S491" s="97">
        <v>8.6064134089426411E-2</v>
      </c>
      <c r="T491" s="97">
        <v>2.4305381308442477E-2</v>
      </c>
      <c r="U491" s="97">
        <v>8.865693113196501E-4</v>
      </c>
      <c r="V491" s="97">
        <v>2.407119318847125E-2</v>
      </c>
      <c r="W491" s="97">
        <v>4.8594034894029872E-2</v>
      </c>
      <c r="X491" s="51">
        <f t="shared" si="30"/>
        <v>5.6708000983855626</v>
      </c>
      <c r="Y491" s="18">
        <v>936.13298337707761</v>
      </c>
      <c r="Z491" s="18">
        <v>37.074157992299575</v>
      </c>
      <c r="AA491" s="18">
        <f t="shared" si="31"/>
        <v>14.266037396274811</v>
      </c>
      <c r="AB491" s="18">
        <f t="shared" si="32"/>
        <v>39.603516434764884</v>
      </c>
      <c r="AC491" s="18">
        <f>$CP$15*Table2912[[#This Row],[DMD '[mg/g']]]+$CS$15*Table2912[[#This Row],[CH4 '[ml/g']]]+$CR$15*Table2912[[#This Row],[CH4 '[% GP']]]+$CQ$15*Table2912[[#This Row],[CH4 '[g/g DDM']]]</f>
        <v>32.749765287170945</v>
      </c>
      <c r="AD491" s="18">
        <f>_xlfn.RANK.AVG(Table2912[[#This Row],[Index]],Table2912[Index])</f>
        <v>30</v>
      </c>
      <c r="AE49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5.897965879265092</v>
      </c>
      <c r="AF491" s="18">
        <f>Table2912[[#This Row],[CH4 '[ml/g']]]/Table2912[[#This Row],[APB]]</f>
        <v>6.285922765785676</v>
      </c>
      <c r="AG491" s="18">
        <f>Table2912[[#This Row],[Propionate '[%']]]/Table2912[[#This Row],[Acetate '[%']]]</f>
        <v>0.28916840631028201</v>
      </c>
      <c r="AH491" s="51"/>
      <c r="AI491" s="18"/>
      <c r="AJ491" s="18"/>
      <c r="AK491" s="18">
        <f>(Table2912[[#This Row],[DMD '[mg/g']]]-$AK$15)/$AK$15*100</f>
        <v>90.934888152755562</v>
      </c>
      <c r="AL491" s="18">
        <f>(Table2912[[#This Row],[CH4 '[ml/g']]]-AL$15)/AL$15*100</f>
        <v>-5.7409691696919714</v>
      </c>
      <c r="AM491" s="18">
        <f>(Table2912[[#This Row],[CH4 '[% GP']]]-AM$15)/AM$15*100</f>
        <v>-8.0935946156857721</v>
      </c>
      <c r="AN491" s="18">
        <f>(Table2912[[#This Row],[CH4 '[g/g DDM']]]-AN$15)/AN$15*100</f>
        <v>-22.672829560840022</v>
      </c>
      <c r="AO491" s="18"/>
      <c r="AP491" s="18"/>
      <c r="AQ491" t="e">
        <f t="shared" si="33"/>
        <v>#DIV/0!</v>
      </c>
      <c r="AR491">
        <f>_xlfn.NORM.DIST(Table2912[[#This Row],[GP '[ml/g']]],O$6,O$2,FALSE)</f>
        <v>7.4546014123499796E-3</v>
      </c>
      <c r="AS491">
        <f>_xlfn.NORM.DIST(Table2912[[#This Row],[SCFA '[mmol/g']]],P$6,P$2,FALSE)</f>
        <v>0.3327436305224199</v>
      </c>
      <c r="AT491">
        <f>_xlfn.NORM.DIST(Table2912[[#This Row],[Acetate '[%']]],Q$6,Q$2,FALSE)</f>
        <v>5.1921349086536281</v>
      </c>
      <c r="AU491">
        <f>_xlfn.NORM.DIST(Table2912[[#This Row],[Propionate '[%']]],R$6,R$2,FALSE)</f>
        <v>15.030145995480517</v>
      </c>
      <c r="AV491">
        <f>_xlfn.NORM.DIST(Table2912[[#This Row],[Butyrate '[%']]],S$6,S$2,FALSE)</f>
        <v>21.294309868267391</v>
      </c>
      <c r="AW491">
        <f>_xlfn.NORM.DIST(Table2912[[#This Row],[Valerate '[%']]],T$6,T$2,FALSE)</f>
        <v>33.705257991490377</v>
      </c>
      <c r="AX491">
        <f>_xlfn.NORM.DIST(Table2912[[#This Row],[Caproate '[%']]],U$6,U$2,FALSE)</f>
        <v>366.83098697245799</v>
      </c>
      <c r="AY491">
        <f>_xlfn.NORM.DIST(Table2912[[#This Row],[Isobutyrate '[%']]],V$6,V$2,FALSE)</f>
        <v>12.741197296542769</v>
      </c>
      <c r="AZ491">
        <f>_xlfn.NORM.DIST(Table2912[[#This Row],[Isovalerate '[%']]],W$6,W$2,FALSE)</f>
        <v>2.8240974522572642</v>
      </c>
      <c r="BA491">
        <f>_xlfn.NORM.DIST(Table2912[[#This Row],[CH4 '[g/mmol SCFA']]],X$6,X$2,FALSE)</f>
        <v>0.26801580606369574</v>
      </c>
      <c r="BB491">
        <f>_xlfn.NORM.DIST(Table2912[[#This Row],[DMD '[mg/g']]],Y$6,Y$2,FALSE)</f>
        <v>1.4698858359585884E-3</v>
      </c>
      <c r="BC491">
        <f>_xlfn.NORM.DIST(Table2912[[#This Row],[CH4 '[ml/g']]],Z$6,Z$2,FALSE)</f>
        <v>3.1367885319062393E-2</v>
      </c>
      <c r="BD491">
        <f>_xlfn.NORM.DIST(Table2912[[#This Row],[CH4 '[% GP']]],AA$6,AA$2,FALSE)</f>
        <v>0.11194253621982396</v>
      </c>
      <c r="BE491">
        <f>_xlfn.NORM.DIST(Table2912[[#This Row],[CH4 '[g/g DDM']]],AB$6,AB$2,FALSE)</f>
        <v>1.7303677892489763E-2</v>
      </c>
      <c r="BG491">
        <f>IF(Table2912[[#This Row],[GP '[ml/g']]]&lt;O$10,_xlfn.NORM.DIST(Table2912[[#This Row],[GP '[ml/g']]],O$6,O$2,FALSE),-100)</f>
        <v>-100</v>
      </c>
      <c r="BH491">
        <f>IF(Table2912[[#This Row],[SCFA '[mmol/g']]]&lt;P$10,_xlfn.NORM.DIST(Table2912[[#This Row],[SCFA '[mmol/g']]],P$6,P$2,FALSE),-100)</f>
        <v>-100</v>
      </c>
      <c r="BI491">
        <f>IF(Table2912[[#This Row],[Acetate '[%']]]&lt;Q$10,_xlfn.NORM.DIST(Table2912[[#This Row],[Acetate '[%']]],Q$6,Q$2,FALSE),-100)</f>
        <v>5.1921349086536281</v>
      </c>
      <c r="BJ491">
        <f>IF(Table2912[[#This Row],[Propionate '[%']]]&lt;R$10,_xlfn.NORM.DIST(Table2912[[#This Row],[Propionate '[%']]],R$6,R$2,FALSE),-100)</f>
        <v>-100</v>
      </c>
      <c r="BK491">
        <f>IF(Table2912[[#This Row],[Butyrate '[%']]]&lt;S$10,_xlfn.NORM.DIST(Table2912[[#This Row],[Butyrate '[%']]],S$6,S$2,FALSE),-100)</f>
        <v>-100</v>
      </c>
      <c r="BL491">
        <f>IF(Table2912[[#This Row],[Valerate '[%']]]&lt;T$10,_xlfn.NORM.DIST(Table2912[[#This Row],[Valerate '[%']]],T$6,T$2,FALSE),-100)</f>
        <v>-100</v>
      </c>
      <c r="BM491">
        <f>IF(Table2912[[#This Row],[Caproate '[%']]]&lt;U$10,_xlfn.NORM.DIST(Table2912[[#This Row],[Caproate '[%']]],U$6,U$2,FALSE),-100)</f>
        <v>-100</v>
      </c>
      <c r="BN491">
        <f>IF(Table2912[[#This Row],[Isobutyrate '[%']]]&lt;V$10,_xlfn.NORM.DIST(Table2912[[#This Row],[Isobutyrate '[%']]],V$6,V$2,FALSE),-100)</f>
        <v>-100</v>
      </c>
      <c r="BO491">
        <f>IF(Table2912[[#This Row],[Isovalerate '[%']]]&lt;W$10,_xlfn.NORM.DIST(Table2912[[#This Row],[Isovalerate '[%']]],W$6,W$2,FALSE),-100)</f>
        <v>-100</v>
      </c>
      <c r="BP491">
        <f>IF(Table2912[[#This Row],[CH4 '[g/mmol SCFA']]]&lt;X$10,_xlfn.NORM.DIST(Table2912[[#This Row],[CH4 '[g/mmol SCFA']]],X$6,X$2,FALSE),-100)</f>
        <v>-100</v>
      </c>
      <c r="BQ491">
        <f>IF(Table2912[[#This Row],[DMD '[mg/g']]]&gt;Y$10,_xlfn.NORM.DIST(Table2912[[#This Row],[DMD '[mg/g']]],Y$6,Y$2,FALSE),-100)</f>
        <v>1.4698858359585884E-3</v>
      </c>
      <c r="BR491">
        <f>IF(Table2912[[#This Row],[CH4 '[ml/g']]]&lt;Z$10,_xlfn.NORM.DIST(Table2912[[#This Row],[CH4 '[ml/g']]],Z$6,Z$2,FALSE),-100)</f>
        <v>-100</v>
      </c>
      <c r="BS491">
        <f>IF(Table2912[[#This Row],[CH4 '[% GP']]]&lt;AA$10,_xlfn.NORM.DIST(Table2912[[#This Row],[CH4 '[% GP']]],AA$6,AA$2,FALSE),-100)</f>
        <v>-100</v>
      </c>
      <c r="BT491">
        <f>IF(Table2912[[#This Row],[CH4 '[g/g DDM']]]&lt;AB$10,_xlfn.NORM.DIST(Table2912[[#This Row],[CH4 '[g/g DDM']]],AB$6,AB$2,FALSE),-100)</f>
        <v>-100</v>
      </c>
    </row>
    <row r="492" spans="1:72" x14ac:dyDescent="0.25">
      <c r="A492" s="12" t="s">
        <v>200</v>
      </c>
      <c r="B492" s="13">
        <v>1252</v>
      </c>
      <c r="C492" s="113" t="s">
        <v>553</v>
      </c>
      <c r="D492" s="113" t="s">
        <v>233</v>
      </c>
      <c r="E492" s="113" t="s">
        <v>554</v>
      </c>
      <c r="F492" s="114" t="s">
        <v>555</v>
      </c>
      <c r="G492" t="s">
        <v>73</v>
      </c>
      <c r="H492" t="s">
        <v>74</v>
      </c>
      <c r="I492" t="s">
        <v>75</v>
      </c>
      <c r="J492" s="70">
        <v>2</v>
      </c>
      <c r="K492" s="70"/>
      <c r="L492" s="70"/>
      <c r="M492" t="s">
        <v>556</v>
      </c>
      <c r="N492" t="s">
        <v>208</v>
      </c>
      <c r="O492" s="18">
        <v>286.90918548030015</v>
      </c>
      <c r="P492" s="18">
        <v>6.55984351482957</v>
      </c>
      <c r="Q492" s="97">
        <v>0.6860303183223182</v>
      </c>
      <c r="R492" s="97">
        <v>0.16544507757944166</v>
      </c>
      <c r="S492" s="97">
        <v>8.7166355018239883E-2</v>
      </c>
      <c r="T492" s="97">
        <v>1.6205646165120931E-2</v>
      </c>
      <c r="U492" s="97">
        <v>3.6807895656888387E-4</v>
      </c>
      <c r="V492" s="97">
        <v>1.5513275930276529E-2</v>
      </c>
      <c r="W492" s="97">
        <v>2.9271248028033915E-2</v>
      </c>
      <c r="X492" s="51">
        <f t="shared" si="30"/>
        <v>8.0305345293146004</v>
      </c>
      <c r="Y492" s="18">
        <v>938.76626826029224</v>
      </c>
      <c r="Z492" s="18">
        <v>52.679049852739311</v>
      </c>
      <c r="AA492" s="18">
        <f t="shared" si="31"/>
        <v>18.360879511247425</v>
      </c>
      <c r="AB492" s="18">
        <f t="shared" si="32"/>
        <v>56.115192496598056</v>
      </c>
      <c r="AC492" s="18">
        <f>$CP$15*Table2912[[#This Row],[DMD '[mg/g']]]+$CS$15*Table2912[[#This Row],[CH4 '[ml/g']]]+$CR$15*Table2912[[#This Row],[CH4 '[% GP']]]+$CQ$15*Table2912[[#This Row],[CH4 '[g/g DDM']]]</f>
        <v>26.289578627228188</v>
      </c>
      <c r="AD492" s="18">
        <f>_xlfn.RANK.AVG(Table2912[[#This Row],[Index]],Table2912[Index])</f>
        <v>79</v>
      </c>
      <c r="AE49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6.1573430025208333</v>
      </c>
      <c r="AF492" s="18">
        <f>Table2912[[#This Row],[CH4 '[ml/g']]]/Table2912[[#This Row],[APB]]</f>
        <v>8.5554840506972507</v>
      </c>
      <c r="AG492" s="18">
        <f>Table2912[[#This Row],[Propionate '[%']]]/Table2912[[#This Row],[Acetate '[%']]]</f>
        <v>0.241162924087723</v>
      </c>
      <c r="AH492" s="51"/>
      <c r="AI492" s="18"/>
      <c r="AJ492" s="18"/>
      <c r="AK492" s="18">
        <f>(Table2912[[#This Row],[DMD '[mg/g']]]-$AK$15)/$AK$15*100</f>
        <v>91.471976326742492</v>
      </c>
      <c r="AL492" s="18">
        <f>(Table2912[[#This Row],[CH4 '[ml/g']]]-AL$15)/AL$15*100</f>
        <v>33.933619887254999</v>
      </c>
      <c r="AM492" s="18">
        <f>(Table2912[[#This Row],[CH4 '[% GP']]]-AM$15)/AM$15*100</f>
        <v>18.286696487554103</v>
      </c>
      <c r="AN492" s="18">
        <f>(Table2912[[#This Row],[CH4 '[g/g DDM']]]-AN$15)/AN$15*100</f>
        <v>9.5667618697018817</v>
      </c>
      <c r="AO492" s="18"/>
      <c r="AP492" s="18"/>
      <c r="AQ492" t="e">
        <f t="shared" si="33"/>
        <v>#DIV/0!</v>
      </c>
      <c r="AR492">
        <f>_xlfn.NORM.DIST(Table2912[[#This Row],[GP '[ml/g']]],O$6,O$2,FALSE)</f>
        <v>6.2883639164146464E-3</v>
      </c>
      <c r="AS492">
        <f>_xlfn.NORM.DIST(Table2912[[#This Row],[SCFA '[mmol/g']]],P$6,P$2,FALSE)</f>
        <v>0.33268572886356801</v>
      </c>
      <c r="AT492">
        <f>_xlfn.NORM.DIST(Table2912[[#This Row],[Acetate '[%']]],Q$6,Q$2,FALSE)</f>
        <v>12.65471437261399</v>
      </c>
      <c r="AU492">
        <f>_xlfn.NORM.DIST(Table2912[[#This Row],[Propionate '[%']]],R$6,R$2,FALSE)</f>
        <v>16.18869890578577</v>
      </c>
      <c r="AV492">
        <f>_xlfn.NORM.DIST(Table2912[[#This Row],[Butyrate '[%']]],S$6,S$2,FALSE)</f>
        <v>21.793349858405747</v>
      </c>
      <c r="AW492">
        <f>_xlfn.NORM.DIST(Table2912[[#This Row],[Valerate '[%']]],T$6,T$2,FALSE)</f>
        <v>74.379051611542408</v>
      </c>
      <c r="AX492">
        <f>_xlfn.NORM.DIST(Table2912[[#This Row],[Caproate '[%']]],U$6,U$2,FALSE)</f>
        <v>250.68889813016892</v>
      </c>
      <c r="AY492">
        <f>_xlfn.NORM.DIST(Table2912[[#This Row],[Isobutyrate '[%']]],V$6,V$2,FALSE)</f>
        <v>90.070307126735429</v>
      </c>
      <c r="AZ492">
        <f>_xlfn.NORM.DIST(Table2912[[#This Row],[Isovalerate '[%']]],W$6,W$2,FALSE)</f>
        <v>44.87547199682345</v>
      </c>
      <c r="BA492">
        <f>_xlfn.NORM.DIST(Table2912[[#This Row],[CH4 '[g/mmol SCFA']]],X$6,X$2,FALSE)</f>
        <v>0.12726167248458176</v>
      </c>
      <c r="BB492">
        <f>_xlfn.NORM.DIST(Table2912[[#This Row],[DMD '[mg/g']]],Y$6,Y$2,FALSE)</f>
        <v>1.4368735678045891E-3</v>
      </c>
      <c r="BC492">
        <f>_xlfn.NORM.DIST(Table2912[[#This Row],[CH4 '[ml/g']]],Z$6,Z$2,FALSE)</f>
        <v>2.1389265227957279E-2</v>
      </c>
      <c r="BD492">
        <f>_xlfn.NORM.DIST(Table2912[[#This Row],[CH4 '[% GP']]],AA$6,AA$2,FALSE)</f>
        <v>9.9832957389968002E-2</v>
      </c>
      <c r="BE492">
        <f>_xlfn.NORM.DIST(Table2912[[#This Row],[CH4 '[g/g DDM']]],AB$6,AB$2,FALSE)</f>
        <v>3.2013874350859665E-2</v>
      </c>
      <c r="BG492">
        <f>IF(Table2912[[#This Row],[GP '[ml/g']]]&lt;O$10,_xlfn.NORM.DIST(Table2912[[#This Row],[GP '[ml/g']]],O$6,O$2,FALSE),-100)</f>
        <v>-100</v>
      </c>
      <c r="BH492">
        <f>IF(Table2912[[#This Row],[SCFA '[mmol/g']]]&lt;P$10,_xlfn.NORM.DIST(Table2912[[#This Row],[SCFA '[mmol/g']]],P$6,P$2,FALSE),-100)</f>
        <v>-100</v>
      </c>
      <c r="BI492">
        <f>IF(Table2912[[#This Row],[Acetate '[%']]]&lt;Q$10,_xlfn.NORM.DIST(Table2912[[#This Row],[Acetate '[%']]],Q$6,Q$2,FALSE),-100)</f>
        <v>-100</v>
      </c>
      <c r="BJ492">
        <f>IF(Table2912[[#This Row],[Propionate '[%']]]&lt;R$10,_xlfn.NORM.DIST(Table2912[[#This Row],[Propionate '[%']]],R$6,R$2,FALSE),-100)</f>
        <v>-100</v>
      </c>
      <c r="BK492">
        <f>IF(Table2912[[#This Row],[Butyrate '[%']]]&lt;S$10,_xlfn.NORM.DIST(Table2912[[#This Row],[Butyrate '[%']]],S$6,S$2,FALSE),-100)</f>
        <v>-100</v>
      </c>
      <c r="BL492">
        <f>IF(Table2912[[#This Row],[Valerate '[%']]]&lt;T$10,_xlfn.NORM.DIST(Table2912[[#This Row],[Valerate '[%']]],T$6,T$2,FALSE),-100)</f>
        <v>-100</v>
      </c>
      <c r="BM492">
        <f>IF(Table2912[[#This Row],[Caproate '[%']]]&lt;U$10,_xlfn.NORM.DIST(Table2912[[#This Row],[Caproate '[%']]],U$6,U$2,FALSE),-100)</f>
        <v>-100</v>
      </c>
      <c r="BN492">
        <f>IF(Table2912[[#This Row],[Isobutyrate '[%']]]&lt;V$10,_xlfn.NORM.DIST(Table2912[[#This Row],[Isobutyrate '[%']]],V$6,V$2,FALSE),-100)</f>
        <v>-100</v>
      </c>
      <c r="BO492">
        <f>IF(Table2912[[#This Row],[Isovalerate '[%']]]&lt;W$10,_xlfn.NORM.DIST(Table2912[[#This Row],[Isovalerate '[%']]],W$6,W$2,FALSE),-100)</f>
        <v>-100</v>
      </c>
      <c r="BP492">
        <f>IF(Table2912[[#This Row],[CH4 '[g/mmol SCFA']]]&lt;X$10,_xlfn.NORM.DIST(Table2912[[#This Row],[CH4 '[g/mmol SCFA']]],X$6,X$2,FALSE),-100)</f>
        <v>-100</v>
      </c>
      <c r="BQ492">
        <f>IF(Table2912[[#This Row],[DMD '[mg/g']]]&gt;Y$10,_xlfn.NORM.DIST(Table2912[[#This Row],[DMD '[mg/g']]],Y$6,Y$2,FALSE),-100)</f>
        <v>1.4368735678045891E-3</v>
      </c>
      <c r="BR492">
        <f>IF(Table2912[[#This Row],[CH4 '[ml/g']]]&lt;Z$10,_xlfn.NORM.DIST(Table2912[[#This Row],[CH4 '[ml/g']]],Z$6,Z$2,FALSE),-100)</f>
        <v>-100</v>
      </c>
      <c r="BS492">
        <f>IF(Table2912[[#This Row],[CH4 '[% GP']]]&lt;AA$10,_xlfn.NORM.DIST(Table2912[[#This Row],[CH4 '[% GP']]],AA$6,AA$2,FALSE),-100)</f>
        <v>-100</v>
      </c>
      <c r="BT492">
        <f>IF(Table2912[[#This Row],[CH4 '[g/g DDM']]]&lt;AB$10,_xlfn.NORM.DIST(Table2912[[#This Row],[CH4 '[g/g DDM']]],AB$6,AB$2,FALSE),-100)</f>
        <v>-100</v>
      </c>
    </row>
    <row r="493" spans="1:72" x14ac:dyDescent="0.25">
      <c r="A493" s="12" t="s">
        <v>200</v>
      </c>
      <c r="B493" s="13">
        <v>1258</v>
      </c>
      <c r="C493" s="113" t="s">
        <v>586</v>
      </c>
      <c r="D493" s="113" t="s">
        <v>587</v>
      </c>
      <c r="E493" s="113" t="s">
        <v>588</v>
      </c>
      <c r="F493" s="114" t="s">
        <v>589</v>
      </c>
      <c r="G493" t="s">
        <v>73</v>
      </c>
      <c r="H493" t="s">
        <v>74</v>
      </c>
      <c r="I493" t="s">
        <v>75</v>
      </c>
      <c r="J493" s="70">
        <v>3</v>
      </c>
      <c r="K493" s="70"/>
      <c r="L493" s="70"/>
      <c r="M493" t="s">
        <v>590</v>
      </c>
      <c r="N493" t="s">
        <v>208</v>
      </c>
      <c r="O493" s="18">
        <v>313.48674192120228</v>
      </c>
      <c r="P493" s="18">
        <v>8.1192822040752386</v>
      </c>
      <c r="Q493" s="97">
        <v>0.65266533370081137</v>
      </c>
      <c r="R493" s="97">
        <v>0.17219302378639306</v>
      </c>
      <c r="S493" s="97">
        <v>0.10033084159703004</v>
      </c>
      <c r="T493" s="97">
        <v>1.9257576928408505E-2</v>
      </c>
      <c r="U493" s="97">
        <v>1.9457432973160672E-3</v>
      </c>
      <c r="V493" s="97">
        <v>1.9021917907361369E-2</v>
      </c>
      <c r="W493" s="97">
        <v>3.4585562782679519E-2</v>
      </c>
      <c r="X493" s="51">
        <f t="shared" si="30"/>
        <v>7.2773214848052179</v>
      </c>
      <c r="Y493" s="18">
        <v>940.81922805794704</v>
      </c>
      <c r="Z493" s="18">
        <v>59.086626824913395</v>
      </c>
      <c r="AA493" s="18">
        <f t="shared" si="31"/>
        <v>18.848205976049012</v>
      </c>
      <c r="AB493" s="18">
        <f t="shared" si="32"/>
        <v>62.803379291982459</v>
      </c>
      <c r="AC493" s="18">
        <f>$CP$15*Table2912[[#This Row],[DMD '[mg/g']]]+$CS$15*Table2912[[#This Row],[CH4 '[ml/g']]]+$CR$15*Table2912[[#This Row],[CH4 '[% GP']]]+$CQ$15*Table2912[[#This Row],[CH4 '[g/g DDM']]]</f>
        <v>24.128795496787447</v>
      </c>
      <c r="AD493" s="18">
        <f>_xlfn.RANK.AVG(Table2912[[#This Row],[Index]],Table2912[Index])</f>
        <v>103</v>
      </c>
      <c r="AE49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7.5118721995272484</v>
      </c>
      <c r="AF493" s="18">
        <f>Table2912[[#This Row],[CH4 '[ml/g']]]/Table2912[[#This Row],[APB]]</f>
        <v>7.8657657179833214</v>
      </c>
      <c r="AG493" s="18">
        <f>Table2912[[#This Row],[Propionate '[%']]]/Table2912[[#This Row],[Acetate '[%']]]</f>
        <v>0.26383050377443235</v>
      </c>
      <c r="AH493" s="51"/>
      <c r="AI493" s="18"/>
      <c r="AJ493" s="18"/>
      <c r="AK493" s="18">
        <f>(Table2912[[#This Row],[DMD '[mg/g']]]-$AK$15)/$AK$15*100</f>
        <v>91.89070064936304</v>
      </c>
      <c r="AL493" s="18">
        <f>(Table2912[[#This Row],[CH4 '[ml/g']]]-AL$15)/AL$15*100</f>
        <v>50.224535934307937</v>
      </c>
      <c r="AM493" s="18">
        <f>(Table2912[[#This Row],[CH4 '[% GP']]]-AM$15)/AM$15*100</f>
        <v>21.426210452395853</v>
      </c>
      <c r="AN493" s="18">
        <f>(Table2912[[#This Row],[CH4 '[g/g DDM']]]-AN$15)/AN$15*100</f>
        <v>22.625666906771709</v>
      </c>
      <c r="AO493" s="18"/>
      <c r="AP493" s="18"/>
      <c r="AQ493" t="e">
        <f t="shared" si="33"/>
        <v>#DIV/0!</v>
      </c>
      <c r="AR493">
        <f>_xlfn.NORM.DIST(Table2912[[#This Row],[GP '[ml/g']]],O$6,O$2,FALSE)</f>
        <v>4.1412427219247993E-3</v>
      </c>
      <c r="AS493">
        <f>_xlfn.NORM.DIST(Table2912[[#This Row],[SCFA '[mmol/g']]],P$6,P$2,FALSE)</f>
        <v>0.13935942450419217</v>
      </c>
      <c r="AT493">
        <f>_xlfn.NORM.DIST(Table2912[[#This Row],[Acetate '[%']]],Q$6,Q$2,FALSE)</f>
        <v>10.829068865392877</v>
      </c>
      <c r="AU493">
        <f>_xlfn.NORM.DIST(Table2912[[#This Row],[Propionate '[%']]],R$6,R$2,FALSE)</f>
        <v>16.789505469403288</v>
      </c>
      <c r="AV493">
        <f>_xlfn.NORM.DIST(Table2912[[#This Row],[Butyrate '[%']]],S$6,S$2,FALSE)</f>
        <v>21.017040449292171</v>
      </c>
      <c r="AW493">
        <f>_xlfn.NORM.DIST(Table2912[[#This Row],[Valerate '[%']]],T$6,T$2,FALSE)</f>
        <v>73.761671581574006</v>
      </c>
      <c r="AX493">
        <f>_xlfn.NORM.DIST(Table2912[[#This Row],[Caproate '[%']]],U$6,U$2,FALSE)</f>
        <v>334.7343442462797</v>
      </c>
      <c r="AY493">
        <f>_xlfn.NORM.DIST(Table2912[[#This Row],[Isobutyrate '[%']]],V$6,V$2,FALSE)</f>
        <v>63.507927800744497</v>
      </c>
      <c r="AZ493">
        <f>_xlfn.NORM.DIST(Table2912[[#This Row],[Isovalerate '[%']]],W$6,W$2,FALSE)</f>
        <v>33.985641248798181</v>
      </c>
      <c r="BA493">
        <f>_xlfn.NORM.DIST(Table2912[[#This Row],[CH4 '[g/mmol SCFA']]],X$6,X$2,FALSE)</f>
        <v>0.22593043511113237</v>
      </c>
      <c r="BB493">
        <f>_xlfn.NORM.DIST(Table2912[[#This Row],[DMD '[mg/g']]],Y$6,Y$2,FALSE)</f>
        <v>1.411288996424092E-3</v>
      </c>
      <c r="BC493">
        <f>_xlfn.NORM.DIST(Table2912[[#This Row],[CH4 '[ml/g']]],Z$6,Z$2,FALSE)</f>
        <v>1.111401635323426E-2</v>
      </c>
      <c r="BD493">
        <f>_xlfn.NORM.DIST(Table2912[[#This Row],[CH4 '[% GP']]],AA$6,AA$2,FALSE)</f>
        <v>8.6708916672406378E-2</v>
      </c>
      <c r="BE493">
        <f>_xlfn.NORM.DIST(Table2912[[#This Row],[CH4 '[g/g DDM']]],AB$6,AB$2,FALSE)</f>
        <v>2.4270907713062784E-2</v>
      </c>
      <c r="BG493">
        <f>IF(Table2912[[#This Row],[GP '[ml/g']]]&lt;O$10,_xlfn.NORM.DIST(Table2912[[#This Row],[GP '[ml/g']]],O$6,O$2,FALSE),-100)</f>
        <v>-100</v>
      </c>
      <c r="BH493">
        <f>IF(Table2912[[#This Row],[SCFA '[mmol/g']]]&lt;P$10,_xlfn.NORM.DIST(Table2912[[#This Row],[SCFA '[mmol/g']]],P$6,P$2,FALSE),-100)</f>
        <v>-100</v>
      </c>
      <c r="BI493">
        <f>IF(Table2912[[#This Row],[Acetate '[%']]]&lt;Q$10,_xlfn.NORM.DIST(Table2912[[#This Row],[Acetate '[%']]],Q$6,Q$2,FALSE),-100)</f>
        <v>-100</v>
      </c>
      <c r="BJ493">
        <f>IF(Table2912[[#This Row],[Propionate '[%']]]&lt;R$10,_xlfn.NORM.DIST(Table2912[[#This Row],[Propionate '[%']]],R$6,R$2,FALSE),-100)</f>
        <v>-100</v>
      </c>
      <c r="BK493">
        <f>IF(Table2912[[#This Row],[Butyrate '[%']]]&lt;S$10,_xlfn.NORM.DIST(Table2912[[#This Row],[Butyrate '[%']]],S$6,S$2,FALSE),-100)</f>
        <v>-100</v>
      </c>
      <c r="BL493">
        <f>IF(Table2912[[#This Row],[Valerate '[%']]]&lt;T$10,_xlfn.NORM.DIST(Table2912[[#This Row],[Valerate '[%']]],T$6,T$2,FALSE),-100)</f>
        <v>-100</v>
      </c>
      <c r="BM493">
        <f>IF(Table2912[[#This Row],[Caproate '[%']]]&lt;U$10,_xlfn.NORM.DIST(Table2912[[#This Row],[Caproate '[%']]],U$6,U$2,FALSE),-100)</f>
        <v>-100</v>
      </c>
      <c r="BN493">
        <f>IF(Table2912[[#This Row],[Isobutyrate '[%']]]&lt;V$10,_xlfn.NORM.DIST(Table2912[[#This Row],[Isobutyrate '[%']]],V$6,V$2,FALSE),-100)</f>
        <v>-100</v>
      </c>
      <c r="BO493">
        <f>IF(Table2912[[#This Row],[Isovalerate '[%']]]&lt;W$10,_xlfn.NORM.DIST(Table2912[[#This Row],[Isovalerate '[%']]],W$6,W$2,FALSE),-100)</f>
        <v>-100</v>
      </c>
      <c r="BP493">
        <f>IF(Table2912[[#This Row],[CH4 '[g/mmol SCFA']]]&lt;X$10,_xlfn.NORM.DIST(Table2912[[#This Row],[CH4 '[g/mmol SCFA']]],X$6,X$2,FALSE),-100)</f>
        <v>-100</v>
      </c>
      <c r="BQ493">
        <f>IF(Table2912[[#This Row],[DMD '[mg/g']]]&gt;Y$10,_xlfn.NORM.DIST(Table2912[[#This Row],[DMD '[mg/g']]],Y$6,Y$2,FALSE),-100)</f>
        <v>1.411288996424092E-3</v>
      </c>
      <c r="BR493">
        <f>IF(Table2912[[#This Row],[CH4 '[ml/g']]]&lt;Z$10,_xlfn.NORM.DIST(Table2912[[#This Row],[CH4 '[ml/g']]],Z$6,Z$2,FALSE),-100)</f>
        <v>-100</v>
      </c>
      <c r="BS493">
        <f>IF(Table2912[[#This Row],[CH4 '[% GP']]]&lt;AA$10,_xlfn.NORM.DIST(Table2912[[#This Row],[CH4 '[% GP']]],AA$6,AA$2,FALSE),-100)</f>
        <v>-100</v>
      </c>
      <c r="BT493">
        <f>IF(Table2912[[#This Row],[CH4 '[g/g DDM']]]&lt;AB$10,_xlfn.NORM.DIST(Table2912[[#This Row],[CH4 '[g/g DDM']]],AB$6,AB$2,FALSE),-100)</f>
        <v>-100</v>
      </c>
    </row>
    <row r="494" spans="1:72" x14ac:dyDescent="0.25">
      <c r="A494" s="12" t="s">
        <v>200</v>
      </c>
      <c r="B494" s="13">
        <v>1198</v>
      </c>
      <c r="C494" s="119" t="s">
        <v>569</v>
      </c>
      <c r="D494" s="119" t="s">
        <v>570</v>
      </c>
      <c r="E494" s="119" t="s">
        <v>571</v>
      </c>
      <c r="F494" s="119" t="s">
        <v>572</v>
      </c>
      <c r="G494" t="s">
        <v>457</v>
      </c>
      <c r="H494" t="s">
        <v>458</v>
      </c>
      <c r="I494" s="53" t="s">
        <v>48</v>
      </c>
      <c r="J494" s="100">
        <v>1</v>
      </c>
      <c r="K494" s="100"/>
      <c r="L494" s="100"/>
      <c r="M494" t="s">
        <v>573</v>
      </c>
      <c r="N494" t="s">
        <v>363</v>
      </c>
      <c r="O494" s="18">
        <v>255.69746472663041</v>
      </c>
      <c r="P494" s="18">
        <v>7.129939362983917</v>
      </c>
      <c r="Q494" s="97">
        <v>0.6939780729756071</v>
      </c>
      <c r="R494" s="97">
        <v>0.18379289787868669</v>
      </c>
      <c r="S494" s="97">
        <v>7.0623334053733944E-2</v>
      </c>
      <c r="T494" s="97">
        <v>1.9122692640258655E-2</v>
      </c>
      <c r="U494" s="97">
        <v>2.6177375816903809E-3</v>
      </c>
      <c r="V494" s="97">
        <v>1.2523552167432622E-2</v>
      </c>
      <c r="W494" s="97">
        <v>1.7341712702590616E-2</v>
      </c>
      <c r="X494" s="51">
        <f t="shared" si="30"/>
        <v>5.1959553741882791</v>
      </c>
      <c r="Y494" s="18">
        <v>942.74123840955519</v>
      </c>
      <c r="Z494" s="18">
        <v>37.04684675073284</v>
      </c>
      <c r="AA494" s="18">
        <f t="shared" si="31"/>
        <v>14.488546763785914</v>
      </c>
      <c r="AB494" s="18">
        <f t="shared" si="32"/>
        <v>39.296940922232757</v>
      </c>
      <c r="AC494" s="18">
        <f>$CP$15*Table2912[[#This Row],[DMD '[mg/g']]]+$CS$15*Table2912[[#This Row],[CH4 '[ml/g']]]+$CR$15*Table2912[[#This Row],[CH4 '[% GP']]]+$CQ$15*Table2912[[#This Row],[CH4 '[g/g DDM']]]</f>
        <v>33.29122139291885</v>
      </c>
      <c r="AD494" s="18">
        <f>_xlfn.RANK.AVG(Table2912[[#This Row],[Index]],Table2912[Index])</f>
        <v>27</v>
      </c>
      <c r="AE49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6.761993886193518</v>
      </c>
      <c r="AF494" s="18">
        <f>Table2912[[#This Row],[CH4 '[ml/g']]]/Table2912[[#This Row],[APB]]</f>
        <v>5.4786868154930204</v>
      </c>
      <c r="AG494" s="18">
        <f>Table2912[[#This Row],[Propionate '[%']]]/Table2912[[#This Row],[Acetate '[%']]]</f>
        <v>0.26483963259909349</v>
      </c>
      <c r="AH494" s="51"/>
      <c r="AI494" s="18"/>
      <c r="AJ494" s="18"/>
      <c r="AK494" s="18">
        <f>(Table2912[[#This Row],[DMD '[mg/g']]]-$AK$15)/$AK$15*100</f>
        <v>92.282716354427592</v>
      </c>
      <c r="AL494" s="18">
        <f>(Table2912[[#This Row],[CH4 '[ml/g']]]-AL$15)/AL$15*100</f>
        <v>-5.8104065163577436</v>
      </c>
      <c r="AM494" s="18">
        <f>(Table2912[[#This Row],[CH4 '[% GP']]]-AM$15)/AM$15*100</f>
        <v>-6.6601176406693776</v>
      </c>
      <c r="AN494" s="18">
        <f>(Table2912[[#This Row],[CH4 '[g/g DDM']]]-AN$15)/AN$15*100</f>
        <v>-23.271428348124338</v>
      </c>
      <c r="AO494" s="18"/>
      <c r="AP494" s="18"/>
      <c r="AQ494" t="e">
        <f t="shared" si="33"/>
        <v>#DIV/0!</v>
      </c>
      <c r="AR494">
        <f>_xlfn.NORM.DIST(Table2912[[#This Row],[GP '[ml/g']]],O$6,O$2,FALSE)</f>
        <v>7.4798080782343471E-3</v>
      </c>
      <c r="AS494">
        <f>_xlfn.NORM.DIST(Table2912[[#This Row],[SCFA '[mmol/g']]],P$6,P$2,FALSE)</f>
        <v>0.29449974239593701</v>
      </c>
      <c r="AT494">
        <f>_xlfn.NORM.DIST(Table2912[[#This Row],[Acetate '[%']]],Q$6,Q$2,FALSE)</f>
        <v>10.720796672510231</v>
      </c>
      <c r="AU494">
        <f>_xlfn.NORM.DIST(Table2912[[#This Row],[Propionate '[%']]],R$6,R$2,FALSE)</f>
        <v>14.80376709396562</v>
      </c>
      <c r="AV494">
        <f>_xlfn.NORM.DIST(Table2912[[#This Row],[Butyrate '[%']]],S$6,S$2,FALSE)</f>
        <v>10.057352735978494</v>
      </c>
      <c r="AW494">
        <f>_xlfn.NORM.DIST(Table2912[[#This Row],[Valerate '[%']]],T$6,T$2,FALSE)</f>
        <v>74.337230450415746</v>
      </c>
      <c r="AX494">
        <f>_xlfn.NORM.DIST(Table2912[[#This Row],[Caproate '[%']]],U$6,U$2,FALSE)</f>
        <v>172.44834608363098</v>
      </c>
      <c r="AY494">
        <f>_xlfn.NORM.DIST(Table2912[[#This Row],[Isobutyrate '[%']]],V$6,V$2,FALSE)</f>
        <v>73.862499591301216</v>
      </c>
      <c r="AZ494">
        <f>_xlfn.NORM.DIST(Table2912[[#This Row],[Isovalerate '[%']]],W$6,W$2,FALSE)</f>
        <v>22.065990893328543</v>
      </c>
      <c r="BA494">
        <f>_xlfn.NORM.DIST(Table2912[[#This Row],[CH4 '[g/mmol SCFA']]],X$6,X$2,FALSE)</f>
        <v>0.21419834067819488</v>
      </c>
      <c r="BB494">
        <f>_xlfn.NORM.DIST(Table2912[[#This Row],[DMD '[mg/g']]],Y$6,Y$2,FALSE)</f>
        <v>1.3874662005422759E-3</v>
      </c>
      <c r="BC494">
        <f>_xlfn.NORM.DIST(Table2912[[#This Row],[CH4 '[ml/g']]],Z$6,Z$2,FALSE)</f>
        <v>3.1341684237314427E-2</v>
      </c>
      <c r="BD494">
        <f>_xlfn.NORM.DIST(Table2912[[#This Row],[CH4 '[% GP']]],AA$6,AA$2,FALSE)</f>
        <v>0.1168499838251761</v>
      </c>
      <c r="BE494">
        <f>_xlfn.NORM.DIST(Table2912[[#This Row],[CH4 '[g/g DDM']]],AB$6,AB$2,FALSE)</f>
        <v>1.6810663761825249E-2</v>
      </c>
      <c r="BG494">
        <f>IF(Table2912[[#This Row],[GP '[ml/g']]]&lt;O$10,_xlfn.NORM.DIST(Table2912[[#This Row],[GP '[ml/g']]],O$6,O$2,FALSE),-100)</f>
        <v>-100</v>
      </c>
      <c r="BH494">
        <f>IF(Table2912[[#This Row],[SCFA '[mmol/g']]]&lt;P$10,_xlfn.NORM.DIST(Table2912[[#This Row],[SCFA '[mmol/g']]],P$6,P$2,FALSE),-100)</f>
        <v>-100</v>
      </c>
      <c r="BI494">
        <f>IF(Table2912[[#This Row],[Acetate '[%']]]&lt;Q$10,_xlfn.NORM.DIST(Table2912[[#This Row],[Acetate '[%']]],Q$6,Q$2,FALSE),-100)</f>
        <v>-100</v>
      </c>
      <c r="BJ494">
        <f>IF(Table2912[[#This Row],[Propionate '[%']]]&lt;R$10,_xlfn.NORM.DIST(Table2912[[#This Row],[Propionate '[%']]],R$6,R$2,FALSE),-100)</f>
        <v>-100</v>
      </c>
      <c r="BK494">
        <f>IF(Table2912[[#This Row],[Butyrate '[%']]]&lt;S$10,_xlfn.NORM.DIST(Table2912[[#This Row],[Butyrate '[%']]],S$6,S$2,FALSE),-100)</f>
        <v>10.057352735978494</v>
      </c>
      <c r="BL494">
        <f>IF(Table2912[[#This Row],[Valerate '[%']]]&lt;T$10,_xlfn.NORM.DIST(Table2912[[#This Row],[Valerate '[%']]],T$6,T$2,FALSE),-100)</f>
        <v>-100</v>
      </c>
      <c r="BM494">
        <f>IF(Table2912[[#This Row],[Caproate '[%']]]&lt;U$10,_xlfn.NORM.DIST(Table2912[[#This Row],[Caproate '[%']]],U$6,U$2,FALSE),-100)</f>
        <v>-100</v>
      </c>
      <c r="BN494">
        <f>IF(Table2912[[#This Row],[Isobutyrate '[%']]]&lt;V$10,_xlfn.NORM.DIST(Table2912[[#This Row],[Isobutyrate '[%']]],V$6,V$2,FALSE),-100)</f>
        <v>-100</v>
      </c>
      <c r="BO494">
        <f>IF(Table2912[[#This Row],[Isovalerate '[%']]]&lt;W$10,_xlfn.NORM.DIST(Table2912[[#This Row],[Isovalerate '[%']]],W$6,W$2,FALSE),-100)</f>
        <v>22.065990893328543</v>
      </c>
      <c r="BP494">
        <f>IF(Table2912[[#This Row],[CH4 '[g/mmol SCFA']]]&lt;X$10,_xlfn.NORM.DIST(Table2912[[#This Row],[CH4 '[g/mmol SCFA']]],X$6,X$2,FALSE),-100)</f>
        <v>-100</v>
      </c>
      <c r="BQ494">
        <f>IF(Table2912[[#This Row],[DMD '[mg/g']]]&gt;Y$10,_xlfn.NORM.DIST(Table2912[[#This Row],[DMD '[mg/g']]],Y$6,Y$2,FALSE),-100)</f>
        <v>1.3874662005422759E-3</v>
      </c>
      <c r="BR494">
        <f>IF(Table2912[[#This Row],[CH4 '[ml/g']]]&lt;Z$10,_xlfn.NORM.DIST(Table2912[[#This Row],[CH4 '[ml/g']]],Z$6,Z$2,FALSE),-100)</f>
        <v>-100</v>
      </c>
      <c r="BS494">
        <f>IF(Table2912[[#This Row],[CH4 '[% GP']]]&lt;AA$10,_xlfn.NORM.DIST(Table2912[[#This Row],[CH4 '[% GP']]],AA$6,AA$2,FALSE),-100)</f>
        <v>-100</v>
      </c>
      <c r="BT494">
        <f>IF(Table2912[[#This Row],[CH4 '[g/g DDM']]]&lt;AB$10,_xlfn.NORM.DIST(Table2912[[#This Row],[CH4 '[g/g DDM']]],AB$6,AB$2,FALSE),-100)</f>
        <v>-100</v>
      </c>
    </row>
    <row r="495" spans="1:72" x14ac:dyDescent="0.25">
      <c r="A495" s="12" t="s">
        <v>200</v>
      </c>
      <c r="B495" s="13">
        <v>1253</v>
      </c>
      <c r="C495" s="113" t="s">
        <v>557</v>
      </c>
      <c r="D495" s="113" t="s">
        <v>558</v>
      </c>
      <c r="E495" s="113" t="s">
        <v>559</v>
      </c>
      <c r="F495" s="114" t="s">
        <v>560</v>
      </c>
      <c r="G495" t="s">
        <v>561</v>
      </c>
      <c r="H495" t="s">
        <v>562</v>
      </c>
      <c r="I495" s="115" t="s">
        <v>48</v>
      </c>
      <c r="J495" s="107">
        <v>2</v>
      </c>
      <c r="K495" s="107"/>
      <c r="L495" s="107"/>
      <c r="M495" t="s">
        <v>563</v>
      </c>
      <c r="N495" t="s">
        <v>342</v>
      </c>
      <c r="O495" s="18">
        <v>203.45358316896738</v>
      </c>
      <c r="P495" s="18">
        <v>4.8384746100524403</v>
      </c>
      <c r="Q495" s="97">
        <v>0.73490848475331272</v>
      </c>
      <c r="R495" s="97">
        <v>0.15428057384972457</v>
      </c>
      <c r="S495" s="97">
        <v>7.1365560856251564E-2</v>
      </c>
      <c r="T495" s="97">
        <v>9.4736662832914965E-3</v>
      </c>
      <c r="U495" s="97">
        <v>-8.6224972522577382E-5</v>
      </c>
      <c r="V495" s="97">
        <v>1.0531246628106068E-2</v>
      </c>
      <c r="W495" s="97">
        <v>1.9526692601836367E-2</v>
      </c>
      <c r="X495" s="51">
        <f t="shared" si="30"/>
        <v>5.8688696454409337</v>
      </c>
      <c r="Y495" s="18">
        <v>944.49362468744653</v>
      </c>
      <c r="Z495" s="18">
        <v>28.396376769173425</v>
      </c>
      <c r="AA495" s="18">
        <f t="shared" si="31"/>
        <v>13.957177026265665</v>
      </c>
      <c r="AB495" s="18">
        <f t="shared" si="32"/>
        <v>30.065186282830023</v>
      </c>
      <c r="AC495" s="18">
        <f>$CP$15*Table2912[[#This Row],[DMD '[mg/g']]]+$CS$15*Table2912[[#This Row],[CH4 '[ml/g']]]+$CR$15*Table2912[[#This Row],[CH4 '[% GP']]]+$CQ$15*Table2912[[#This Row],[CH4 '[g/g DDM']]]</f>
        <v>36.591256871555998</v>
      </c>
      <c r="AD495" s="18">
        <f>_xlfn.RANK.AVG(Table2912[[#This Row],[Index]],Table2912[Index])</f>
        <v>11</v>
      </c>
      <c r="AE49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4.6476191378223533</v>
      </c>
      <c r="AF495" s="18">
        <f>Table2912[[#This Row],[CH4 '[ml/g']]]/Table2912[[#This Row],[APB]]</f>
        <v>6.1098760305214199</v>
      </c>
      <c r="AG495" s="18">
        <f>Table2912[[#This Row],[Propionate '[%']]]/Table2912[[#This Row],[Acetate '[%']]]</f>
        <v>0.20993168135963494</v>
      </c>
      <c r="AH495" s="51"/>
      <c r="AI495" s="18"/>
      <c r="AJ495" s="18"/>
      <c r="AK495" s="18">
        <f>(Table2912[[#This Row],[DMD '[mg/g']]]-$AK$15)/$AK$15*100</f>
        <v>92.640135315099798</v>
      </c>
      <c r="AL495" s="18">
        <f>(Table2912[[#This Row],[CH4 '[ml/g']]]-AL$15)/AL$15*100</f>
        <v>-27.803756085020126</v>
      </c>
      <c r="AM495" s="18">
        <f>(Table2912[[#This Row],[CH4 '[% GP']]]-AM$15)/AM$15*100</f>
        <v>-10.083372546635411</v>
      </c>
      <c r="AN495" s="18">
        <f>(Table2912[[#This Row],[CH4 '[g/g DDM']]]-AN$15)/AN$15*100</f>
        <v>-41.296733389647201</v>
      </c>
      <c r="AO495" s="18"/>
      <c r="AP495" s="18"/>
      <c r="AQ495" t="e">
        <f t="shared" si="33"/>
        <v>#DIV/0!</v>
      </c>
      <c r="AR495">
        <f>_xlfn.NORM.DIST(Table2912[[#This Row],[GP '[ml/g']]],O$6,O$2,FALSE)</f>
        <v>4.647266883112052E-3</v>
      </c>
      <c r="AS495">
        <f>_xlfn.NORM.DIST(Table2912[[#This Row],[SCFA '[mmol/g']]],P$6,P$2,FALSE)</f>
        <v>0.12191462143222469</v>
      </c>
      <c r="AT495">
        <f>_xlfn.NORM.DIST(Table2912[[#This Row],[Acetate '[%']]],Q$6,Q$2,FALSE)</f>
        <v>1.3250943743444252</v>
      </c>
      <c r="AU495">
        <f>_xlfn.NORM.DIST(Table2912[[#This Row],[Propionate '[%']]],R$6,R$2,FALSE)</f>
        <v>12.767314882725266</v>
      </c>
      <c r="AV495">
        <f>_xlfn.NORM.DIST(Table2912[[#This Row],[Butyrate '[%']]],S$6,S$2,FALSE)</f>
        <v>10.61789342554048</v>
      </c>
      <c r="AW495">
        <f>_xlfn.NORM.DIST(Table2912[[#This Row],[Valerate '[%']]],T$6,T$2,FALSE)</f>
        <v>21.9352809916967</v>
      </c>
      <c r="AX495">
        <f>_xlfn.NORM.DIST(Table2912[[#This Row],[Caproate '[%']]],U$6,U$2,FALSE)</f>
        <v>142.70218461351479</v>
      </c>
      <c r="AY495">
        <f>_xlfn.NORM.DIST(Table2912[[#This Row],[Isobutyrate '[%']]],V$6,V$2,FALSE)</f>
        <v>50.226144677125738</v>
      </c>
      <c r="AZ495">
        <f>_xlfn.NORM.DIST(Table2912[[#This Row],[Isovalerate '[%']]],W$6,W$2,FALSE)</f>
        <v>28.849838768995792</v>
      </c>
      <c r="BA495">
        <f>_xlfn.NORM.DIST(Table2912[[#This Row],[CH4 '[g/mmol SCFA']]],X$6,X$2,FALSE)</f>
        <v>0.28358312551900411</v>
      </c>
      <c r="BB495">
        <f>_xlfn.NORM.DIST(Table2912[[#This Row],[DMD '[mg/g']]],Y$6,Y$2,FALSE)</f>
        <v>1.3658615242104495E-3</v>
      </c>
      <c r="BC495">
        <f>_xlfn.NORM.DIST(Table2912[[#This Row],[CH4 '[ml/g']]],Z$6,Z$2,FALSE)</f>
        <v>1.8458381537676118E-2</v>
      </c>
      <c r="BD495">
        <f>_xlfn.NORM.DIST(Table2912[[#This Row],[CH4 '[% GP']]],AA$6,AA$2,FALSE)</f>
        <v>0.10448802632434757</v>
      </c>
      <c r="BE495">
        <f>_xlfn.NORM.DIST(Table2912[[#This Row],[CH4 '[g/g DDM']]],AB$6,AB$2,FALSE)</f>
        <v>5.2227861382955843E-3</v>
      </c>
      <c r="BG495">
        <f>IF(Table2912[[#This Row],[GP '[ml/g']]]&lt;O$10,_xlfn.NORM.DIST(Table2912[[#This Row],[GP '[ml/g']]],O$6,O$2,FALSE),-100)</f>
        <v>-100</v>
      </c>
      <c r="BH495">
        <f>IF(Table2912[[#This Row],[SCFA '[mmol/g']]]&lt;P$10,_xlfn.NORM.DIST(Table2912[[#This Row],[SCFA '[mmol/g']]],P$6,P$2,FALSE),-100)</f>
        <v>0.12191462143222469</v>
      </c>
      <c r="BI495">
        <f>IF(Table2912[[#This Row],[Acetate '[%']]]&lt;Q$10,_xlfn.NORM.DIST(Table2912[[#This Row],[Acetate '[%']]],Q$6,Q$2,FALSE),-100)</f>
        <v>-100</v>
      </c>
      <c r="BJ495">
        <f>IF(Table2912[[#This Row],[Propionate '[%']]]&lt;R$10,_xlfn.NORM.DIST(Table2912[[#This Row],[Propionate '[%']]],R$6,R$2,FALSE),-100)</f>
        <v>-100</v>
      </c>
      <c r="BK495">
        <f>IF(Table2912[[#This Row],[Butyrate '[%']]]&lt;S$10,_xlfn.NORM.DIST(Table2912[[#This Row],[Butyrate '[%']]],S$6,S$2,FALSE),-100)</f>
        <v>10.61789342554048</v>
      </c>
      <c r="BL495">
        <f>IF(Table2912[[#This Row],[Valerate '[%']]]&lt;T$10,_xlfn.NORM.DIST(Table2912[[#This Row],[Valerate '[%']]],T$6,T$2,FALSE),-100)</f>
        <v>21.9352809916967</v>
      </c>
      <c r="BM495">
        <f>IF(Table2912[[#This Row],[Caproate '[%']]]&lt;U$10,_xlfn.NORM.DIST(Table2912[[#This Row],[Caproate '[%']]],U$6,U$2,FALSE),-100)</f>
        <v>142.70218461351479</v>
      </c>
      <c r="BN495">
        <f>IF(Table2912[[#This Row],[Isobutyrate '[%']]]&lt;V$10,_xlfn.NORM.DIST(Table2912[[#This Row],[Isobutyrate '[%']]],V$6,V$2,FALSE),-100)</f>
        <v>50.226144677125738</v>
      </c>
      <c r="BO495">
        <f>IF(Table2912[[#This Row],[Isovalerate '[%']]]&lt;W$10,_xlfn.NORM.DIST(Table2912[[#This Row],[Isovalerate '[%']]],W$6,W$2,FALSE),-100)</f>
        <v>-100</v>
      </c>
      <c r="BP495">
        <f>IF(Table2912[[#This Row],[CH4 '[g/mmol SCFA']]]&lt;X$10,_xlfn.NORM.DIST(Table2912[[#This Row],[CH4 '[g/mmol SCFA']]],X$6,X$2,FALSE),-100)</f>
        <v>-100</v>
      </c>
      <c r="BQ495">
        <f>IF(Table2912[[#This Row],[DMD '[mg/g']]]&gt;Y$10,_xlfn.NORM.DIST(Table2912[[#This Row],[DMD '[mg/g']]],Y$6,Y$2,FALSE),-100)</f>
        <v>1.3658615242104495E-3</v>
      </c>
      <c r="BR495">
        <f>IF(Table2912[[#This Row],[CH4 '[ml/g']]]&lt;Z$10,_xlfn.NORM.DIST(Table2912[[#This Row],[CH4 '[ml/g']]],Z$6,Z$2,FALSE),-100)</f>
        <v>1.8458381537676118E-2</v>
      </c>
      <c r="BS495">
        <f>IF(Table2912[[#This Row],[CH4 '[% GP']]]&lt;AA$10,_xlfn.NORM.DIST(Table2912[[#This Row],[CH4 '[% GP']]],AA$6,AA$2,FALSE),-100)</f>
        <v>-100</v>
      </c>
      <c r="BT495">
        <f>IF(Table2912[[#This Row],[CH4 '[g/g DDM']]]&lt;AB$10,_xlfn.NORM.DIST(Table2912[[#This Row],[CH4 '[g/g DDM']]],AB$6,AB$2,FALSE),-100)</f>
        <v>5.2227861382955843E-3</v>
      </c>
    </row>
    <row r="496" spans="1:72" x14ac:dyDescent="0.25">
      <c r="A496" s="12" t="s">
        <v>200</v>
      </c>
      <c r="B496" s="13">
        <v>1198</v>
      </c>
      <c r="C496" s="119" t="s">
        <v>569</v>
      </c>
      <c r="D496" s="119" t="s">
        <v>570</v>
      </c>
      <c r="E496" s="119" t="s">
        <v>571</v>
      </c>
      <c r="F496" s="119" t="s">
        <v>572</v>
      </c>
      <c r="G496" t="s">
        <v>457</v>
      </c>
      <c r="H496" t="s">
        <v>458</v>
      </c>
      <c r="I496" s="53" t="s">
        <v>48</v>
      </c>
      <c r="J496" s="100">
        <v>3</v>
      </c>
      <c r="K496" s="100"/>
      <c r="L496" s="100"/>
      <c r="M496" t="s">
        <v>573</v>
      </c>
      <c r="N496" t="s">
        <v>208</v>
      </c>
      <c r="O496" s="18">
        <v>285.4118096485488</v>
      </c>
      <c r="P496" s="18">
        <v>7.3773359718307194</v>
      </c>
      <c r="Q496" s="97">
        <v>0.70431582753776678</v>
      </c>
      <c r="R496" s="97">
        <v>0.15495504412811151</v>
      </c>
      <c r="S496" s="97">
        <v>7.6084423036596613E-2</v>
      </c>
      <c r="T496" s="97">
        <v>1.9877444734024644E-2</v>
      </c>
      <c r="U496" s="97">
        <v>6.2331839763310991E-4</v>
      </c>
      <c r="V496" s="97">
        <v>1.6990143859024323E-2</v>
      </c>
      <c r="W496" s="97">
        <v>2.7153798306843061E-2</v>
      </c>
      <c r="X496" s="51">
        <f t="shared" si="30"/>
        <v>6.9200450253316124</v>
      </c>
      <c r="Y496" s="18">
        <v>944.50548881658483</v>
      </c>
      <c r="Z496" s="18">
        <v>51.051497092067123</v>
      </c>
      <c r="AA496" s="18">
        <f t="shared" si="31"/>
        <v>17.886960303055105</v>
      </c>
      <c r="AB496" s="18">
        <f t="shared" si="32"/>
        <v>54.051032732516923</v>
      </c>
      <c r="AC496" s="18">
        <f>$CP$15*Table2912[[#This Row],[DMD '[mg/g']]]+$CS$15*Table2912[[#This Row],[CH4 '[ml/g']]]+$CR$15*Table2912[[#This Row],[CH4 '[% GP']]]+$CQ$15*Table2912[[#This Row],[CH4 '[g/g DDM']]]</f>
        <v>27.601336936555875</v>
      </c>
      <c r="AD496" s="18">
        <f>_xlfn.RANK.AVG(Table2912[[#This Row],[Index]],Table2912[Index])</f>
        <v>64</v>
      </c>
      <c r="AE49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6.9004302620508922</v>
      </c>
      <c r="AF496" s="18">
        <f>Table2912[[#This Row],[CH4 '[ml/g']]]/Table2912[[#This Row],[APB]]</f>
        <v>7.3983063596521292</v>
      </c>
      <c r="AG496" s="18">
        <f>Table2912[[#This Row],[Propionate '[%']]]/Table2912[[#This Row],[Acetate '[%']]]</f>
        <v>0.22000789712453611</v>
      </c>
      <c r="AH496" s="51"/>
      <c r="AI496" s="18"/>
      <c r="AJ496" s="18"/>
      <c r="AK496" s="18">
        <f>(Table2912[[#This Row],[DMD '[mg/g']]]-$AK$15)/$AK$15*100</f>
        <v>92.642555138148737</v>
      </c>
      <c r="AL496" s="18">
        <f>(Table2912[[#This Row],[CH4 '[ml/g']]]-AL$15)/AL$15*100</f>
        <v>29.795655489573551</v>
      </c>
      <c r="AM496" s="18">
        <f>(Table2912[[#This Row],[CH4 '[% GP']]]-AM$15)/AM$15*100</f>
        <v>15.233556385810774</v>
      </c>
      <c r="AN496" s="18">
        <f>(Table2912[[#This Row],[CH4 '[g/g DDM']]]-AN$15)/AN$15*100</f>
        <v>5.5364219337601401</v>
      </c>
      <c r="AO496" s="18"/>
      <c r="AP496" s="18"/>
      <c r="AQ496" t="e">
        <f t="shared" si="33"/>
        <v>#DIV/0!</v>
      </c>
      <c r="AR496">
        <f>_xlfn.NORM.DIST(Table2912[[#This Row],[GP '[ml/g']]],O$6,O$2,FALSE)</f>
        <v>6.3907098466324339E-3</v>
      </c>
      <c r="AS496">
        <f>_xlfn.NORM.DIST(Table2912[[#This Row],[SCFA '[mmol/g']]],P$6,P$2,FALSE)</f>
        <v>0.26034896692278475</v>
      </c>
      <c r="AT496">
        <f>_xlfn.NORM.DIST(Table2912[[#This Row],[Acetate '[%']]],Q$6,Q$2,FALSE)</f>
        <v>7.6877287719310932</v>
      </c>
      <c r="AU496">
        <f>_xlfn.NORM.DIST(Table2912[[#This Row],[Propionate '[%']]],R$6,R$2,FALSE)</f>
        <v>13.033181413316765</v>
      </c>
      <c r="AV496">
        <f>_xlfn.NORM.DIST(Table2912[[#This Row],[Butyrate '[%']]],S$6,S$2,FALSE)</f>
        <v>14.359648539087599</v>
      </c>
      <c r="AW496">
        <f>_xlfn.NORM.DIST(Table2912[[#This Row],[Valerate '[%']]],T$6,T$2,FALSE)</f>
        <v>70.549564320190385</v>
      </c>
      <c r="AX496">
        <f>_xlfn.NORM.DIST(Table2912[[#This Row],[Caproate '[%']]],U$6,U$2,FALSE)</f>
        <v>313.11419560153951</v>
      </c>
      <c r="AY496">
        <f>_xlfn.NORM.DIST(Table2912[[#This Row],[Isobutyrate '[%']]],V$6,V$2,FALSE)</f>
        <v>83.942810172923558</v>
      </c>
      <c r="AZ496">
        <f>_xlfn.NORM.DIST(Table2912[[#This Row],[Isovalerate '[%']]],W$6,W$2,FALSE)</f>
        <v>45.268314399080914</v>
      </c>
      <c r="BA496">
        <f>_xlfn.NORM.DIST(Table2912[[#This Row],[CH4 '[g/mmol SCFA']]],X$6,X$2,FALSE)</f>
        <v>0.2656658877501607</v>
      </c>
      <c r="BB496">
        <f>_xlfn.NORM.DIST(Table2912[[#This Row],[DMD '[mg/g']]],Y$6,Y$2,FALSE)</f>
        <v>1.3657156435224862E-3</v>
      </c>
      <c r="BC496">
        <f>_xlfn.NORM.DIST(Table2912[[#This Row],[CH4 '[ml/g']]],Z$6,Z$2,FALSE)</f>
        <v>2.4120392933852802E-2</v>
      </c>
      <c r="BD496">
        <f>_xlfn.NORM.DIST(Table2912[[#This Row],[CH4 '[% GP']]],AA$6,AA$2,FALSE)</f>
        <v>0.111562929273232</v>
      </c>
      <c r="BE496">
        <f>_xlfn.NORM.DIST(Table2912[[#This Row],[CH4 '[g/g DDM']]],AB$6,AB$2,FALSE)</f>
        <v>3.2798085512779997E-2</v>
      </c>
      <c r="BG496">
        <f>IF(Table2912[[#This Row],[GP '[ml/g']]]&lt;O$10,_xlfn.NORM.DIST(Table2912[[#This Row],[GP '[ml/g']]],O$6,O$2,FALSE),-100)</f>
        <v>-100</v>
      </c>
      <c r="BH496">
        <f>IF(Table2912[[#This Row],[SCFA '[mmol/g']]]&lt;P$10,_xlfn.NORM.DIST(Table2912[[#This Row],[SCFA '[mmol/g']]],P$6,P$2,FALSE),-100)</f>
        <v>-100</v>
      </c>
      <c r="BI496">
        <f>IF(Table2912[[#This Row],[Acetate '[%']]]&lt;Q$10,_xlfn.NORM.DIST(Table2912[[#This Row],[Acetate '[%']]],Q$6,Q$2,FALSE),-100)</f>
        <v>-100</v>
      </c>
      <c r="BJ496">
        <f>IF(Table2912[[#This Row],[Propionate '[%']]]&lt;R$10,_xlfn.NORM.DIST(Table2912[[#This Row],[Propionate '[%']]],R$6,R$2,FALSE),-100)</f>
        <v>-100</v>
      </c>
      <c r="BK496">
        <f>IF(Table2912[[#This Row],[Butyrate '[%']]]&lt;S$10,_xlfn.NORM.DIST(Table2912[[#This Row],[Butyrate '[%']]],S$6,S$2,FALSE),-100)</f>
        <v>-100</v>
      </c>
      <c r="BL496">
        <f>IF(Table2912[[#This Row],[Valerate '[%']]]&lt;T$10,_xlfn.NORM.DIST(Table2912[[#This Row],[Valerate '[%']]],T$6,T$2,FALSE),-100)</f>
        <v>-100</v>
      </c>
      <c r="BM496">
        <f>IF(Table2912[[#This Row],[Caproate '[%']]]&lt;U$10,_xlfn.NORM.DIST(Table2912[[#This Row],[Caproate '[%']]],U$6,U$2,FALSE),-100)</f>
        <v>-100</v>
      </c>
      <c r="BN496">
        <f>IF(Table2912[[#This Row],[Isobutyrate '[%']]]&lt;V$10,_xlfn.NORM.DIST(Table2912[[#This Row],[Isobutyrate '[%']]],V$6,V$2,FALSE),-100)</f>
        <v>-100</v>
      </c>
      <c r="BO496">
        <f>IF(Table2912[[#This Row],[Isovalerate '[%']]]&lt;W$10,_xlfn.NORM.DIST(Table2912[[#This Row],[Isovalerate '[%']]],W$6,W$2,FALSE),-100)</f>
        <v>-100</v>
      </c>
      <c r="BP496">
        <f>IF(Table2912[[#This Row],[CH4 '[g/mmol SCFA']]]&lt;X$10,_xlfn.NORM.DIST(Table2912[[#This Row],[CH4 '[g/mmol SCFA']]],X$6,X$2,FALSE),-100)</f>
        <v>-100</v>
      </c>
      <c r="BQ496">
        <f>IF(Table2912[[#This Row],[DMD '[mg/g']]]&gt;Y$10,_xlfn.NORM.DIST(Table2912[[#This Row],[DMD '[mg/g']]],Y$6,Y$2,FALSE),-100)</f>
        <v>1.3657156435224862E-3</v>
      </c>
      <c r="BR496">
        <f>IF(Table2912[[#This Row],[CH4 '[ml/g']]]&lt;Z$10,_xlfn.NORM.DIST(Table2912[[#This Row],[CH4 '[ml/g']]],Z$6,Z$2,FALSE),-100)</f>
        <v>-100</v>
      </c>
      <c r="BS496">
        <f>IF(Table2912[[#This Row],[CH4 '[% GP']]]&lt;AA$10,_xlfn.NORM.DIST(Table2912[[#This Row],[CH4 '[% GP']]],AA$6,AA$2,FALSE),-100)</f>
        <v>-100</v>
      </c>
      <c r="BT496">
        <f>IF(Table2912[[#This Row],[CH4 '[g/g DDM']]]&lt;AB$10,_xlfn.NORM.DIST(Table2912[[#This Row],[CH4 '[g/g DDM']]],AB$6,AB$2,FALSE),-100)</f>
        <v>-100</v>
      </c>
    </row>
    <row r="497" spans="1:72" x14ac:dyDescent="0.25">
      <c r="A497" s="12" t="s">
        <v>200</v>
      </c>
      <c r="B497" s="13">
        <v>1260</v>
      </c>
      <c r="C497" s="113" t="s">
        <v>546</v>
      </c>
      <c r="D497" s="113" t="s">
        <v>510</v>
      </c>
      <c r="E497" s="113" t="s">
        <v>547</v>
      </c>
      <c r="F497" s="114" t="s">
        <v>548</v>
      </c>
      <c r="G497" t="s">
        <v>73</v>
      </c>
      <c r="H497" t="s">
        <v>74</v>
      </c>
      <c r="I497" t="s">
        <v>75</v>
      </c>
      <c r="J497" s="70">
        <v>2</v>
      </c>
      <c r="K497" s="70"/>
      <c r="L497" s="70"/>
      <c r="M497" t="s">
        <v>549</v>
      </c>
      <c r="N497" t="s">
        <v>342</v>
      </c>
      <c r="O497" s="18">
        <v>196.38710317460317</v>
      </c>
      <c r="P497" s="18">
        <v>4.9572382867120588</v>
      </c>
      <c r="Q497" s="97">
        <v>0.68764350304281208</v>
      </c>
      <c r="R497" s="97">
        <v>0.14760188985085959</v>
      </c>
      <c r="S497" s="97">
        <v>8.9122308523291796E-2</v>
      </c>
      <c r="T497" s="97">
        <v>2.5845483875545208E-2</v>
      </c>
      <c r="U497" s="97">
        <v>-2.3239042943587465E-4</v>
      </c>
      <c r="V497" s="97">
        <v>1.7325731175959844E-2</v>
      </c>
      <c r="W497" s="97">
        <v>3.2693473960967487E-2</v>
      </c>
      <c r="X497" s="51">
        <f t="shared" si="30"/>
        <v>6.3553718273578115</v>
      </c>
      <c r="Y497" s="18">
        <v>947.43293141367531</v>
      </c>
      <c r="Z497" s="18">
        <v>31.505092548869325</v>
      </c>
      <c r="AA497" s="18">
        <f t="shared" si="31"/>
        <v>16.042342923536523</v>
      </c>
      <c r="AB497" s="18">
        <f t="shared" si="32"/>
        <v>33.253111121924185</v>
      </c>
      <c r="AC497" s="18">
        <f>$CP$15*Table2912[[#This Row],[DMD '[mg/g']]]+$CS$15*Table2912[[#This Row],[CH4 '[ml/g']]]+$CR$15*Table2912[[#This Row],[CH4 '[% GP']]]+$CQ$15*Table2912[[#This Row],[CH4 '[g/g DDM']]]</f>
        <v>35.141613433134481</v>
      </c>
      <c r="AD497" s="18">
        <f>_xlfn.RANK.AVG(Table2912[[#This Row],[Index]],Table2912[Index])</f>
        <v>17</v>
      </c>
      <c r="AE49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4.5823109604641914</v>
      </c>
      <c r="AF497" s="18">
        <f>Table2912[[#This Row],[CH4 '[ml/g']]]/Table2912[[#This Row],[APB]]</f>
        <v>6.8753720165856738</v>
      </c>
      <c r="AG497" s="18">
        <f>Table2912[[#This Row],[Propionate '[%']]]/Table2912[[#This Row],[Acetate '[%']]]</f>
        <v>0.21464885394499253</v>
      </c>
      <c r="AH497" s="51"/>
      <c r="AI497" s="18"/>
      <c r="AJ497" s="18"/>
      <c r="AK497" s="18">
        <f>(Table2912[[#This Row],[DMD '[mg/g']]]-$AK$15)/$AK$15*100</f>
        <v>93.239640098057606</v>
      </c>
      <c r="AL497" s="18">
        <f>(Table2912[[#This Row],[CH4 '[ml/g']]]-AL$15)/AL$15*100</f>
        <v>-19.900015248023024</v>
      </c>
      <c r="AM497" s="18">
        <f>(Table2912[[#This Row],[CH4 '[% GP']]]-AM$15)/AM$15*100</f>
        <v>3.3499374135757156</v>
      </c>
      <c r="AN497" s="18">
        <f>(Table2912[[#This Row],[CH4 '[g/g DDM']]]-AN$15)/AN$15*100</f>
        <v>-35.072205126205652</v>
      </c>
      <c r="AO497" s="18"/>
      <c r="AP497" s="18"/>
      <c r="AQ497" t="e">
        <f t="shared" si="33"/>
        <v>#DIV/0!</v>
      </c>
      <c r="AR497">
        <f>_xlfn.NORM.DIST(Table2912[[#This Row],[GP '[ml/g']]],O$6,O$2,FALSE)</f>
        <v>4.0480644449904816E-3</v>
      </c>
      <c r="AS497">
        <f>_xlfn.NORM.DIST(Table2912[[#This Row],[SCFA '[mmol/g']]],P$6,P$2,FALSE)</f>
        <v>0.13960060388349713</v>
      </c>
      <c r="AT497">
        <f>_xlfn.NORM.DIST(Table2912[[#This Row],[Acetate '[%']]],Q$6,Q$2,FALSE)</f>
        <v>12.313352728912765</v>
      </c>
      <c r="AU497">
        <f>_xlfn.NORM.DIST(Table2912[[#This Row],[Propionate '[%']]],R$6,R$2,FALSE)</f>
        <v>9.9672636134039116</v>
      </c>
      <c r="AV497">
        <f>_xlfn.NORM.DIST(Table2912[[#This Row],[Butyrate '[%']]],S$6,S$2,FALSE)</f>
        <v>22.482686531504584</v>
      </c>
      <c r="AW497">
        <f>_xlfn.NORM.DIST(Table2912[[#This Row],[Valerate '[%']]],T$6,T$2,FALSE)</f>
        <v>21.928137929065787</v>
      </c>
      <c r="AX497">
        <f>_xlfn.NORM.DIST(Table2912[[#This Row],[Caproate '[%']]],U$6,U$2,FALSE)</f>
        <v>113.72940961209814</v>
      </c>
      <c r="AY497">
        <f>_xlfn.NORM.DIST(Table2912[[#This Row],[Isobutyrate '[%']]],V$6,V$2,FALSE)</f>
        <v>81.336436108118633</v>
      </c>
      <c r="AZ497">
        <f>_xlfn.NORM.DIST(Table2912[[#This Row],[Isovalerate '[%']]],W$6,W$2,FALSE)</f>
        <v>39.129768958332996</v>
      </c>
      <c r="BA497">
        <f>_xlfn.NORM.DIST(Table2912[[#This Row],[CH4 '[g/mmol SCFA']]],X$6,X$2,FALSE)</f>
        <v>0.29697146296069238</v>
      </c>
      <c r="BB497">
        <f>_xlfn.NORM.DIST(Table2912[[#This Row],[DMD '[mg/g']]],Y$6,Y$2,FALSE)</f>
        <v>1.3298863320844821E-3</v>
      </c>
      <c r="BC497">
        <f>_xlfn.NORM.DIST(Table2912[[#This Row],[CH4 '[ml/g']]],Z$6,Z$2,FALSE)</f>
        <v>2.3725267314625119E-2</v>
      </c>
      <c r="BD497">
        <f>_xlfn.NORM.DIST(Table2912[[#This Row],[CH4 '[% GP']]],AA$6,AA$2,FALSE)</f>
        <v>0.13471168660333335</v>
      </c>
      <c r="BE497">
        <f>_xlfn.NORM.DIST(Table2912[[#This Row],[CH4 '[g/g DDM']]],AB$6,AB$2,FALSE)</f>
        <v>8.3480973022713508E-3</v>
      </c>
      <c r="BG497">
        <f>IF(Table2912[[#This Row],[GP '[ml/g']]]&lt;O$10,_xlfn.NORM.DIST(Table2912[[#This Row],[GP '[ml/g']]],O$6,O$2,FALSE),-100)</f>
        <v>4.0480644449904816E-3</v>
      </c>
      <c r="BH497">
        <f>IF(Table2912[[#This Row],[SCFA '[mmol/g']]]&lt;P$10,_xlfn.NORM.DIST(Table2912[[#This Row],[SCFA '[mmol/g']]],P$6,P$2,FALSE),-100)</f>
        <v>0.13960060388349713</v>
      </c>
      <c r="BI497">
        <f>IF(Table2912[[#This Row],[Acetate '[%']]]&lt;Q$10,_xlfn.NORM.DIST(Table2912[[#This Row],[Acetate '[%']]],Q$6,Q$2,FALSE),-100)</f>
        <v>-100</v>
      </c>
      <c r="BJ497">
        <f>IF(Table2912[[#This Row],[Propionate '[%']]]&lt;R$10,_xlfn.NORM.DIST(Table2912[[#This Row],[Propionate '[%']]],R$6,R$2,FALSE),-100)</f>
        <v>9.9672636134039116</v>
      </c>
      <c r="BK497">
        <f>IF(Table2912[[#This Row],[Butyrate '[%']]]&lt;S$10,_xlfn.NORM.DIST(Table2912[[#This Row],[Butyrate '[%']]],S$6,S$2,FALSE),-100)</f>
        <v>-100</v>
      </c>
      <c r="BL497">
        <f>IF(Table2912[[#This Row],[Valerate '[%']]]&lt;T$10,_xlfn.NORM.DIST(Table2912[[#This Row],[Valerate '[%']]],T$6,T$2,FALSE),-100)</f>
        <v>-100</v>
      </c>
      <c r="BM497">
        <f>IF(Table2912[[#This Row],[Caproate '[%']]]&lt;U$10,_xlfn.NORM.DIST(Table2912[[#This Row],[Caproate '[%']]],U$6,U$2,FALSE),-100)</f>
        <v>113.72940961209814</v>
      </c>
      <c r="BN497">
        <f>IF(Table2912[[#This Row],[Isobutyrate '[%']]]&lt;V$10,_xlfn.NORM.DIST(Table2912[[#This Row],[Isobutyrate '[%']]],V$6,V$2,FALSE),-100)</f>
        <v>-100</v>
      </c>
      <c r="BO497">
        <f>IF(Table2912[[#This Row],[Isovalerate '[%']]]&lt;W$10,_xlfn.NORM.DIST(Table2912[[#This Row],[Isovalerate '[%']]],W$6,W$2,FALSE),-100)</f>
        <v>-100</v>
      </c>
      <c r="BP497">
        <f>IF(Table2912[[#This Row],[CH4 '[g/mmol SCFA']]]&lt;X$10,_xlfn.NORM.DIST(Table2912[[#This Row],[CH4 '[g/mmol SCFA']]],X$6,X$2,FALSE),-100)</f>
        <v>-100</v>
      </c>
      <c r="BQ497">
        <f>IF(Table2912[[#This Row],[DMD '[mg/g']]]&gt;Y$10,_xlfn.NORM.DIST(Table2912[[#This Row],[DMD '[mg/g']]],Y$6,Y$2,FALSE),-100)</f>
        <v>1.3298863320844821E-3</v>
      </c>
      <c r="BR497">
        <f>IF(Table2912[[#This Row],[CH4 '[ml/g']]]&lt;Z$10,_xlfn.NORM.DIST(Table2912[[#This Row],[CH4 '[ml/g']]],Z$6,Z$2,FALSE),-100)</f>
        <v>-100</v>
      </c>
      <c r="BS497">
        <f>IF(Table2912[[#This Row],[CH4 '[% GP']]]&lt;AA$10,_xlfn.NORM.DIST(Table2912[[#This Row],[CH4 '[% GP']]],AA$6,AA$2,FALSE),-100)</f>
        <v>-100</v>
      </c>
      <c r="BT497">
        <f>IF(Table2912[[#This Row],[CH4 '[g/g DDM']]]&lt;AB$10,_xlfn.NORM.DIST(Table2912[[#This Row],[CH4 '[g/g DDM']]],AB$6,AB$2,FALSE),-100)</f>
        <v>8.3480973022713508E-3</v>
      </c>
    </row>
    <row r="498" spans="1:72" x14ac:dyDescent="0.25">
      <c r="A498" s="12" t="s">
        <v>200</v>
      </c>
      <c r="B498" s="13">
        <v>1253</v>
      </c>
      <c r="C498" s="113" t="s">
        <v>557</v>
      </c>
      <c r="D498" s="113" t="s">
        <v>558</v>
      </c>
      <c r="E498" s="113" t="s">
        <v>559</v>
      </c>
      <c r="F498" s="114" t="s">
        <v>560</v>
      </c>
      <c r="G498" t="s">
        <v>561</v>
      </c>
      <c r="H498" t="s">
        <v>562</v>
      </c>
      <c r="I498" s="115" t="s">
        <v>48</v>
      </c>
      <c r="J498" s="107">
        <v>3</v>
      </c>
      <c r="K498" s="107"/>
      <c r="L498" s="107"/>
      <c r="M498" t="s">
        <v>563</v>
      </c>
      <c r="N498" t="s">
        <v>208</v>
      </c>
      <c r="O498" s="18">
        <v>209.4966316710408</v>
      </c>
      <c r="P498" s="18">
        <v>4.7326212236641405</v>
      </c>
      <c r="Q498" s="97">
        <v>0.72756587343895263</v>
      </c>
      <c r="R498" s="97">
        <v>0.17045751870865505</v>
      </c>
      <c r="S498" s="97">
        <v>6.4594458713806216E-2</v>
      </c>
      <c r="T498" s="97">
        <v>9.8273958456121073E-3</v>
      </c>
      <c r="U498" s="97">
        <v>4.3454055699131356E-4</v>
      </c>
      <c r="V498" s="97">
        <v>9.6122393571888304E-3</v>
      </c>
      <c r="W498" s="97">
        <v>1.7507973378793819E-2</v>
      </c>
      <c r="X498" s="51">
        <f t="shared" si="30"/>
        <v>7.038497248676725</v>
      </c>
      <c r="Y498" s="18">
        <v>947.71854437678405</v>
      </c>
      <c r="Z498" s="18">
        <v>33.310541461789128</v>
      </c>
      <c r="AA498" s="18">
        <f t="shared" si="31"/>
        <v>15.900275434544717</v>
      </c>
      <c r="AB498" s="18">
        <f t="shared" si="32"/>
        <v>35.148137239093501</v>
      </c>
      <c r="AC498" s="18">
        <f>$CP$15*Table2912[[#This Row],[DMD '[mg/g']]]+$CS$15*Table2912[[#This Row],[CH4 '[ml/g']]]+$CR$15*Table2912[[#This Row],[CH4 '[% GP']]]+$CQ$15*Table2912[[#This Row],[CH4 '[g/g DDM']]]</f>
        <v>34.591781866014287</v>
      </c>
      <c r="AD498" s="18">
        <f>_xlfn.RANK.AVG(Table2912[[#This Row],[Index]],Table2912[Index])</f>
        <v>20</v>
      </c>
      <c r="AE49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4.5557056712646897</v>
      </c>
      <c r="AF498" s="18">
        <f>Table2912[[#This Row],[CH4 '[ml/g']]]/Table2912[[#This Row],[APB]]</f>
        <v>7.3118291359112169</v>
      </c>
      <c r="AG498" s="18">
        <f>Table2912[[#This Row],[Propionate '[%']]]/Table2912[[#This Row],[Acetate '[%']]]</f>
        <v>0.23428465370834564</v>
      </c>
      <c r="AH498" s="51"/>
      <c r="AI498" s="18"/>
      <c r="AJ498" s="18"/>
      <c r="AK498" s="18">
        <f>(Table2912[[#This Row],[DMD '[mg/g']]]-$AK$15)/$AK$15*100</f>
        <v>93.297894085615468</v>
      </c>
      <c r="AL498" s="18">
        <f>(Table2912[[#This Row],[CH4 '[ml/g']]]-AL$15)/AL$15*100</f>
        <v>-15.309759556152668</v>
      </c>
      <c r="AM498" s="18">
        <f>(Table2912[[#This Row],[CH4 '[% GP']]]-AM$15)/AM$15*100</f>
        <v>2.434692915575031</v>
      </c>
      <c r="AN498" s="18">
        <f>(Table2912[[#This Row],[CH4 '[g/g DDM']]]-AN$15)/AN$15*100</f>
        <v>-31.372104207379724</v>
      </c>
      <c r="AO498" s="18"/>
      <c r="AP498" s="18"/>
      <c r="AQ498" t="e">
        <f t="shared" si="33"/>
        <v>#DIV/0!</v>
      </c>
      <c r="AR498">
        <f>_xlfn.NORM.DIST(Table2912[[#This Row],[GP '[ml/g']]],O$6,O$2,FALSE)</f>
        <v>5.1572470309021361E-3</v>
      </c>
      <c r="AS498">
        <f>_xlfn.NORM.DIST(Table2912[[#This Row],[SCFA '[mmol/g']]],P$6,P$2,FALSE)</f>
        <v>0.10715881512170215</v>
      </c>
      <c r="AT498">
        <f>_xlfn.NORM.DIST(Table2912[[#This Row],[Acetate '[%']]],Q$6,Q$2,FALSE)</f>
        <v>2.2456214036648863</v>
      </c>
      <c r="AU498">
        <f>_xlfn.NORM.DIST(Table2912[[#This Row],[Propionate '[%']]],R$6,R$2,FALSE)</f>
        <v>16.761540787108608</v>
      </c>
      <c r="AV498">
        <f>_xlfn.NORM.DIST(Table2912[[#This Row],[Butyrate '[%']]],S$6,S$2,FALSE)</f>
        <v>6.0480557783667521</v>
      </c>
      <c r="AW498">
        <f>_xlfn.NORM.DIST(Table2912[[#This Row],[Valerate '[%']]],T$6,T$2,FALSE)</f>
        <v>24.403209819892336</v>
      </c>
      <c r="AX498">
        <f>_xlfn.NORM.DIST(Table2912[[#This Row],[Caproate '[%']]],U$6,U$2,FALSE)</f>
        <v>267.37123568256158</v>
      </c>
      <c r="AY498">
        <f>_xlfn.NORM.DIST(Table2912[[#This Row],[Isobutyrate '[%']]],V$6,V$2,FALSE)</f>
        <v>39.264125020065137</v>
      </c>
      <c r="AZ498">
        <f>_xlfn.NORM.DIST(Table2912[[#This Row],[Isovalerate '[%']]],W$6,W$2,FALSE)</f>
        <v>22.569775371677665</v>
      </c>
      <c r="BA498">
        <f>_xlfn.NORM.DIST(Table2912[[#This Row],[CH4 '[g/mmol SCFA']]],X$6,X$2,FALSE)</f>
        <v>0.25375937480510363</v>
      </c>
      <c r="BB498">
        <f>_xlfn.NORM.DIST(Table2912[[#This Row],[DMD '[mg/g']]],Y$6,Y$2,FALSE)</f>
        <v>1.3264088937554968E-3</v>
      </c>
      <c r="BC498">
        <f>_xlfn.NORM.DIST(Table2912[[#This Row],[CH4 '[ml/g']]],Z$6,Z$2,FALSE)</f>
        <v>2.6603290003604448E-2</v>
      </c>
      <c r="BD498">
        <f>_xlfn.NORM.DIST(Table2912[[#This Row],[CH4 '[% GP']]],AA$6,AA$2,FALSE)</f>
        <v>0.13450024624323781</v>
      </c>
      <c r="BE498">
        <f>_xlfn.NORM.DIST(Table2912[[#This Row],[CH4 '[g/g DDM']]],AB$6,AB$2,FALSE)</f>
        <v>1.0677808384103787E-2</v>
      </c>
      <c r="BG498">
        <f>IF(Table2912[[#This Row],[GP '[ml/g']]]&lt;O$10,_xlfn.NORM.DIST(Table2912[[#This Row],[GP '[ml/g']]],O$6,O$2,FALSE),-100)</f>
        <v>-100</v>
      </c>
      <c r="BH498">
        <f>IF(Table2912[[#This Row],[SCFA '[mmol/g']]]&lt;P$10,_xlfn.NORM.DIST(Table2912[[#This Row],[SCFA '[mmol/g']]],P$6,P$2,FALSE),-100)</f>
        <v>0.10715881512170215</v>
      </c>
      <c r="BI498">
        <f>IF(Table2912[[#This Row],[Acetate '[%']]]&lt;Q$10,_xlfn.NORM.DIST(Table2912[[#This Row],[Acetate '[%']]],Q$6,Q$2,FALSE),-100)</f>
        <v>-100</v>
      </c>
      <c r="BJ498">
        <f>IF(Table2912[[#This Row],[Propionate '[%']]]&lt;R$10,_xlfn.NORM.DIST(Table2912[[#This Row],[Propionate '[%']]],R$6,R$2,FALSE),-100)</f>
        <v>-100</v>
      </c>
      <c r="BK498">
        <f>IF(Table2912[[#This Row],[Butyrate '[%']]]&lt;S$10,_xlfn.NORM.DIST(Table2912[[#This Row],[Butyrate '[%']]],S$6,S$2,FALSE),-100)</f>
        <v>6.0480557783667521</v>
      </c>
      <c r="BL498">
        <f>IF(Table2912[[#This Row],[Valerate '[%']]]&lt;T$10,_xlfn.NORM.DIST(Table2912[[#This Row],[Valerate '[%']]],T$6,T$2,FALSE),-100)</f>
        <v>24.403209819892336</v>
      </c>
      <c r="BM498">
        <f>IF(Table2912[[#This Row],[Caproate '[%']]]&lt;U$10,_xlfn.NORM.DIST(Table2912[[#This Row],[Caproate '[%']]],U$6,U$2,FALSE),-100)</f>
        <v>-100</v>
      </c>
      <c r="BN498">
        <f>IF(Table2912[[#This Row],[Isobutyrate '[%']]]&lt;V$10,_xlfn.NORM.DIST(Table2912[[#This Row],[Isobutyrate '[%']]],V$6,V$2,FALSE),-100)</f>
        <v>39.264125020065137</v>
      </c>
      <c r="BO498">
        <f>IF(Table2912[[#This Row],[Isovalerate '[%']]]&lt;W$10,_xlfn.NORM.DIST(Table2912[[#This Row],[Isovalerate '[%']]],W$6,W$2,FALSE),-100)</f>
        <v>22.569775371677665</v>
      </c>
      <c r="BP498">
        <f>IF(Table2912[[#This Row],[CH4 '[g/mmol SCFA']]]&lt;X$10,_xlfn.NORM.DIST(Table2912[[#This Row],[CH4 '[g/mmol SCFA']]],X$6,X$2,FALSE),-100)</f>
        <v>-100</v>
      </c>
      <c r="BQ498">
        <f>IF(Table2912[[#This Row],[DMD '[mg/g']]]&gt;Y$10,_xlfn.NORM.DIST(Table2912[[#This Row],[DMD '[mg/g']]],Y$6,Y$2,FALSE),-100)</f>
        <v>1.3264088937554968E-3</v>
      </c>
      <c r="BR498">
        <f>IF(Table2912[[#This Row],[CH4 '[ml/g']]]&lt;Z$10,_xlfn.NORM.DIST(Table2912[[#This Row],[CH4 '[ml/g']]],Z$6,Z$2,FALSE),-100)</f>
        <v>-100</v>
      </c>
      <c r="BS498">
        <f>IF(Table2912[[#This Row],[CH4 '[% GP']]]&lt;AA$10,_xlfn.NORM.DIST(Table2912[[#This Row],[CH4 '[% GP']]],AA$6,AA$2,FALSE),-100)</f>
        <v>-100</v>
      </c>
      <c r="BT498">
        <f>IF(Table2912[[#This Row],[CH4 '[g/g DDM']]]&lt;AB$10,_xlfn.NORM.DIST(Table2912[[#This Row],[CH4 '[g/g DDM']]],AB$6,AB$2,FALSE),-100)</f>
        <v>-100</v>
      </c>
    </row>
    <row r="499" spans="1:72" x14ac:dyDescent="0.25">
      <c r="A499" s="12" t="s">
        <v>200</v>
      </c>
      <c r="B499" s="13">
        <v>1259</v>
      </c>
      <c r="C499" s="113" t="s">
        <v>509</v>
      </c>
      <c r="D499" s="113" t="s">
        <v>510</v>
      </c>
      <c r="E499" s="113" t="s">
        <v>511</v>
      </c>
      <c r="F499" s="114" t="s">
        <v>512</v>
      </c>
      <c r="G499" t="s">
        <v>73</v>
      </c>
      <c r="H499" t="s">
        <v>74</v>
      </c>
      <c r="I499" t="s">
        <v>75</v>
      </c>
      <c r="J499" s="70">
        <v>1</v>
      </c>
      <c r="K499" s="70"/>
      <c r="L499" s="70"/>
      <c r="M499" t="s">
        <v>513</v>
      </c>
      <c r="N499" t="s">
        <v>363</v>
      </c>
      <c r="O499" s="18">
        <v>234.09460946094538</v>
      </c>
      <c r="P499" s="18">
        <v>6.5770107627064895</v>
      </c>
      <c r="Q499" s="97">
        <v>0.69431963109314598</v>
      </c>
      <c r="R499" s="97">
        <v>0.16526567192805366</v>
      </c>
      <c r="S499" s="97">
        <v>8.1596017042327551E-2</v>
      </c>
      <c r="T499" s="97">
        <v>1.6079739757611802E-2</v>
      </c>
      <c r="U499" s="97">
        <v>2.0650314051126525E-4</v>
      </c>
      <c r="V499" s="97">
        <v>1.5149597958875223E-2</v>
      </c>
      <c r="W499" s="97">
        <v>2.7382839079474489E-2</v>
      </c>
      <c r="X499" s="51">
        <f t="shared" si="30"/>
        <v>4.8216759425901232</v>
      </c>
      <c r="Y499" s="18">
        <v>949.09486972554112</v>
      </c>
      <c r="Z499" s="18">
        <v>31.712214568698197</v>
      </c>
      <c r="AA499" s="18">
        <f t="shared" si="31"/>
        <v>13.546751307824895</v>
      </c>
      <c r="AB499" s="18">
        <f t="shared" si="32"/>
        <v>33.413113462375705</v>
      </c>
      <c r="AC499" s="18">
        <f>$CP$15*Table2912[[#This Row],[DMD '[mg/g']]]+$CS$15*Table2912[[#This Row],[CH4 '[ml/g']]]+$CR$15*Table2912[[#This Row],[CH4 '[% GP']]]+$CQ$15*Table2912[[#This Row],[CH4 '[g/g DDM']]]</f>
        <v>35.96155862141255</v>
      </c>
      <c r="AD499" s="18">
        <f>_xlfn.RANK.AVG(Table2912[[#This Row],[Index]],Table2912[Index])</f>
        <v>14</v>
      </c>
      <c r="AE49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6.1901596717161187</v>
      </c>
      <c r="AF499" s="18">
        <f>Table2912[[#This Row],[CH4 '[ml/g']]]/Table2912[[#This Row],[APB]]</f>
        <v>5.1230042923765993</v>
      </c>
      <c r="AG499" s="18">
        <f>Table2912[[#This Row],[Propionate '[%']]]/Table2912[[#This Row],[Acetate '[%']]]</f>
        <v>0.23802534816401089</v>
      </c>
      <c r="AH499" s="51"/>
      <c r="AI499" s="18"/>
      <c r="AJ499" s="18"/>
      <c r="AK499" s="18">
        <f>(Table2912[[#This Row],[DMD '[mg/g']]]-$AK$15)/$AK$15*100</f>
        <v>93.578611175166927</v>
      </c>
      <c r="AL499" s="18">
        <f>(Table2912[[#This Row],[CH4 '[ml/g']]]-AL$15)/AL$15*100</f>
        <v>-19.373418774632032</v>
      </c>
      <c r="AM499" s="18">
        <f>(Table2912[[#This Row],[CH4 '[% GP']]]-AM$15)/AM$15*100</f>
        <v>-12.727467147776411</v>
      </c>
      <c r="AN499" s="18">
        <f>(Table2912[[#This Row],[CH4 '[g/g DDM']]]-AN$15)/AN$15*100</f>
        <v>-34.759795285752737</v>
      </c>
      <c r="AO499" s="18"/>
      <c r="AP499" s="18"/>
      <c r="AQ499" t="e">
        <f t="shared" si="33"/>
        <v>#DIV/0!</v>
      </c>
      <c r="AR499">
        <f>_xlfn.NORM.DIST(Table2912[[#This Row],[GP '[ml/g']]],O$6,O$2,FALSE)</f>
        <v>6.9016255671624062E-3</v>
      </c>
      <c r="AS499">
        <f>_xlfn.NORM.DIST(Table2912[[#This Row],[SCFA '[mmol/g']]],P$6,P$2,FALSE)</f>
        <v>0.33256277103088716</v>
      </c>
      <c r="AT499">
        <f>_xlfn.NORM.DIST(Table2912[[#This Row],[Acetate '[%']]],Q$6,Q$2,FALSE)</f>
        <v>10.626046076208624</v>
      </c>
      <c r="AU499">
        <f>_xlfn.NORM.DIST(Table2912[[#This Row],[Propionate '[%']]],R$6,R$2,FALSE)</f>
        <v>16.155228752376491</v>
      </c>
      <c r="AV499">
        <f>_xlfn.NORM.DIST(Table2912[[#This Row],[Butyrate '[%']]],S$6,S$2,FALSE)</f>
        <v>18.598184774696932</v>
      </c>
      <c r="AW499">
        <f>_xlfn.NORM.DIST(Table2912[[#This Row],[Valerate '[%']]],T$6,T$2,FALSE)</f>
        <v>73.846516729598576</v>
      </c>
      <c r="AX499">
        <f>_xlfn.NORM.DIST(Table2912[[#This Row],[Caproate '[%']]],U$6,U$2,FALSE)</f>
        <v>210.27599407284626</v>
      </c>
      <c r="AY499">
        <f>_xlfn.NORM.DIST(Table2912[[#This Row],[Isobutyrate '[%']]],V$6,V$2,FALSE)</f>
        <v>90.093383564505586</v>
      </c>
      <c r="AZ499">
        <f>_xlfn.NORM.DIST(Table2912[[#This Row],[Isovalerate '[%']]],W$6,W$2,FALSE)</f>
        <v>45.352665489740538</v>
      </c>
      <c r="BA499">
        <f>_xlfn.NORM.DIST(Table2912[[#This Row],[CH4 '[g/mmol SCFA']]],X$6,X$2,FALSE)</f>
        <v>0.16433667707094865</v>
      </c>
      <c r="BB499">
        <f>_xlfn.NORM.DIST(Table2912[[#This Row],[DMD '[mg/g']]],Y$6,Y$2,FALSE)</f>
        <v>1.3096986767230599E-3</v>
      </c>
      <c r="BC499">
        <f>_xlfn.NORM.DIST(Table2912[[#This Row],[CH4 '[ml/g']]],Z$6,Z$2,FALSE)</f>
        <v>2.4067034389218166E-2</v>
      </c>
      <c r="BD499">
        <f>_xlfn.NORM.DIST(Table2912[[#This Row],[CH4 '[% GP']]],AA$6,AA$2,FALSE)</f>
        <v>9.3753235490182441E-2</v>
      </c>
      <c r="BE499">
        <f>_xlfn.NORM.DIST(Table2912[[#This Row],[CH4 '[g/g DDM']]],AB$6,AB$2,FALSE)</f>
        <v>8.5314273446171658E-3</v>
      </c>
      <c r="BG499">
        <f>IF(Table2912[[#This Row],[GP '[ml/g']]]&lt;O$10,_xlfn.NORM.DIST(Table2912[[#This Row],[GP '[ml/g']]],O$6,O$2,FALSE),-100)</f>
        <v>-100</v>
      </c>
      <c r="BH499">
        <f>IF(Table2912[[#This Row],[SCFA '[mmol/g']]]&lt;P$10,_xlfn.NORM.DIST(Table2912[[#This Row],[SCFA '[mmol/g']]],P$6,P$2,FALSE),-100)</f>
        <v>-100</v>
      </c>
      <c r="BI499">
        <f>IF(Table2912[[#This Row],[Acetate '[%']]]&lt;Q$10,_xlfn.NORM.DIST(Table2912[[#This Row],[Acetate '[%']]],Q$6,Q$2,FALSE),-100)</f>
        <v>-100</v>
      </c>
      <c r="BJ499">
        <f>IF(Table2912[[#This Row],[Propionate '[%']]]&lt;R$10,_xlfn.NORM.DIST(Table2912[[#This Row],[Propionate '[%']]],R$6,R$2,FALSE),-100)</f>
        <v>-100</v>
      </c>
      <c r="BK499">
        <f>IF(Table2912[[#This Row],[Butyrate '[%']]]&lt;S$10,_xlfn.NORM.DIST(Table2912[[#This Row],[Butyrate '[%']]],S$6,S$2,FALSE),-100)</f>
        <v>-100</v>
      </c>
      <c r="BL499">
        <f>IF(Table2912[[#This Row],[Valerate '[%']]]&lt;T$10,_xlfn.NORM.DIST(Table2912[[#This Row],[Valerate '[%']]],T$6,T$2,FALSE),-100)</f>
        <v>-100</v>
      </c>
      <c r="BM499">
        <f>IF(Table2912[[#This Row],[Caproate '[%']]]&lt;U$10,_xlfn.NORM.DIST(Table2912[[#This Row],[Caproate '[%']]],U$6,U$2,FALSE),-100)</f>
        <v>210.27599407284626</v>
      </c>
      <c r="BN499">
        <f>IF(Table2912[[#This Row],[Isobutyrate '[%']]]&lt;V$10,_xlfn.NORM.DIST(Table2912[[#This Row],[Isobutyrate '[%']]],V$6,V$2,FALSE),-100)</f>
        <v>-100</v>
      </c>
      <c r="BO499">
        <f>IF(Table2912[[#This Row],[Isovalerate '[%']]]&lt;W$10,_xlfn.NORM.DIST(Table2912[[#This Row],[Isovalerate '[%']]],W$6,W$2,FALSE),-100)</f>
        <v>-100</v>
      </c>
      <c r="BP499">
        <f>IF(Table2912[[#This Row],[CH4 '[g/mmol SCFA']]]&lt;X$10,_xlfn.NORM.DIST(Table2912[[#This Row],[CH4 '[g/mmol SCFA']]],X$6,X$2,FALSE),-100)</f>
        <v>0.16433667707094865</v>
      </c>
      <c r="BQ499">
        <f>IF(Table2912[[#This Row],[DMD '[mg/g']]]&gt;Y$10,_xlfn.NORM.DIST(Table2912[[#This Row],[DMD '[mg/g']]],Y$6,Y$2,FALSE),-100)</f>
        <v>1.3096986767230599E-3</v>
      </c>
      <c r="BR499">
        <f>IF(Table2912[[#This Row],[CH4 '[ml/g']]]&lt;Z$10,_xlfn.NORM.DIST(Table2912[[#This Row],[CH4 '[ml/g']]],Z$6,Z$2,FALSE),-100)</f>
        <v>-100</v>
      </c>
      <c r="BS499">
        <f>IF(Table2912[[#This Row],[CH4 '[% GP']]]&lt;AA$10,_xlfn.NORM.DIST(Table2912[[#This Row],[CH4 '[% GP']]],AA$6,AA$2,FALSE),-100)</f>
        <v>-100</v>
      </c>
      <c r="BT499">
        <f>IF(Table2912[[#This Row],[CH4 '[g/g DDM']]]&lt;AB$10,_xlfn.NORM.DIST(Table2912[[#This Row],[CH4 '[g/g DDM']]],AB$6,AB$2,FALSE),-100)</f>
        <v>8.5314273446171658E-3</v>
      </c>
    </row>
    <row r="500" spans="1:72" x14ac:dyDescent="0.25">
      <c r="A500" s="12" t="s">
        <v>200</v>
      </c>
      <c r="B500" s="13">
        <v>1255</v>
      </c>
      <c r="C500" s="113" t="s">
        <v>501</v>
      </c>
      <c r="D500" s="113" t="s">
        <v>432</v>
      </c>
      <c r="E500" s="113" t="s">
        <v>502</v>
      </c>
      <c r="F500" s="114" t="s">
        <v>503</v>
      </c>
      <c r="G500" t="s">
        <v>73</v>
      </c>
      <c r="H500" t="s">
        <v>74</v>
      </c>
      <c r="I500" t="s">
        <v>75</v>
      </c>
      <c r="J500" s="100">
        <v>2</v>
      </c>
      <c r="K500" s="100"/>
      <c r="L500" s="100"/>
      <c r="M500" t="s">
        <v>504</v>
      </c>
      <c r="N500" t="s">
        <v>342</v>
      </c>
      <c r="O500" s="18">
        <v>244.01645681466735</v>
      </c>
      <c r="P500" s="18">
        <v>6.0421548838883465</v>
      </c>
      <c r="Q500" s="97">
        <v>0.6984862654650652</v>
      </c>
      <c r="R500" s="97">
        <v>0.14120029809645557</v>
      </c>
      <c r="S500" s="97">
        <v>0.10662354172315597</v>
      </c>
      <c r="T500" s="97">
        <v>1.5508289998085295E-2</v>
      </c>
      <c r="U500" s="97">
        <v>8.5161849369129895E-4</v>
      </c>
      <c r="V500" s="97">
        <v>1.3394539323419653E-2</v>
      </c>
      <c r="W500" s="97">
        <v>2.3935446900127139E-2</v>
      </c>
      <c r="X500" s="51">
        <f t="shared" si="30"/>
        <v>7.1922832512132304</v>
      </c>
      <c r="Y500" s="18">
        <v>950.90457696494786</v>
      </c>
      <c r="Z500" s="18">
        <v>43.456889372626378</v>
      </c>
      <c r="AA500" s="18">
        <f t="shared" si="31"/>
        <v>17.808999417458253</v>
      </c>
      <c r="AB500" s="18">
        <f t="shared" si="32"/>
        <v>45.700578612556498</v>
      </c>
      <c r="AC500" s="18">
        <f>$CP$15*Table2912[[#This Row],[DMD '[mg/g']]]+$CS$15*Table2912[[#This Row],[CH4 '[ml/g']]]+$CR$15*Table2912[[#This Row],[CH4 '[% GP']]]+$CQ$15*Table2912[[#This Row],[CH4 '[g/g DDM']]]</f>
        <v>30.858759066658337</v>
      </c>
      <c r="AD500" s="18">
        <f>_xlfn.RANK.AVG(Table2912[[#This Row],[Index]],Table2912[Index])</f>
        <v>44</v>
      </c>
      <c r="AE50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5.7177522243187049</v>
      </c>
      <c r="AF500" s="18">
        <f>Table2912[[#This Row],[CH4 '[ml/g']]]/Table2912[[#This Row],[APB]]</f>
        <v>7.600344972591822</v>
      </c>
      <c r="AG500" s="18">
        <f>Table2912[[#This Row],[Propionate '[%']]]/Table2912[[#This Row],[Acetate '[%']]]</f>
        <v>0.20215186049856224</v>
      </c>
      <c r="AH500" s="51"/>
      <c r="AI500" s="18"/>
      <c r="AJ500" s="18"/>
      <c r="AK500" s="18">
        <f>(Table2912[[#This Row],[DMD '[mg/g']]]-$AK$15)/$AK$15*100</f>
        <v>93.947721392925558</v>
      </c>
      <c r="AL500" s="18">
        <f>(Table2912[[#This Row],[CH4 '[ml/g']]]-AL$15)/AL$15*100</f>
        <v>10.486778311040004</v>
      </c>
      <c r="AM500" s="18">
        <f>(Table2912[[#This Row],[CH4 '[% GP']]]-AM$15)/AM$15*100</f>
        <v>14.731307263874823</v>
      </c>
      <c r="AN500" s="18">
        <f>(Table2912[[#This Row],[CH4 '[g/g DDM']]]-AN$15)/AN$15*100</f>
        <v>-10.768114812167303</v>
      </c>
      <c r="AO500" s="18"/>
      <c r="AP500" s="18"/>
      <c r="AQ500" t="e">
        <f t="shared" si="33"/>
        <v>#DIV/0!</v>
      </c>
      <c r="AR500">
        <f>_xlfn.NORM.DIST(Table2912[[#This Row],[GP '[ml/g']]],O$6,O$2,FALSE)</f>
        <v>7.3087872062467547E-3</v>
      </c>
      <c r="AS500">
        <f>_xlfn.NORM.DIST(Table2912[[#This Row],[SCFA '[mmol/g']]],P$6,P$2,FALSE)</f>
        <v>0.30552598880931919</v>
      </c>
      <c r="AT500">
        <f>_xlfn.NORM.DIST(Table2912[[#This Row],[Acetate '[%']]],Q$6,Q$2,FALSE)</f>
        <v>9.4253607378927189</v>
      </c>
      <c r="AU500">
        <f>_xlfn.NORM.DIST(Table2912[[#This Row],[Propionate '[%']]],R$6,R$2,FALSE)</f>
        <v>7.2996653694056688</v>
      </c>
      <c r="AV500">
        <f>_xlfn.NORM.DIST(Table2912[[#This Row],[Butyrate '[%']]],S$6,S$2,FALSE)</f>
        <v>16.843808910417007</v>
      </c>
      <c r="AW500">
        <f>_xlfn.NORM.DIST(Table2912[[#This Row],[Valerate '[%']]],T$6,T$2,FALSE)</f>
        <v>70.943017578950204</v>
      </c>
      <c r="AX500">
        <f>_xlfn.NORM.DIST(Table2912[[#This Row],[Caproate '[%']]],U$6,U$2,FALSE)</f>
        <v>360.6942312600936</v>
      </c>
      <c r="AY500">
        <f>_xlfn.NORM.DIST(Table2912[[#This Row],[Isobutyrate '[%']]],V$6,V$2,FALSE)</f>
        <v>82.033292899807506</v>
      </c>
      <c r="AZ500">
        <f>_xlfn.NORM.DIST(Table2912[[#This Row],[Isovalerate '[%']]],W$6,W$2,FALSE)</f>
        <v>41.038513260769307</v>
      </c>
      <c r="BA500">
        <f>_xlfn.NORM.DIST(Table2912[[#This Row],[CH4 '[g/mmol SCFA']]],X$6,X$2,FALSE)</f>
        <v>0.23632832088207931</v>
      </c>
      <c r="BB500">
        <f>_xlfn.NORM.DIST(Table2912[[#This Row],[DMD '[mg/g']]],Y$6,Y$2,FALSE)</f>
        <v>1.2878482721264681E-3</v>
      </c>
      <c r="BC500">
        <f>_xlfn.NORM.DIST(Table2912[[#This Row],[CH4 '[ml/g']]],Z$6,Z$2,FALSE)</f>
        <v>3.3008856223160944E-2</v>
      </c>
      <c r="BD500">
        <f>_xlfn.NORM.DIST(Table2912[[#This Row],[CH4 '[% GP']]],AA$6,AA$2,FALSE)</f>
        <v>0.11334206564536853</v>
      </c>
      <c r="BE500">
        <f>_xlfn.NORM.DIST(Table2912[[#This Row],[CH4 '[g/g DDM']]],AB$6,AB$2,FALSE)</f>
        <v>2.6934374470599664E-2</v>
      </c>
      <c r="BG500">
        <f>IF(Table2912[[#This Row],[GP '[ml/g']]]&lt;O$10,_xlfn.NORM.DIST(Table2912[[#This Row],[GP '[ml/g']]],O$6,O$2,FALSE),-100)</f>
        <v>-100</v>
      </c>
      <c r="BH500">
        <f>IF(Table2912[[#This Row],[SCFA '[mmol/g']]]&lt;P$10,_xlfn.NORM.DIST(Table2912[[#This Row],[SCFA '[mmol/g']]],P$6,P$2,FALSE),-100)</f>
        <v>-100</v>
      </c>
      <c r="BI500">
        <f>IF(Table2912[[#This Row],[Acetate '[%']]]&lt;Q$10,_xlfn.NORM.DIST(Table2912[[#This Row],[Acetate '[%']]],Q$6,Q$2,FALSE),-100)</f>
        <v>-100</v>
      </c>
      <c r="BJ500">
        <f>IF(Table2912[[#This Row],[Propionate '[%']]]&lt;R$10,_xlfn.NORM.DIST(Table2912[[#This Row],[Propionate '[%']]],R$6,R$2,FALSE),-100)</f>
        <v>7.2996653694056688</v>
      </c>
      <c r="BK500">
        <f>IF(Table2912[[#This Row],[Butyrate '[%']]]&lt;S$10,_xlfn.NORM.DIST(Table2912[[#This Row],[Butyrate '[%']]],S$6,S$2,FALSE),-100)</f>
        <v>-100</v>
      </c>
      <c r="BL500">
        <f>IF(Table2912[[#This Row],[Valerate '[%']]]&lt;T$10,_xlfn.NORM.DIST(Table2912[[#This Row],[Valerate '[%']]],T$6,T$2,FALSE),-100)</f>
        <v>-100</v>
      </c>
      <c r="BM500">
        <f>IF(Table2912[[#This Row],[Caproate '[%']]]&lt;U$10,_xlfn.NORM.DIST(Table2912[[#This Row],[Caproate '[%']]],U$6,U$2,FALSE),-100)</f>
        <v>-100</v>
      </c>
      <c r="BN500">
        <f>IF(Table2912[[#This Row],[Isobutyrate '[%']]]&lt;V$10,_xlfn.NORM.DIST(Table2912[[#This Row],[Isobutyrate '[%']]],V$6,V$2,FALSE),-100)</f>
        <v>-100</v>
      </c>
      <c r="BO500">
        <f>IF(Table2912[[#This Row],[Isovalerate '[%']]]&lt;W$10,_xlfn.NORM.DIST(Table2912[[#This Row],[Isovalerate '[%']]],W$6,W$2,FALSE),-100)</f>
        <v>-100</v>
      </c>
      <c r="BP500">
        <f>IF(Table2912[[#This Row],[CH4 '[g/mmol SCFA']]]&lt;X$10,_xlfn.NORM.DIST(Table2912[[#This Row],[CH4 '[g/mmol SCFA']]],X$6,X$2,FALSE),-100)</f>
        <v>-100</v>
      </c>
      <c r="BQ500">
        <f>IF(Table2912[[#This Row],[DMD '[mg/g']]]&gt;Y$10,_xlfn.NORM.DIST(Table2912[[#This Row],[DMD '[mg/g']]],Y$6,Y$2,FALSE),-100)</f>
        <v>1.2878482721264681E-3</v>
      </c>
      <c r="BR500">
        <f>IF(Table2912[[#This Row],[CH4 '[ml/g']]]&lt;Z$10,_xlfn.NORM.DIST(Table2912[[#This Row],[CH4 '[ml/g']]],Z$6,Z$2,FALSE),-100)</f>
        <v>-100</v>
      </c>
      <c r="BS500">
        <f>IF(Table2912[[#This Row],[CH4 '[% GP']]]&lt;AA$10,_xlfn.NORM.DIST(Table2912[[#This Row],[CH4 '[% GP']]],AA$6,AA$2,FALSE),-100)</f>
        <v>-100</v>
      </c>
      <c r="BT500">
        <f>IF(Table2912[[#This Row],[CH4 '[g/g DDM']]]&lt;AB$10,_xlfn.NORM.DIST(Table2912[[#This Row],[CH4 '[g/g DDM']]],AB$6,AB$2,FALSE),-100)</f>
        <v>-100</v>
      </c>
    </row>
    <row r="501" spans="1:72" x14ac:dyDescent="0.25">
      <c r="A501" s="12" t="s">
        <v>200</v>
      </c>
      <c r="B501" s="13">
        <v>1182</v>
      </c>
      <c r="C501" s="113" t="s">
        <v>581</v>
      </c>
      <c r="D501" s="113" t="s">
        <v>582</v>
      </c>
      <c r="E501" s="113" t="s">
        <v>583</v>
      </c>
      <c r="F501" s="113" t="s">
        <v>584</v>
      </c>
      <c r="G501" t="s">
        <v>457</v>
      </c>
      <c r="H501" t="s">
        <v>458</v>
      </c>
      <c r="I501" s="115" t="s">
        <v>48</v>
      </c>
      <c r="J501" s="107">
        <v>1</v>
      </c>
      <c r="K501" s="107"/>
      <c r="L501" s="107"/>
      <c r="M501" t="s">
        <v>585</v>
      </c>
      <c r="N501" t="s">
        <v>363</v>
      </c>
      <c r="O501" s="18">
        <v>251.47008377425018</v>
      </c>
      <c r="P501" s="18">
        <v>7.3319763955946851</v>
      </c>
      <c r="Q501" s="97">
        <v>0.70248855901384788</v>
      </c>
      <c r="R501" s="97">
        <v>0.16887417110745639</v>
      </c>
      <c r="S501" s="97">
        <v>7.8523576223153271E-2</v>
      </c>
      <c r="T501" s="97">
        <v>2.0723641949358426E-2</v>
      </c>
      <c r="U501" s="97">
        <v>3.8296222934910382E-4</v>
      </c>
      <c r="V501" s="97">
        <v>1.1573713637648753E-2</v>
      </c>
      <c r="W501" s="97">
        <v>1.7433375839186388E-2</v>
      </c>
      <c r="X501" s="51">
        <f t="shared" si="30"/>
        <v>4.5741991124882819</v>
      </c>
      <c r="Y501" s="18">
        <v>951.78137524061992</v>
      </c>
      <c r="Z501" s="18">
        <v>33.537919921514238</v>
      </c>
      <c r="AA501" s="18">
        <f t="shared" si="31"/>
        <v>13.336743448028557</v>
      </c>
      <c r="AB501" s="18">
        <f t="shared" si="32"/>
        <v>35.236999582005389</v>
      </c>
      <c r="AC501" s="18">
        <f>$CP$15*Table2912[[#This Row],[DMD '[mg/g']]]+$CS$15*Table2912[[#This Row],[CH4 '[ml/g']]]+$CR$15*Table2912[[#This Row],[CH4 '[% GP']]]+$CQ$15*Table2912[[#This Row],[CH4 '[g/g DDM']]]</f>
        <v>35.635440406870615</v>
      </c>
      <c r="AD501" s="18">
        <f>_xlfn.RANK.AVG(Table2912[[#This Row],[Index]],Table2912[Index])</f>
        <v>15</v>
      </c>
      <c r="AE50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6.9645439766161843</v>
      </c>
      <c r="AF501" s="18">
        <f>Table2912[[#This Row],[CH4 '[ml/g']]]/Table2912[[#This Row],[APB]]</f>
        <v>4.8155227440762145</v>
      </c>
      <c r="AG501" s="18">
        <f>Table2912[[#This Row],[Propionate '[%']]]/Table2912[[#This Row],[Acetate '[%']]]</f>
        <v>0.24039419424071709</v>
      </c>
      <c r="AH501" s="51"/>
      <c r="AI501" s="18"/>
      <c r="AJ501" s="18"/>
      <c r="AK501" s="18">
        <f>(Table2912[[#This Row],[DMD '[mg/g']]]-$AK$15)/$AK$15*100</f>
        <v>94.126554297727225</v>
      </c>
      <c r="AL501" s="18">
        <f>(Table2912[[#This Row],[CH4 '[ml/g']]]-AL$15)/AL$15*100</f>
        <v>-14.731662185746341</v>
      </c>
      <c r="AM501" s="18">
        <f>(Table2912[[#This Row],[CH4 '[% GP']]]-AM$15)/AM$15*100</f>
        <v>-14.080405385648579</v>
      </c>
      <c r="AN501" s="18">
        <f>(Table2912[[#This Row],[CH4 '[g/g DDM']]]-AN$15)/AN$15*100</f>
        <v>-31.198597555583053</v>
      </c>
      <c r="AO501" s="18"/>
      <c r="AP501" s="18"/>
      <c r="AQ501" t="e">
        <f t="shared" si="33"/>
        <v>#DIV/0!</v>
      </c>
      <c r="AR501">
        <f>_xlfn.NORM.DIST(Table2912[[#This Row],[GP '[ml/g']]],O$6,O$2,FALSE)</f>
        <v>7.4586521175294554E-3</v>
      </c>
      <c r="AS501">
        <f>_xlfn.NORM.DIST(Table2912[[#This Row],[SCFA '[mmol/g']]],P$6,P$2,FALSE)</f>
        <v>0.267149680203774</v>
      </c>
      <c r="AT501">
        <f>_xlfn.NORM.DIST(Table2912[[#This Row],[Acetate '[%']]],Q$6,Q$2,FALSE)</f>
        <v>8.2319260012849949</v>
      </c>
      <c r="AU501">
        <f>_xlfn.NORM.DIST(Table2912[[#This Row],[Propionate '[%']]],R$6,R$2,FALSE)</f>
        <v>16.658351752967743</v>
      </c>
      <c r="AV501">
        <f>_xlfn.NORM.DIST(Table2912[[#This Row],[Butyrate '[%']]],S$6,S$2,FALSE)</f>
        <v>16.303357211655705</v>
      </c>
      <c r="AW501">
        <f>_xlfn.NORM.DIST(Table2912[[#This Row],[Valerate '[%']]],T$6,T$2,FALSE)</f>
        <v>64.857302702090493</v>
      </c>
      <c r="AX501">
        <f>_xlfn.NORM.DIST(Table2912[[#This Row],[Caproate '[%']]],U$6,U$2,FALSE)</f>
        <v>254.43345392463823</v>
      </c>
      <c r="AY501">
        <f>_xlfn.NORM.DIST(Table2912[[#This Row],[Isobutyrate '[%']]],V$6,V$2,FALSE)</f>
        <v>63.030681533560632</v>
      </c>
      <c r="AZ501">
        <f>_xlfn.NORM.DIST(Table2912[[#This Row],[Isovalerate '[%']]],W$6,W$2,FALSE)</f>
        <v>22.343321734621146</v>
      </c>
      <c r="BA501">
        <f>_xlfn.NORM.DIST(Table2912[[#This Row],[CH4 '[g/mmol SCFA']]],X$6,X$2,FALSE)</f>
        <v>0.13215159410271121</v>
      </c>
      <c r="BB501">
        <f>_xlfn.NORM.DIST(Table2912[[#This Row],[DMD '[mg/g']]],Y$6,Y$2,FALSE)</f>
        <v>1.2773129054517891E-3</v>
      </c>
      <c r="BC501">
        <f>_xlfn.NORM.DIST(Table2912[[#This Row],[CH4 '[ml/g']]],Z$6,Z$2,FALSE)</f>
        <v>2.6945709945470169E-2</v>
      </c>
      <c r="BD501">
        <f>_xlfn.NORM.DIST(Table2912[[#This Row],[CH4 '[% GP']]],AA$6,AA$2,FALSE)</f>
        <v>8.8037918283374469E-2</v>
      </c>
      <c r="BE501">
        <f>_xlfn.NORM.DIST(Table2912[[#This Row],[CH4 '[g/g DDM']]],AB$6,AB$2,FALSE)</f>
        <v>1.0795308916238002E-2</v>
      </c>
      <c r="BG501">
        <f>IF(Table2912[[#This Row],[GP '[ml/g']]]&lt;O$10,_xlfn.NORM.DIST(Table2912[[#This Row],[GP '[ml/g']]],O$6,O$2,FALSE),-100)</f>
        <v>-100</v>
      </c>
      <c r="BH501">
        <f>IF(Table2912[[#This Row],[SCFA '[mmol/g']]]&lt;P$10,_xlfn.NORM.DIST(Table2912[[#This Row],[SCFA '[mmol/g']]],P$6,P$2,FALSE),-100)</f>
        <v>-100</v>
      </c>
      <c r="BI501">
        <f>IF(Table2912[[#This Row],[Acetate '[%']]]&lt;Q$10,_xlfn.NORM.DIST(Table2912[[#This Row],[Acetate '[%']]],Q$6,Q$2,FALSE),-100)</f>
        <v>-100</v>
      </c>
      <c r="BJ501">
        <f>IF(Table2912[[#This Row],[Propionate '[%']]]&lt;R$10,_xlfn.NORM.DIST(Table2912[[#This Row],[Propionate '[%']]],R$6,R$2,FALSE),-100)</f>
        <v>-100</v>
      </c>
      <c r="BK501">
        <f>IF(Table2912[[#This Row],[Butyrate '[%']]]&lt;S$10,_xlfn.NORM.DIST(Table2912[[#This Row],[Butyrate '[%']]],S$6,S$2,FALSE),-100)</f>
        <v>-100</v>
      </c>
      <c r="BL501">
        <f>IF(Table2912[[#This Row],[Valerate '[%']]]&lt;T$10,_xlfn.NORM.DIST(Table2912[[#This Row],[Valerate '[%']]],T$6,T$2,FALSE),-100)</f>
        <v>-100</v>
      </c>
      <c r="BM501">
        <f>IF(Table2912[[#This Row],[Caproate '[%']]]&lt;U$10,_xlfn.NORM.DIST(Table2912[[#This Row],[Caproate '[%']]],U$6,U$2,FALSE),-100)</f>
        <v>-100</v>
      </c>
      <c r="BN501">
        <f>IF(Table2912[[#This Row],[Isobutyrate '[%']]]&lt;V$10,_xlfn.NORM.DIST(Table2912[[#This Row],[Isobutyrate '[%']]],V$6,V$2,FALSE),-100)</f>
        <v>-100</v>
      </c>
      <c r="BO501">
        <f>IF(Table2912[[#This Row],[Isovalerate '[%']]]&lt;W$10,_xlfn.NORM.DIST(Table2912[[#This Row],[Isovalerate '[%']]],W$6,W$2,FALSE),-100)</f>
        <v>22.343321734621146</v>
      </c>
      <c r="BP501">
        <f>IF(Table2912[[#This Row],[CH4 '[g/mmol SCFA']]]&lt;X$10,_xlfn.NORM.DIST(Table2912[[#This Row],[CH4 '[g/mmol SCFA']]],X$6,X$2,FALSE),-100)</f>
        <v>0.13215159410271121</v>
      </c>
      <c r="BQ501">
        <f>IF(Table2912[[#This Row],[DMD '[mg/g']]]&gt;Y$10,_xlfn.NORM.DIST(Table2912[[#This Row],[DMD '[mg/g']]],Y$6,Y$2,FALSE),-100)</f>
        <v>1.2773129054517891E-3</v>
      </c>
      <c r="BR501">
        <f>IF(Table2912[[#This Row],[CH4 '[ml/g']]]&lt;Z$10,_xlfn.NORM.DIST(Table2912[[#This Row],[CH4 '[ml/g']]],Z$6,Z$2,FALSE),-100)</f>
        <v>-100</v>
      </c>
      <c r="BS501">
        <f>IF(Table2912[[#This Row],[CH4 '[% GP']]]&lt;AA$10,_xlfn.NORM.DIST(Table2912[[#This Row],[CH4 '[% GP']]],AA$6,AA$2,FALSE),-100)</f>
        <v>-100</v>
      </c>
      <c r="BT501">
        <f>IF(Table2912[[#This Row],[CH4 '[g/g DDM']]]&lt;AB$10,_xlfn.NORM.DIST(Table2912[[#This Row],[CH4 '[g/g DDM']]],AB$6,AB$2,FALSE),-100)</f>
        <v>-100</v>
      </c>
    </row>
    <row r="502" spans="1:72" x14ac:dyDescent="0.25">
      <c r="A502" s="12" t="s">
        <v>200</v>
      </c>
      <c r="B502" s="13">
        <v>1259</v>
      </c>
      <c r="C502" s="113" t="s">
        <v>509</v>
      </c>
      <c r="D502" s="113" t="s">
        <v>510</v>
      </c>
      <c r="E502" s="113" t="s">
        <v>511</v>
      </c>
      <c r="F502" s="114" t="s">
        <v>512</v>
      </c>
      <c r="G502" t="s">
        <v>73</v>
      </c>
      <c r="H502" t="s">
        <v>74</v>
      </c>
      <c r="I502" t="s">
        <v>75</v>
      </c>
      <c r="J502" s="70">
        <v>2</v>
      </c>
      <c r="K502" s="70"/>
      <c r="L502" s="70"/>
      <c r="M502" t="s">
        <v>513</v>
      </c>
      <c r="N502" t="s">
        <v>342</v>
      </c>
      <c r="O502" s="18">
        <v>262.36644620811279</v>
      </c>
      <c r="P502" s="18">
        <v>6.8297590063028304</v>
      </c>
      <c r="Q502" s="97">
        <v>0.68836315779151791</v>
      </c>
      <c r="R502" s="97">
        <v>0.15139866510623584</v>
      </c>
      <c r="S502" s="97">
        <v>8.9370614408986276E-2</v>
      </c>
      <c r="T502" s="97">
        <v>1.8064562246743472E-2</v>
      </c>
      <c r="U502" s="97">
        <v>4.4418559450733577E-4</v>
      </c>
      <c r="V502" s="97">
        <v>1.8905556735527049E-2</v>
      </c>
      <c r="W502" s="97">
        <v>3.3453258116482226E-2</v>
      </c>
      <c r="X502" s="51">
        <f t="shared" si="30"/>
        <v>5.8037348571139313</v>
      </c>
      <c r="Y502" s="18">
        <v>953.92372309702978</v>
      </c>
      <c r="Z502" s="18">
        <v>39.638110410567542</v>
      </c>
      <c r="AA502" s="18">
        <f t="shared" si="31"/>
        <v>15.107919089290112</v>
      </c>
      <c r="AB502" s="18">
        <f t="shared" si="32"/>
        <v>41.55270432092577</v>
      </c>
      <c r="AC502" s="18">
        <f>$CP$15*Table2912[[#This Row],[DMD '[mg/g']]]+$CS$15*Table2912[[#This Row],[CH4 '[ml/g']]]+$CR$15*Table2912[[#This Row],[CH4 '[% GP']]]+$CQ$15*Table2912[[#This Row],[CH4 '[g/g DDM']]]</f>
        <v>33.241072571266585</v>
      </c>
      <c r="AD502" s="18">
        <f>_xlfn.RANK.AVG(Table2912[[#This Row],[Index]],Table2912[Index])</f>
        <v>28</v>
      </c>
      <c r="AE50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6.3457506317438082</v>
      </c>
      <c r="AF502" s="18">
        <f>Table2912[[#This Row],[CH4 '[ml/g']]]/Table2912[[#This Row],[APB]]</f>
        <v>6.2464021533217755</v>
      </c>
      <c r="AG502" s="18">
        <f>Table2912[[#This Row],[Propionate '[%']]]/Table2912[[#This Row],[Acetate '[%']]]</f>
        <v>0.21994010485972204</v>
      </c>
      <c r="AH502" s="51"/>
      <c r="AI502" s="18"/>
      <c r="AJ502" s="18"/>
      <c r="AK502" s="18">
        <f>(Table2912[[#This Row],[DMD '[mg/g']]]-$AK$15)/$AK$15*100</f>
        <v>94.563510323859617</v>
      </c>
      <c r="AL502" s="18">
        <f>(Table2912[[#This Row],[CH4 '[ml/g']]]-AL$15)/AL$15*100</f>
        <v>0.77774044176191248</v>
      </c>
      <c r="AM502" s="18">
        <f>(Table2912[[#This Row],[CH4 '[% GP']]]-AM$15)/AM$15*100</f>
        <v>-2.6699217333967318</v>
      </c>
      <c r="AN502" s="18">
        <f>(Table2912[[#This Row],[CH4 '[g/g DDM']]]-AN$15)/AN$15*100</f>
        <v>-18.866976003886716</v>
      </c>
      <c r="AO502" s="18"/>
      <c r="AP502" s="18"/>
      <c r="AQ502" t="e">
        <f t="shared" si="33"/>
        <v>#DIV/0!</v>
      </c>
      <c r="AR502">
        <f>_xlfn.NORM.DIST(Table2912[[#This Row],[GP '[ml/g']]],O$6,O$2,FALSE)</f>
        <v>7.4179511283614273E-3</v>
      </c>
      <c r="AS502">
        <f>_xlfn.NORM.DIST(Table2912[[#This Row],[SCFA '[mmol/g']]],P$6,P$2,FALSE)</f>
        <v>0.32300148244753818</v>
      </c>
      <c r="AT502">
        <f>_xlfn.NORM.DIST(Table2912[[#This Row],[Acetate '[%']]],Q$6,Q$2,FALSE)</f>
        <v>12.151437308923407</v>
      </c>
      <c r="AU502">
        <f>_xlfn.NORM.DIST(Table2912[[#This Row],[Propionate '[%']]],R$6,R$2,FALSE)</f>
        <v>11.585406830245205</v>
      </c>
      <c r="AV502">
        <f>_xlfn.NORM.DIST(Table2912[[#This Row],[Butyrate '[%']]],S$6,S$2,FALSE)</f>
        <v>22.551166737511647</v>
      </c>
      <c r="AW502">
        <f>_xlfn.NORM.DIST(Table2912[[#This Row],[Valerate '[%']]],T$6,T$2,FALSE)</f>
        <v>77.156119941846939</v>
      </c>
      <c r="AX502">
        <f>_xlfn.NORM.DIST(Table2912[[#This Row],[Caproate '[%']]],U$6,U$2,FALSE)</f>
        <v>269.77972246770486</v>
      </c>
      <c r="AY502">
        <f>_xlfn.NORM.DIST(Table2912[[#This Row],[Isobutyrate '[%']]],V$6,V$2,FALSE)</f>
        <v>64.899063394173183</v>
      </c>
      <c r="AZ502">
        <f>_xlfn.NORM.DIST(Table2912[[#This Row],[Isovalerate '[%']]],W$6,W$2,FALSE)</f>
        <v>37.183452062404093</v>
      </c>
      <c r="BA502">
        <f>_xlfn.NORM.DIST(Table2912[[#This Row],[CH4 '[g/mmol SCFA']]],X$6,X$2,FALSE)</f>
        <v>0.27903711342249038</v>
      </c>
      <c r="BB502">
        <f>_xlfn.NORM.DIST(Table2912[[#This Row],[DMD '[mg/g']]],Y$6,Y$2,FALSE)</f>
        <v>1.2517158761648397E-3</v>
      </c>
      <c r="BC502">
        <f>_xlfn.NORM.DIST(Table2912[[#This Row],[CH4 '[ml/g']]],Z$6,Z$2,FALSE)</f>
        <v>3.3141973315596533E-2</v>
      </c>
      <c r="BD502">
        <f>_xlfn.NORM.DIST(Table2912[[#This Row],[CH4 '[% GP']]],AA$6,AA$2,FALSE)</f>
        <v>0.1278159007273407</v>
      </c>
      <c r="BE502">
        <f>_xlfn.NORM.DIST(Table2912[[#This Row],[CH4 '[g/g DDM']]],AB$6,AB$2,FALSE)</f>
        <v>2.0487012742274973E-2</v>
      </c>
      <c r="BG502">
        <f>IF(Table2912[[#This Row],[GP '[ml/g']]]&lt;O$10,_xlfn.NORM.DIST(Table2912[[#This Row],[GP '[ml/g']]],O$6,O$2,FALSE),-100)</f>
        <v>-100</v>
      </c>
      <c r="BH502">
        <f>IF(Table2912[[#This Row],[SCFA '[mmol/g']]]&lt;P$10,_xlfn.NORM.DIST(Table2912[[#This Row],[SCFA '[mmol/g']]],P$6,P$2,FALSE),-100)</f>
        <v>-100</v>
      </c>
      <c r="BI502">
        <f>IF(Table2912[[#This Row],[Acetate '[%']]]&lt;Q$10,_xlfn.NORM.DIST(Table2912[[#This Row],[Acetate '[%']]],Q$6,Q$2,FALSE),-100)</f>
        <v>-100</v>
      </c>
      <c r="BJ502">
        <f>IF(Table2912[[#This Row],[Propionate '[%']]]&lt;R$10,_xlfn.NORM.DIST(Table2912[[#This Row],[Propionate '[%']]],R$6,R$2,FALSE),-100)</f>
        <v>-100</v>
      </c>
      <c r="BK502">
        <f>IF(Table2912[[#This Row],[Butyrate '[%']]]&lt;S$10,_xlfn.NORM.DIST(Table2912[[#This Row],[Butyrate '[%']]],S$6,S$2,FALSE),-100)</f>
        <v>-100</v>
      </c>
      <c r="BL502">
        <f>IF(Table2912[[#This Row],[Valerate '[%']]]&lt;T$10,_xlfn.NORM.DIST(Table2912[[#This Row],[Valerate '[%']]],T$6,T$2,FALSE),-100)</f>
        <v>-100</v>
      </c>
      <c r="BM502">
        <f>IF(Table2912[[#This Row],[Caproate '[%']]]&lt;U$10,_xlfn.NORM.DIST(Table2912[[#This Row],[Caproate '[%']]],U$6,U$2,FALSE),-100)</f>
        <v>-100</v>
      </c>
      <c r="BN502">
        <f>IF(Table2912[[#This Row],[Isobutyrate '[%']]]&lt;V$10,_xlfn.NORM.DIST(Table2912[[#This Row],[Isobutyrate '[%']]],V$6,V$2,FALSE),-100)</f>
        <v>-100</v>
      </c>
      <c r="BO502">
        <f>IF(Table2912[[#This Row],[Isovalerate '[%']]]&lt;W$10,_xlfn.NORM.DIST(Table2912[[#This Row],[Isovalerate '[%']]],W$6,W$2,FALSE),-100)</f>
        <v>-100</v>
      </c>
      <c r="BP502">
        <f>IF(Table2912[[#This Row],[CH4 '[g/mmol SCFA']]]&lt;X$10,_xlfn.NORM.DIST(Table2912[[#This Row],[CH4 '[g/mmol SCFA']]],X$6,X$2,FALSE),-100)</f>
        <v>-100</v>
      </c>
      <c r="BQ502">
        <f>IF(Table2912[[#This Row],[DMD '[mg/g']]]&gt;Y$10,_xlfn.NORM.DIST(Table2912[[#This Row],[DMD '[mg/g']]],Y$6,Y$2,FALSE),-100)</f>
        <v>1.2517158761648397E-3</v>
      </c>
      <c r="BR502">
        <f>IF(Table2912[[#This Row],[CH4 '[ml/g']]]&lt;Z$10,_xlfn.NORM.DIST(Table2912[[#This Row],[CH4 '[ml/g']]],Z$6,Z$2,FALSE),-100)</f>
        <v>-100</v>
      </c>
      <c r="BS502">
        <f>IF(Table2912[[#This Row],[CH4 '[% GP']]]&lt;AA$10,_xlfn.NORM.DIST(Table2912[[#This Row],[CH4 '[% GP']]],AA$6,AA$2,FALSE),-100)</f>
        <v>-100</v>
      </c>
      <c r="BT502">
        <f>IF(Table2912[[#This Row],[CH4 '[g/g DDM']]]&lt;AB$10,_xlfn.NORM.DIST(Table2912[[#This Row],[CH4 '[g/g DDM']]],AB$6,AB$2,FALSE),-100)</f>
        <v>-100</v>
      </c>
    </row>
    <row r="503" spans="1:72" x14ac:dyDescent="0.25">
      <c r="A503" s="12" t="s">
        <v>200</v>
      </c>
      <c r="B503" s="13">
        <v>1187</v>
      </c>
      <c r="C503" s="113" t="s">
        <v>591</v>
      </c>
      <c r="D503" s="113" t="s">
        <v>592</v>
      </c>
      <c r="E503" s="113" t="s">
        <v>593</v>
      </c>
      <c r="F503" s="113" t="s">
        <v>594</v>
      </c>
      <c r="G503" t="s">
        <v>595</v>
      </c>
      <c r="H503" t="s">
        <v>539</v>
      </c>
      <c r="I503" s="115" t="s">
        <v>48</v>
      </c>
      <c r="J503" s="107">
        <v>2</v>
      </c>
      <c r="K503" s="107"/>
      <c r="L503" s="107"/>
      <c r="M503" t="s">
        <v>596</v>
      </c>
      <c r="N503" t="s">
        <v>352</v>
      </c>
      <c r="O503" s="18">
        <v>289.24236248082269</v>
      </c>
      <c r="P503" s="18">
        <v>7.9263769355200511</v>
      </c>
      <c r="Q503" s="97">
        <v>0.65721085922852107</v>
      </c>
      <c r="R503" s="97">
        <v>0.15119133934939485</v>
      </c>
      <c r="S503" s="97">
        <v>0.11076157515656938</v>
      </c>
      <c r="T503" s="97">
        <v>2.31512695690941E-2</v>
      </c>
      <c r="U503" s="97">
        <v>1.7449115612083988E-3</v>
      </c>
      <c r="V503" s="97">
        <v>2.2455170593866612E-2</v>
      </c>
      <c r="W503" s="97">
        <v>3.3484874541345522E-2</v>
      </c>
      <c r="X503" s="51">
        <f t="shared" si="30"/>
        <v>6.0393047740935026</v>
      </c>
      <c r="Y503" s="18">
        <v>954.40411406861449</v>
      </c>
      <c r="Z503" s="18">
        <v>47.869806067950869</v>
      </c>
      <c r="AA503" s="18">
        <f t="shared" si="31"/>
        <v>16.550067444261291</v>
      </c>
      <c r="AB503" s="18">
        <f t="shared" si="32"/>
        <v>50.156747401142688</v>
      </c>
      <c r="AC503" s="18">
        <f>$CP$15*Table2912[[#This Row],[DMD '[mg/g']]]+$CS$15*Table2912[[#This Row],[CH4 '[ml/g']]]+$CR$15*Table2912[[#This Row],[CH4 '[% GP']]]+$CQ$15*Table2912[[#This Row],[CH4 '[g/g DDM']]]</f>
        <v>30.093923098337669</v>
      </c>
      <c r="AD503" s="18">
        <f>_xlfn.RANK.AVG(Table2912[[#This Row],[Index]],Table2912[Index])</f>
        <v>49</v>
      </c>
      <c r="AE50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7.285638536094595</v>
      </c>
      <c r="AF503" s="18">
        <f>Table2912[[#This Row],[CH4 '[ml/g']]]/Table2912[[#This Row],[APB]]</f>
        <v>6.5704338515826333</v>
      </c>
      <c r="AG503" s="18">
        <f>Table2912[[#This Row],[Propionate '[%']]]/Table2912[[#This Row],[Acetate '[%']]]</f>
        <v>0.23004997136972685</v>
      </c>
      <c r="AH503" s="51"/>
      <c r="AI503" s="18"/>
      <c r="AJ503" s="18"/>
      <c r="AK503" s="18">
        <f>(Table2912[[#This Row],[DMD '[mg/g']]]-$AK$15)/$AK$15*100</f>
        <v>94.661491484718013</v>
      </c>
      <c r="AL503" s="18">
        <f>(Table2912[[#This Row],[CH4 '[ml/g']]]-AL$15)/AL$15*100</f>
        <v>21.70637906158349</v>
      </c>
      <c r="AM503" s="18">
        <f>(Table2912[[#This Row],[CH4 '[% GP']]]-AM$15)/AM$15*100</f>
        <v>6.6208622211520627</v>
      </c>
      <c r="AN503" s="18">
        <f>(Table2912[[#This Row],[CH4 '[g/g DDM']]]-AN$15)/AN$15*100</f>
        <v>-2.0672984594510444</v>
      </c>
      <c r="AO503" s="18"/>
      <c r="AP503" s="18"/>
      <c r="AQ503" t="e">
        <f t="shared" si="33"/>
        <v>#DIV/0!</v>
      </c>
      <c r="AR503">
        <f>_xlfn.NORM.DIST(Table2912[[#This Row],[GP '[ml/g']]],O$6,O$2,FALSE)</f>
        <v>6.1225223807742125E-3</v>
      </c>
      <c r="AS503">
        <f>_xlfn.NORM.DIST(Table2912[[#This Row],[SCFA '[mmol/g']]],P$6,P$2,FALSE)</f>
        <v>0.17010007317779616</v>
      </c>
      <c r="AT503">
        <f>_xlfn.NORM.DIST(Table2912[[#This Row],[Acetate '[%']]],Q$6,Q$2,FALSE)</f>
        <v>11.994313721860491</v>
      </c>
      <c r="AU503">
        <f>_xlfn.NORM.DIST(Table2912[[#This Row],[Propionate '[%']]],R$6,R$2,FALSE)</f>
        <v>11.498200342355863</v>
      </c>
      <c r="AV503">
        <f>_xlfn.NORM.DIST(Table2912[[#This Row],[Butyrate '[%']]],S$6,S$2,FALSE)</f>
        <v>13.551604588126656</v>
      </c>
      <c r="AW503">
        <f>_xlfn.NORM.DIST(Table2912[[#This Row],[Valerate '[%']]],T$6,T$2,FALSE)</f>
        <v>43.872294375775361</v>
      </c>
      <c r="AX503">
        <f>_xlfn.NORM.DIST(Table2912[[#This Row],[Caproate '[%']]],U$6,U$2,FALSE)</f>
        <v>372.54919683276421</v>
      </c>
      <c r="AY503">
        <f>_xlfn.NORM.DIST(Table2912[[#This Row],[Isobutyrate '[%']]],V$6,V$2,FALSE)</f>
        <v>24.547929047141292</v>
      </c>
      <c r="AZ503">
        <f>_xlfn.NORM.DIST(Table2912[[#This Row],[Isovalerate '[%']]],W$6,W$2,FALSE)</f>
        <v>37.098574280699644</v>
      </c>
      <c r="BA503">
        <f>_xlfn.NORM.DIST(Table2912[[#This Row],[CH4 '[g/mmol SCFA']]],X$6,X$2,FALSE)</f>
        <v>0.29254985785352555</v>
      </c>
      <c r="BB503">
        <f>_xlfn.NORM.DIST(Table2912[[#This Row],[DMD '[mg/g']]],Y$6,Y$2,FALSE)</f>
        <v>1.2460049442510237E-3</v>
      </c>
      <c r="BC503">
        <f>_xlfn.NORM.DIST(Table2912[[#This Row],[CH4 '[ml/g']]],Z$6,Z$2,FALSE)</f>
        <v>2.8904777510081144E-2</v>
      </c>
      <c r="BD503">
        <f>_xlfn.NORM.DIST(Table2912[[#This Row],[CH4 '[% GP']]],AA$6,AA$2,FALSE)</f>
        <v>0.13294563968039388</v>
      </c>
      <c r="BE503">
        <f>_xlfn.NORM.DIST(Table2912[[#This Row],[CH4 '[g/g DDM']]],AB$6,AB$2,FALSE)</f>
        <v>3.1732856237402483E-2</v>
      </c>
      <c r="BG503">
        <f>IF(Table2912[[#This Row],[GP '[ml/g']]]&lt;O$10,_xlfn.NORM.DIST(Table2912[[#This Row],[GP '[ml/g']]],O$6,O$2,FALSE),-100)</f>
        <v>-100</v>
      </c>
      <c r="BH503">
        <f>IF(Table2912[[#This Row],[SCFA '[mmol/g']]]&lt;P$10,_xlfn.NORM.DIST(Table2912[[#This Row],[SCFA '[mmol/g']]],P$6,P$2,FALSE),-100)</f>
        <v>-100</v>
      </c>
      <c r="BI503">
        <f>IF(Table2912[[#This Row],[Acetate '[%']]]&lt;Q$10,_xlfn.NORM.DIST(Table2912[[#This Row],[Acetate '[%']]],Q$6,Q$2,FALSE),-100)</f>
        <v>-100</v>
      </c>
      <c r="BJ503">
        <f>IF(Table2912[[#This Row],[Propionate '[%']]]&lt;R$10,_xlfn.NORM.DIST(Table2912[[#This Row],[Propionate '[%']]],R$6,R$2,FALSE),-100)</f>
        <v>-100</v>
      </c>
      <c r="BK503">
        <f>IF(Table2912[[#This Row],[Butyrate '[%']]]&lt;S$10,_xlfn.NORM.DIST(Table2912[[#This Row],[Butyrate '[%']]],S$6,S$2,FALSE),-100)</f>
        <v>-100</v>
      </c>
      <c r="BL503">
        <f>IF(Table2912[[#This Row],[Valerate '[%']]]&lt;T$10,_xlfn.NORM.DIST(Table2912[[#This Row],[Valerate '[%']]],T$6,T$2,FALSE),-100)</f>
        <v>-100</v>
      </c>
      <c r="BM503">
        <f>IF(Table2912[[#This Row],[Caproate '[%']]]&lt;U$10,_xlfn.NORM.DIST(Table2912[[#This Row],[Caproate '[%']]],U$6,U$2,FALSE),-100)</f>
        <v>-100</v>
      </c>
      <c r="BN503">
        <f>IF(Table2912[[#This Row],[Isobutyrate '[%']]]&lt;V$10,_xlfn.NORM.DIST(Table2912[[#This Row],[Isobutyrate '[%']]],V$6,V$2,FALSE),-100)</f>
        <v>-100</v>
      </c>
      <c r="BO503">
        <f>IF(Table2912[[#This Row],[Isovalerate '[%']]]&lt;W$10,_xlfn.NORM.DIST(Table2912[[#This Row],[Isovalerate '[%']]],W$6,W$2,FALSE),-100)</f>
        <v>-100</v>
      </c>
      <c r="BP503">
        <f>IF(Table2912[[#This Row],[CH4 '[g/mmol SCFA']]]&lt;X$10,_xlfn.NORM.DIST(Table2912[[#This Row],[CH4 '[g/mmol SCFA']]],X$6,X$2,FALSE),-100)</f>
        <v>-100</v>
      </c>
      <c r="BQ503">
        <f>IF(Table2912[[#This Row],[DMD '[mg/g']]]&gt;Y$10,_xlfn.NORM.DIST(Table2912[[#This Row],[DMD '[mg/g']]],Y$6,Y$2,FALSE),-100)</f>
        <v>1.2460049442510237E-3</v>
      </c>
      <c r="BR503">
        <f>IF(Table2912[[#This Row],[CH4 '[ml/g']]]&lt;Z$10,_xlfn.NORM.DIST(Table2912[[#This Row],[CH4 '[ml/g']]],Z$6,Z$2,FALSE),-100)</f>
        <v>-100</v>
      </c>
      <c r="BS503">
        <f>IF(Table2912[[#This Row],[CH4 '[% GP']]]&lt;AA$10,_xlfn.NORM.DIST(Table2912[[#This Row],[CH4 '[% GP']]],AA$6,AA$2,FALSE),-100)</f>
        <v>-100</v>
      </c>
      <c r="BT503">
        <f>IF(Table2912[[#This Row],[CH4 '[g/g DDM']]]&lt;AB$10,_xlfn.NORM.DIST(Table2912[[#This Row],[CH4 '[g/g DDM']]],AB$6,AB$2,FALSE),-100)</f>
        <v>-100</v>
      </c>
    </row>
    <row r="504" spans="1:72" x14ac:dyDescent="0.25">
      <c r="A504" s="12" t="s">
        <v>200</v>
      </c>
      <c r="B504" s="13">
        <v>1255</v>
      </c>
      <c r="C504" s="113" t="s">
        <v>501</v>
      </c>
      <c r="D504" s="113" t="s">
        <v>432</v>
      </c>
      <c r="E504" s="113" t="s">
        <v>502</v>
      </c>
      <c r="F504" s="114" t="s">
        <v>503</v>
      </c>
      <c r="G504" t="s">
        <v>73</v>
      </c>
      <c r="H504" t="s">
        <v>74</v>
      </c>
      <c r="I504" t="s">
        <v>75</v>
      </c>
      <c r="J504" s="100">
        <v>1</v>
      </c>
      <c r="K504" s="100"/>
      <c r="L504" s="100"/>
      <c r="M504" t="s">
        <v>504</v>
      </c>
      <c r="N504" t="s">
        <v>363</v>
      </c>
      <c r="O504" s="18">
        <v>228.2026835218451</v>
      </c>
      <c r="P504" s="18">
        <v>5.9930759911884621</v>
      </c>
      <c r="Q504" s="97">
        <v>0.71108515616472534</v>
      </c>
      <c r="R504" s="97">
        <v>0.14642508027046486</v>
      </c>
      <c r="S504" s="97">
        <v>0.10270960774481028</v>
      </c>
      <c r="T504" s="97">
        <v>1.3809789304016379E-2</v>
      </c>
      <c r="U504" s="97">
        <v>1.7762855552303936E-3</v>
      </c>
      <c r="V504" s="97">
        <v>9.1907116156924595E-3</v>
      </c>
      <c r="W504" s="97">
        <v>1.5003369345060365E-2</v>
      </c>
      <c r="X504" s="51">
        <f t="shared" ref="X504:X531" si="34">Z504/P504</f>
        <v>5.6441482596082517</v>
      </c>
      <c r="Y504" s="18">
        <v>955.44286920230684</v>
      </c>
      <c r="Z504" s="18">
        <v>33.825809425366359</v>
      </c>
      <c r="AA504" s="18">
        <f t="shared" ref="AA504:AA531" si="35">Z504/O504*100</f>
        <v>14.822704493800714</v>
      </c>
      <c r="AB504" s="18">
        <f t="shared" ref="AB504:AB530" si="36">Z504/Y504*1000</f>
        <v>35.403277909863213</v>
      </c>
      <c r="AC504" s="18">
        <f>$CP$15*Table2912[[#This Row],[DMD '[mg/g']]]+$CS$15*Table2912[[#This Row],[CH4 '[ml/g']]]+$CR$15*Table2912[[#This Row],[CH4 '[% GP']]]+$CQ$15*Table2912[[#This Row],[CH4 '[g/g DDM']]]</f>
        <v>35.407931459004388</v>
      </c>
      <c r="AD504" s="18">
        <f>_xlfn.RANK.AVG(Table2912[[#This Row],[Index]],Table2912[Index])</f>
        <v>16</v>
      </c>
      <c r="AE50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5.754670494417887</v>
      </c>
      <c r="AF504" s="18">
        <f>Table2912[[#This Row],[CH4 '[ml/g']]]/Table2912[[#This Row],[APB]]</f>
        <v>5.8779750218848985</v>
      </c>
      <c r="AG504" s="18">
        <f>Table2912[[#This Row],[Propionate '[%']]]/Table2912[[#This Row],[Acetate '[%']]]</f>
        <v>0.20591778495309354</v>
      </c>
      <c r="AH504" s="51"/>
      <c r="AI504" s="18"/>
      <c r="AJ504" s="18"/>
      <c r="AK504" s="18">
        <f>(Table2912[[#This Row],[DMD '[mg/g']]]-$AK$15)/$AK$15*100</f>
        <v>94.87335731873037</v>
      </c>
      <c r="AL504" s="18">
        <f>(Table2912[[#This Row],[CH4 '[ml/g']]]-AL$15)/AL$15*100</f>
        <v>-13.999718775866194</v>
      </c>
      <c r="AM504" s="18">
        <f>(Table2912[[#This Row],[CH4 '[% GP']]]-AM$15)/AM$15*100</f>
        <v>-4.5073659729174169</v>
      </c>
      <c r="AN504" s="18">
        <f>(Table2912[[#This Row],[CH4 '[g/g DDM']]]-AN$15)/AN$15*100</f>
        <v>-30.873933642978724</v>
      </c>
      <c r="AO504" s="18"/>
      <c r="AP504" s="18"/>
      <c r="AQ504" t="e">
        <f t="shared" si="33"/>
        <v>#DIV/0!</v>
      </c>
      <c r="AR504">
        <f>_xlfn.NORM.DIST(Table2912[[#This Row],[GP '[ml/g']]],O$6,O$2,FALSE)</f>
        <v>6.5623014180823591E-3</v>
      </c>
      <c r="AS504">
        <f>_xlfn.NORM.DIST(Table2912[[#This Row],[SCFA '[mmol/g']]],P$6,P$2,FALSE)</f>
        <v>0.30015098029133053</v>
      </c>
      <c r="AT504">
        <f>_xlfn.NORM.DIST(Table2912[[#This Row],[Acetate '[%']]],Q$6,Q$2,FALSE)</f>
        <v>5.7562094021262125</v>
      </c>
      <c r="AU504">
        <f>_xlfn.NORM.DIST(Table2912[[#This Row],[Propionate '[%']]],R$6,R$2,FALSE)</f>
        <v>9.4639795817784105</v>
      </c>
      <c r="AV504">
        <f>_xlfn.NORM.DIST(Table2912[[#This Row],[Butyrate '[%']]],S$6,S$2,FALSE)</f>
        <v>19.632218586200693</v>
      </c>
      <c r="AW504">
        <f>_xlfn.NORM.DIST(Table2912[[#This Row],[Valerate '[%']]],T$6,T$2,FALSE)</f>
        <v>58.562818965837735</v>
      </c>
      <c r="AX504">
        <f>_xlfn.NORM.DIST(Table2912[[#This Row],[Caproate '[%']]],U$6,U$2,FALSE)</f>
        <v>367.3863915882792</v>
      </c>
      <c r="AY504">
        <f>_xlfn.NORM.DIST(Table2912[[#This Row],[Isobutyrate '[%']]],V$6,V$2,FALSE)</f>
        <v>34.568528751783425</v>
      </c>
      <c r="AZ504">
        <f>_xlfn.NORM.DIST(Table2912[[#This Row],[Isovalerate '[%']]],W$6,W$2,FALSE)</f>
        <v>15.464929315933922</v>
      </c>
      <c r="BA504">
        <f>_xlfn.NORM.DIST(Table2912[[#This Row],[CH4 '[g/mmol SCFA']]],X$6,X$2,FALSE)</f>
        <v>0.26554508305807967</v>
      </c>
      <c r="BB504">
        <f>_xlfn.NORM.DIST(Table2912[[#This Row],[DMD '[mg/g']]],Y$6,Y$2,FALSE)</f>
        <v>1.2336930468285073E-3</v>
      </c>
      <c r="BC504">
        <f>_xlfn.NORM.DIST(Table2912[[#This Row],[CH4 '[ml/g']]],Z$6,Z$2,FALSE)</f>
        <v>2.7371262416124816E-2</v>
      </c>
      <c r="BD504">
        <f>_xlfn.NORM.DIST(Table2912[[#This Row],[CH4 '[% GP']]],AA$6,AA$2,FALSE)</f>
        <v>0.1233121538709547</v>
      </c>
      <c r="BE504">
        <f>_xlfn.NORM.DIST(Table2912[[#This Row],[CH4 '[g/g DDM']]],AB$6,AB$2,FALSE)</f>
        <v>1.1017074317356119E-2</v>
      </c>
      <c r="BG504">
        <f>IF(Table2912[[#This Row],[GP '[ml/g']]]&lt;O$10,_xlfn.NORM.DIST(Table2912[[#This Row],[GP '[ml/g']]],O$6,O$2,FALSE),-100)</f>
        <v>-100</v>
      </c>
      <c r="BH504">
        <f>IF(Table2912[[#This Row],[SCFA '[mmol/g']]]&lt;P$10,_xlfn.NORM.DIST(Table2912[[#This Row],[SCFA '[mmol/g']]],P$6,P$2,FALSE),-100)</f>
        <v>-100</v>
      </c>
      <c r="BI504">
        <f>IF(Table2912[[#This Row],[Acetate '[%']]]&lt;Q$10,_xlfn.NORM.DIST(Table2912[[#This Row],[Acetate '[%']]],Q$6,Q$2,FALSE),-100)</f>
        <v>-100</v>
      </c>
      <c r="BJ504">
        <f>IF(Table2912[[#This Row],[Propionate '[%']]]&lt;R$10,_xlfn.NORM.DIST(Table2912[[#This Row],[Propionate '[%']]],R$6,R$2,FALSE),-100)</f>
        <v>9.4639795817784105</v>
      </c>
      <c r="BK504">
        <f>IF(Table2912[[#This Row],[Butyrate '[%']]]&lt;S$10,_xlfn.NORM.DIST(Table2912[[#This Row],[Butyrate '[%']]],S$6,S$2,FALSE),-100)</f>
        <v>-100</v>
      </c>
      <c r="BL504">
        <f>IF(Table2912[[#This Row],[Valerate '[%']]]&lt;T$10,_xlfn.NORM.DIST(Table2912[[#This Row],[Valerate '[%']]],T$6,T$2,FALSE),-100)</f>
        <v>-100</v>
      </c>
      <c r="BM504">
        <f>IF(Table2912[[#This Row],[Caproate '[%']]]&lt;U$10,_xlfn.NORM.DIST(Table2912[[#This Row],[Caproate '[%']]],U$6,U$2,FALSE),-100)</f>
        <v>-100</v>
      </c>
      <c r="BN504">
        <f>IF(Table2912[[#This Row],[Isobutyrate '[%']]]&lt;V$10,_xlfn.NORM.DIST(Table2912[[#This Row],[Isobutyrate '[%']]],V$6,V$2,FALSE),-100)</f>
        <v>34.568528751783425</v>
      </c>
      <c r="BO504">
        <f>IF(Table2912[[#This Row],[Isovalerate '[%']]]&lt;W$10,_xlfn.NORM.DIST(Table2912[[#This Row],[Isovalerate '[%']]],W$6,W$2,FALSE),-100)</f>
        <v>15.464929315933922</v>
      </c>
      <c r="BP504">
        <f>IF(Table2912[[#This Row],[CH4 '[g/mmol SCFA']]]&lt;X$10,_xlfn.NORM.DIST(Table2912[[#This Row],[CH4 '[g/mmol SCFA']]],X$6,X$2,FALSE),-100)</f>
        <v>-100</v>
      </c>
      <c r="BQ504">
        <f>IF(Table2912[[#This Row],[DMD '[mg/g']]]&gt;Y$10,_xlfn.NORM.DIST(Table2912[[#This Row],[DMD '[mg/g']]],Y$6,Y$2,FALSE),-100)</f>
        <v>1.2336930468285073E-3</v>
      </c>
      <c r="BR504">
        <f>IF(Table2912[[#This Row],[CH4 '[ml/g']]]&lt;Z$10,_xlfn.NORM.DIST(Table2912[[#This Row],[CH4 '[ml/g']]],Z$6,Z$2,FALSE),-100)</f>
        <v>-100</v>
      </c>
      <c r="BS504">
        <f>IF(Table2912[[#This Row],[CH4 '[% GP']]]&lt;AA$10,_xlfn.NORM.DIST(Table2912[[#This Row],[CH4 '[% GP']]],AA$6,AA$2,FALSE),-100)</f>
        <v>-100</v>
      </c>
      <c r="BT504">
        <f>IF(Table2912[[#This Row],[CH4 '[g/g DDM']]]&lt;AB$10,_xlfn.NORM.DIST(Table2912[[#This Row],[CH4 '[g/g DDM']]],AB$6,AB$2,FALSE),-100)</f>
        <v>-100</v>
      </c>
    </row>
    <row r="505" spans="1:72" x14ac:dyDescent="0.25">
      <c r="A505" s="12" t="s">
        <v>86</v>
      </c>
      <c r="B505" s="13">
        <v>1069</v>
      </c>
      <c r="C505" s="104" t="s">
        <v>505</v>
      </c>
      <c r="D505" s="104" t="s">
        <v>506</v>
      </c>
      <c r="E505" s="104" t="s">
        <v>507</v>
      </c>
      <c r="F505" s="104" t="s">
        <v>508</v>
      </c>
      <c r="G505" s="32" t="s">
        <v>73</v>
      </c>
      <c r="H505" s="32" t="s">
        <v>74</v>
      </c>
      <c r="I505" s="104" t="s">
        <v>106</v>
      </c>
      <c r="J505" s="100">
        <v>1</v>
      </c>
      <c r="K505" s="100"/>
      <c r="L505" s="100"/>
      <c r="M505" t="s">
        <v>508</v>
      </c>
      <c r="N505" t="s">
        <v>145</v>
      </c>
      <c r="O505" s="18">
        <v>301.69890853525544</v>
      </c>
      <c r="P505" s="18">
        <v>7.6966365413768685</v>
      </c>
      <c r="Q505" s="97">
        <v>0.62327327431765966</v>
      </c>
      <c r="R505" s="97">
        <v>0.15286356780301311</v>
      </c>
      <c r="S505" s="97">
        <v>0.12265896101679968</v>
      </c>
      <c r="T505" s="97">
        <v>3.1475189059573805E-2</v>
      </c>
      <c r="U505" s="97">
        <v>2.1751628390934983E-3</v>
      </c>
      <c r="V505" s="97">
        <v>2.331879369631748E-2</v>
      </c>
      <c r="W505" s="97">
        <v>4.4235051267542645E-2</v>
      </c>
      <c r="X505" s="51">
        <f t="shared" si="34"/>
        <v>6.3535720509311515</v>
      </c>
      <c r="Y505" s="18">
        <v>957.60694844576278</v>
      </c>
      <c r="Z505" s="18">
        <v>48.901134815467472</v>
      </c>
      <c r="AA505" s="18">
        <f t="shared" si="35"/>
        <v>16.208588573582151</v>
      </c>
      <c r="AB505" s="18">
        <f t="shared" si="36"/>
        <v>51.065977429295089</v>
      </c>
      <c r="AC505" s="18">
        <f>$CP$15*Table2912[[#This Row],[DMD '[mg/g']]]+$CS$15*Table2912[[#This Row],[CH4 '[ml/g']]]+$CR$15*Table2912[[#This Row],[CH4 '[% GP']]]+$CQ$15*Table2912[[#This Row],[CH4 '[g/g DDM']]]</f>
        <v>30.173771850998463</v>
      </c>
      <c r="AD505" s="18">
        <f>_xlfn.RANK.AVG(Table2912[[#This Row],[Index]],Table2912[Index])</f>
        <v>48</v>
      </c>
      <c r="AE50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6.9177046216640417</v>
      </c>
      <c r="AF505" s="18">
        <f>Table2912[[#This Row],[CH4 '[ml/g']]]/Table2912[[#This Row],[APB]]</f>
        <v>7.0689827753449803</v>
      </c>
      <c r="AG505" s="18">
        <f>Table2912[[#This Row],[Propionate '[%']]]/Table2912[[#This Row],[Acetate '[%']]]</f>
        <v>0.24525930133995144</v>
      </c>
      <c r="AH505" s="51"/>
      <c r="AI505" s="18"/>
      <c r="AJ505" s="18"/>
      <c r="AK505" s="18">
        <f>(Table2912[[#This Row],[DMD '[mg/g']]]-$AK$15)/$AK$15*100</f>
        <v>95.314745706534367</v>
      </c>
      <c r="AL505" s="18">
        <f>(Table2912[[#This Row],[CH4 '[ml/g']]]-AL$15)/AL$15*100</f>
        <v>24.328476324818485</v>
      </c>
      <c r="AM505" s="18">
        <f>(Table2912[[#This Row],[CH4 '[% GP']]]-AM$15)/AM$15*100</f>
        <v>4.4209454084420425</v>
      </c>
      <c r="AN505" s="18">
        <f>(Table2912[[#This Row],[CH4 '[g/g DDM']]]-AN$15)/AN$15*100</f>
        <v>-0.29199687805852093</v>
      </c>
      <c r="AO505" s="18"/>
      <c r="AP505" s="18"/>
      <c r="AQ505" t="e">
        <f t="shared" si="33"/>
        <v>#DIV/0!</v>
      </c>
      <c r="AR505">
        <f>_xlfn.NORM.DIST(Table2912[[#This Row],[GP '[ml/g']]],O$6,O$2,FALSE)</f>
        <v>5.1392229794228706E-3</v>
      </c>
      <c r="AS505">
        <f>_xlfn.NORM.DIST(Table2912[[#This Row],[SCFA '[mmol/g']]],P$6,P$2,FALSE)</f>
        <v>0.20851384692302133</v>
      </c>
      <c r="AT505">
        <f>_xlfn.NORM.DIST(Table2912[[#This Row],[Acetate '[%']]],Q$6,Q$2,FALSE)</f>
        <v>3.0187106848716909</v>
      </c>
      <c r="AU505">
        <f>_xlfn.NORM.DIST(Table2912[[#This Row],[Propionate '[%']]],R$6,R$2,FALSE)</f>
        <v>12.194233410270792</v>
      </c>
      <c r="AV505">
        <f>_xlfn.NORM.DIST(Table2912[[#This Row],[Butyrate '[%']]],S$6,S$2,FALSE)</f>
        <v>5.2769096808719533</v>
      </c>
      <c r="AW505">
        <f>_xlfn.NORM.DIST(Table2912[[#This Row],[Valerate '[%']]],T$6,T$2,FALSE)</f>
        <v>2.1314337331007298</v>
      </c>
      <c r="AX505">
        <f>_xlfn.NORM.DIST(Table2912[[#This Row],[Caproate '[%']]],U$6,U$2,FALSE)</f>
        <v>281.38489283381932</v>
      </c>
      <c r="AY505">
        <f>_xlfn.NORM.DIST(Table2912[[#This Row],[Isobutyrate '[%']]],V$6,V$2,FALSE)</f>
        <v>17.579966698454243</v>
      </c>
      <c r="AZ505">
        <f>_xlfn.NORM.DIST(Table2912[[#This Row],[Isovalerate '[%']]],W$6,W$2,FALSE)</f>
        <v>8.0447498056507047</v>
      </c>
      <c r="BA505">
        <f>_xlfn.NORM.DIST(Table2912[[#This Row],[CH4 '[g/mmol SCFA']]],X$6,X$2,FALSE)</f>
        <v>0.29699277160153581</v>
      </c>
      <c r="BB505">
        <f>_xlfn.NORM.DIST(Table2912[[#This Row],[DMD '[mg/g']]],Y$6,Y$2,FALSE)</f>
        <v>1.2082087955439713E-3</v>
      </c>
      <c r="BC505">
        <f>_xlfn.NORM.DIST(Table2912[[#This Row],[CH4 '[ml/g']]],Z$6,Z$2,FALSE)</f>
        <v>2.7472208461065573E-2</v>
      </c>
      <c r="BD505">
        <f>_xlfn.NORM.DIST(Table2912[[#This Row],[CH4 '[% GP']]],AA$6,AA$2,FALSE)</f>
        <v>0.13456570692563638</v>
      </c>
      <c r="BE505">
        <f>_xlfn.NORM.DIST(Table2912[[#This Row],[CH4 '[g/g DDM']]],AB$6,AB$2,FALSE)</f>
        <v>3.2274063771288719E-2</v>
      </c>
      <c r="BG505">
        <f>IF(Table2912[[#This Row],[GP '[ml/g']]]&lt;O$10,_xlfn.NORM.DIST(Table2912[[#This Row],[GP '[ml/g']]],O$6,O$2,FALSE),-100)</f>
        <v>-100</v>
      </c>
      <c r="BH505">
        <f>IF(Table2912[[#This Row],[SCFA '[mmol/g']]]&lt;P$10,_xlfn.NORM.DIST(Table2912[[#This Row],[SCFA '[mmol/g']]],P$6,P$2,FALSE),-100)</f>
        <v>-100</v>
      </c>
      <c r="BI505">
        <f>IF(Table2912[[#This Row],[Acetate '[%']]]&lt;Q$10,_xlfn.NORM.DIST(Table2912[[#This Row],[Acetate '[%']]],Q$6,Q$2,FALSE),-100)</f>
        <v>3.0187106848716909</v>
      </c>
      <c r="BJ505">
        <f>IF(Table2912[[#This Row],[Propionate '[%']]]&lt;R$10,_xlfn.NORM.DIST(Table2912[[#This Row],[Propionate '[%']]],R$6,R$2,FALSE),-100)</f>
        <v>-100</v>
      </c>
      <c r="BK505">
        <f>IF(Table2912[[#This Row],[Butyrate '[%']]]&lt;S$10,_xlfn.NORM.DIST(Table2912[[#This Row],[Butyrate '[%']]],S$6,S$2,FALSE),-100)</f>
        <v>-100</v>
      </c>
      <c r="BL505">
        <f>IF(Table2912[[#This Row],[Valerate '[%']]]&lt;T$10,_xlfn.NORM.DIST(Table2912[[#This Row],[Valerate '[%']]],T$6,T$2,FALSE),-100)</f>
        <v>-100</v>
      </c>
      <c r="BM505">
        <f>IF(Table2912[[#This Row],[Caproate '[%']]]&lt;U$10,_xlfn.NORM.DIST(Table2912[[#This Row],[Caproate '[%']]],U$6,U$2,FALSE),-100)</f>
        <v>-100</v>
      </c>
      <c r="BN505">
        <f>IF(Table2912[[#This Row],[Isobutyrate '[%']]]&lt;V$10,_xlfn.NORM.DIST(Table2912[[#This Row],[Isobutyrate '[%']]],V$6,V$2,FALSE),-100)</f>
        <v>-100</v>
      </c>
      <c r="BO505">
        <f>IF(Table2912[[#This Row],[Isovalerate '[%']]]&lt;W$10,_xlfn.NORM.DIST(Table2912[[#This Row],[Isovalerate '[%']]],W$6,W$2,FALSE),-100)</f>
        <v>-100</v>
      </c>
      <c r="BP505">
        <f>IF(Table2912[[#This Row],[CH4 '[g/mmol SCFA']]]&lt;X$10,_xlfn.NORM.DIST(Table2912[[#This Row],[CH4 '[g/mmol SCFA']]],X$6,X$2,FALSE),-100)</f>
        <v>-100</v>
      </c>
      <c r="BQ505">
        <f>IF(Table2912[[#This Row],[DMD '[mg/g']]]&gt;Y$10,_xlfn.NORM.DIST(Table2912[[#This Row],[DMD '[mg/g']]],Y$6,Y$2,FALSE),-100)</f>
        <v>1.2082087955439713E-3</v>
      </c>
      <c r="BR505">
        <f>IF(Table2912[[#This Row],[CH4 '[ml/g']]]&lt;Z$10,_xlfn.NORM.DIST(Table2912[[#This Row],[CH4 '[ml/g']]],Z$6,Z$2,FALSE),-100)</f>
        <v>-100</v>
      </c>
      <c r="BS505">
        <f>IF(Table2912[[#This Row],[CH4 '[% GP']]]&lt;AA$10,_xlfn.NORM.DIST(Table2912[[#This Row],[CH4 '[% GP']]],AA$6,AA$2,FALSE),-100)</f>
        <v>-100</v>
      </c>
      <c r="BT505">
        <f>IF(Table2912[[#This Row],[CH4 '[g/g DDM']]]&lt;AB$10,_xlfn.NORM.DIST(Table2912[[#This Row],[CH4 '[g/g DDM']]],AB$6,AB$2,FALSE),-100)</f>
        <v>-100</v>
      </c>
    </row>
    <row r="506" spans="1:72" x14ac:dyDescent="0.25">
      <c r="A506" s="12" t="s">
        <v>200</v>
      </c>
      <c r="B506" s="13">
        <v>1149</v>
      </c>
      <c r="C506" s="117" t="s">
        <v>574</v>
      </c>
      <c r="D506" s="117" t="s">
        <v>212</v>
      </c>
      <c r="E506" s="117" t="s">
        <v>522</v>
      </c>
      <c r="F506" s="117" t="s">
        <v>523</v>
      </c>
      <c r="G506" t="s">
        <v>73</v>
      </c>
      <c r="H506" t="s">
        <v>74</v>
      </c>
      <c r="I506" t="s">
        <v>75</v>
      </c>
      <c r="J506" s="70">
        <v>3</v>
      </c>
      <c r="K506" s="70"/>
      <c r="L506" s="70"/>
      <c r="M506" t="s">
        <v>575</v>
      </c>
      <c r="N506" t="s">
        <v>171</v>
      </c>
      <c r="O506" s="18">
        <v>271.3781761841521</v>
      </c>
      <c r="P506" s="18">
        <v>6.8981606287204258</v>
      </c>
      <c r="Q506" s="97">
        <v>0.69017270495656047</v>
      </c>
      <c r="R506" s="97">
        <v>0.15589728840673034</v>
      </c>
      <c r="S506" s="97">
        <v>9.3906075841805298E-2</v>
      </c>
      <c r="T506" s="97">
        <v>1.6118981865002404E-2</v>
      </c>
      <c r="U506" s="97">
        <v>1.6048171860516118E-3</v>
      </c>
      <c r="V506" s="97">
        <v>1.4986547170317336E-2</v>
      </c>
      <c r="W506" s="97">
        <v>2.7313584573532564E-2</v>
      </c>
      <c r="X506" s="51">
        <f t="shared" si="34"/>
        <v>7.9158320168039653</v>
      </c>
      <c r="Y506" s="18">
        <v>957.90733716277055</v>
      </c>
      <c r="Z506" s="18">
        <v>54.604680761881717</v>
      </c>
      <c r="AA506" s="18">
        <f t="shared" si="35"/>
        <v>20.121249810754133</v>
      </c>
      <c r="AB506" s="18">
        <f t="shared" si="36"/>
        <v>57.004136666930151</v>
      </c>
      <c r="AC506" s="18">
        <f>$CP$15*Table2912[[#This Row],[DMD '[mg/g']]]+$CS$15*Table2912[[#This Row],[CH4 '[ml/g']]]+$CR$15*Table2912[[#This Row],[CH4 '[% GP']]]+$CQ$15*Table2912[[#This Row],[CH4 '[g/g DDM']]]</f>
        <v>27.136478405237121</v>
      </c>
      <c r="AD506" s="18">
        <f>_xlfn.RANK.AVG(Table2912[[#This Row],[Index]],Table2912[Index])</f>
        <v>70</v>
      </c>
      <c r="AE50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6.48410591252998</v>
      </c>
      <c r="AF506" s="18">
        <f>Table2912[[#This Row],[CH4 '[ml/g']]]/Table2912[[#This Row],[APB]]</f>
        <v>8.4213122824478912</v>
      </c>
      <c r="AG506" s="18">
        <f>Table2912[[#This Row],[Propionate '[%']]]/Table2912[[#This Row],[Acetate '[%']]]</f>
        <v>0.22588156165425657</v>
      </c>
      <c r="AH506" s="51"/>
      <c r="AI506" s="18"/>
      <c r="AJ506" s="18"/>
      <c r="AK506" s="18">
        <f>(Table2912[[#This Row],[DMD '[mg/g']]]-$AK$15)/$AK$15*100</f>
        <v>95.37601337587482</v>
      </c>
      <c r="AL506" s="18">
        <f>(Table2912[[#This Row],[CH4 '[ml/g']]]-AL$15)/AL$15*100</f>
        <v>38.829431769762159</v>
      </c>
      <c r="AM506" s="18">
        <f>(Table2912[[#This Row],[CH4 '[% GP']]]-AM$15)/AM$15*100</f>
        <v>29.627568649799873</v>
      </c>
      <c r="AN506" s="18">
        <f>(Table2912[[#This Row],[CH4 '[g/g DDM']]]-AN$15)/AN$15*100</f>
        <v>11.302454645453139</v>
      </c>
      <c r="AO506" s="18"/>
      <c r="AP506" s="18"/>
      <c r="AQ506" t="e">
        <f t="shared" si="33"/>
        <v>#DIV/0!</v>
      </c>
      <c r="AR506">
        <f>_xlfn.NORM.DIST(Table2912[[#This Row],[GP '[ml/g']]],O$6,O$2,FALSE)</f>
        <v>7.155231391074204E-3</v>
      </c>
      <c r="AS506">
        <f>_xlfn.NORM.DIST(Table2912[[#This Row],[SCFA '[mmol/g']]],P$6,P$2,FALSE)</f>
        <v>0.31802221750696047</v>
      </c>
      <c r="AT506">
        <f>_xlfn.NORM.DIST(Table2912[[#This Row],[Acetate '[%']]],Q$6,Q$2,FALSE)</f>
        <v>11.720448107784176</v>
      </c>
      <c r="AU506">
        <f>_xlfn.NORM.DIST(Table2912[[#This Row],[Propionate '[%']]],R$6,R$2,FALSE)</f>
        <v>13.39580887993896</v>
      </c>
      <c r="AV506">
        <f>_xlfn.NORM.DIST(Table2912[[#This Row],[Butyrate '[%']]],S$6,S$2,FALSE)</f>
        <v>22.992906419218826</v>
      </c>
      <c r="AW506">
        <f>_xlfn.NORM.DIST(Table2912[[#This Row],[Valerate '[%']]],T$6,T$2,FALSE)</f>
        <v>74.016822055000858</v>
      </c>
      <c r="AX506">
        <f>_xlfn.NORM.DIST(Table2912[[#This Row],[Caproate '[%']]],U$6,U$2,FALSE)</f>
        <v>391.5787182027106</v>
      </c>
      <c r="AY506">
        <f>_xlfn.NORM.DIST(Table2912[[#This Row],[Isobutyrate '[%']]],V$6,V$2,FALSE)</f>
        <v>89.906335418146568</v>
      </c>
      <c r="AZ506">
        <f>_xlfn.NORM.DIST(Table2912[[#This Row],[Isovalerate '[%']]],W$6,W$2,FALSE)</f>
        <v>45.330396221090844</v>
      </c>
      <c r="BA506">
        <f>_xlfn.NORM.DIST(Table2912[[#This Row],[CH4 '[g/mmol SCFA']]],X$6,X$2,FALSE)</f>
        <v>0.14174152522034081</v>
      </c>
      <c r="BB506">
        <f>_xlfn.NORM.DIST(Table2912[[#This Row],[DMD '[mg/g']]],Y$6,Y$2,FALSE)</f>
        <v>1.2046894419836308E-3</v>
      </c>
      <c r="BC506">
        <f>_xlfn.NORM.DIST(Table2912[[#This Row],[CH4 '[ml/g']]],Z$6,Z$2,FALSE)</f>
        <v>1.811211054765623E-2</v>
      </c>
      <c r="BD506">
        <f>_xlfn.NORM.DIST(Table2912[[#This Row],[CH4 '[% GP']]],AA$6,AA$2,FALSE)</f>
        <v>5.2804743343509139E-2</v>
      </c>
      <c r="BE506">
        <f>_xlfn.NORM.DIST(Table2912[[#This Row],[CH4 '[g/g DDM']]],AB$6,AB$2,FALSE)</f>
        <v>3.1401207210295337E-2</v>
      </c>
      <c r="BG506">
        <f>IF(Table2912[[#This Row],[GP '[ml/g']]]&lt;O$10,_xlfn.NORM.DIST(Table2912[[#This Row],[GP '[ml/g']]],O$6,O$2,FALSE),-100)</f>
        <v>-100</v>
      </c>
      <c r="BH506">
        <f>IF(Table2912[[#This Row],[SCFA '[mmol/g']]]&lt;P$10,_xlfn.NORM.DIST(Table2912[[#This Row],[SCFA '[mmol/g']]],P$6,P$2,FALSE),-100)</f>
        <v>-100</v>
      </c>
      <c r="BI506">
        <f>IF(Table2912[[#This Row],[Acetate '[%']]]&lt;Q$10,_xlfn.NORM.DIST(Table2912[[#This Row],[Acetate '[%']]],Q$6,Q$2,FALSE),-100)</f>
        <v>-100</v>
      </c>
      <c r="BJ506">
        <f>IF(Table2912[[#This Row],[Propionate '[%']]]&lt;R$10,_xlfn.NORM.DIST(Table2912[[#This Row],[Propionate '[%']]],R$6,R$2,FALSE),-100)</f>
        <v>-100</v>
      </c>
      <c r="BK506">
        <f>IF(Table2912[[#This Row],[Butyrate '[%']]]&lt;S$10,_xlfn.NORM.DIST(Table2912[[#This Row],[Butyrate '[%']]],S$6,S$2,FALSE),-100)</f>
        <v>-100</v>
      </c>
      <c r="BL506">
        <f>IF(Table2912[[#This Row],[Valerate '[%']]]&lt;T$10,_xlfn.NORM.DIST(Table2912[[#This Row],[Valerate '[%']]],T$6,T$2,FALSE),-100)</f>
        <v>-100</v>
      </c>
      <c r="BM506">
        <f>IF(Table2912[[#This Row],[Caproate '[%']]]&lt;U$10,_xlfn.NORM.DIST(Table2912[[#This Row],[Caproate '[%']]],U$6,U$2,FALSE),-100)</f>
        <v>-100</v>
      </c>
      <c r="BN506">
        <f>IF(Table2912[[#This Row],[Isobutyrate '[%']]]&lt;V$10,_xlfn.NORM.DIST(Table2912[[#This Row],[Isobutyrate '[%']]],V$6,V$2,FALSE),-100)</f>
        <v>-100</v>
      </c>
      <c r="BO506">
        <f>IF(Table2912[[#This Row],[Isovalerate '[%']]]&lt;W$10,_xlfn.NORM.DIST(Table2912[[#This Row],[Isovalerate '[%']]],W$6,W$2,FALSE),-100)</f>
        <v>-100</v>
      </c>
      <c r="BP506">
        <f>IF(Table2912[[#This Row],[CH4 '[g/mmol SCFA']]]&lt;X$10,_xlfn.NORM.DIST(Table2912[[#This Row],[CH4 '[g/mmol SCFA']]],X$6,X$2,FALSE),-100)</f>
        <v>-100</v>
      </c>
      <c r="BQ506">
        <f>IF(Table2912[[#This Row],[DMD '[mg/g']]]&gt;Y$10,_xlfn.NORM.DIST(Table2912[[#This Row],[DMD '[mg/g']]],Y$6,Y$2,FALSE),-100)</f>
        <v>1.2046894419836308E-3</v>
      </c>
      <c r="BR506">
        <f>IF(Table2912[[#This Row],[CH4 '[ml/g']]]&lt;Z$10,_xlfn.NORM.DIST(Table2912[[#This Row],[CH4 '[ml/g']]],Z$6,Z$2,FALSE),-100)</f>
        <v>-100</v>
      </c>
      <c r="BS506">
        <f>IF(Table2912[[#This Row],[CH4 '[% GP']]]&lt;AA$10,_xlfn.NORM.DIST(Table2912[[#This Row],[CH4 '[% GP']]],AA$6,AA$2,FALSE),-100)</f>
        <v>-100</v>
      </c>
      <c r="BT506">
        <f>IF(Table2912[[#This Row],[CH4 '[g/g DDM']]]&lt;AB$10,_xlfn.NORM.DIST(Table2912[[#This Row],[CH4 '[g/g DDM']]],AB$6,AB$2,FALSE),-100)</f>
        <v>-100</v>
      </c>
    </row>
    <row r="507" spans="1:72" x14ac:dyDescent="0.25">
      <c r="A507" s="12" t="s">
        <v>86</v>
      </c>
      <c r="B507" s="13">
        <v>1069</v>
      </c>
      <c r="C507" s="104" t="s">
        <v>505</v>
      </c>
      <c r="D507" s="104" t="s">
        <v>506</v>
      </c>
      <c r="E507" s="104" t="s">
        <v>507</v>
      </c>
      <c r="F507" s="104" t="s">
        <v>508</v>
      </c>
      <c r="G507" s="32" t="s">
        <v>73</v>
      </c>
      <c r="H507" s="32" t="s">
        <v>74</v>
      </c>
      <c r="I507" s="104" t="s">
        <v>106</v>
      </c>
      <c r="J507" s="100">
        <v>2</v>
      </c>
      <c r="K507" s="100"/>
      <c r="L507" s="100"/>
      <c r="M507" t="s">
        <v>508</v>
      </c>
      <c r="N507" t="s">
        <v>124</v>
      </c>
      <c r="O507" s="18">
        <v>307.61739130434751</v>
      </c>
      <c r="P507" s="18">
        <v>7.4566639272622925</v>
      </c>
      <c r="Q507" s="97">
        <v>0.64653613544389965</v>
      </c>
      <c r="R507" s="97">
        <v>0.15684056648540756</v>
      </c>
      <c r="S507" s="97">
        <v>0.10783643974784549</v>
      </c>
      <c r="T507" s="97">
        <v>2.7957872442595497E-2</v>
      </c>
      <c r="U507" s="97">
        <v>1.9812580300093414E-3</v>
      </c>
      <c r="V507" s="97">
        <v>2.0886074554352603E-2</v>
      </c>
      <c r="W507" s="97">
        <v>3.7961653295889852E-2</v>
      </c>
      <c r="X507" s="51">
        <f t="shared" si="34"/>
        <v>6.7282759722235435</v>
      </c>
      <c r="Y507" s="132">
        <v>958.67304121716506</v>
      </c>
      <c r="Z507" s="18">
        <v>50.170492734744926</v>
      </c>
      <c r="AA507" s="18">
        <f t="shared" si="35"/>
        <v>16.309381118542721</v>
      </c>
      <c r="AB507" s="18">
        <f t="shared" si="36"/>
        <v>52.333267524709676</v>
      </c>
      <c r="AC507" s="18">
        <f>$CP$15*Table2912[[#This Row],[DMD '[mg/g']]]+$CS$15*Table2912[[#This Row],[CH4 '[ml/g']]]+$CR$15*Table2912[[#This Row],[CH4 '[% GP']]]+$CQ$15*Table2912[[#This Row],[CH4 '[g/g DDM']]]</f>
        <v>29.830633769084912</v>
      </c>
      <c r="AD507" s="18">
        <f>_xlfn.RANK.AVG(Table2912[[#This Row],[Index]],Table2912[Index])</f>
        <v>51</v>
      </c>
      <c r="AE50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6.7946101635913685</v>
      </c>
      <c r="AF507" s="18">
        <f>Table2912[[#This Row],[CH4 '[ml/g']]]/Table2912[[#This Row],[APB]]</f>
        <v>7.3838662596982223</v>
      </c>
      <c r="AG507" s="18">
        <f>Table2912[[#This Row],[Propionate '[%']]]/Table2912[[#This Row],[Acetate '[%']]]</f>
        <v>0.2425859250353018</v>
      </c>
      <c r="AH507" s="51"/>
      <c r="AI507" s="18"/>
      <c r="AJ507" s="18"/>
      <c r="AK507" s="18">
        <f>(Table2912[[#This Row],[DMD '[mg/g']]]-$AK$15)/$AK$15*100</f>
        <v>95.532187360319327</v>
      </c>
      <c r="AL507" s="18">
        <f>(Table2912[[#This Row],[CH4 '[ml/g']]]-AL$15)/AL$15*100</f>
        <v>27.555749814690341</v>
      </c>
      <c r="AM507" s="18">
        <f>(Table2912[[#This Row],[CH4 '[% GP']]]-AM$15)/AM$15*100</f>
        <v>5.0702834298944266</v>
      </c>
      <c r="AN507" s="18">
        <f>(Table2912[[#This Row],[CH4 '[g/g DDM']]]-AN$15)/AN$15*100</f>
        <v>2.1824287797085753</v>
      </c>
      <c r="AO507" s="18"/>
      <c r="AP507" s="18"/>
      <c r="AQ507" t="e">
        <f t="shared" si="33"/>
        <v>#DIV/0!</v>
      </c>
      <c r="AR507">
        <f>_xlfn.NORM.DIST(Table2912[[#This Row],[GP '[ml/g']]],O$6,O$2,FALSE)</f>
        <v>4.6394911193052184E-3</v>
      </c>
      <c r="AS507">
        <f>_xlfn.NORM.DIST(Table2912[[#This Row],[SCFA '[mmol/g']]],P$6,P$2,FALSE)</f>
        <v>0.24801414162103452</v>
      </c>
      <c r="AT507">
        <f>_xlfn.NORM.DIST(Table2912[[#This Row],[Acetate '[%']]],Q$6,Q$2,FALSE)</f>
        <v>9.061069299439481</v>
      </c>
      <c r="AU507">
        <f>_xlfn.NORM.DIST(Table2912[[#This Row],[Propionate '[%']]],R$6,R$2,FALSE)</f>
        <v>13.74726655024906</v>
      </c>
      <c r="AV507">
        <f>_xlfn.NORM.DIST(Table2912[[#This Row],[Butyrate '[%']]],S$6,S$2,FALSE)</f>
        <v>15.897308939885193</v>
      </c>
      <c r="AW507">
        <f>_xlfn.NORM.DIST(Table2912[[#This Row],[Valerate '[%']]],T$6,T$2,FALSE)</f>
        <v>10.516608337301852</v>
      </c>
      <c r="AX507">
        <f>_xlfn.NORM.DIST(Table2912[[#This Row],[Caproate '[%']]],U$6,U$2,FALSE)</f>
        <v>327.02727771127797</v>
      </c>
      <c r="AY507">
        <f>_xlfn.NORM.DIST(Table2912[[#This Row],[Isobutyrate '[%']]],V$6,V$2,FALSE)</f>
        <v>40.843431131919978</v>
      </c>
      <c r="AZ507">
        <f>_xlfn.NORM.DIST(Table2912[[#This Row],[Isovalerate '[%']]],W$6,W$2,FALSE)</f>
        <v>23.549995178623245</v>
      </c>
      <c r="BA507">
        <f>_xlfn.NORM.DIST(Table2912[[#This Row],[CH4 '[g/mmol SCFA']]],X$6,X$2,FALSE)</f>
        <v>0.28144648628895363</v>
      </c>
      <c r="BB507">
        <f>_xlfn.NORM.DIST(Table2912[[#This Row],[DMD '[mg/g']]],Y$6,Y$2,FALSE)</f>
        <v>1.1957386799531387E-3</v>
      </c>
      <c r="BC507">
        <f>_xlfn.NORM.DIST(Table2912[[#This Row],[CH4 '[ml/g']]],Z$6,Z$2,FALSE)</f>
        <v>2.5541662392893058E-2</v>
      </c>
      <c r="BD507">
        <f>_xlfn.NORM.DIST(Table2912[[#This Row],[CH4 '[% GP']]],AA$6,AA$2,FALSE)</f>
        <v>0.13427106769616229</v>
      </c>
      <c r="BE507">
        <f>_xlfn.NORM.DIST(Table2912[[#This Row],[CH4 '[g/g DDM']]],AB$6,AB$2,FALSE)</f>
        <v>3.2736241562162205E-2</v>
      </c>
      <c r="BG507">
        <f>IF(Table2912[[#This Row],[GP '[ml/g']]]&lt;O$10,_xlfn.NORM.DIST(Table2912[[#This Row],[GP '[ml/g']]],O$6,O$2,FALSE),-100)</f>
        <v>-100</v>
      </c>
      <c r="BH507">
        <f>IF(Table2912[[#This Row],[SCFA '[mmol/g']]]&lt;P$10,_xlfn.NORM.DIST(Table2912[[#This Row],[SCFA '[mmol/g']]],P$6,P$2,FALSE),-100)</f>
        <v>-100</v>
      </c>
      <c r="BI507">
        <f>IF(Table2912[[#This Row],[Acetate '[%']]]&lt;Q$10,_xlfn.NORM.DIST(Table2912[[#This Row],[Acetate '[%']]],Q$6,Q$2,FALSE),-100)</f>
        <v>-100</v>
      </c>
      <c r="BJ507">
        <f>IF(Table2912[[#This Row],[Propionate '[%']]]&lt;R$10,_xlfn.NORM.DIST(Table2912[[#This Row],[Propionate '[%']]],R$6,R$2,FALSE),-100)</f>
        <v>-100</v>
      </c>
      <c r="BK507">
        <f>IF(Table2912[[#This Row],[Butyrate '[%']]]&lt;S$10,_xlfn.NORM.DIST(Table2912[[#This Row],[Butyrate '[%']]],S$6,S$2,FALSE),-100)</f>
        <v>-100</v>
      </c>
      <c r="BL507">
        <f>IF(Table2912[[#This Row],[Valerate '[%']]]&lt;T$10,_xlfn.NORM.DIST(Table2912[[#This Row],[Valerate '[%']]],T$6,T$2,FALSE),-100)</f>
        <v>-100</v>
      </c>
      <c r="BM507">
        <f>IF(Table2912[[#This Row],[Caproate '[%']]]&lt;U$10,_xlfn.NORM.DIST(Table2912[[#This Row],[Caproate '[%']]],U$6,U$2,FALSE),-100)</f>
        <v>-100</v>
      </c>
      <c r="BN507">
        <f>IF(Table2912[[#This Row],[Isobutyrate '[%']]]&lt;V$10,_xlfn.NORM.DIST(Table2912[[#This Row],[Isobutyrate '[%']]],V$6,V$2,FALSE),-100)</f>
        <v>-100</v>
      </c>
      <c r="BO507">
        <f>IF(Table2912[[#This Row],[Isovalerate '[%']]]&lt;W$10,_xlfn.NORM.DIST(Table2912[[#This Row],[Isovalerate '[%']]],W$6,W$2,FALSE),-100)</f>
        <v>-100</v>
      </c>
      <c r="BP507">
        <f>IF(Table2912[[#This Row],[CH4 '[g/mmol SCFA']]]&lt;X$10,_xlfn.NORM.DIST(Table2912[[#This Row],[CH4 '[g/mmol SCFA']]],X$6,X$2,FALSE),-100)</f>
        <v>-100</v>
      </c>
      <c r="BQ507">
        <f>IF(Table2912[[#This Row],[DMD '[mg/g']]]&gt;Y$10,_xlfn.NORM.DIST(Table2912[[#This Row],[DMD '[mg/g']]],Y$6,Y$2,FALSE),-100)</f>
        <v>1.1957386799531387E-3</v>
      </c>
      <c r="BR507">
        <f>IF(Table2912[[#This Row],[CH4 '[ml/g']]]&lt;Z$10,_xlfn.NORM.DIST(Table2912[[#This Row],[CH4 '[ml/g']]],Z$6,Z$2,FALSE),-100)</f>
        <v>-100</v>
      </c>
      <c r="BS507">
        <f>IF(Table2912[[#This Row],[CH4 '[% GP']]]&lt;AA$10,_xlfn.NORM.DIST(Table2912[[#This Row],[CH4 '[% GP']]],AA$6,AA$2,FALSE),-100)</f>
        <v>-100</v>
      </c>
      <c r="BT507">
        <f>IF(Table2912[[#This Row],[CH4 '[g/g DDM']]]&lt;AB$10,_xlfn.NORM.DIST(Table2912[[#This Row],[CH4 '[g/g DDM']]],AB$6,AB$2,FALSE),-100)</f>
        <v>-100</v>
      </c>
    </row>
    <row r="508" spans="1:72" x14ac:dyDescent="0.25">
      <c r="A508" s="12" t="s">
        <v>200</v>
      </c>
      <c r="B508" s="13">
        <v>1182</v>
      </c>
      <c r="C508" s="113" t="s">
        <v>581</v>
      </c>
      <c r="D508" s="113" t="s">
        <v>582</v>
      </c>
      <c r="E508" s="113" t="s">
        <v>583</v>
      </c>
      <c r="F508" s="113" t="s">
        <v>584</v>
      </c>
      <c r="G508" t="s">
        <v>457</v>
      </c>
      <c r="H508" t="s">
        <v>458</v>
      </c>
      <c r="I508" s="115" t="s">
        <v>48</v>
      </c>
      <c r="J508" s="107">
        <v>2</v>
      </c>
      <c r="K508" s="107"/>
      <c r="L508" s="107"/>
      <c r="M508" t="s">
        <v>585</v>
      </c>
      <c r="N508" t="s">
        <v>208</v>
      </c>
      <c r="O508" s="18">
        <v>274.41661187815129</v>
      </c>
      <c r="P508" s="18">
        <v>6.8029439696106362</v>
      </c>
      <c r="Q508" s="97">
        <v>0.69761051261858964</v>
      </c>
      <c r="R508" s="97">
        <v>0.15457923056482775</v>
      </c>
      <c r="S508" s="97">
        <v>8.4963500082832225E-2</v>
      </c>
      <c r="T508" s="97">
        <v>2.2328922256569128E-2</v>
      </c>
      <c r="U508" s="97">
        <v>8.9777047740204291E-4</v>
      </c>
      <c r="V508" s="97">
        <v>1.5392707156566522E-2</v>
      </c>
      <c r="W508" s="97">
        <v>2.4227356843212658E-2</v>
      </c>
      <c r="X508" s="51">
        <f t="shared" si="34"/>
        <v>5.5808709232186136</v>
      </c>
      <c r="Y508" s="18">
        <v>962.10395729626498</v>
      </c>
      <c r="Z508" s="18">
        <v>37.966352192285413</v>
      </c>
      <c r="AA508" s="18">
        <f t="shared" si="35"/>
        <v>13.835296607023025</v>
      </c>
      <c r="AB508" s="18">
        <f t="shared" si="36"/>
        <v>39.461798181331318</v>
      </c>
      <c r="AC508" s="18">
        <f>$CP$15*Table2912[[#This Row],[DMD '[mg/g']]]+$CS$15*Table2912[[#This Row],[CH4 '[ml/g']]]+$CR$15*Table2912[[#This Row],[CH4 '[% GP']]]+$CQ$15*Table2912[[#This Row],[CH4 '[g/g DDM']]]</f>
        <v>34.921120740427895</v>
      </c>
      <c r="AD508" s="18">
        <f>_xlfn.RANK.AVG(Table2912[[#This Row],[Index]],Table2912[Index])</f>
        <v>19</v>
      </c>
      <c r="AE50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6.3754010048791816</v>
      </c>
      <c r="AF508" s="18">
        <f>Table2912[[#This Row],[CH4 '[ml/g']]]/Table2912[[#This Row],[APB]]</f>
        <v>5.9551316322266228</v>
      </c>
      <c r="AG508" s="18">
        <f>Table2912[[#This Row],[Propionate '[%']]]/Table2912[[#This Row],[Acetate '[%']]]</f>
        <v>0.22158386057657095</v>
      </c>
      <c r="AH508" s="51"/>
      <c r="AI508" s="18"/>
      <c r="AJ508" s="18"/>
      <c r="AK508" s="18">
        <f>(Table2912[[#This Row],[DMD '[mg/g']]]-$AK$15)/$AK$15*100</f>
        <v>96.231961419621499</v>
      </c>
      <c r="AL508" s="18">
        <f>(Table2912[[#This Row],[CH4 '[ml/g']]]-AL$15)/AL$15*100</f>
        <v>-3.4726139282714015</v>
      </c>
      <c r="AM508" s="18">
        <f>(Table2912[[#This Row],[CH4 '[% GP']]]-AM$15)/AM$15*100</f>
        <v>-10.868565442754498</v>
      </c>
      <c r="AN508" s="18">
        <f>(Table2912[[#This Row],[CH4 '[g/g DDM']]]-AN$15)/AN$15*100</f>
        <v>-22.949539119084648</v>
      </c>
      <c r="AO508" s="18"/>
      <c r="AP508" s="18"/>
      <c r="AQ508" t="e">
        <f t="shared" si="33"/>
        <v>#DIV/0!</v>
      </c>
      <c r="AR508">
        <f>_xlfn.NORM.DIST(Table2912[[#This Row],[GP '[ml/g']]],O$6,O$2,FALSE)</f>
        <v>7.0234209723790842E-3</v>
      </c>
      <c r="AS508">
        <f>_xlfn.NORM.DIST(Table2912[[#This Row],[SCFA '[mmol/g']]],P$6,P$2,FALSE)</f>
        <v>0.3246861942882926</v>
      </c>
      <c r="AT508">
        <f>_xlfn.NORM.DIST(Table2912[[#This Row],[Acetate '[%']]],Q$6,Q$2,FALSE)</f>
        <v>9.6831490468313621</v>
      </c>
      <c r="AU508">
        <f>_xlfn.NORM.DIST(Table2912[[#This Row],[Propionate '[%']]],R$6,R$2,FALSE)</f>
        <v>12.885646340010929</v>
      </c>
      <c r="AV508">
        <f>_xlfn.NORM.DIST(Table2912[[#This Row],[Butyrate '[%']]],S$6,S$2,FALSE)</f>
        <v>20.723501403826823</v>
      </c>
      <c r="AW508">
        <f>_xlfn.NORM.DIST(Table2912[[#This Row],[Valerate '[%']]],T$6,T$2,FALSE)</f>
        <v>51.343719577607196</v>
      </c>
      <c r="AX508">
        <f>_xlfn.NORM.DIST(Table2912[[#This Row],[Caproate '[%']]],U$6,U$2,FALSE)</f>
        <v>368.72055850078442</v>
      </c>
      <c r="AY508">
        <f>_xlfn.NORM.DIST(Table2912[[#This Row],[Isobutyrate '[%']]],V$6,V$2,FALSE)</f>
        <v>90.145406512014389</v>
      </c>
      <c r="AZ508">
        <f>_xlfn.NORM.DIST(Table2912[[#This Row],[Isovalerate '[%']]],W$6,W$2,FALSE)</f>
        <v>41.635258200105852</v>
      </c>
      <c r="BA508">
        <f>_xlfn.NORM.DIST(Table2912[[#This Row],[CH4 '[g/mmol SCFA']]],X$6,X$2,FALSE)</f>
        <v>0.25935945307430269</v>
      </c>
      <c r="BB508">
        <f>_xlfn.NORM.DIST(Table2912[[#This Row],[DMD '[mg/g']]],Y$6,Y$2,FALSE)</f>
        <v>1.1559975529623586E-3</v>
      </c>
      <c r="BC508">
        <f>_xlfn.NORM.DIST(Table2912[[#This Row],[CH4 '[ml/g']]],Z$6,Z$2,FALSE)</f>
        <v>3.2142828525767206E-2</v>
      </c>
      <c r="BD508">
        <f>_xlfn.NORM.DIST(Table2912[[#This Row],[CH4 '[% GP']]],AA$6,AA$2,FALSE)</f>
        <v>0.10138094636451198</v>
      </c>
      <c r="BE508">
        <f>_xlfn.NORM.DIST(Table2912[[#This Row],[CH4 '[g/g DDM']]],AB$6,AB$2,FALSE)</f>
        <v>1.7075356878526383E-2</v>
      </c>
      <c r="BG508">
        <f>IF(Table2912[[#This Row],[GP '[ml/g']]]&lt;O$10,_xlfn.NORM.DIST(Table2912[[#This Row],[GP '[ml/g']]],O$6,O$2,FALSE),-100)</f>
        <v>-100</v>
      </c>
      <c r="BH508">
        <f>IF(Table2912[[#This Row],[SCFA '[mmol/g']]]&lt;P$10,_xlfn.NORM.DIST(Table2912[[#This Row],[SCFA '[mmol/g']]],P$6,P$2,FALSE),-100)</f>
        <v>-100</v>
      </c>
      <c r="BI508">
        <f>IF(Table2912[[#This Row],[Acetate '[%']]]&lt;Q$10,_xlfn.NORM.DIST(Table2912[[#This Row],[Acetate '[%']]],Q$6,Q$2,FALSE),-100)</f>
        <v>-100</v>
      </c>
      <c r="BJ508">
        <f>IF(Table2912[[#This Row],[Propionate '[%']]]&lt;R$10,_xlfn.NORM.DIST(Table2912[[#This Row],[Propionate '[%']]],R$6,R$2,FALSE),-100)</f>
        <v>-100</v>
      </c>
      <c r="BK508">
        <f>IF(Table2912[[#This Row],[Butyrate '[%']]]&lt;S$10,_xlfn.NORM.DIST(Table2912[[#This Row],[Butyrate '[%']]],S$6,S$2,FALSE),-100)</f>
        <v>-100</v>
      </c>
      <c r="BL508">
        <f>IF(Table2912[[#This Row],[Valerate '[%']]]&lt;T$10,_xlfn.NORM.DIST(Table2912[[#This Row],[Valerate '[%']]],T$6,T$2,FALSE),-100)</f>
        <v>-100</v>
      </c>
      <c r="BM508">
        <f>IF(Table2912[[#This Row],[Caproate '[%']]]&lt;U$10,_xlfn.NORM.DIST(Table2912[[#This Row],[Caproate '[%']]],U$6,U$2,FALSE),-100)</f>
        <v>-100</v>
      </c>
      <c r="BN508">
        <f>IF(Table2912[[#This Row],[Isobutyrate '[%']]]&lt;V$10,_xlfn.NORM.DIST(Table2912[[#This Row],[Isobutyrate '[%']]],V$6,V$2,FALSE),-100)</f>
        <v>-100</v>
      </c>
      <c r="BO508">
        <f>IF(Table2912[[#This Row],[Isovalerate '[%']]]&lt;W$10,_xlfn.NORM.DIST(Table2912[[#This Row],[Isovalerate '[%']]],W$6,W$2,FALSE),-100)</f>
        <v>-100</v>
      </c>
      <c r="BP508">
        <f>IF(Table2912[[#This Row],[CH4 '[g/mmol SCFA']]]&lt;X$10,_xlfn.NORM.DIST(Table2912[[#This Row],[CH4 '[g/mmol SCFA']]],X$6,X$2,FALSE),-100)</f>
        <v>-100</v>
      </c>
      <c r="BQ508">
        <f>IF(Table2912[[#This Row],[DMD '[mg/g']]]&gt;Y$10,_xlfn.NORM.DIST(Table2912[[#This Row],[DMD '[mg/g']]],Y$6,Y$2,FALSE),-100)</f>
        <v>1.1559975529623586E-3</v>
      </c>
      <c r="BR508">
        <f>IF(Table2912[[#This Row],[CH4 '[ml/g']]]&lt;Z$10,_xlfn.NORM.DIST(Table2912[[#This Row],[CH4 '[ml/g']]],Z$6,Z$2,FALSE),-100)</f>
        <v>-100</v>
      </c>
      <c r="BS508">
        <f>IF(Table2912[[#This Row],[CH4 '[% GP']]]&lt;AA$10,_xlfn.NORM.DIST(Table2912[[#This Row],[CH4 '[% GP']]],AA$6,AA$2,FALSE),-100)</f>
        <v>-100</v>
      </c>
      <c r="BT508">
        <f>IF(Table2912[[#This Row],[CH4 '[g/g DDM']]]&lt;AB$10,_xlfn.NORM.DIST(Table2912[[#This Row],[CH4 '[g/g DDM']]],AB$6,AB$2,FALSE),-100)</f>
        <v>-100</v>
      </c>
    </row>
    <row r="509" spans="1:72" x14ac:dyDescent="0.25">
      <c r="A509" s="12" t="s">
        <v>200</v>
      </c>
      <c r="B509" s="13">
        <v>1193</v>
      </c>
      <c r="C509" s="113" t="s">
        <v>576</v>
      </c>
      <c r="D509" s="113" t="s">
        <v>577</v>
      </c>
      <c r="E509" s="113" t="s">
        <v>578</v>
      </c>
      <c r="F509" s="113" t="s">
        <v>579</v>
      </c>
      <c r="G509" t="s">
        <v>73</v>
      </c>
      <c r="H509" t="s">
        <v>74</v>
      </c>
      <c r="I509" t="s">
        <v>75</v>
      </c>
      <c r="J509" s="107">
        <v>2</v>
      </c>
      <c r="K509" s="107"/>
      <c r="L509" s="107"/>
      <c r="M509" t="s">
        <v>580</v>
      </c>
      <c r="N509" t="s">
        <v>208</v>
      </c>
      <c r="O509" s="18">
        <v>254.31435829467654</v>
      </c>
      <c r="P509" s="18">
        <v>7.346682749353679</v>
      </c>
      <c r="Q509" s="97">
        <v>0.68875668148334612</v>
      </c>
      <c r="R509" s="97">
        <v>0.17093470258214821</v>
      </c>
      <c r="S509" s="97">
        <v>7.7864934626147728E-2</v>
      </c>
      <c r="T509" s="97">
        <v>1.8797045020521874E-2</v>
      </c>
      <c r="U509" s="97">
        <v>7.0423625043223269E-4</v>
      </c>
      <c r="V509" s="97">
        <v>1.70571761132149E-2</v>
      </c>
      <c r="W509" s="97">
        <v>2.5885223924188995E-2</v>
      </c>
      <c r="X509" s="51">
        <f t="shared" si="34"/>
        <v>5.548606371205147</v>
      </c>
      <c r="Y509" s="18">
        <v>963.24250369543847</v>
      </c>
      <c r="Z509" s="18">
        <v>40.763850710286768</v>
      </c>
      <c r="AA509" s="18">
        <f t="shared" si="35"/>
        <v>16.028922229807133</v>
      </c>
      <c r="AB509" s="18">
        <f t="shared" si="36"/>
        <v>42.31940612452005</v>
      </c>
      <c r="AC509" s="18">
        <f>$CP$15*Table2912[[#This Row],[DMD '[mg/g']]]+$CS$15*Table2912[[#This Row],[CH4 '[ml/g']]]+$CR$15*Table2912[[#This Row],[CH4 '[% GP']]]+$CQ$15*Table2912[[#This Row],[CH4 '[g/g DDM']]]</f>
        <v>33.450458025155875</v>
      </c>
      <c r="AD509" s="18">
        <f>_xlfn.RANK.AVG(Table2912[[#This Row],[Index]],Table2912[Index])</f>
        <v>26</v>
      </c>
      <c r="AE50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6.8879288330794273</v>
      </c>
      <c r="AF509" s="18">
        <f>Table2912[[#This Row],[CH4 '[ml/g']]]/Table2912[[#This Row],[APB]]</f>
        <v>5.9181579395125992</v>
      </c>
      <c r="AG509" s="18">
        <f>Table2912[[#This Row],[Propionate '[%']]]/Table2912[[#This Row],[Acetate '[%']]]</f>
        <v>0.24817864882851426</v>
      </c>
      <c r="AH509" s="51"/>
      <c r="AI509" s="18"/>
      <c r="AJ509" s="18"/>
      <c r="AK509" s="18">
        <f>(Table2912[[#This Row],[DMD '[mg/g']]]-$AK$15)/$AK$15*100</f>
        <v>96.46418080857913</v>
      </c>
      <c r="AL509" s="18">
        <f>(Table2912[[#This Row],[CH4 '[ml/g']]]-AL$15)/AL$15*100</f>
        <v>3.6398739429514571</v>
      </c>
      <c r="AM509" s="18">
        <f>(Table2912[[#This Row],[CH4 '[% GP']]]-AM$15)/AM$15*100</f>
        <v>3.2634769842238232</v>
      </c>
      <c r="AN509" s="18">
        <f>(Table2912[[#This Row],[CH4 '[g/g DDM']]]-AN$15)/AN$15*100</f>
        <v>-17.369965476041191</v>
      </c>
      <c r="AO509" s="18"/>
      <c r="AP509" s="18"/>
      <c r="AQ509" t="e">
        <f t="shared" si="33"/>
        <v>#DIV/0!</v>
      </c>
      <c r="AR509">
        <f>_xlfn.NORM.DIST(Table2912[[#This Row],[GP '[ml/g']]],O$6,O$2,FALSE)</f>
        <v>7.478048668403384E-3</v>
      </c>
      <c r="AS509">
        <f>_xlfn.NORM.DIST(Table2912[[#This Row],[SCFA '[mmol/g']]],P$6,P$2,FALSE)</f>
        <v>0.26496707614402115</v>
      </c>
      <c r="AT509">
        <f>_xlfn.NORM.DIST(Table2912[[#This Row],[Acetate '[%']]],Q$6,Q$2,FALSE)</f>
        <v>12.060534357085025</v>
      </c>
      <c r="AU509">
        <f>_xlfn.NORM.DIST(Table2912[[#This Row],[Propionate '[%']]],R$6,R$2,FALSE)</f>
        <v>16.778146127659213</v>
      </c>
      <c r="AV509">
        <f>_xlfn.NORM.DIST(Table2912[[#This Row],[Butyrate '[%']]],S$6,S$2,FALSE)</f>
        <v>15.784764711432594</v>
      </c>
      <c r="AW509">
        <f>_xlfn.NORM.DIST(Table2912[[#This Row],[Valerate '[%']]],T$6,T$2,FALSE)</f>
        <v>75.531898852063463</v>
      </c>
      <c r="AX509">
        <f>_xlfn.NORM.DIST(Table2912[[#This Row],[Caproate '[%']]],U$6,U$2,FALSE)</f>
        <v>331.262490721598</v>
      </c>
      <c r="AY509">
        <f>_xlfn.NORM.DIST(Table2912[[#This Row],[Isobutyrate '[%']]],V$6,V$2,FALSE)</f>
        <v>83.453961394975394</v>
      </c>
      <c r="AZ509">
        <f>_xlfn.NORM.DIST(Table2912[[#This Row],[Isovalerate '[%']]],W$6,W$2,FALSE)</f>
        <v>44.255435256072801</v>
      </c>
      <c r="BA509">
        <f>_xlfn.NORM.DIST(Table2912[[#This Row],[CH4 '[g/mmol SCFA']]],X$6,X$2,FALSE)</f>
        <v>0.25604171737869813</v>
      </c>
      <c r="BB509">
        <f>_xlfn.NORM.DIST(Table2912[[#This Row],[DMD '[mg/g']]],Y$6,Y$2,FALSE)</f>
        <v>1.1429447112695145E-3</v>
      </c>
      <c r="BC509">
        <f>_xlfn.NORM.DIST(Table2912[[#This Row],[CH4 '[ml/g']]],Z$6,Z$2,FALSE)</f>
        <v>3.345852310515425E-2</v>
      </c>
      <c r="BD509">
        <f>_xlfn.NORM.DIST(Table2912[[#This Row],[CH4 '[% GP']]],AA$6,AA$2,FALSE)</f>
        <v>0.13470495783441333</v>
      </c>
      <c r="BE509">
        <f>_xlfn.NORM.DIST(Table2912[[#This Row],[CH4 '[g/g DDM']]],AB$6,AB$2,FALSE)</f>
        <v>2.1740042658027311E-2</v>
      </c>
      <c r="BG509">
        <f>IF(Table2912[[#This Row],[GP '[ml/g']]]&lt;O$10,_xlfn.NORM.DIST(Table2912[[#This Row],[GP '[ml/g']]],O$6,O$2,FALSE),-100)</f>
        <v>-100</v>
      </c>
      <c r="BH509">
        <f>IF(Table2912[[#This Row],[SCFA '[mmol/g']]]&lt;P$10,_xlfn.NORM.DIST(Table2912[[#This Row],[SCFA '[mmol/g']]],P$6,P$2,FALSE),-100)</f>
        <v>-100</v>
      </c>
      <c r="BI509">
        <f>IF(Table2912[[#This Row],[Acetate '[%']]]&lt;Q$10,_xlfn.NORM.DIST(Table2912[[#This Row],[Acetate '[%']]],Q$6,Q$2,FALSE),-100)</f>
        <v>-100</v>
      </c>
      <c r="BJ509">
        <f>IF(Table2912[[#This Row],[Propionate '[%']]]&lt;R$10,_xlfn.NORM.DIST(Table2912[[#This Row],[Propionate '[%']]],R$6,R$2,FALSE),-100)</f>
        <v>-100</v>
      </c>
      <c r="BK509">
        <f>IF(Table2912[[#This Row],[Butyrate '[%']]]&lt;S$10,_xlfn.NORM.DIST(Table2912[[#This Row],[Butyrate '[%']]],S$6,S$2,FALSE),-100)</f>
        <v>-100</v>
      </c>
      <c r="BL509">
        <f>IF(Table2912[[#This Row],[Valerate '[%']]]&lt;T$10,_xlfn.NORM.DIST(Table2912[[#This Row],[Valerate '[%']]],T$6,T$2,FALSE),-100)</f>
        <v>-100</v>
      </c>
      <c r="BM509">
        <f>IF(Table2912[[#This Row],[Caproate '[%']]]&lt;U$10,_xlfn.NORM.DIST(Table2912[[#This Row],[Caproate '[%']]],U$6,U$2,FALSE),-100)</f>
        <v>-100</v>
      </c>
      <c r="BN509">
        <f>IF(Table2912[[#This Row],[Isobutyrate '[%']]]&lt;V$10,_xlfn.NORM.DIST(Table2912[[#This Row],[Isobutyrate '[%']]],V$6,V$2,FALSE),-100)</f>
        <v>-100</v>
      </c>
      <c r="BO509">
        <f>IF(Table2912[[#This Row],[Isovalerate '[%']]]&lt;W$10,_xlfn.NORM.DIST(Table2912[[#This Row],[Isovalerate '[%']]],W$6,W$2,FALSE),-100)</f>
        <v>-100</v>
      </c>
      <c r="BP509">
        <f>IF(Table2912[[#This Row],[CH4 '[g/mmol SCFA']]]&lt;X$10,_xlfn.NORM.DIST(Table2912[[#This Row],[CH4 '[g/mmol SCFA']]],X$6,X$2,FALSE),-100)</f>
        <v>-100</v>
      </c>
      <c r="BQ509">
        <f>IF(Table2912[[#This Row],[DMD '[mg/g']]]&gt;Y$10,_xlfn.NORM.DIST(Table2912[[#This Row],[DMD '[mg/g']]],Y$6,Y$2,FALSE),-100)</f>
        <v>1.1429447112695145E-3</v>
      </c>
      <c r="BR509">
        <f>IF(Table2912[[#This Row],[CH4 '[ml/g']]]&lt;Z$10,_xlfn.NORM.DIST(Table2912[[#This Row],[CH4 '[ml/g']]],Z$6,Z$2,FALSE),-100)</f>
        <v>-100</v>
      </c>
      <c r="BS509">
        <f>IF(Table2912[[#This Row],[CH4 '[% GP']]]&lt;AA$10,_xlfn.NORM.DIST(Table2912[[#This Row],[CH4 '[% GP']]],AA$6,AA$2,FALSE),-100)</f>
        <v>-100</v>
      </c>
      <c r="BT509">
        <f>IF(Table2912[[#This Row],[CH4 '[g/g DDM']]]&lt;AB$10,_xlfn.NORM.DIST(Table2912[[#This Row],[CH4 '[g/g DDM']]],AB$6,AB$2,FALSE),-100)</f>
        <v>-100</v>
      </c>
    </row>
    <row r="510" spans="1:72" x14ac:dyDescent="0.25">
      <c r="A510" s="12" t="s">
        <v>200</v>
      </c>
      <c r="B510" s="13">
        <v>1193</v>
      </c>
      <c r="C510" s="113" t="s">
        <v>576</v>
      </c>
      <c r="D510" s="113" t="s">
        <v>577</v>
      </c>
      <c r="E510" s="113" t="s">
        <v>578</v>
      </c>
      <c r="F510" s="113" t="s">
        <v>579</v>
      </c>
      <c r="G510" s="32" t="s">
        <v>143</v>
      </c>
      <c r="H510" s="32" t="s">
        <v>144</v>
      </c>
      <c r="I510" s="32" t="s">
        <v>52</v>
      </c>
      <c r="J510" s="107">
        <v>1</v>
      </c>
      <c r="K510" s="107"/>
      <c r="L510" s="107"/>
      <c r="M510" t="s">
        <v>580</v>
      </c>
      <c r="N510" t="s">
        <v>363</v>
      </c>
      <c r="O510" s="18">
        <v>239.69352580927341</v>
      </c>
      <c r="P510" s="18">
        <v>7.4453451177149033</v>
      </c>
      <c r="Q510" s="97">
        <v>0.68743252520012765</v>
      </c>
      <c r="R510" s="97">
        <v>0.19033092182138384</v>
      </c>
      <c r="S510" s="97">
        <v>7.249064782763126E-2</v>
      </c>
      <c r="T510" s="97">
        <v>1.7124309683440336E-2</v>
      </c>
      <c r="U510" s="97">
        <v>5.2891278795781497E-4</v>
      </c>
      <c r="V510" s="97">
        <v>1.3514479892169948E-2</v>
      </c>
      <c r="W510" s="97">
        <v>1.8578202787289201E-2</v>
      </c>
      <c r="X510" s="51">
        <f t="shared" si="34"/>
        <v>5.3773312129682678</v>
      </c>
      <c r="Y510" s="18">
        <v>963.29713451830298</v>
      </c>
      <c r="Z510" s="18">
        <v>40.036086692809249</v>
      </c>
      <c r="AA510" s="18">
        <f t="shared" si="35"/>
        <v>16.703032156432283</v>
      </c>
      <c r="AB510" s="18">
        <f t="shared" si="36"/>
        <v>41.56151332561506</v>
      </c>
      <c r="AC510" s="18">
        <f>$CP$15*Table2912[[#This Row],[DMD '[mg/g']]]+$CS$15*Table2912[[#This Row],[CH4 '[ml/g']]]+$CR$15*Table2912[[#This Row],[CH4 '[% GP']]]+$CQ$15*Table2912[[#This Row],[CH4 '[g/g DDM']]]</f>
        <v>33.490518210121706</v>
      </c>
      <c r="AD510" s="18">
        <f>_xlfn.RANK.AVG(Table2912[[#This Row],[Index]],Table2912[Index])</f>
        <v>25</v>
      </c>
      <c r="AE51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7.0749696856736595</v>
      </c>
      <c r="AF510" s="18">
        <f>Table2912[[#This Row],[CH4 '[ml/g']]]/Table2912[[#This Row],[APB]]</f>
        <v>5.6588350864427941</v>
      </c>
      <c r="AG510" s="18">
        <f>Table2912[[#This Row],[Propionate '[%']]]/Table2912[[#This Row],[Acetate '[%']]]</f>
        <v>0.27687215085724093</v>
      </c>
      <c r="AH510" s="51"/>
      <c r="AI510" s="18"/>
      <c r="AJ510" s="18"/>
      <c r="AK510" s="18">
        <f>(Table2912[[#This Row],[DMD '[mg/g']]]-$AK$15)/$AK$15*100</f>
        <v>96.47532338152395</v>
      </c>
      <c r="AL510" s="18">
        <f>(Table2912[[#This Row],[CH4 '[ml/g']]]-AL$15)/AL$15*100</f>
        <v>1.7895734998543984</v>
      </c>
      <c r="AM510" s="18">
        <f>(Table2912[[#This Row],[CH4 '[% GP']]]-AM$15)/AM$15*100</f>
        <v>7.6063101388725824</v>
      </c>
      <c r="AN510" s="18">
        <f>(Table2912[[#This Row],[CH4 '[g/g DDM']]]-AN$15)/AN$15*100</f>
        <v>-18.849776132048817</v>
      </c>
      <c r="AO510" s="18"/>
      <c r="AP510" s="18"/>
      <c r="AQ510" t="e">
        <f t="shared" si="33"/>
        <v>#DIV/0!</v>
      </c>
      <c r="AR510">
        <f>_xlfn.NORM.DIST(Table2912[[#This Row],[GP '[ml/g']]],O$6,O$2,FALSE)</f>
        <v>7.1589060499210582E-3</v>
      </c>
      <c r="AS510">
        <f>_xlfn.NORM.DIST(Table2912[[#This Row],[SCFA '[mmol/g']]],P$6,P$2,FALSE)</f>
        <v>0.24980459282371517</v>
      </c>
      <c r="AT510">
        <f>_xlfn.NORM.DIST(Table2912[[#This Row],[Acetate '[%']]],Q$6,Q$2,FALSE)</f>
        <v>12.359728297009477</v>
      </c>
      <c r="AU510">
        <f>_xlfn.NORM.DIST(Table2912[[#This Row],[Propionate '[%']]],R$6,R$2,FALSE)</f>
        <v>12.414930175210142</v>
      </c>
      <c r="AV510">
        <f>_xlfn.NORM.DIST(Table2912[[#This Row],[Butyrate '[%']]],S$6,S$2,FALSE)</f>
        <v>11.48742988419361</v>
      </c>
      <c r="AW510">
        <f>_xlfn.NORM.DIST(Table2912[[#This Row],[Valerate '[%']]],T$6,T$2,FALSE)</f>
        <v>76.979910013787432</v>
      </c>
      <c r="AX510">
        <f>_xlfn.NORM.DIST(Table2912[[#This Row],[Caproate '[%']]],U$6,U$2,FALSE)</f>
        <v>290.68014663832918</v>
      </c>
      <c r="AY510">
        <f>_xlfn.NORM.DIST(Table2912[[#This Row],[Isobutyrate '[%']]],V$6,V$2,FALSE)</f>
        <v>82.974907982269258</v>
      </c>
      <c r="AZ510">
        <f>_xlfn.NORM.DIST(Table2912[[#This Row],[Isovalerate '[%']]],W$6,W$2,FALSE)</f>
        <v>25.876676958973686</v>
      </c>
      <c r="BA510">
        <f>_xlfn.NORM.DIST(Table2912[[#This Row],[CH4 '[g/mmol SCFA']]],X$6,X$2,FALSE)</f>
        <v>0.23682207537068539</v>
      </c>
      <c r="BB510">
        <f>_xlfn.NORM.DIST(Table2912[[#This Row],[DMD '[mg/g']]],Y$6,Y$2,FALSE)</f>
        <v>1.1423201271587205E-3</v>
      </c>
      <c r="BC510">
        <f>_xlfn.NORM.DIST(Table2912[[#This Row],[CH4 '[ml/g']]],Z$6,Z$2,FALSE)</f>
        <v>3.3287523826901921E-2</v>
      </c>
      <c r="BD510">
        <f>_xlfn.NORM.DIST(Table2912[[#This Row],[CH4 '[% GP']]],AA$6,AA$2,FALSE)</f>
        <v>0.13165731129051608</v>
      </c>
      <c r="BE510">
        <f>_xlfn.NORM.DIST(Table2912[[#This Row],[CH4 '[g/g DDM']]],AB$6,AB$2,FALSE)</f>
        <v>2.0501455149991531E-2</v>
      </c>
      <c r="BG510">
        <f>IF(Table2912[[#This Row],[GP '[ml/g']]]&lt;O$10,_xlfn.NORM.DIST(Table2912[[#This Row],[GP '[ml/g']]],O$6,O$2,FALSE),-100)</f>
        <v>-100</v>
      </c>
      <c r="BH510">
        <f>IF(Table2912[[#This Row],[SCFA '[mmol/g']]]&lt;P$10,_xlfn.NORM.DIST(Table2912[[#This Row],[SCFA '[mmol/g']]],P$6,P$2,FALSE),-100)</f>
        <v>-100</v>
      </c>
      <c r="BI510">
        <f>IF(Table2912[[#This Row],[Acetate '[%']]]&lt;Q$10,_xlfn.NORM.DIST(Table2912[[#This Row],[Acetate '[%']]],Q$6,Q$2,FALSE),-100)</f>
        <v>-100</v>
      </c>
      <c r="BJ510">
        <f>IF(Table2912[[#This Row],[Propionate '[%']]]&lt;R$10,_xlfn.NORM.DIST(Table2912[[#This Row],[Propionate '[%']]],R$6,R$2,FALSE),-100)</f>
        <v>-100</v>
      </c>
      <c r="BK510">
        <f>IF(Table2912[[#This Row],[Butyrate '[%']]]&lt;S$10,_xlfn.NORM.DIST(Table2912[[#This Row],[Butyrate '[%']]],S$6,S$2,FALSE),-100)</f>
        <v>11.48742988419361</v>
      </c>
      <c r="BL510">
        <f>IF(Table2912[[#This Row],[Valerate '[%']]]&lt;T$10,_xlfn.NORM.DIST(Table2912[[#This Row],[Valerate '[%']]],T$6,T$2,FALSE),-100)</f>
        <v>-100</v>
      </c>
      <c r="BM510">
        <f>IF(Table2912[[#This Row],[Caproate '[%']]]&lt;U$10,_xlfn.NORM.DIST(Table2912[[#This Row],[Caproate '[%']]],U$6,U$2,FALSE),-100)</f>
        <v>-100</v>
      </c>
      <c r="BN510">
        <f>IF(Table2912[[#This Row],[Isobutyrate '[%']]]&lt;V$10,_xlfn.NORM.DIST(Table2912[[#This Row],[Isobutyrate '[%']]],V$6,V$2,FALSE),-100)</f>
        <v>-100</v>
      </c>
      <c r="BO510">
        <f>IF(Table2912[[#This Row],[Isovalerate '[%']]]&lt;W$10,_xlfn.NORM.DIST(Table2912[[#This Row],[Isovalerate '[%']]],W$6,W$2,FALSE),-100)</f>
        <v>25.876676958973686</v>
      </c>
      <c r="BP510">
        <f>IF(Table2912[[#This Row],[CH4 '[g/mmol SCFA']]]&lt;X$10,_xlfn.NORM.DIST(Table2912[[#This Row],[CH4 '[g/mmol SCFA']]],X$6,X$2,FALSE),-100)</f>
        <v>-100</v>
      </c>
      <c r="BQ510">
        <f>IF(Table2912[[#This Row],[DMD '[mg/g']]]&gt;Y$10,_xlfn.NORM.DIST(Table2912[[#This Row],[DMD '[mg/g']]],Y$6,Y$2,FALSE),-100)</f>
        <v>1.1423201271587205E-3</v>
      </c>
      <c r="BR510">
        <f>IF(Table2912[[#This Row],[CH4 '[ml/g']]]&lt;Z$10,_xlfn.NORM.DIST(Table2912[[#This Row],[CH4 '[ml/g']]],Z$6,Z$2,FALSE),-100)</f>
        <v>-100</v>
      </c>
      <c r="BS510">
        <f>IF(Table2912[[#This Row],[CH4 '[% GP']]]&lt;AA$10,_xlfn.NORM.DIST(Table2912[[#This Row],[CH4 '[% GP']]],AA$6,AA$2,FALSE),-100)</f>
        <v>-100</v>
      </c>
      <c r="BT510">
        <f>IF(Table2912[[#This Row],[CH4 '[g/g DDM']]]&lt;AB$10,_xlfn.NORM.DIST(Table2912[[#This Row],[CH4 '[g/g DDM']]],AB$6,AB$2,FALSE),-100)</f>
        <v>-100</v>
      </c>
    </row>
    <row r="511" spans="1:72" x14ac:dyDescent="0.25">
      <c r="A511" s="12" t="s">
        <v>200</v>
      </c>
      <c r="B511" s="13">
        <v>1186</v>
      </c>
      <c r="C511" s="113" t="s">
        <v>597</v>
      </c>
      <c r="D511" s="113" t="s">
        <v>598</v>
      </c>
      <c r="E511" s="113" t="s">
        <v>599</v>
      </c>
      <c r="F511" s="113" t="s">
        <v>600</v>
      </c>
      <c r="G511" t="s">
        <v>601</v>
      </c>
      <c r="H511" t="s">
        <v>602</v>
      </c>
      <c r="I511" t="s">
        <v>48</v>
      </c>
      <c r="J511" s="70">
        <v>2</v>
      </c>
      <c r="K511" s="70"/>
      <c r="L511" s="70"/>
      <c r="M511" t="s">
        <v>598</v>
      </c>
      <c r="N511" t="s">
        <v>352</v>
      </c>
      <c r="O511" s="18">
        <v>306.7259406817177</v>
      </c>
      <c r="P511" s="18">
        <v>8.4881084129092095</v>
      </c>
      <c r="Q511" s="97">
        <v>0.64879607153695429</v>
      </c>
      <c r="R511" s="97">
        <v>0.18439467684239791</v>
      </c>
      <c r="S511" s="97">
        <v>0.10181994962450992</v>
      </c>
      <c r="T511" s="97">
        <v>1.9466256827414777E-2</v>
      </c>
      <c r="U511" s="97">
        <v>8.5325350110087292E-4</v>
      </c>
      <c r="V511" s="97">
        <v>1.648403362175422E-2</v>
      </c>
      <c r="W511" s="97">
        <v>2.8185758045867898E-2</v>
      </c>
      <c r="X511" s="51">
        <f t="shared" si="34"/>
        <v>5.6511436583888273</v>
      </c>
      <c r="Y511" s="18">
        <v>965.45519860592913</v>
      </c>
      <c r="Z511" s="18">
        <v>47.967520029328732</v>
      </c>
      <c r="AA511" s="18">
        <f t="shared" si="35"/>
        <v>15.638559921837031</v>
      </c>
      <c r="AB511" s="18">
        <f t="shared" si="36"/>
        <v>49.683838357897422</v>
      </c>
      <c r="AC511" s="18">
        <f>$CP$15*Table2912[[#This Row],[DMD '[mg/g']]]+$CS$15*Table2912[[#This Row],[CH4 '[ml/g']]]+$CR$15*Table2912[[#This Row],[CH4 '[% GP']]]+$CQ$15*Table2912[[#This Row],[CH4 '[g/g DDM']]]</f>
        <v>31.434632224459655</v>
      </c>
      <c r="AD511" s="18">
        <f>_xlfn.RANK.AVG(Table2912[[#This Row],[Index]],Table2912[Index])</f>
        <v>39</v>
      </c>
      <c r="AE51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7.9364721718866944</v>
      </c>
      <c r="AF511" s="18">
        <f>Table2912[[#This Row],[CH4 '[ml/g']]]/Table2912[[#This Row],[APB]]</f>
        <v>6.0439347597341442</v>
      </c>
      <c r="AG511" s="18">
        <f>Table2912[[#This Row],[Propionate '[%']]]/Table2912[[#This Row],[Acetate '[%']]]</f>
        <v>0.28421053229496185</v>
      </c>
      <c r="AH511" s="51"/>
      <c r="AI511" s="18"/>
      <c r="AJ511" s="18"/>
      <c r="AK511" s="18">
        <f>(Table2912[[#This Row],[DMD '[mg/g']]]-$AK$15)/$AK$15*100</f>
        <v>96.915484910403009</v>
      </c>
      <c r="AL511" s="18">
        <f>(Table2912[[#This Row],[CH4 '[ml/g']]]-AL$15)/AL$15*100</f>
        <v>21.954811495301353</v>
      </c>
      <c r="AM511" s="18">
        <f>(Table2912[[#This Row],[CH4 '[% GP']]]-AM$15)/AM$15*100</f>
        <v>0.74863733208432992</v>
      </c>
      <c r="AN511" s="18">
        <f>(Table2912[[#This Row],[CH4 '[g/g DDM']]]-AN$15)/AN$15*100</f>
        <v>-2.9906689447331525</v>
      </c>
      <c r="AO511" s="18"/>
      <c r="AP511" s="18"/>
      <c r="AQ511" t="e">
        <f t="shared" si="33"/>
        <v>#DIV/0!</v>
      </c>
      <c r="AR511">
        <f>_xlfn.NORM.DIST(Table2912[[#This Row],[GP '[ml/g']]],O$6,O$2,FALSE)</f>
        <v>4.7152433100270353E-3</v>
      </c>
      <c r="AS511">
        <f>_xlfn.NORM.DIST(Table2912[[#This Row],[SCFA '[mmol/g']]],P$6,P$2,FALSE)</f>
        <v>8.8577783270660806E-2</v>
      </c>
      <c r="AT511">
        <f>_xlfn.NORM.DIST(Table2912[[#This Row],[Acetate '[%']]],Q$6,Q$2,FALSE)</f>
        <v>9.7290352257118791</v>
      </c>
      <c r="AU511">
        <f>_xlfn.NORM.DIST(Table2912[[#This Row],[Propionate '[%']]],R$6,R$2,FALSE)</f>
        <v>14.612070496290134</v>
      </c>
      <c r="AV511">
        <f>_xlfn.NORM.DIST(Table2912[[#This Row],[Butyrate '[%']]],S$6,S$2,FALSE)</f>
        <v>20.183629709680154</v>
      </c>
      <c r="AW511">
        <f>_xlfn.NORM.DIST(Table2912[[#This Row],[Valerate '[%']]],T$6,T$2,FALSE)</f>
        <v>72.781729288128076</v>
      </c>
      <c r="AX511">
        <f>_xlfn.NORM.DIST(Table2912[[#This Row],[Caproate '[%']]],U$6,U$2,FALSE)</f>
        <v>360.98923624075047</v>
      </c>
      <c r="AY511">
        <f>_xlfn.NORM.DIST(Table2912[[#This Row],[Isobutyrate '[%']]],V$6,V$2,FALSE)</f>
        <v>87.079925301874212</v>
      </c>
      <c r="AZ511">
        <f>_xlfn.NORM.DIST(Table2912[[#This Row],[Isovalerate '[%']]],W$6,W$2,FALSE)</f>
        <v>45.405017475628497</v>
      </c>
      <c r="BA511">
        <f>_xlfn.NORM.DIST(Table2912[[#This Row],[CH4 '[g/mmol SCFA']]],X$6,X$2,FALSE)</f>
        <v>0.26620154018003261</v>
      </c>
      <c r="BB511">
        <f>_xlfn.NORM.DIST(Table2912[[#This Row],[DMD '[mg/g']]],Y$6,Y$2,FALSE)</f>
        <v>1.1177759236390204E-3</v>
      </c>
      <c r="BC511">
        <f>_xlfn.NORM.DIST(Table2912[[#This Row],[CH4 '[ml/g']]],Z$6,Z$2,FALSE)</f>
        <v>2.8775160459682109E-2</v>
      </c>
      <c r="BD511">
        <f>_xlfn.NORM.DIST(Table2912[[#This Row],[CH4 '[% GP']]],AA$6,AA$2,FALSE)</f>
        <v>0.13330598175531741</v>
      </c>
      <c r="BE511">
        <f>_xlfn.NORM.DIST(Table2912[[#This Row],[CH4 '[g/g DDM']]],AB$6,AB$2,FALSE)</f>
        <v>3.1385327768791792E-2</v>
      </c>
      <c r="BG511">
        <f>IF(Table2912[[#This Row],[GP '[ml/g']]]&lt;O$10,_xlfn.NORM.DIST(Table2912[[#This Row],[GP '[ml/g']]],O$6,O$2,FALSE),-100)</f>
        <v>-100</v>
      </c>
      <c r="BH511">
        <f>IF(Table2912[[#This Row],[SCFA '[mmol/g']]]&lt;P$10,_xlfn.NORM.DIST(Table2912[[#This Row],[SCFA '[mmol/g']]],P$6,P$2,FALSE),-100)</f>
        <v>-100</v>
      </c>
      <c r="BI511">
        <f>IF(Table2912[[#This Row],[Acetate '[%']]]&lt;Q$10,_xlfn.NORM.DIST(Table2912[[#This Row],[Acetate '[%']]],Q$6,Q$2,FALSE),-100)</f>
        <v>-100</v>
      </c>
      <c r="BJ511">
        <f>IF(Table2912[[#This Row],[Propionate '[%']]]&lt;R$10,_xlfn.NORM.DIST(Table2912[[#This Row],[Propionate '[%']]],R$6,R$2,FALSE),-100)</f>
        <v>-100</v>
      </c>
      <c r="BK511">
        <f>IF(Table2912[[#This Row],[Butyrate '[%']]]&lt;S$10,_xlfn.NORM.DIST(Table2912[[#This Row],[Butyrate '[%']]],S$6,S$2,FALSE),-100)</f>
        <v>-100</v>
      </c>
      <c r="BL511">
        <f>IF(Table2912[[#This Row],[Valerate '[%']]]&lt;T$10,_xlfn.NORM.DIST(Table2912[[#This Row],[Valerate '[%']]],T$6,T$2,FALSE),-100)</f>
        <v>-100</v>
      </c>
      <c r="BM511">
        <f>IF(Table2912[[#This Row],[Caproate '[%']]]&lt;U$10,_xlfn.NORM.DIST(Table2912[[#This Row],[Caproate '[%']]],U$6,U$2,FALSE),-100)</f>
        <v>-100</v>
      </c>
      <c r="BN511">
        <f>IF(Table2912[[#This Row],[Isobutyrate '[%']]]&lt;V$10,_xlfn.NORM.DIST(Table2912[[#This Row],[Isobutyrate '[%']]],V$6,V$2,FALSE),-100)</f>
        <v>-100</v>
      </c>
      <c r="BO511">
        <f>IF(Table2912[[#This Row],[Isovalerate '[%']]]&lt;W$10,_xlfn.NORM.DIST(Table2912[[#This Row],[Isovalerate '[%']]],W$6,W$2,FALSE),-100)</f>
        <v>-100</v>
      </c>
      <c r="BP511">
        <f>IF(Table2912[[#This Row],[CH4 '[g/mmol SCFA']]]&lt;X$10,_xlfn.NORM.DIST(Table2912[[#This Row],[CH4 '[g/mmol SCFA']]],X$6,X$2,FALSE),-100)</f>
        <v>-100</v>
      </c>
      <c r="BQ511">
        <f>IF(Table2912[[#This Row],[DMD '[mg/g']]]&gt;Y$10,_xlfn.NORM.DIST(Table2912[[#This Row],[DMD '[mg/g']]],Y$6,Y$2,FALSE),-100)</f>
        <v>1.1177759236390204E-3</v>
      </c>
      <c r="BR511">
        <f>IF(Table2912[[#This Row],[CH4 '[ml/g']]]&lt;Z$10,_xlfn.NORM.DIST(Table2912[[#This Row],[CH4 '[ml/g']]],Z$6,Z$2,FALSE),-100)</f>
        <v>-100</v>
      </c>
      <c r="BS511">
        <f>IF(Table2912[[#This Row],[CH4 '[% GP']]]&lt;AA$10,_xlfn.NORM.DIST(Table2912[[#This Row],[CH4 '[% GP']]],AA$6,AA$2,FALSE),-100)</f>
        <v>-100</v>
      </c>
      <c r="BT511">
        <f>IF(Table2912[[#This Row],[CH4 '[g/g DDM']]]&lt;AB$10,_xlfn.NORM.DIST(Table2912[[#This Row],[CH4 '[g/g DDM']]],AB$6,AB$2,FALSE),-100)</f>
        <v>-100</v>
      </c>
    </row>
    <row r="512" spans="1:72" x14ac:dyDescent="0.25">
      <c r="A512" s="12" t="s">
        <v>200</v>
      </c>
      <c r="B512" s="13">
        <v>1186</v>
      </c>
      <c r="C512" s="113" t="s">
        <v>597</v>
      </c>
      <c r="D512" s="113" t="s">
        <v>598</v>
      </c>
      <c r="E512" s="113" t="s">
        <v>599</v>
      </c>
      <c r="F512" s="113" t="s">
        <v>600</v>
      </c>
      <c r="G512" t="s">
        <v>601</v>
      </c>
      <c r="H512" t="s">
        <v>602</v>
      </c>
      <c r="I512" t="s">
        <v>48</v>
      </c>
      <c r="J512" s="70">
        <v>3</v>
      </c>
      <c r="K512" s="70"/>
      <c r="L512" s="70"/>
      <c r="M512" t="s">
        <v>598</v>
      </c>
      <c r="N512" t="s">
        <v>208</v>
      </c>
      <c r="O512" s="18">
        <v>313.53346534653446</v>
      </c>
      <c r="P512" s="18">
        <v>7.2710337966067531</v>
      </c>
      <c r="Q512" s="97">
        <v>0.66719002455046716</v>
      </c>
      <c r="R512" s="97">
        <v>0.18864438609187728</v>
      </c>
      <c r="S512" s="97">
        <v>8.7053607724258825E-2</v>
      </c>
      <c r="T512" s="97">
        <v>1.8484980496703544E-2</v>
      </c>
      <c r="U512" s="97">
        <v>5.3353496571726744E-4</v>
      </c>
      <c r="V512" s="97">
        <v>1.4719878038562017E-2</v>
      </c>
      <c r="W512" s="97">
        <v>2.3373588132413897E-2</v>
      </c>
      <c r="X512" s="51">
        <f t="shared" si="34"/>
        <v>6.7930995041967277</v>
      </c>
      <c r="Y512" s="18">
        <v>966.43305764839408</v>
      </c>
      <c r="Z512" s="18">
        <v>49.392856078726986</v>
      </c>
      <c r="AA512" s="18">
        <f t="shared" si="35"/>
        <v>15.753615335490673</v>
      </c>
      <c r="AB512" s="18">
        <f t="shared" si="36"/>
        <v>51.108409100692214</v>
      </c>
      <c r="AC512" s="18">
        <f>$CP$15*Table2912[[#This Row],[DMD '[mg/g']]]+$CS$15*Table2912[[#This Row],[CH4 '[ml/g']]]+$CR$15*Table2912[[#This Row],[CH4 '[% GP']]]+$CQ$15*Table2912[[#This Row],[CH4 '[g/g DDM']]]</f>
        <v>31.035651901218337</v>
      </c>
      <c r="AD512" s="18">
        <f>_xlfn.RANK.AVG(Table2912[[#This Row],[Index]],Table2912[Index])</f>
        <v>41</v>
      </c>
      <c r="AE51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6.8557706479591412</v>
      </c>
      <c r="AF512" s="18">
        <f>Table2912[[#This Row],[CH4 '[ml/g']]]/Table2912[[#This Row],[APB]]</f>
        <v>7.2045665782927681</v>
      </c>
      <c r="AG512" s="18">
        <f>Table2912[[#This Row],[Propionate '[%']]]/Table2912[[#This Row],[Acetate '[%']]]</f>
        <v>0.28274461420339769</v>
      </c>
      <c r="AH512" s="51"/>
      <c r="AI512" s="18"/>
      <c r="AJ512" s="18"/>
      <c r="AK512" s="18">
        <f>(Table2912[[#This Row],[DMD '[mg/g']]]-$AK$15)/$AK$15*100</f>
        <v>97.11493029927145</v>
      </c>
      <c r="AL512" s="18">
        <f>(Table2912[[#This Row],[CH4 '[ml/g']]]-AL$15)/AL$15*100</f>
        <v>25.578650899872173</v>
      </c>
      <c r="AM512" s="18">
        <f>(Table2912[[#This Row],[CH4 '[% GP']]]-AM$15)/AM$15*100</f>
        <v>1.4898613451149461</v>
      </c>
      <c r="AN512" s="18">
        <f>(Table2912[[#This Row],[CH4 '[g/g DDM']]]-AN$15)/AN$15*100</f>
        <v>-0.20914764189161128</v>
      </c>
      <c r="AO512" s="18"/>
      <c r="AP512" s="18"/>
      <c r="AQ512" t="e">
        <f t="shared" si="33"/>
        <v>#DIV/0!</v>
      </c>
      <c r="AR512">
        <f>_xlfn.NORM.DIST(Table2912[[#This Row],[GP '[ml/g']]],O$6,O$2,FALSE)</f>
        <v>4.1372980931385969E-3</v>
      </c>
      <c r="AS512">
        <f>_xlfn.NORM.DIST(Table2912[[#This Row],[SCFA '[mmol/g']]],P$6,P$2,FALSE)</f>
        <v>0.27594473742257036</v>
      </c>
      <c r="AT512">
        <f>_xlfn.NORM.DIST(Table2912[[#This Row],[Acetate '[%']]],Q$6,Q$2,FALSE)</f>
        <v>13.72480253807959</v>
      </c>
      <c r="AU512">
        <f>_xlfn.NORM.DIST(Table2912[[#This Row],[Propionate '[%']]],R$6,R$2,FALSE)</f>
        <v>13.086001347133413</v>
      </c>
      <c r="AV512">
        <f>_xlfn.NORM.DIST(Table2912[[#This Row],[Butyrate '[%']]],S$6,S$2,FALSE)</f>
        <v>21.745812047988952</v>
      </c>
      <c r="AW512">
        <f>_xlfn.NORM.DIST(Table2912[[#This Row],[Valerate '[%']]],T$6,T$2,FALSE)</f>
        <v>76.408065406204969</v>
      </c>
      <c r="AX512">
        <f>_xlfn.NORM.DIST(Table2912[[#This Row],[Caproate '[%']]],U$6,U$2,FALSE)</f>
        <v>291.80312639232295</v>
      </c>
      <c r="AY512">
        <f>_xlfn.NORM.DIST(Table2912[[#This Row],[Isobutyrate '[%']]],V$6,V$2,FALSE)</f>
        <v>89.339437494207601</v>
      </c>
      <c r="AZ512">
        <f>_xlfn.NORM.DIST(Table2912[[#This Row],[Isovalerate '[%']]],W$6,W$2,FALSE)</f>
        <v>39.789935170328398</v>
      </c>
      <c r="BA512">
        <f>_xlfn.NORM.DIST(Table2912[[#This Row],[CH4 '[g/mmol SCFA']]],X$6,X$2,FALSE)</f>
        <v>0.27664185876472869</v>
      </c>
      <c r="BB512">
        <f>_xlfn.NORM.DIST(Table2912[[#This Row],[DMD '[mg/g']]],Y$6,Y$2,FALSE)</f>
        <v>1.1067381245606662E-3</v>
      </c>
      <c r="BC512">
        <f>_xlfn.NORM.DIST(Table2912[[#This Row],[CH4 '[ml/g']]],Z$6,Z$2,FALSE)</f>
        <v>2.6743665166637235E-2</v>
      </c>
      <c r="BD512">
        <f>_xlfn.NORM.DIST(Table2912[[#This Row],[CH4 '[% GP']]],AA$6,AA$2,FALSE)</f>
        <v>0.13395850999078249</v>
      </c>
      <c r="BE512">
        <f>_xlfn.NORM.DIST(Table2912[[#This Row],[CH4 '[g/g DDM']]],AB$6,AB$2,FALSE)</f>
        <v>3.2295122923621286E-2</v>
      </c>
      <c r="BG512">
        <f>IF(Table2912[[#This Row],[GP '[ml/g']]]&lt;O$10,_xlfn.NORM.DIST(Table2912[[#This Row],[GP '[ml/g']]],O$6,O$2,FALSE),-100)</f>
        <v>-100</v>
      </c>
      <c r="BH512">
        <f>IF(Table2912[[#This Row],[SCFA '[mmol/g']]]&lt;P$10,_xlfn.NORM.DIST(Table2912[[#This Row],[SCFA '[mmol/g']]],P$6,P$2,FALSE),-100)</f>
        <v>-100</v>
      </c>
      <c r="BI512">
        <f>IF(Table2912[[#This Row],[Acetate '[%']]]&lt;Q$10,_xlfn.NORM.DIST(Table2912[[#This Row],[Acetate '[%']]],Q$6,Q$2,FALSE),-100)</f>
        <v>-100</v>
      </c>
      <c r="BJ512">
        <f>IF(Table2912[[#This Row],[Propionate '[%']]]&lt;R$10,_xlfn.NORM.DIST(Table2912[[#This Row],[Propionate '[%']]],R$6,R$2,FALSE),-100)</f>
        <v>-100</v>
      </c>
      <c r="BK512">
        <f>IF(Table2912[[#This Row],[Butyrate '[%']]]&lt;S$10,_xlfn.NORM.DIST(Table2912[[#This Row],[Butyrate '[%']]],S$6,S$2,FALSE),-100)</f>
        <v>-100</v>
      </c>
      <c r="BL512">
        <f>IF(Table2912[[#This Row],[Valerate '[%']]]&lt;T$10,_xlfn.NORM.DIST(Table2912[[#This Row],[Valerate '[%']]],T$6,T$2,FALSE),-100)</f>
        <v>-100</v>
      </c>
      <c r="BM512">
        <f>IF(Table2912[[#This Row],[Caproate '[%']]]&lt;U$10,_xlfn.NORM.DIST(Table2912[[#This Row],[Caproate '[%']]],U$6,U$2,FALSE),-100)</f>
        <v>-100</v>
      </c>
      <c r="BN512">
        <f>IF(Table2912[[#This Row],[Isobutyrate '[%']]]&lt;V$10,_xlfn.NORM.DIST(Table2912[[#This Row],[Isobutyrate '[%']]],V$6,V$2,FALSE),-100)</f>
        <v>-100</v>
      </c>
      <c r="BO512">
        <f>IF(Table2912[[#This Row],[Isovalerate '[%']]]&lt;W$10,_xlfn.NORM.DIST(Table2912[[#This Row],[Isovalerate '[%']]],W$6,W$2,FALSE),-100)</f>
        <v>-100</v>
      </c>
      <c r="BP512">
        <f>IF(Table2912[[#This Row],[CH4 '[g/mmol SCFA']]]&lt;X$10,_xlfn.NORM.DIST(Table2912[[#This Row],[CH4 '[g/mmol SCFA']]],X$6,X$2,FALSE),-100)</f>
        <v>-100</v>
      </c>
      <c r="BQ512">
        <f>IF(Table2912[[#This Row],[DMD '[mg/g']]]&gt;Y$10,_xlfn.NORM.DIST(Table2912[[#This Row],[DMD '[mg/g']]],Y$6,Y$2,FALSE),-100)</f>
        <v>1.1067381245606662E-3</v>
      </c>
      <c r="BR512">
        <f>IF(Table2912[[#This Row],[CH4 '[ml/g']]]&lt;Z$10,_xlfn.NORM.DIST(Table2912[[#This Row],[CH4 '[ml/g']]],Z$6,Z$2,FALSE),-100)</f>
        <v>-100</v>
      </c>
      <c r="BS512">
        <f>IF(Table2912[[#This Row],[CH4 '[% GP']]]&lt;AA$10,_xlfn.NORM.DIST(Table2912[[#This Row],[CH4 '[% GP']]],AA$6,AA$2,FALSE),-100)</f>
        <v>-100</v>
      </c>
      <c r="BT512">
        <f>IF(Table2912[[#This Row],[CH4 '[g/g DDM']]]&lt;AB$10,_xlfn.NORM.DIST(Table2912[[#This Row],[CH4 '[g/g DDM']]],AB$6,AB$2,FALSE),-100)</f>
        <v>-100</v>
      </c>
    </row>
    <row r="513" spans="1:72" x14ac:dyDescent="0.25">
      <c r="A513" s="12" t="s">
        <v>200</v>
      </c>
      <c r="B513" s="13">
        <v>1184</v>
      </c>
      <c r="C513" s="113" t="s">
        <v>603</v>
      </c>
      <c r="D513" s="113" t="s">
        <v>604</v>
      </c>
      <c r="E513" s="113" t="s">
        <v>605</v>
      </c>
      <c r="F513" s="113" t="s">
        <v>606</v>
      </c>
      <c r="G513" t="s">
        <v>607</v>
      </c>
      <c r="H513" t="s">
        <v>317</v>
      </c>
      <c r="I513" s="115" t="s">
        <v>48</v>
      </c>
      <c r="J513" s="107">
        <v>1</v>
      </c>
      <c r="K513" s="107"/>
      <c r="L513" s="107"/>
      <c r="M513" t="s">
        <v>608</v>
      </c>
      <c r="N513" t="s">
        <v>363</v>
      </c>
      <c r="O513" s="18">
        <v>294.3865832235399</v>
      </c>
      <c r="P513" s="18">
        <v>7.8205587738666233</v>
      </c>
      <c r="Q513" s="97">
        <v>0.63478523906335094</v>
      </c>
      <c r="R513" s="97">
        <v>0.20647436522092283</v>
      </c>
      <c r="S513" s="97">
        <v>0.10696679211882892</v>
      </c>
      <c r="T513" s="97">
        <v>1.6100040187260464E-2</v>
      </c>
      <c r="U513" s="97">
        <v>1.0275484879178555E-3</v>
      </c>
      <c r="V513" s="97">
        <v>1.3507195820324853E-2</v>
      </c>
      <c r="W513" s="97">
        <v>2.1138819101394184E-2</v>
      </c>
      <c r="X513" s="51">
        <f t="shared" si="34"/>
        <v>5.6233694325943224</v>
      </c>
      <c r="Y513" s="18">
        <v>967.25605762933833</v>
      </c>
      <c r="Z513" s="18">
        <v>43.977891154768905</v>
      </c>
      <c r="AA513" s="18">
        <f t="shared" si="35"/>
        <v>14.938823187256014</v>
      </c>
      <c r="AB513" s="18">
        <f t="shared" si="36"/>
        <v>45.466648472127375</v>
      </c>
      <c r="AC513" s="18">
        <f>$CP$15*Table2912[[#This Row],[DMD '[mg/g']]]+$CS$15*Table2912[[#This Row],[CH4 '[ml/g']]]+$CR$15*Table2912[[#This Row],[CH4 '[% GP']]]+$CQ$15*Table2912[[#This Row],[CH4 '[g/g DDM']]]</f>
        <v>33.110649640084766</v>
      </c>
      <c r="AD513" s="18">
        <f>_xlfn.RANK.AVG(Table2912[[#This Row],[Index]],Table2912[Index])</f>
        <v>29</v>
      </c>
      <c r="AE51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7.4156602640022147</v>
      </c>
      <c r="AF513" s="18">
        <f>Table2912[[#This Row],[CH4 '[ml/g']]]/Table2912[[#This Row],[APB]]</f>
        <v>5.930408026949463</v>
      </c>
      <c r="AG513" s="18">
        <f>Table2912[[#This Row],[Propionate '[%']]]/Table2912[[#This Row],[Acetate '[%']]]</f>
        <v>0.32526648780551887</v>
      </c>
      <c r="AH513" s="51"/>
      <c r="AI513" s="18"/>
      <c r="AJ513" s="18"/>
      <c r="AK513" s="18">
        <f>(Table2912[[#This Row],[DMD '[mg/g']]]-$AK$15)/$AK$15*100</f>
        <v>97.282790434638571</v>
      </c>
      <c r="AL513" s="18">
        <f>(Table2912[[#This Row],[CH4 '[ml/g']]]-AL$15)/AL$15*100</f>
        <v>11.81139701325889</v>
      </c>
      <c r="AM513" s="18">
        <f>(Table2912[[#This Row],[CH4 '[% GP']]]-AM$15)/AM$15*100</f>
        <v>-3.7592919691168603</v>
      </c>
      <c r="AN513" s="18">
        <f>(Table2912[[#This Row],[CH4 '[g/g DDM']]]-AN$15)/AN$15*100</f>
        <v>-11.224871117371057</v>
      </c>
      <c r="AO513" s="18"/>
      <c r="AP513" s="18"/>
      <c r="AQ513" t="e">
        <f t="shared" si="33"/>
        <v>#DIV/0!</v>
      </c>
      <c r="AR513">
        <f>_xlfn.NORM.DIST(Table2912[[#This Row],[GP '[ml/g']]],O$6,O$2,FALSE)</f>
        <v>5.7332679169817876E-3</v>
      </c>
      <c r="AS513">
        <f>_xlfn.NORM.DIST(Table2912[[#This Row],[SCFA '[mmol/g']]],P$6,P$2,FALSE)</f>
        <v>0.18767928660855471</v>
      </c>
      <c r="AT513">
        <f>_xlfn.NORM.DIST(Table2912[[#This Row],[Acetate '[%']]],Q$6,Q$2,FALSE)</f>
        <v>5.6540981113765714</v>
      </c>
      <c r="AU513">
        <f>_xlfn.NORM.DIST(Table2912[[#This Row],[Propionate '[%']]],R$6,R$2,FALSE)</f>
        <v>5.8127357079028288</v>
      </c>
      <c r="AV513">
        <f>_xlfn.NORM.DIST(Table2912[[#This Row],[Butyrate '[%']]],S$6,S$2,FALSE)</f>
        <v>16.578616635819454</v>
      </c>
      <c r="AW513">
        <f>_xlfn.NORM.DIST(Table2912[[#This Row],[Valerate '[%']]],T$6,T$2,FALSE)</f>
        <v>73.935103806784767</v>
      </c>
      <c r="AX513">
        <f>_xlfn.NORM.DIST(Table2912[[#This Row],[Caproate '[%']]],U$6,U$2,FALSE)</f>
        <v>387.62931103165431</v>
      </c>
      <c r="AY513">
        <f>_xlfn.NORM.DIST(Table2912[[#This Row],[Isobutyrate '[%']]],V$6,V$2,FALSE)</f>
        <v>82.919153611884255</v>
      </c>
      <c r="AZ513">
        <f>_xlfn.NORM.DIST(Table2912[[#This Row],[Isovalerate '[%']]],W$6,W$2,FALSE)</f>
        <v>33.791175242415264</v>
      </c>
      <c r="BA513">
        <f>_xlfn.NORM.DIST(Table2912[[#This Row],[CH4 '[g/mmol SCFA']]],X$6,X$2,FALSE)</f>
        <v>0.26356243162823839</v>
      </c>
      <c r="BB513">
        <f>_xlfn.NORM.DIST(Table2912[[#This Row],[DMD '[mg/g']]],Y$6,Y$2,FALSE)</f>
        <v>1.0974893922798415E-3</v>
      </c>
      <c r="BC513">
        <f>_xlfn.NORM.DIST(Table2912[[#This Row],[CH4 '[ml/g']]],Z$6,Z$2,FALSE)</f>
        <v>3.2728698384597264E-2</v>
      </c>
      <c r="BD513">
        <f>_xlfn.NORM.DIST(Table2912[[#This Row],[CH4 '[% GP']]],AA$6,AA$2,FALSE)</f>
        <v>0.12526643586613459</v>
      </c>
      <c r="BE513">
        <f>_xlfn.NORM.DIST(Table2912[[#This Row],[CH4 '[g/g DDM']]],AB$6,AB$2,FALSE)</f>
        <v>2.6604401293415906E-2</v>
      </c>
      <c r="BG513">
        <f>IF(Table2912[[#This Row],[GP '[ml/g']]]&lt;O$10,_xlfn.NORM.DIST(Table2912[[#This Row],[GP '[ml/g']]],O$6,O$2,FALSE),-100)</f>
        <v>-100</v>
      </c>
      <c r="BH513">
        <f>IF(Table2912[[#This Row],[SCFA '[mmol/g']]]&lt;P$10,_xlfn.NORM.DIST(Table2912[[#This Row],[SCFA '[mmol/g']]],P$6,P$2,FALSE),-100)</f>
        <v>-100</v>
      </c>
      <c r="BI513">
        <f>IF(Table2912[[#This Row],[Acetate '[%']]]&lt;Q$10,_xlfn.NORM.DIST(Table2912[[#This Row],[Acetate '[%']]],Q$6,Q$2,FALSE),-100)</f>
        <v>5.6540981113765714</v>
      </c>
      <c r="BJ513">
        <f>IF(Table2912[[#This Row],[Propionate '[%']]]&lt;R$10,_xlfn.NORM.DIST(Table2912[[#This Row],[Propionate '[%']]],R$6,R$2,FALSE),-100)</f>
        <v>-100</v>
      </c>
      <c r="BK513">
        <f>IF(Table2912[[#This Row],[Butyrate '[%']]]&lt;S$10,_xlfn.NORM.DIST(Table2912[[#This Row],[Butyrate '[%']]],S$6,S$2,FALSE),-100)</f>
        <v>-100</v>
      </c>
      <c r="BL513">
        <f>IF(Table2912[[#This Row],[Valerate '[%']]]&lt;T$10,_xlfn.NORM.DIST(Table2912[[#This Row],[Valerate '[%']]],T$6,T$2,FALSE),-100)</f>
        <v>-100</v>
      </c>
      <c r="BM513">
        <f>IF(Table2912[[#This Row],[Caproate '[%']]]&lt;U$10,_xlfn.NORM.DIST(Table2912[[#This Row],[Caproate '[%']]],U$6,U$2,FALSE),-100)</f>
        <v>-100</v>
      </c>
      <c r="BN513">
        <f>IF(Table2912[[#This Row],[Isobutyrate '[%']]]&lt;V$10,_xlfn.NORM.DIST(Table2912[[#This Row],[Isobutyrate '[%']]],V$6,V$2,FALSE),-100)</f>
        <v>-100</v>
      </c>
      <c r="BO513">
        <f>IF(Table2912[[#This Row],[Isovalerate '[%']]]&lt;W$10,_xlfn.NORM.DIST(Table2912[[#This Row],[Isovalerate '[%']]],W$6,W$2,FALSE),-100)</f>
        <v>-100</v>
      </c>
      <c r="BP513">
        <f>IF(Table2912[[#This Row],[CH4 '[g/mmol SCFA']]]&lt;X$10,_xlfn.NORM.DIST(Table2912[[#This Row],[CH4 '[g/mmol SCFA']]],X$6,X$2,FALSE),-100)</f>
        <v>-100</v>
      </c>
      <c r="BQ513">
        <f>IF(Table2912[[#This Row],[DMD '[mg/g']]]&gt;Y$10,_xlfn.NORM.DIST(Table2912[[#This Row],[DMD '[mg/g']]],Y$6,Y$2,FALSE),-100)</f>
        <v>1.0974893922798415E-3</v>
      </c>
      <c r="BR513">
        <f>IF(Table2912[[#This Row],[CH4 '[ml/g']]]&lt;Z$10,_xlfn.NORM.DIST(Table2912[[#This Row],[CH4 '[ml/g']]],Z$6,Z$2,FALSE),-100)</f>
        <v>-100</v>
      </c>
      <c r="BS513">
        <f>IF(Table2912[[#This Row],[CH4 '[% GP']]]&lt;AA$10,_xlfn.NORM.DIST(Table2912[[#This Row],[CH4 '[% GP']]],AA$6,AA$2,FALSE),-100)</f>
        <v>-100</v>
      </c>
      <c r="BT513">
        <f>IF(Table2912[[#This Row],[CH4 '[g/g DDM']]]&lt;AB$10,_xlfn.NORM.DIST(Table2912[[#This Row],[CH4 '[g/g DDM']]],AB$6,AB$2,FALSE),-100)</f>
        <v>-100</v>
      </c>
    </row>
    <row r="514" spans="1:72" x14ac:dyDescent="0.25">
      <c r="A514" s="12" t="s">
        <v>200</v>
      </c>
      <c r="B514" s="13">
        <v>1258</v>
      </c>
      <c r="C514" s="113" t="s">
        <v>586</v>
      </c>
      <c r="D514" s="113" t="s">
        <v>587</v>
      </c>
      <c r="E514" s="113" t="s">
        <v>588</v>
      </c>
      <c r="F514" s="114" t="s">
        <v>589</v>
      </c>
      <c r="G514" t="s">
        <v>73</v>
      </c>
      <c r="H514" t="s">
        <v>74</v>
      </c>
      <c r="I514" t="s">
        <v>75</v>
      </c>
      <c r="J514" s="70">
        <v>1</v>
      </c>
      <c r="K514" s="70"/>
      <c r="L514" s="70"/>
      <c r="M514" t="s">
        <v>590</v>
      </c>
      <c r="N514" t="s">
        <v>363</v>
      </c>
      <c r="O514" s="18">
        <v>287.37023887793089</v>
      </c>
      <c r="P514" s="18">
        <v>8.2645137388727115</v>
      </c>
      <c r="Q514" s="97">
        <v>0.6318007106054826</v>
      </c>
      <c r="R514" s="97">
        <v>0.19956667831975028</v>
      </c>
      <c r="S514" s="97">
        <v>0.10167594596591061</v>
      </c>
      <c r="T514" s="97">
        <v>1.8385011033991434E-2</v>
      </c>
      <c r="U514" s="97">
        <v>2.5151608519409624E-3</v>
      </c>
      <c r="V514" s="97">
        <v>1.6623650270100453E-2</v>
      </c>
      <c r="W514" s="97">
        <v>2.9432842952823637E-2</v>
      </c>
      <c r="X514" s="51">
        <f t="shared" si="34"/>
        <v>5.1543747489985918</v>
      </c>
      <c r="Y514" s="18">
        <v>973.92588418229434</v>
      </c>
      <c r="Z514" s="18">
        <v>42.598400928397446</v>
      </c>
      <c r="AA514" s="18">
        <f t="shared" si="35"/>
        <v>14.823525600538053</v>
      </c>
      <c r="AB514" s="18">
        <f t="shared" si="36"/>
        <v>43.738852843163677</v>
      </c>
      <c r="AC514" s="18">
        <f>$CP$15*Table2912[[#This Row],[DMD '[mg/g']]]+$CS$15*Table2912[[#This Row],[CH4 '[ml/g']]]+$CR$15*Table2912[[#This Row],[CH4 '[% GP']]]+$CQ$15*Table2912[[#This Row],[CH4 '[g/g DDM']]]</f>
        <v>34.213875413306724</v>
      </c>
      <c r="AD514" s="18">
        <f>_xlfn.RANK.AVG(Table2912[[#This Row],[Index]],Table2912[Index])</f>
        <v>22</v>
      </c>
      <c r="AE51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7.7111494601714679</v>
      </c>
      <c r="AF514" s="18">
        <f>Table2912[[#This Row],[CH4 '[ml/g']]]/Table2912[[#This Row],[APB]]</f>
        <v>5.5242608314649644</v>
      </c>
      <c r="AG514" s="18">
        <f>Table2912[[#This Row],[Propionate '[%']]]/Table2912[[#This Row],[Acetate '[%']]]</f>
        <v>0.3158696642308248</v>
      </c>
      <c r="AH514" s="51"/>
      <c r="AI514" s="18"/>
      <c r="AJ514" s="18"/>
      <c r="AK514" s="18">
        <f>(Table2912[[#This Row],[DMD '[mg/g']]]-$AK$15)/$AK$15*100</f>
        <v>98.643176842873885</v>
      </c>
      <c r="AL514" s="18">
        <f>(Table2912[[#This Row],[CH4 '[ml/g']]]-AL$15)/AL$15*100</f>
        <v>8.3041181209192843</v>
      </c>
      <c r="AM514" s="18">
        <f>(Table2912[[#This Row],[CH4 '[% GP']]]-AM$15)/AM$15*100</f>
        <v>-4.5020761389874018</v>
      </c>
      <c r="AN514" s="18">
        <f>(Table2912[[#This Row],[CH4 '[g/g DDM']]]-AN$15)/AN$15*100</f>
        <v>-14.598448999147976</v>
      </c>
      <c r="AO514" s="18"/>
      <c r="AP514" s="18"/>
      <c r="AQ514" t="e">
        <f t="shared" si="33"/>
        <v>#DIV/0!</v>
      </c>
      <c r="AR514">
        <f>_xlfn.NORM.DIST(Table2912[[#This Row],[GP '[ml/g']]],O$6,O$2,FALSE)</f>
        <v>6.2561891083518827E-3</v>
      </c>
      <c r="AS514">
        <f>_xlfn.NORM.DIST(Table2912[[#This Row],[SCFA '[mmol/g']]],P$6,P$2,FALSE)</f>
        <v>0.11790817135860948</v>
      </c>
      <c r="AT514">
        <f>_xlfn.NORM.DIST(Table2912[[#This Row],[Acetate '[%']]],Q$6,Q$2,FALSE)</f>
        <v>4.8813247969641891</v>
      </c>
      <c r="AU514">
        <f>_xlfn.NORM.DIST(Table2912[[#This Row],[Propionate '[%']]],R$6,R$2,FALSE)</f>
        <v>8.5102093742321046</v>
      </c>
      <c r="AV514">
        <f>_xlfn.NORM.DIST(Table2912[[#This Row],[Butyrate '[%']]],S$6,S$2,FALSE)</f>
        <v>20.269300508889984</v>
      </c>
      <c r="AW514">
        <f>_xlfn.NORM.DIST(Table2912[[#This Row],[Valerate '[%']]],T$6,T$2,FALSE)</f>
        <v>76.631465061971099</v>
      </c>
      <c r="AX514">
        <f>_xlfn.NORM.DIST(Table2912[[#This Row],[Caproate '[%']]],U$6,U$2,FALSE)</f>
        <v>196.70820348662269</v>
      </c>
      <c r="AY514">
        <f>_xlfn.NORM.DIST(Table2912[[#This Row],[Isobutyrate '[%']]],V$6,V$2,FALSE)</f>
        <v>86.315698595978304</v>
      </c>
      <c r="AZ514">
        <f>_xlfn.NORM.DIST(Table2912[[#This Row],[Isovalerate '[%']]],W$6,W$2,FALSE)</f>
        <v>44.738673710732499</v>
      </c>
      <c r="BA514">
        <f>_xlfn.NORM.DIST(Table2912[[#This Row],[CH4 '[g/mmol SCFA']]],X$6,X$2,FALSE)</f>
        <v>0.20878561257250222</v>
      </c>
      <c r="BB514">
        <f>_xlfn.NORM.DIST(Table2912[[#This Row],[DMD '[mg/g']]],Y$6,Y$2,FALSE)</f>
        <v>1.0239626948236583E-3</v>
      </c>
      <c r="BC514">
        <f>_xlfn.NORM.DIST(Table2912[[#This Row],[CH4 '[ml/g']]],Z$6,Z$2,FALSE)</f>
        <v>3.3336200101733118E-2</v>
      </c>
      <c r="BD514">
        <f>_xlfn.NORM.DIST(Table2912[[#This Row],[CH4 '[% GP']]],AA$6,AA$2,FALSE)</f>
        <v>0.12332653121367711</v>
      </c>
      <c r="BE514">
        <f>_xlfn.NORM.DIST(Table2912[[#This Row],[CH4 '[g/g DDM']]],AB$6,AB$2,FALSE)</f>
        <v>2.4011676404849015E-2</v>
      </c>
      <c r="BG514">
        <f>IF(Table2912[[#This Row],[GP '[ml/g']]]&lt;O$10,_xlfn.NORM.DIST(Table2912[[#This Row],[GP '[ml/g']]],O$6,O$2,FALSE),-100)</f>
        <v>-100</v>
      </c>
      <c r="BH514">
        <f>IF(Table2912[[#This Row],[SCFA '[mmol/g']]]&lt;P$10,_xlfn.NORM.DIST(Table2912[[#This Row],[SCFA '[mmol/g']]],P$6,P$2,FALSE),-100)</f>
        <v>-100</v>
      </c>
      <c r="BI514">
        <f>IF(Table2912[[#This Row],[Acetate '[%']]]&lt;Q$10,_xlfn.NORM.DIST(Table2912[[#This Row],[Acetate '[%']]],Q$6,Q$2,FALSE),-100)</f>
        <v>4.8813247969641891</v>
      </c>
      <c r="BJ514">
        <f>IF(Table2912[[#This Row],[Propionate '[%']]]&lt;R$10,_xlfn.NORM.DIST(Table2912[[#This Row],[Propionate '[%']]],R$6,R$2,FALSE),-100)</f>
        <v>-100</v>
      </c>
      <c r="BK514">
        <f>IF(Table2912[[#This Row],[Butyrate '[%']]]&lt;S$10,_xlfn.NORM.DIST(Table2912[[#This Row],[Butyrate '[%']]],S$6,S$2,FALSE),-100)</f>
        <v>-100</v>
      </c>
      <c r="BL514">
        <f>IF(Table2912[[#This Row],[Valerate '[%']]]&lt;T$10,_xlfn.NORM.DIST(Table2912[[#This Row],[Valerate '[%']]],T$6,T$2,FALSE),-100)</f>
        <v>-100</v>
      </c>
      <c r="BM514">
        <f>IF(Table2912[[#This Row],[Caproate '[%']]]&lt;U$10,_xlfn.NORM.DIST(Table2912[[#This Row],[Caproate '[%']]],U$6,U$2,FALSE),-100)</f>
        <v>-100</v>
      </c>
      <c r="BN514">
        <f>IF(Table2912[[#This Row],[Isobutyrate '[%']]]&lt;V$10,_xlfn.NORM.DIST(Table2912[[#This Row],[Isobutyrate '[%']]],V$6,V$2,FALSE),-100)</f>
        <v>-100</v>
      </c>
      <c r="BO514">
        <f>IF(Table2912[[#This Row],[Isovalerate '[%']]]&lt;W$10,_xlfn.NORM.DIST(Table2912[[#This Row],[Isovalerate '[%']]],W$6,W$2,FALSE),-100)</f>
        <v>-100</v>
      </c>
      <c r="BP514">
        <f>IF(Table2912[[#This Row],[CH4 '[g/mmol SCFA']]]&lt;X$10,_xlfn.NORM.DIST(Table2912[[#This Row],[CH4 '[g/mmol SCFA']]],X$6,X$2,FALSE),-100)</f>
        <v>-100</v>
      </c>
      <c r="BQ514">
        <f>IF(Table2912[[#This Row],[DMD '[mg/g']]]&gt;Y$10,_xlfn.NORM.DIST(Table2912[[#This Row],[DMD '[mg/g']]],Y$6,Y$2,FALSE),-100)</f>
        <v>1.0239626948236583E-3</v>
      </c>
      <c r="BR514">
        <f>IF(Table2912[[#This Row],[CH4 '[ml/g']]]&lt;Z$10,_xlfn.NORM.DIST(Table2912[[#This Row],[CH4 '[ml/g']]],Z$6,Z$2,FALSE),-100)</f>
        <v>-100</v>
      </c>
      <c r="BS514">
        <f>IF(Table2912[[#This Row],[CH4 '[% GP']]]&lt;AA$10,_xlfn.NORM.DIST(Table2912[[#This Row],[CH4 '[% GP']]],AA$6,AA$2,FALSE),-100)</f>
        <v>-100</v>
      </c>
      <c r="BT514">
        <f>IF(Table2912[[#This Row],[CH4 '[g/g DDM']]]&lt;AB$10,_xlfn.NORM.DIST(Table2912[[#This Row],[CH4 '[g/g DDM']]],AB$6,AB$2,FALSE),-100)</f>
        <v>-100</v>
      </c>
    </row>
    <row r="515" spans="1:72" x14ac:dyDescent="0.25">
      <c r="A515" s="12" t="s">
        <v>70</v>
      </c>
      <c r="B515" s="13">
        <v>989</v>
      </c>
      <c r="C515" s="96" t="s">
        <v>447</v>
      </c>
      <c r="D515" s="96"/>
      <c r="E515" s="96"/>
      <c r="F515" s="96" t="s">
        <v>448</v>
      </c>
      <c r="G515" t="s">
        <v>73</v>
      </c>
      <c r="H515" t="s">
        <v>74</v>
      </c>
      <c r="I515" t="s">
        <v>75</v>
      </c>
      <c r="J515" s="100">
        <v>2</v>
      </c>
      <c r="K515" s="100"/>
      <c r="L515" s="100"/>
      <c r="M515" t="s">
        <v>448</v>
      </c>
      <c r="N515" t="s">
        <v>85</v>
      </c>
      <c r="O515" s="18">
        <v>308.02945993802535</v>
      </c>
      <c r="P515" s="18">
        <v>7.35574369189907</v>
      </c>
      <c r="Q515" s="97">
        <v>0.68137089216047175</v>
      </c>
      <c r="R515" s="97">
        <v>0.16054001168815621</v>
      </c>
      <c r="S515" s="97">
        <v>9.9285707069751705E-2</v>
      </c>
      <c r="T515" s="97">
        <v>1.6318724014516096E-2</v>
      </c>
      <c r="U515" s="97">
        <v>9.4775140544266548E-4</v>
      </c>
      <c r="V515" s="97">
        <v>1.4126151554155534E-2</v>
      </c>
      <c r="W515" s="97">
        <v>2.7410762107506051E-2</v>
      </c>
      <c r="X515" s="51">
        <f t="shared" si="34"/>
        <v>6.0452939279877311</v>
      </c>
      <c r="Y515" s="18">
        <v>973.99291722000908</v>
      </c>
      <c r="Z515" s="18">
        <v>44.467632676471503</v>
      </c>
      <c r="AA515" s="18">
        <f t="shared" si="35"/>
        <v>14.436162270134249</v>
      </c>
      <c r="AB515" s="18">
        <f t="shared" si="36"/>
        <v>45.654985668060043</v>
      </c>
      <c r="AC515" s="18">
        <f>$CP$15*Table2912[[#This Row],[DMD '[mg/g']]]+$CS$15*Table2912[[#This Row],[CH4 '[ml/g']]]+$CR$15*Table2912[[#This Row],[CH4 '[% GP']]]+$CQ$15*Table2912[[#This Row],[CH4 '[g/g DDM']]]</f>
        <v>33.745045923473313</v>
      </c>
      <c r="AD515" s="18">
        <f>_xlfn.RANK.AVG(Table2912[[#This Row],[Index]],Table2912[Index])</f>
        <v>23</v>
      </c>
      <c r="AE51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6.9232010335996552</v>
      </c>
      <c r="AF515" s="18">
        <f>Table2912[[#This Row],[CH4 '[ml/g']]]/Table2912[[#This Row],[APB]]</f>
        <v>6.4229873523333127</v>
      </c>
      <c r="AG515" s="18">
        <f>Table2912[[#This Row],[Propionate '[%']]]/Table2912[[#This Row],[Acetate '[%']]]</f>
        <v>0.23561325195316229</v>
      </c>
      <c r="AH515" s="51"/>
      <c r="AI515" s="18"/>
      <c r="AJ515" s="18"/>
      <c r="AK515" s="18">
        <f>(Table2912[[#This Row],[DMD '[mg/g']]]-$AK$15)/$AK$15*100</f>
        <v>98.656848987521997</v>
      </c>
      <c r="AL515" s="18">
        <f>(Table2912[[#This Row],[CH4 '[ml/g']]]-AL$15)/AL$15*100</f>
        <v>13.056538203050314</v>
      </c>
      <c r="AM515" s="18">
        <f>(Table2912[[#This Row],[CH4 '[% GP']]]-AM$15)/AM$15*100</f>
        <v>-6.9975954122234558</v>
      </c>
      <c r="AN515" s="18">
        <f>(Table2912[[#This Row],[CH4 '[g/g DDM']]]-AN$15)/AN$15*100</f>
        <v>-10.857136538197814</v>
      </c>
      <c r="AO515" s="18"/>
      <c r="AP515" s="18"/>
      <c r="AQ515" t="e">
        <f t="shared" si="33"/>
        <v>#DIV/0!</v>
      </c>
      <c r="AR515">
        <f>_xlfn.NORM.DIST(Table2912[[#This Row],[GP '[ml/g']]],O$6,O$2,FALSE)</f>
        <v>4.6044527934794533E-3</v>
      </c>
      <c r="AS515">
        <f>_xlfn.NORM.DIST(Table2912[[#This Row],[SCFA '[mmol/g']]],P$6,P$2,FALSE)</f>
        <v>0.26361146073172054</v>
      </c>
      <c r="AT515">
        <f>_xlfn.NORM.DIST(Table2912[[#This Row],[Acetate '[%']]],Q$6,Q$2,FALSE)</f>
        <v>13.449574094411458</v>
      </c>
      <c r="AU515">
        <f>_xlfn.NORM.DIST(Table2912[[#This Row],[Propionate '[%']]],R$6,R$2,FALSE)</f>
        <v>14.987205402565584</v>
      </c>
      <c r="AV515">
        <f>_xlfn.NORM.DIST(Table2912[[#This Row],[Butyrate '[%']]],S$6,S$2,FALSE)</f>
        <v>21.5272256359046</v>
      </c>
      <c r="AW515">
        <f>_xlfn.NORM.DIST(Table2912[[#This Row],[Valerate '[%']]],T$6,T$2,FALSE)</f>
        <v>74.822539269080508</v>
      </c>
      <c r="AX515">
        <f>_xlfn.NORM.DIST(Table2912[[#This Row],[Caproate '[%']]],U$6,U$2,FALSE)</f>
        <v>376.67172755533602</v>
      </c>
      <c r="AY515">
        <f>_xlfn.NORM.DIST(Table2912[[#This Row],[Isobutyrate '[%']]],V$6,V$2,FALSE)</f>
        <v>86.948392369556188</v>
      </c>
      <c r="AZ515">
        <f>_xlfn.NORM.DIST(Table2912[[#This Row],[Isovalerate '[%']]],W$6,W$2,FALSE)</f>
        <v>45.36084934771943</v>
      </c>
      <c r="BA515">
        <f>_xlfn.NORM.DIST(Table2912[[#This Row],[CH4 '[g/mmol SCFA']]],X$6,X$2,FALSE)</f>
        <v>0.29278407905828135</v>
      </c>
      <c r="BB515">
        <f>_xlfn.NORM.DIST(Table2912[[#This Row],[DMD '[mg/g']]],Y$6,Y$2,FALSE)</f>
        <v>1.0232369671500383E-3</v>
      </c>
      <c r="BC515">
        <f>_xlfn.NORM.DIST(Table2912[[#This Row],[CH4 '[ml/g']]],Z$6,Z$2,FALSE)</f>
        <v>3.2410885023708182E-2</v>
      </c>
      <c r="BD515">
        <f>_xlfn.NORM.DIST(Table2912[[#This Row],[CH4 '[% GP']]],AA$6,AA$2,FALSE)</f>
        <v>0.11573441353631558</v>
      </c>
      <c r="BE515">
        <f>_xlfn.NORM.DIST(Table2912[[#This Row],[CH4 '[g/g DDM']]],AB$6,AB$2,FALSE)</f>
        <v>2.6870525546991271E-2</v>
      </c>
      <c r="BG515">
        <f>IF(Table2912[[#This Row],[GP '[ml/g']]]&lt;O$10,_xlfn.NORM.DIST(Table2912[[#This Row],[GP '[ml/g']]],O$6,O$2,FALSE),-100)</f>
        <v>-100</v>
      </c>
      <c r="BH515">
        <f>IF(Table2912[[#This Row],[SCFA '[mmol/g']]]&lt;P$10,_xlfn.NORM.DIST(Table2912[[#This Row],[SCFA '[mmol/g']]],P$6,P$2,FALSE),-100)</f>
        <v>-100</v>
      </c>
      <c r="BI515">
        <f>IF(Table2912[[#This Row],[Acetate '[%']]]&lt;Q$10,_xlfn.NORM.DIST(Table2912[[#This Row],[Acetate '[%']]],Q$6,Q$2,FALSE),-100)</f>
        <v>-100</v>
      </c>
      <c r="BJ515">
        <f>IF(Table2912[[#This Row],[Propionate '[%']]]&lt;R$10,_xlfn.NORM.DIST(Table2912[[#This Row],[Propionate '[%']]],R$6,R$2,FALSE),-100)</f>
        <v>-100</v>
      </c>
      <c r="BK515">
        <f>IF(Table2912[[#This Row],[Butyrate '[%']]]&lt;S$10,_xlfn.NORM.DIST(Table2912[[#This Row],[Butyrate '[%']]],S$6,S$2,FALSE),-100)</f>
        <v>-100</v>
      </c>
      <c r="BL515">
        <f>IF(Table2912[[#This Row],[Valerate '[%']]]&lt;T$10,_xlfn.NORM.DIST(Table2912[[#This Row],[Valerate '[%']]],T$6,T$2,FALSE),-100)</f>
        <v>-100</v>
      </c>
      <c r="BM515">
        <f>IF(Table2912[[#This Row],[Caproate '[%']]]&lt;U$10,_xlfn.NORM.DIST(Table2912[[#This Row],[Caproate '[%']]],U$6,U$2,FALSE),-100)</f>
        <v>-100</v>
      </c>
      <c r="BN515">
        <f>IF(Table2912[[#This Row],[Isobutyrate '[%']]]&lt;V$10,_xlfn.NORM.DIST(Table2912[[#This Row],[Isobutyrate '[%']]],V$6,V$2,FALSE),-100)</f>
        <v>-100</v>
      </c>
      <c r="BO515">
        <f>IF(Table2912[[#This Row],[Isovalerate '[%']]]&lt;W$10,_xlfn.NORM.DIST(Table2912[[#This Row],[Isovalerate '[%']]],W$6,W$2,FALSE),-100)</f>
        <v>-100</v>
      </c>
      <c r="BP515">
        <f>IF(Table2912[[#This Row],[CH4 '[g/mmol SCFA']]]&lt;X$10,_xlfn.NORM.DIST(Table2912[[#This Row],[CH4 '[g/mmol SCFA']]],X$6,X$2,FALSE),-100)</f>
        <v>-100</v>
      </c>
      <c r="BQ515">
        <f>IF(Table2912[[#This Row],[DMD '[mg/g']]]&gt;Y$10,_xlfn.NORM.DIST(Table2912[[#This Row],[DMD '[mg/g']]],Y$6,Y$2,FALSE),-100)</f>
        <v>1.0232369671500383E-3</v>
      </c>
      <c r="BR515">
        <f>IF(Table2912[[#This Row],[CH4 '[ml/g']]]&lt;Z$10,_xlfn.NORM.DIST(Table2912[[#This Row],[CH4 '[ml/g']]],Z$6,Z$2,FALSE),-100)</f>
        <v>-100</v>
      </c>
      <c r="BS515">
        <f>IF(Table2912[[#This Row],[CH4 '[% GP']]]&lt;AA$10,_xlfn.NORM.DIST(Table2912[[#This Row],[CH4 '[% GP']]],AA$6,AA$2,FALSE),-100)</f>
        <v>-100</v>
      </c>
      <c r="BT515">
        <f>IF(Table2912[[#This Row],[CH4 '[g/g DDM']]]&lt;AB$10,_xlfn.NORM.DIST(Table2912[[#This Row],[CH4 '[g/g DDM']]],AB$6,AB$2,FALSE),-100)</f>
        <v>-100</v>
      </c>
    </row>
    <row r="516" spans="1:72" x14ac:dyDescent="0.25">
      <c r="A516" s="12" t="s">
        <v>200</v>
      </c>
      <c r="B516" s="13">
        <v>1258</v>
      </c>
      <c r="C516" s="113" t="s">
        <v>586</v>
      </c>
      <c r="D516" s="113" t="s">
        <v>587</v>
      </c>
      <c r="E516" s="113" t="s">
        <v>588</v>
      </c>
      <c r="F516" s="114" t="s">
        <v>589</v>
      </c>
      <c r="G516" t="s">
        <v>73</v>
      </c>
      <c r="H516" t="s">
        <v>74</v>
      </c>
      <c r="I516" t="s">
        <v>75</v>
      </c>
      <c r="J516" s="70">
        <v>2</v>
      </c>
      <c r="K516" s="70"/>
      <c r="L516" s="70"/>
      <c r="M516" t="s">
        <v>590</v>
      </c>
      <c r="N516" t="s">
        <v>342</v>
      </c>
      <c r="O516" s="18">
        <v>298.64186507936449</v>
      </c>
      <c r="P516" s="18">
        <v>8.0939351455818525</v>
      </c>
      <c r="Q516" s="97">
        <v>0.64384979095178374</v>
      </c>
      <c r="R516" s="97">
        <v>0.17401249821206344</v>
      </c>
      <c r="S516" s="97">
        <v>0.10761811566558518</v>
      </c>
      <c r="T516" s="97">
        <v>1.8593890609847667E-2</v>
      </c>
      <c r="U516" s="97">
        <v>2.0061793866345858E-3</v>
      </c>
      <c r="V516" s="97">
        <v>1.9675890654935614E-2</v>
      </c>
      <c r="W516" s="97">
        <v>3.4243634519149746E-2</v>
      </c>
      <c r="X516" s="51">
        <f t="shared" si="34"/>
        <v>6.4986889487157269</v>
      </c>
      <c r="Y516" s="18">
        <v>975.02547814424065</v>
      </c>
      <c r="Z516" s="18">
        <v>52.599966882214602</v>
      </c>
      <c r="AA516" s="18">
        <f t="shared" si="35"/>
        <v>17.613058660826432</v>
      </c>
      <c r="AB516" s="18">
        <f t="shared" si="36"/>
        <v>53.947274262338006</v>
      </c>
      <c r="AC516" s="18">
        <f>$CP$15*Table2912[[#This Row],[DMD '[mg/g']]]+$CS$15*Table2912[[#This Row],[CH4 '[ml/g']]]+$CR$15*Table2912[[#This Row],[CH4 '[% GP']]]+$CQ$15*Table2912[[#This Row],[CH4 '[g/g DDM']]]</f>
        <v>30.322657722814931</v>
      </c>
      <c r="AD516" s="18">
        <f>_xlfn.RANK.AVG(Table2912[[#This Row],[Index]],Table2912[Index])</f>
        <v>47</v>
      </c>
      <c r="AE51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7.4907783751962631</v>
      </c>
      <c r="AF516" s="18">
        <f>Table2912[[#This Row],[CH4 '[ml/g']]]/Table2912[[#This Row],[APB]]</f>
        <v>7.021962771770891</v>
      </c>
      <c r="AG516" s="18">
        <f>Table2912[[#This Row],[Propionate '[%']]]/Table2912[[#This Row],[Acetate '[%']]]</f>
        <v>0.27026878110005442</v>
      </c>
      <c r="AH516" s="51"/>
      <c r="AI516" s="18"/>
      <c r="AJ516" s="18"/>
      <c r="AK516" s="18">
        <f>(Table2912[[#This Row],[DMD '[mg/g']]]-$AK$15)/$AK$15*100</f>
        <v>98.86745144260037</v>
      </c>
      <c r="AL516" s="18">
        <f>(Table2912[[#This Row],[CH4 '[ml/g']]]-AL$15)/AL$15*100</f>
        <v>33.732555734742377</v>
      </c>
      <c r="AM516" s="18">
        <f>(Table2912[[#This Row],[CH4 '[% GP']]]-AM$15)/AM$15*100</f>
        <v>13.468993833025717</v>
      </c>
      <c r="AN516" s="18">
        <f>(Table2912[[#This Row],[CH4 '[g/g DDM']]]-AN$15)/AN$15*100</f>
        <v>5.3338301027734207</v>
      </c>
      <c r="AO516" s="18"/>
      <c r="AP516" s="18"/>
      <c r="AQ516" t="e">
        <f t="shared" si="33"/>
        <v>#DIV/0!</v>
      </c>
      <c r="AR516">
        <f>_xlfn.NORM.DIST(Table2912[[#This Row],[GP '[ml/g']]],O$6,O$2,FALSE)</f>
        <v>5.3920095876249796E-3</v>
      </c>
      <c r="AS516">
        <f>_xlfn.NORM.DIST(Table2912[[#This Row],[SCFA '[mmol/g']]],P$6,P$2,FALSE)</f>
        <v>0.14326914295943646</v>
      </c>
      <c r="AT516">
        <f>_xlfn.NORM.DIST(Table2912[[#This Row],[Acetate '[%']]],Q$6,Q$2,FALSE)</f>
        <v>8.258358531100491</v>
      </c>
      <c r="AU516">
        <f>_xlfn.NORM.DIST(Table2912[[#This Row],[Propionate '[%']]],R$6,R$2,FALSE)</f>
        <v>16.722790904502723</v>
      </c>
      <c r="AV516">
        <f>_xlfn.NORM.DIST(Table2912[[#This Row],[Butyrate '[%']]],S$6,S$2,FALSE)</f>
        <v>16.069479148947007</v>
      </c>
      <c r="AW516">
        <f>_xlfn.NORM.DIST(Table2912[[#This Row],[Valerate '[%']]],T$6,T$2,FALSE)</f>
        <v>76.132828189469805</v>
      </c>
      <c r="AX516">
        <f>_xlfn.NORM.DIST(Table2912[[#This Row],[Caproate '[%']]],U$6,U$2,FALSE)</f>
        <v>321.47331369401547</v>
      </c>
      <c r="AY516">
        <f>_xlfn.NORM.DIST(Table2912[[#This Row],[Isobutyrate '[%']]],V$6,V$2,FALSE)</f>
        <v>55.507551111279433</v>
      </c>
      <c r="AZ516">
        <f>_xlfn.NORM.DIST(Table2912[[#This Row],[Isovalerate '[%']]],W$6,W$2,FALSE)</f>
        <v>34.982423657850759</v>
      </c>
      <c r="BA516">
        <f>_xlfn.NORM.DIST(Table2912[[#This Row],[CH4 '[g/mmol SCFA']]],X$6,X$2,FALSE)</f>
        <v>0.29357798200611235</v>
      </c>
      <c r="BB516">
        <f>_xlfn.NORM.DIST(Table2912[[#This Row],[DMD '[mg/g']]],Y$6,Y$2,FALSE)</f>
        <v>1.0120920956918546E-3</v>
      </c>
      <c r="BC516">
        <f>_xlfn.NORM.DIST(Table2912[[#This Row],[CH4 '[ml/g']]],Z$6,Z$2,FALSE)</f>
        <v>2.152381658020773E-2</v>
      </c>
      <c r="BD516">
        <f>_xlfn.NORM.DIST(Table2912[[#This Row],[CH4 '[% GP']]],AA$6,AA$2,FALSE)</f>
        <v>0.11757954560041593</v>
      </c>
      <c r="BE516">
        <f>_xlfn.NORM.DIST(Table2912[[#This Row],[CH4 '[g/g DDM']]],AB$6,AB$2,FALSE)</f>
        <v>3.2812972996967608E-2</v>
      </c>
      <c r="BG516">
        <f>IF(Table2912[[#This Row],[GP '[ml/g']]]&lt;O$10,_xlfn.NORM.DIST(Table2912[[#This Row],[GP '[ml/g']]],O$6,O$2,FALSE),-100)</f>
        <v>-100</v>
      </c>
      <c r="BH516">
        <f>IF(Table2912[[#This Row],[SCFA '[mmol/g']]]&lt;P$10,_xlfn.NORM.DIST(Table2912[[#This Row],[SCFA '[mmol/g']]],P$6,P$2,FALSE),-100)</f>
        <v>-100</v>
      </c>
      <c r="BI516">
        <f>IF(Table2912[[#This Row],[Acetate '[%']]]&lt;Q$10,_xlfn.NORM.DIST(Table2912[[#This Row],[Acetate '[%']]],Q$6,Q$2,FALSE),-100)</f>
        <v>8.258358531100491</v>
      </c>
      <c r="BJ516">
        <f>IF(Table2912[[#This Row],[Propionate '[%']]]&lt;R$10,_xlfn.NORM.DIST(Table2912[[#This Row],[Propionate '[%']]],R$6,R$2,FALSE),-100)</f>
        <v>-100</v>
      </c>
      <c r="BK516">
        <f>IF(Table2912[[#This Row],[Butyrate '[%']]]&lt;S$10,_xlfn.NORM.DIST(Table2912[[#This Row],[Butyrate '[%']]],S$6,S$2,FALSE),-100)</f>
        <v>-100</v>
      </c>
      <c r="BL516">
        <f>IF(Table2912[[#This Row],[Valerate '[%']]]&lt;T$10,_xlfn.NORM.DIST(Table2912[[#This Row],[Valerate '[%']]],T$6,T$2,FALSE),-100)</f>
        <v>-100</v>
      </c>
      <c r="BM516">
        <f>IF(Table2912[[#This Row],[Caproate '[%']]]&lt;U$10,_xlfn.NORM.DIST(Table2912[[#This Row],[Caproate '[%']]],U$6,U$2,FALSE),-100)</f>
        <v>-100</v>
      </c>
      <c r="BN516">
        <f>IF(Table2912[[#This Row],[Isobutyrate '[%']]]&lt;V$10,_xlfn.NORM.DIST(Table2912[[#This Row],[Isobutyrate '[%']]],V$6,V$2,FALSE),-100)</f>
        <v>-100</v>
      </c>
      <c r="BO516">
        <f>IF(Table2912[[#This Row],[Isovalerate '[%']]]&lt;W$10,_xlfn.NORM.DIST(Table2912[[#This Row],[Isovalerate '[%']]],W$6,W$2,FALSE),-100)</f>
        <v>-100</v>
      </c>
      <c r="BP516">
        <f>IF(Table2912[[#This Row],[CH4 '[g/mmol SCFA']]]&lt;X$10,_xlfn.NORM.DIST(Table2912[[#This Row],[CH4 '[g/mmol SCFA']]],X$6,X$2,FALSE),-100)</f>
        <v>-100</v>
      </c>
      <c r="BQ516">
        <f>IF(Table2912[[#This Row],[DMD '[mg/g']]]&gt;Y$10,_xlfn.NORM.DIST(Table2912[[#This Row],[DMD '[mg/g']]],Y$6,Y$2,FALSE),-100)</f>
        <v>1.0120920956918546E-3</v>
      </c>
      <c r="BR516">
        <f>IF(Table2912[[#This Row],[CH4 '[ml/g']]]&lt;Z$10,_xlfn.NORM.DIST(Table2912[[#This Row],[CH4 '[ml/g']]],Z$6,Z$2,FALSE),-100)</f>
        <v>-100</v>
      </c>
      <c r="BS516">
        <f>IF(Table2912[[#This Row],[CH4 '[% GP']]]&lt;AA$10,_xlfn.NORM.DIST(Table2912[[#This Row],[CH4 '[% GP']]],AA$6,AA$2,FALSE),-100)</f>
        <v>-100</v>
      </c>
      <c r="BT516">
        <f>IF(Table2912[[#This Row],[CH4 '[g/g DDM']]]&lt;AB$10,_xlfn.NORM.DIST(Table2912[[#This Row],[CH4 '[g/g DDM']]],AB$6,AB$2,FALSE),-100)</f>
        <v>-100</v>
      </c>
    </row>
    <row r="517" spans="1:72" x14ac:dyDescent="0.25">
      <c r="A517" s="12" t="s">
        <v>200</v>
      </c>
      <c r="B517" s="13">
        <v>1184</v>
      </c>
      <c r="C517" s="113" t="s">
        <v>603</v>
      </c>
      <c r="D517" s="113" t="s">
        <v>604</v>
      </c>
      <c r="E517" s="113" t="s">
        <v>605</v>
      </c>
      <c r="F517" s="113" t="s">
        <v>606</v>
      </c>
      <c r="G517" t="s">
        <v>607</v>
      </c>
      <c r="H517" t="s">
        <v>317</v>
      </c>
      <c r="I517" s="115" t="s">
        <v>48</v>
      </c>
      <c r="J517" s="107">
        <v>3</v>
      </c>
      <c r="K517" s="107"/>
      <c r="L517" s="107"/>
      <c r="M517" t="s">
        <v>608</v>
      </c>
      <c r="N517" t="s">
        <v>352</v>
      </c>
      <c r="O517" s="18">
        <v>328.97663366336678</v>
      </c>
      <c r="P517" s="18">
        <v>8.1366336633663359</v>
      </c>
      <c r="Q517" s="97">
        <v>0.65105739276075636</v>
      </c>
      <c r="R517" s="97">
        <v>0.16729942070638953</v>
      </c>
      <c r="S517" s="97">
        <v>0.11710954433040485</v>
      </c>
      <c r="T517" s="97">
        <v>1.7689092041906423E-2</v>
      </c>
      <c r="U517" s="97">
        <v>1.056663292367296E-3</v>
      </c>
      <c r="V517" s="97">
        <v>1.7064534001983468E-2</v>
      </c>
      <c r="W517" s="97">
        <v>2.872335286619191E-2</v>
      </c>
      <c r="X517" s="51">
        <f t="shared" si="34"/>
        <v>7.611828118201811</v>
      </c>
      <c r="Y517" s="18">
        <v>977.33773377337741</v>
      </c>
      <c r="Z517" s="18">
        <v>61.934656906319283</v>
      </c>
      <c r="AA517" s="18">
        <f t="shared" si="35"/>
        <v>18.826460778273816</v>
      </c>
      <c r="AB517" s="18">
        <f t="shared" si="36"/>
        <v>63.370782449171799</v>
      </c>
      <c r="AC517" s="18">
        <f>$CP$15*Table2912[[#This Row],[DMD '[mg/g']]]+$CS$15*Table2912[[#This Row],[CH4 '[ml/g']]]+$CR$15*Table2912[[#This Row],[CH4 '[% GP']]]+$CQ$15*Table2912[[#This Row],[CH4 '[g/g DDM']]]</f>
        <v>27.269551973088149</v>
      </c>
      <c r="AD517" s="18">
        <f>_xlfn.RANK.AVG(Table2912[[#This Row],[Index]],Table2912[Index])</f>
        <v>68</v>
      </c>
      <c r="AE51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7.611547057802249</v>
      </c>
      <c r="AF517" s="18">
        <f>Table2912[[#This Row],[CH4 '[ml/g']]]/Table2912[[#This Row],[APB]]</f>
        <v>8.1369341128664363</v>
      </c>
      <c r="AG517" s="18">
        <f>Table2912[[#This Row],[Propionate '[%']]]/Table2912[[#This Row],[Acetate '[%']]]</f>
        <v>0.25696570312637085</v>
      </c>
      <c r="AH517" s="51"/>
      <c r="AI517" s="18"/>
      <c r="AJ517" s="18"/>
      <c r="AK517" s="18">
        <f>(Table2912[[#This Row],[DMD '[mg/g']]]-$AK$15)/$AK$15*100</f>
        <v>99.339062076740348</v>
      </c>
      <c r="AL517" s="18">
        <f>(Table2912[[#This Row],[CH4 '[ml/g']]]-AL$15)/AL$15*100</f>
        <v>57.465497557890608</v>
      </c>
      <c r="AM517" s="18">
        <f>(Table2912[[#This Row],[CH4 '[% GP']]]-AM$15)/AM$15*100</f>
        <v>21.286120888182936</v>
      </c>
      <c r="AN517" s="18">
        <f>(Table2912[[#This Row],[CH4 '[g/g DDM']]]-AN$15)/AN$15*100</f>
        <v>23.733540262309969</v>
      </c>
      <c r="AO517" s="18"/>
      <c r="AP517" s="18"/>
      <c r="AQ517" t="e">
        <f t="shared" si="33"/>
        <v>#DIV/0!</v>
      </c>
      <c r="AR517">
        <f>_xlfn.NORM.DIST(Table2912[[#This Row],[GP '[ml/g']]],O$6,O$2,FALSE)</f>
        <v>2.895090491111584E-3</v>
      </c>
      <c r="AS517">
        <f>_xlfn.NORM.DIST(Table2912[[#This Row],[SCFA '[mmol/g']]],P$6,P$2,FALSE)</f>
        <v>0.1367094678391009</v>
      </c>
      <c r="AT517">
        <f>_xlfn.NORM.DIST(Table2912[[#This Row],[Acetate '[%']]],Q$6,Q$2,FALSE)</f>
        <v>10.380886262461924</v>
      </c>
      <c r="AU517">
        <f>_xlfn.NORM.DIST(Table2912[[#This Row],[Propionate '[%']]],R$6,R$2,FALSE)</f>
        <v>16.483583003315296</v>
      </c>
      <c r="AV517">
        <f>_xlfn.NORM.DIST(Table2912[[#This Row],[Butyrate '[%']]],S$6,S$2,FALSE)</f>
        <v>8.6882193321059393</v>
      </c>
      <c r="AW517">
        <f>_xlfn.NORM.DIST(Table2912[[#This Row],[Valerate '[%']]],T$6,T$2,FALSE)</f>
        <v>77.393936492639028</v>
      </c>
      <c r="AX517">
        <f>_xlfn.NORM.DIST(Table2912[[#This Row],[Caproate '[%']]],U$6,U$2,FALSE)</f>
        <v>391.06061090635319</v>
      </c>
      <c r="AY517">
        <f>_xlfn.NORM.DIST(Table2912[[#This Row],[Isobutyrate '[%']]],V$6,V$2,FALSE)</f>
        <v>83.399310198155462</v>
      </c>
      <c r="AZ517">
        <f>_xlfn.NORM.DIST(Table2912[[#This Row],[Isovalerate '[%']]],W$6,W$2,FALSE)</f>
        <v>45.228274859317452</v>
      </c>
      <c r="BA517">
        <f>_xlfn.NORM.DIST(Table2912[[#This Row],[CH4 '[g/mmol SCFA']]],X$6,X$2,FALSE)</f>
        <v>0.18204205313298341</v>
      </c>
      <c r="BB517">
        <f>_xlfn.NORM.DIST(Table2912[[#This Row],[DMD '[mg/g']]],Y$6,Y$2,FALSE)</f>
        <v>9.8736920352404775E-4</v>
      </c>
      <c r="BC517">
        <f>_xlfn.NORM.DIST(Table2912[[#This Row],[CH4 '[ml/g']]],Z$6,Z$2,FALSE)</f>
        <v>7.570388788357009E-3</v>
      </c>
      <c r="BD517">
        <f>_xlfn.NORM.DIST(Table2912[[#This Row],[CH4 '[% GP']]],AA$6,AA$2,FALSE)</f>
        <v>8.7306330479065913E-2</v>
      </c>
      <c r="BE517">
        <f>_xlfn.NORM.DIST(Table2912[[#This Row],[CH4 '[g/g DDM']]],AB$6,AB$2,FALSE)</f>
        <v>2.3378793223955998E-2</v>
      </c>
      <c r="BG517">
        <f>IF(Table2912[[#This Row],[GP '[ml/g']]]&lt;O$10,_xlfn.NORM.DIST(Table2912[[#This Row],[GP '[ml/g']]],O$6,O$2,FALSE),-100)</f>
        <v>-100</v>
      </c>
      <c r="BH517">
        <f>IF(Table2912[[#This Row],[SCFA '[mmol/g']]]&lt;P$10,_xlfn.NORM.DIST(Table2912[[#This Row],[SCFA '[mmol/g']]],P$6,P$2,FALSE),-100)</f>
        <v>-100</v>
      </c>
      <c r="BI517">
        <f>IF(Table2912[[#This Row],[Acetate '[%']]]&lt;Q$10,_xlfn.NORM.DIST(Table2912[[#This Row],[Acetate '[%']]],Q$6,Q$2,FALSE),-100)</f>
        <v>-100</v>
      </c>
      <c r="BJ517">
        <f>IF(Table2912[[#This Row],[Propionate '[%']]]&lt;R$10,_xlfn.NORM.DIST(Table2912[[#This Row],[Propionate '[%']]],R$6,R$2,FALSE),-100)</f>
        <v>-100</v>
      </c>
      <c r="BK517">
        <f>IF(Table2912[[#This Row],[Butyrate '[%']]]&lt;S$10,_xlfn.NORM.DIST(Table2912[[#This Row],[Butyrate '[%']]],S$6,S$2,FALSE),-100)</f>
        <v>-100</v>
      </c>
      <c r="BL517">
        <f>IF(Table2912[[#This Row],[Valerate '[%']]]&lt;T$10,_xlfn.NORM.DIST(Table2912[[#This Row],[Valerate '[%']]],T$6,T$2,FALSE),-100)</f>
        <v>-100</v>
      </c>
      <c r="BM517">
        <f>IF(Table2912[[#This Row],[Caproate '[%']]]&lt;U$10,_xlfn.NORM.DIST(Table2912[[#This Row],[Caproate '[%']]],U$6,U$2,FALSE),-100)</f>
        <v>-100</v>
      </c>
      <c r="BN517">
        <f>IF(Table2912[[#This Row],[Isobutyrate '[%']]]&lt;V$10,_xlfn.NORM.DIST(Table2912[[#This Row],[Isobutyrate '[%']]],V$6,V$2,FALSE),-100)</f>
        <v>-100</v>
      </c>
      <c r="BO517">
        <f>IF(Table2912[[#This Row],[Isovalerate '[%']]]&lt;W$10,_xlfn.NORM.DIST(Table2912[[#This Row],[Isovalerate '[%']]],W$6,W$2,FALSE),-100)</f>
        <v>-100</v>
      </c>
      <c r="BP517">
        <f>IF(Table2912[[#This Row],[CH4 '[g/mmol SCFA']]]&lt;X$10,_xlfn.NORM.DIST(Table2912[[#This Row],[CH4 '[g/mmol SCFA']]],X$6,X$2,FALSE),-100)</f>
        <v>-100</v>
      </c>
      <c r="BQ517">
        <f>IF(Table2912[[#This Row],[DMD '[mg/g']]]&gt;Y$10,_xlfn.NORM.DIST(Table2912[[#This Row],[DMD '[mg/g']]],Y$6,Y$2,FALSE),-100)</f>
        <v>9.8736920352404775E-4</v>
      </c>
      <c r="BR517">
        <f>IF(Table2912[[#This Row],[CH4 '[ml/g']]]&lt;Z$10,_xlfn.NORM.DIST(Table2912[[#This Row],[CH4 '[ml/g']]],Z$6,Z$2,FALSE),-100)</f>
        <v>-100</v>
      </c>
      <c r="BS517">
        <f>IF(Table2912[[#This Row],[CH4 '[% GP']]]&lt;AA$10,_xlfn.NORM.DIST(Table2912[[#This Row],[CH4 '[% GP']]],AA$6,AA$2,FALSE),-100)</f>
        <v>-100</v>
      </c>
      <c r="BT517">
        <f>IF(Table2912[[#This Row],[CH4 '[g/g DDM']]]&lt;AB$10,_xlfn.NORM.DIST(Table2912[[#This Row],[CH4 '[g/g DDM']]],AB$6,AB$2,FALSE),-100)</f>
        <v>-100</v>
      </c>
    </row>
    <row r="518" spans="1:72" x14ac:dyDescent="0.25">
      <c r="A518" s="12" t="s">
        <v>200</v>
      </c>
      <c r="B518" s="13">
        <v>1186</v>
      </c>
      <c r="C518" s="113" t="s">
        <v>597</v>
      </c>
      <c r="D518" s="113" t="s">
        <v>598</v>
      </c>
      <c r="E518" s="113" t="s">
        <v>599</v>
      </c>
      <c r="F518" s="113" t="s">
        <v>600</v>
      </c>
      <c r="G518" t="s">
        <v>601</v>
      </c>
      <c r="H518" t="s">
        <v>602</v>
      </c>
      <c r="I518" t="s">
        <v>48</v>
      </c>
      <c r="J518" s="70">
        <v>1</v>
      </c>
      <c r="K518" s="70"/>
      <c r="L518" s="70"/>
      <c r="M518" t="s">
        <v>598</v>
      </c>
      <c r="N518" t="s">
        <v>363</v>
      </c>
      <c r="O518" s="18">
        <v>292.44726072607244</v>
      </c>
      <c r="P518" s="18">
        <v>7.7156257933485648</v>
      </c>
      <c r="Q518" s="97">
        <v>0.66954703314855246</v>
      </c>
      <c r="R518" s="97">
        <v>0.21021196929051122</v>
      </c>
      <c r="S518" s="97">
        <v>7.81831059220775E-2</v>
      </c>
      <c r="T518" s="97">
        <v>1.5668509456272846E-2</v>
      </c>
      <c r="U518" s="97">
        <v>2.2353960790981171E-4</v>
      </c>
      <c r="V518" s="97">
        <v>1.0988525291248833E-2</v>
      </c>
      <c r="W518" s="97">
        <v>1.5177317283427416E-2</v>
      </c>
      <c r="X518" s="51">
        <f t="shared" si="34"/>
        <v>5.1078796122918861</v>
      </c>
      <c r="Y518" s="18">
        <v>978.0481401197319</v>
      </c>
      <c r="Z518" s="18">
        <v>39.410487685918547</v>
      </c>
      <c r="AA518" s="18">
        <f t="shared" si="35"/>
        <v>13.47610081492037</v>
      </c>
      <c r="AB518" s="18">
        <f t="shared" si="36"/>
        <v>40.295038729989251</v>
      </c>
      <c r="AC518" s="18">
        <f>$CP$15*Table2912[[#This Row],[DMD '[mg/g']]]+$CS$15*Table2912[[#This Row],[CH4 '[ml/g']]]+$CR$15*Table2912[[#This Row],[CH4 '[% GP']]]+$CQ$15*Table2912[[#This Row],[CH4 '[g/g DDM']]]</f>
        <v>35.999067551373294</v>
      </c>
      <c r="AD518" s="18">
        <f>_xlfn.RANK.AVG(Table2912[[#This Row],[Index]],Table2912[Index])</f>
        <v>13</v>
      </c>
      <c r="AE51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7.3911228398059263</v>
      </c>
      <c r="AF518" s="18">
        <f>Table2912[[#This Row],[CH4 '[ml/g']]]/Table2912[[#This Row],[APB]]</f>
        <v>5.332138098648266</v>
      </c>
      <c r="AG518" s="18">
        <f>Table2912[[#This Row],[Propionate '[%']]]/Table2912[[#This Row],[Acetate '[%']]]</f>
        <v>0.31396146780307138</v>
      </c>
      <c r="AH518" s="51"/>
      <c r="AI518" s="18"/>
      <c r="AJ518" s="18"/>
      <c r="AK518" s="18">
        <f>(Table2912[[#This Row],[DMD '[mg/g']]]-$AK$15)/$AK$15*100</f>
        <v>99.483957469481325</v>
      </c>
      <c r="AL518" s="18">
        <f>(Table2912[[#This Row],[CH4 '[ml/g']]]-AL$15)/AL$15*100</f>
        <v>0.19902204106823426</v>
      </c>
      <c r="AM518" s="18">
        <f>(Table2912[[#This Row],[CH4 '[% GP']]]-AM$15)/AM$15*100</f>
        <v>-13.182620366649958</v>
      </c>
      <c r="AN518" s="18">
        <f>(Table2912[[#This Row],[CH4 '[g/g DDM']]]-AN$15)/AN$15*100</f>
        <v>-21.322609499614515</v>
      </c>
      <c r="AO518" s="18"/>
      <c r="AP518" s="18"/>
      <c r="AQ518" t="e">
        <f t="shared" si="33"/>
        <v>#DIV/0!</v>
      </c>
      <c r="AR518">
        <f>_xlfn.NORM.DIST(Table2912[[#This Row],[GP '[ml/g']]],O$6,O$2,FALSE)</f>
        <v>5.8834426206836599E-3</v>
      </c>
      <c r="AS518">
        <f>_xlfn.NORM.DIST(Table2912[[#This Row],[SCFA '[mmol/g']]],P$6,P$2,FALSE)</f>
        <v>0.20531950664338003</v>
      </c>
      <c r="AT518">
        <f>_xlfn.NORM.DIST(Table2912[[#This Row],[Acetate '[%']]],Q$6,Q$2,FALSE)</f>
        <v>13.916344514575462</v>
      </c>
      <c r="AU518">
        <f>_xlfn.NORM.DIST(Table2912[[#This Row],[Propionate '[%']]],R$6,R$2,FALSE)</f>
        <v>4.565563688909319</v>
      </c>
      <c r="AV518">
        <f>_xlfn.NORM.DIST(Table2912[[#This Row],[Butyrate '[%']]],S$6,S$2,FALSE)</f>
        <v>16.036083821137495</v>
      </c>
      <c r="AW518">
        <f>_xlfn.NORM.DIST(Table2912[[#This Row],[Valerate '[%']]],T$6,T$2,FALSE)</f>
        <v>71.834378512842179</v>
      </c>
      <c r="AX518">
        <f>_xlfn.NORM.DIST(Table2912[[#This Row],[Caproate '[%']]],U$6,U$2,FALSE)</f>
        <v>214.48444881256503</v>
      </c>
      <c r="AY518">
        <f>_xlfn.NORM.DIST(Table2912[[#This Row],[Isobutyrate '[%']]],V$6,V$2,FALSE)</f>
        <v>55.867369366936103</v>
      </c>
      <c r="AZ518">
        <f>_xlfn.NORM.DIST(Table2912[[#This Row],[Isovalerate '[%']]],W$6,W$2,FALSE)</f>
        <v>15.918128405488334</v>
      </c>
      <c r="BA518">
        <f>_xlfn.NORM.DIST(Table2912[[#This Row],[CH4 '[g/mmol SCFA']]],X$6,X$2,FALSE)</f>
        <v>0.20266421232734813</v>
      </c>
      <c r="BB518">
        <f>_xlfn.NORM.DIST(Table2912[[#This Row],[DMD '[mg/g']]],Y$6,Y$2,FALSE)</f>
        <v>9.7983921843559311E-4</v>
      </c>
      <c r="BC518">
        <f>_xlfn.NORM.DIST(Table2912[[#This Row],[CH4 '[ml/g']]],Z$6,Z$2,FALSE)</f>
        <v>3.3042412667485796E-2</v>
      </c>
      <c r="BD518">
        <f>_xlfn.NORM.DIST(Table2912[[#This Row],[CH4 '[% GP']]],AA$6,AA$2,FALSE)</f>
        <v>9.184177897666973E-2</v>
      </c>
      <c r="BE518">
        <f>_xlfn.NORM.DIST(Table2912[[#This Row],[CH4 '[g/g DDM']]],AB$6,AB$2,FALSE)</f>
        <v>1.8426307825102031E-2</v>
      </c>
      <c r="BG518">
        <f>IF(Table2912[[#This Row],[GP '[ml/g']]]&lt;O$10,_xlfn.NORM.DIST(Table2912[[#This Row],[GP '[ml/g']]],O$6,O$2,FALSE),-100)</f>
        <v>-100</v>
      </c>
      <c r="BH518">
        <f>IF(Table2912[[#This Row],[SCFA '[mmol/g']]]&lt;P$10,_xlfn.NORM.DIST(Table2912[[#This Row],[SCFA '[mmol/g']]],P$6,P$2,FALSE),-100)</f>
        <v>-100</v>
      </c>
      <c r="BI518">
        <f>IF(Table2912[[#This Row],[Acetate '[%']]]&lt;Q$10,_xlfn.NORM.DIST(Table2912[[#This Row],[Acetate '[%']]],Q$6,Q$2,FALSE),-100)</f>
        <v>-100</v>
      </c>
      <c r="BJ518">
        <f>IF(Table2912[[#This Row],[Propionate '[%']]]&lt;R$10,_xlfn.NORM.DIST(Table2912[[#This Row],[Propionate '[%']]],R$6,R$2,FALSE),-100)</f>
        <v>-100</v>
      </c>
      <c r="BK518">
        <f>IF(Table2912[[#This Row],[Butyrate '[%']]]&lt;S$10,_xlfn.NORM.DIST(Table2912[[#This Row],[Butyrate '[%']]],S$6,S$2,FALSE),-100)</f>
        <v>-100</v>
      </c>
      <c r="BL518">
        <f>IF(Table2912[[#This Row],[Valerate '[%']]]&lt;T$10,_xlfn.NORM.DIST(Table2912[[#This Row],[Valerate '[%']]],T$6,T$2,FALSE),-100)</f>
        <v>-100</v>
      </c>
      <c r="BM518">
        <f>IF(Table2912[[#This Row],[Caproate '[%']]]&lt;U$10,_xlfn.NORM.DIST(Table2912[[#This Row],[Caproate '[%']]],U$6,U$2,FALSE),-100)</f>
        <v>214.48444881256503</v>
      </c>
      <c r="BN518">
        <f>IF(Table2912[[#This Row],[Isobutyrate '[%']]]&lt;V$10,_xlfn.NORM.DIST(Table2912[[#This Row],[Isobutyrate '[%']]],V$6,V$2,FALSE),-100)</f>
        <v>-100</v>
      </c>
      <c r="BO518">
        <f>IF(Table2912[[#This Row],[Isovalerate '[%']]]&lt;W$10,_xlfn.NORM.DIST(Table2912[[#This Row],[Isovalerate '[%']]],W$6,W$2,FALSE),-100)</f>
        <v>15.918128405488334</v>
      </c>
      <c r="BP518">
        <f>IF(Table2912[[#This Row],[CH4 '[g/mmol SCFA']]]&lt;X$10,_xlfn.NORM.DIST(Table2912[[#This Row],[CH4 '[g/mmol SCFA']]],X$6,X$2,FALSE),-100)</f>
        <v>-100</v>
      </c>
      <c r="BQ518">
        <f>IF(Table2912[[#This Row],[DMD '[mg/g']]]&gt;Y$10,_xlfn.NORM.DIST(Table2912[[#This Row],[DMD '[mg/g']]],Y$6,Y$2,FALSE),-100)</f>
        <v>9.7983921843559311E-4</v>
      </c>
      <c r="BR518">
        <f>IF(Table2912[[#This Row],[CH4 '[ml/g']]]&lt;Z$10,_xlfn.NORM.DIST(Table2912[[#This Row],[CH4 '[ml/g']]],Z$6,Z$2,FALSE),-100)</f>
        <v>-100</v>
      </c>
      <c r="BS518">
        <f>IF(Table2912[[#This Row],[CH4 '[% GP']]]&lt;AA$10,_xlfn.NORM.DIST(Table2912[[#This Row],[CH4 '[% GP']]],AA$6,AA$2,FALSE),-100)</f>
        <v>-100</v>
      </c>
      <c r="BT518">
        <f>IF(Table2912[[#This Row],[CH4 '[g/g DDM']]]&lt;AB$10,_xlfn.NORM.DIST(Table2912[[#This Row],[CH4 '[g/g DDM']]],AB$6,AB$2,FALSE),-100)</f>
        <v>-100</v>
      </c>
    </row>
    <row r="519" spans="1:72" x14ac:dyDescent="0.25">
      <c r="A519" s="12" t="s">
        <v>200</v>
      </c>
      <c r="B519" s="13">
        <v>1187</v>
      </c>
      <c r="C519" s="113" t="s">
        <v>591</v>
      </c>
      <c r="D519" s="113" t="s">
        <v>592</v>
      </c>
      <c r="E519" s="113" t="s">
        <v>593</v>
      </c>
      <c r="F519" s="131" t="s">
        <v>594</v>
      </c>
      <c r="G519" t="s">
        <v>595</v>
      </c>
      <c r="H519" t="s">
        <v>539</v>
      </c>
      <c r="I519" s="115" t="s">
        <v>48</v>
      </c>
      <c r="J519" s="107">
        <v>1</v>
      </c>
      <c r="K519" s="107"/>
      <c r="L519" s="107"/>
      <c r="M519" t="s">
        <v>596</v>
      </c>
      <c r="N519" t="s">
        <v>363</v>
      </c>
      <c r="O519" s="18">
        <v>219.67119422572111</v>
      </c>
      <c r="P519" s="18">
        <v>6.9708105460920962</v>
      </c>
      <c r="Q519" s="97">
        <v>0.58283192859342026</v>
      </c>
      <c r="R519" s="97">
        <v>0.19565977827635539</v>
      </c>
      <c r="S519" s="97">
        <v>0.15679511002169549</v>
      </c>
      <c r="T519" s="97">
        <v>2.745379842531967E-2</v>
      </c>
      <c r="U519" s="97">
        <v>1.5302656262216972E-3</v>
      </c>
      <c r="V519" s="97">
        <v>1.6928384913294403E-2</v>
      </c>
      <c r="W519" s="97">
        <v>1.8800734143693175E-2</v>
      </c>
      <c r="X519" s="51">
        <f t="shared" si="34"/>
        <v>2.3432736589454857</v>
      </c>
      <c r="Y519" s="18">
        <v>978.54121571456972</v>
      </c>
      <c r="Z519" s="18">
        <v>16.334516734157006</v>
      </c>
      <c r="AA519" s="18">
        <f t="shared" si="35"/>
        <v>7.4358938101700414</v>
      </c>
      <c r="AB519" s="18">
        <f t="shared" si="36"/>
        <v>16.692722260276888</v>
      </c>
      <c r="AC519" s="18">
        <f>$CP$15*Table2912[[#This Row],[DMD '[mg/g']]]+$CS$15*Table2912[[#This Row],[CH4 '[ml/g']]]+$CR$15*Table2912[[#This Row],[CH4 '[% GP']]]+$CQ$15*Table2912[[#This Row],[CH4 '[g/g DDM']]]</f>
        <v>45.063611998623657</v>
      </c>
      <c r="AD519" s="18">
        <f>_xlfn.RANK.AVG(Table2912[[#This Row],[Index]],Table2912[Index])</f>
        <v>1</v>
      </c>
      <c r="AE51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6.5197072068079738</v>
      </c>
      <c r="AF519" s="18">
        <f>Table2912[[#This Row],[CH4 '[ml/g']]]/Table2912[[#This Row],[APB]]</f>
        <v>2.5054064877484472</v>
      </c>
      <c r="AG519" s="18">
        <f>Table2912[[#This Row],[Propionate '[%']]]/Table2912[[#This Row],[Acetate '[%']]]</f>
        <v>0.33570531859596592</v>
      </c>
      <c r="AH519" s="51"/>
      <c r="AI519" s="18"/>
      <c r="AJ519" s="18"/>
      <c r="AK519" s="18">
        <f>(Table2912[[#This Row],[DMD '[mg/g']]]-$AK$15)/$AK$15*100</f>
        <v>99.584525802424338</v>
      </c>
      <c r="AL519" s="18">
        <f>(Table2912[[#This Row],[CH4 '[ml/g']]]-AL$15)/AL$15*100</f>
        <v>-58.470379374148337</v>
      </c>
      <c r="AM519" s="18">
        <f>(Table2912[[#This Row],[CH4 '[% GP']]]-AM$15)/AM$15*100</f>
        <v>-52.09557833553319</v>
      </c>
      <c r="AN519" s="18">
        <f>(Table2912[[#This Row],[CH4 '[g/g DDM']]]-AN$15)/AN$15*100</f>
        <v>-67.406909903058619</v>
      </c>
      <c r="AO519" s="18"/>
      <c r="AP519" s="18"/>
      <c r="AQ519" t="e">
        <f t="shared" si="33"/>
        <v>#DIV/0!</v>
      </c>
      <c r="AR519">
        <f>_xlfn.NORM.DIST(Table2912[[#This Row],[GP '[ml/g']]],O$6,O$2,FALSE)</f>
        <v>5.9697857623254424E-3</v>
      </c>
      <c r="AS519">
        <f>_xlfn.NORM.DIST(Table2912[[#This Row],[SCFA '[mmol/g']]],P$6,P$2,FALSE)</f>
        <v>0.31170471811614042</v>
      </c>
      <c r="AT519">
        <f>_xlfn.NORM.DIST(Table2912[[#This Row],[Acetate '[%']]],Q$6,Q$2,FALSE)</f>
        <v>9.0858162696265843E-2</v>
      </c>
      <c r="AU519">
        <f>_xlfn.NORM.DIST(Table2912[[#This Row],[Propionate '[%']]],R$6,R$2,FALSE)</f>
        <v>10.170110781719481</v>
      </c>
      <c r="AV519">
        <f>_xlfn.NORM.DIST(Table2912[[#This Row],[Butyrate '[%']]],S$6,S$2,FALSE)</f>
        <v>2.5702810236252496E-2</v>
      </c>
      <c r="AW519">
        <f>_xlfn.NORM.DIST(Table2912[[#This Row],[Valerate '[%']]],T$6,T$2,FALSE)</f>
        <v>12.724877174909459</v>
      </c>
      <c r="AX519">
        <f>_xlfn.NORM.DIST(Table2912[[#This Row],[Caproate '[%']]],U$6,U$2,FALSE)</f>
        <v>398.76528588303842</v>
      </c>
      <c r="AY519">
        <f>_xlfn.NORM.DIST(Table2912[[#This Row],[Isobutyrate '[%']]],V$6,V$2,FALSE)</f>
        <v>84.378595645684342</v>
      </c>
      <c r="AZ519">
        <f>_xlfn.NORM.DIST(Table2912[[#This Row],[Isovalerate '[%']]],W$6,W$2,FALSE)</f>
        <v>26.573300125893532</v>
      </c>
      <c r="BA519">
        <f>_xlfn.NORM.DIST(Table2912[[#This Row],[CH4 '[g/mmol SCFA']]],X$6,X$2,FALSE)</f>
        <v>3.9853408985874817E-3</v>
      </c>
      <c r="BB519">
        <f>_xlfn.NORM.DIST(Table2912[[#This Row],[DMD '[mg/g']]],Y$6,Y$2,FALSE)</f>
        <v>9.7463117793926348E-4</v>
      </c>
      <c r="BC519">
        <f>_xlfn.NORM.DIST(Table2912[[#This Row],[CH4 '[ml/g']]],Z$6,Z$2,FALSE)</f>
        <v>3.6552870315771195E-3</v>
      </c>
      <c r="BD519">
        <f>_xlfn.NORM.DIST(Table2912[[#This Row],[CH4 '[% GP']]],AA$6,AA$2,FALSE)</f>
        <v>1.9241594035079893E-3</v>
      </c>
      <c r="BE519">
        <f>_xlfn.NORM.DIST(Table2912[[#This Row],[CH4 '[g/g DDM']]],AB$6,AB$2,FALSE)</f>
        <v>3.4467080425030599E-4</v>
      </c>
      <c r="BG519">
        <f>IF(Table2912[[#This Row],[GP '[ml/g']]]&lt;O$10,_xlfn.NORM.DIST(Table2912[[#This Row],[GP '[ml/g']]],O$6,O$2,FALSE),-100)</f>
        <v>-100</v>
      </c>
      <c r="BH519">
        <f>IF(Table2912[[#This Row],[SCFA '[mmol/g']]]&lt;P$10,_xlfn.NORM.DIST(Table2912[[#This Row],[SCFA '[mmol/g']]],P$6,P$2,FALSE),-100)</f>
        <v>-100</v>
      </c>
      <c r="BI519">
        <f>IF(Table2912[[#This Row],[Acetate '[%']]]&lt;Q$10,_xlfn.NORM.DIST(Table2912[[#This Row],[Acetate '[%']]],Q$6,Q$2,FALSE),-100)</f>
        <v>9.0858162696265843E-2</v>
      </c>
      <c r="BJ519">
        <f>IF(Table2912[[#This Row],[Propionate '[%']]]&lt;R$10,_xlfn.NORM.DIST(Table2912[[#This Row],[Propionate '[%']]],R$6,R$2,FALSE),-100)</f>
        <v>-100</v>
      </c>
      <c r="BK519">
        <f>IF(Table2912[[#This Row],[Butyrate '[%']]]&lt;S$10,_xlfn.NORM.DIST(Table2912[[#This Row],[Butyrate '[%']]],S$6,S$2,FALSE),-100)</f>
        <v>-100</v>
      </c>
      <c r="BL519">
        <f>IF(Table2912[[#This Row],[Valerate '[%']]]&lt;T$10,_xlfn.NORM.DIST(Table2912[[#This Row],[Valerate '[%']]],T$6,T$2,FALSE),-100)</f>
        <v>-100</v>
      </c>
      <c r="BM519">
        <f>IF(Table2912[[#This Row],[Caproate '[%']]]&lt;U$10,_xlfn.NORM.DIST(Table2912[[#This Row],[Caproate '[%']]],U$6,U$2,FALSE),-100)</f>
        <v>-100</v>
      </c>
      <c r="BN519">
        <f>IF(Table2912[[#This Row],[Isobutyrate '[%']]]&lt;V$10,_xlfn.NORM.DIST(Table2912[[#This Row],[Isobutyrate '[%']]],V$6,V$2,FALSE),-100)</f>
        <v>-100</v>
      </c>
      <c r="BO519">
        <f>IF(Table2912[[#This Row],[Isovalerate '[%']]]&lt;W$10,_xlfn.NORM.DIST(Table2912[[#This Row],[Isovalerate '[%']]],W$6,W$2,FALSE),-100)</f>
        <v>26.573300125893532</v>
      </c>
      <c r="BP519">
        <f>IF(Table2912[[#This Row],[CH4 '[g/mmol SCFA']]]&lt;X$10,_xlfn.NORM.DIST(Table2912[[#This Row],[CH4 '[g/mmol SCFA']]],X$6,X$2,FALSE),-100)</f>
        <v>3.9853408985874817E-3</v>
      </c>
      <c r="BQ519">
        <f>IF(Table2912[[#This Row],[DMD '[mg/g']]]&gt;Y$10,_xlfn.NORM.DIST(Table2912[[#This Row],[DMD '[mg/g']]],Y$6,Y$2,FALSE),-100)</f>
        <v>9.7463117793926348E-4</v>
      </c>
      <c r="BR519">
        <f>IF(Table2912[[#This Row],[CH4 '[ml/g']]]&lt;Z$10,_xlfn.NORM.DIST(Table2912[[#This Row],[CH4 '[ml/g']]],Z$6,Z$2,FALSE),-100)</f>
        <v>3.6552870315771195E-3</v>
      </c>
      <c r="BS519">
        <f>IF(Table2912[[#This Row],[CH4 '[% GP']]]&lt;AA$10,_xlfn.NORM.DIST(Table2912[[#This Row],[CH4 '[% GP']]],AA$6,AA$2,FALSE),-100)</f>
        <v>1.9241594035079893E-3</v>
      </c>
      <c r="BT519">
        <f>IF(Table2912[[#This Row],[CH4 '[g/g DDM']]]&lt;AB$10,_xlfn.NORM.DIST(Table2912[[#This Row],[CH4 '[g/g DDM']]],AB$6,AB$2,FALSE),-100)</f>
        <v>3.4467080425030599E-4</v>
      </c>
    </row>
    <row r="520" spans="1:72" ht="30" x14ac:dyDescent="0.25">
      <c r="A520" s="12" t="s">
        <v>200</v>
      </c>
      <c r="B520" s="13">
        <v>1185</v>
      </c>
      <c r="C520" s="113" t="s">
        <v>609</v>
      </c>
      <c r="D520" s="113" t="s">
        <v>610</v>
      </c>
      <c r="E520" s="113" t="s">
        <v>611</v>
      </c>
      <c r="F520" s="113" t="s">
        <v>612</v>
      </c>
      <c r="G520" s="121" t="s">
        <v>613</v>
      </c>
      <c r="H520" s="130" t="s">
        <v>317</v>
      </c>
      <c r="I520" s="53" t="s">
        <v>48</v>
      </c>
      <c r="J520" s="100">
        <v>3</v>
      </c>
      <c r="K520" s="100"/>
      <c r="L520" s="100"/>
      <c r="M520" t="s">
        <v>614</v>
      </c>
      <c r="N520" t="s">
        <v>352</v>
      </c>
      <c r="O520" s="18">
        <v>329.37644619078873</v>
      </c>
      <c r="P520" s="18">
        <v>7.9690812292318505</v>
      </c>
      <c r="Q520" s="97">
        <v>0.67936206244322284</v>
      </c>
      <c r="R520" s="97">
        <v>0.15619871728353274</v>
      </c>
      <c r="S520" s="97">
        <v>9.6307608989374321E-2</v>
      </c>
      <c r="T520" s="97">
        <v>1.7840141820219643E-2</v>
      </c>
      <c r="U520" s="97">
        <v>1.2602529474097426E-3</v>
      </c>
      <c r="V520" s="97">
        <v>1.78754610819024E-2</v>
      </c>
      <c r="W520" s="97">
        <v>3.115575543433817E-2</v>
      </c>
      <c r="X520" s="51">
        <f t="shared" si="34"/>
        <v>7.932354918532166</v>
      </c>
      <c r="Y520" s="18">
        <v>978.72921452652963</v>
      </c>
      <c r="Z520" s="18">
        <v>63.213580684879631</v>
      </c>
      <c r="AA520" s="18">
        <f t="shared" si="35"/>
        <v>19.191894689477479</v>
      </c>
      <c r="AB520" s="18">
        <f t="shared" si="36"/>
        <v>64.587405532244034</v>
      </c>
      <c r="AC520" s="18">
        <f>$CP$15*Table2912[[#This Row],[DMD '[mg/g']]]+$CS$15*Table2912[[#This Row],[CH4 '[ml/g']]]+$CR$15*Table2912[[#This Row],[CH4 '[% GP']]]+$CQ$15*Table2912[[#This Row],[CH4 '[g/g DDM']]]</f>
        <v>26.9146614268261</v>
      </c>
      <c r="AD520" s="18">
        <f>_xlfn.RANK.AVG(Table2912[[#This Row],[Index]],Table2912[Index])</f>
        <v>73</v>
      </c>
      <c r="AE52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7.4261348846322406</v>
      </c>
      <c r="AF520" s="18">
        <f>Table2912[[#This Row],[CH4 '[ml/g']]]/Table2912[[#This Row],[APB]]</f>
        <v>8.5123124838056476</v>
      </c>
      <c r="AG520" s="18">
        <f>Table2912[[#This Row],[Propionate '[%']]]/Table2912[[#This Row],[Acetate '[%']]]</f>
        <v>0.22991969366347553</v>
      </c>
      <c r="AH520" s="51"/>
      <c r="AI520" s="18"/>
      <c r="AJ520" s="18"/>
      <c r="AK520" s="18">
        <f>(Table2912[[#This Row],[DMD '[mg/g']]]-$AK$15)/$AK$15*100</f>
        <v>99.62287028207821</v>
      </c>
      <c r="AL520" s="18">
        <f>(Table2912[[#This Row],[CH4 '[ml/g']]]-AL$15)/AL$15*100</f>
        <v>60.717091724856523</v>
      </c>
      <c r="AM520" s="18">
        <f>(Table2912[[#This Row],[CH4 '[% GP']]]-AM$15)/AM$15*100</f>
        <v>23.640363783482606</v>
      </c>
      <c r="AN520" s="18">
        <f>(Table2912[[#This Row],[CH4 '[g/g DDM']]]-AN$15)/AN$15*100</f>
        <v>26.1090369094299</v>
      </c>
      <c r="AO520" s="18"/>
      <c r="AP520" s="18"/>
      <c r="AQ520" t="e">
        <f t="shared" si="33"/>
        <v>#DIV/0!</v>
      </c>
      <c r="AR520">
        <f>_xlfn.NORM.DIST(Table2912[[#This Row],[GP '[ml/g']]],O$6,O$2,FALSE)</f>
        <v>2.8652621866023134E-3</v>
      </c>
      <c r="AS520">
        <f>_xlfn.NORM.DIST(Table2912[[#This Row],[SCFA '[mmol/g']]],P$6,P$2,FALSE)</f>
        <v>0.16312084659742268</v>
      </c>
      <c r="AT520">
        <f>_xlfn.NORM.DIST(Table2912[[#This Row],[Acetate '[%']]],Q$6,Q$2,FALSE)</f>
        <v>13.693633709658341</v>
      </c>
      <c r="AU520">
        <f>_xlfn.NORM.DIST(Table2912[[#This Row],[Propionate '[%']]],R$6,R$2,FALSE)</f>
        <v>13.509445645392185</v>
      </c>
      <c r="AV520">
        <f>_xlfn.NORM.DIST(Table2912[[#This Row],[Butyrate '[%']]],S$6,S$2,FALSE)</f>
        <v>22.594325459966754</v>
      </c>
      <c r="AW520">
        <f>_xlfn.NORM.DIST(Table2912[[#This Row],[Valerate '[%']]],T$6,T$2,FALSE)</f>
        <v>77.347501275027923</v>
      </c>
      <c r="AX520">
        <f>_xlfn.NORM.DIST(Table2912[[#This Row],[Caproate '[%']]],U$6,U$2,FALSE)</f>
        <v>405.79372394001911</v>
      </c>
      <c r="AY520">
        <f>_xlfn.NORM.DIST(Table2912[[#This Row],[Isobutyrate '[%']]],V$6,V$2,FALSE)</f>
        <v>76.286580161660851</v>
      </c>
      <c r="AZ520">
        <f>_xlfn.NORM.DIST(Table2912[[#This Row],[Isovalerate '[%']]],W$6,W$2,FALSE)</f>
        <v>42.403666869487729</v>
      </c>
      <c r="BA520">
        <f>_xlfn.NORM.DIST(Table2912[[#This Row],[CH4 '[g/mmol SCFA']]],X$6,X$2,FALSE)</f>
        <v>0.13962121232327748</v>
      </c>
      <c r="BB520">
        <f>_xlfn.NORM.DIST(Table2912[[#This Row],[DMD '[mg/g']]],Y$6,Y$2,FALSE)</f>
        <v>9.7264943771349253E-4</v>
      </c>
      <c r="BC520">
        <f>_xlfn.NORM.DIST(Table2912[[#This Row],[CH4 '[ml/g']]],Z$6,Z$2,FALSE)</f>
        <v>6.2539206626755365E-3</v>
      </c>
      <c r="BD520">
        <f>_xlfn.NORM.DIST(Table2912[[#This Row],[CH4 '[% GP']]],AA$6,AA$2,FALSE)</f>
        <v>7.7236556668730805E-2</v>
      </c>
      <c r="BE520">
        <f>_xlfn.NORM.DIST(Table2912[[#This Row],[CH4 '[g/g DDM']]],AB$6,AB$2,FALSE)</f>
        <v>2.1416720322109239E-2</v>
      </c>
      <c r="BG520">
        <f>IF(Table2912[[#This Row],[GP '[ml/g']]]&lt;O$10,_xlfn.NORM.DIST(Table2912[[#This Row],[GP '[ml/g']]],O$6,O$2,FALSE),-100)</f>
        <v>-100</v>
      </c>
      <c r="BH520">
        <f>IF(Table2912[[#This Row],[SCFA '[mmol/g']]]&lt;P$10,_xlfn.NORM.DIST(Table2912[[#This Row],[SCFA '[mmol/g']]],P$6,P$2,FALSE),-100)</f>
        <v>-100</v>
      </c>
      <c r="BI520">
        <f>IF(Table2912[[#This Row],[Acetate '[%']]]&lt;Q$10,_xlfn.NORM.DIST(Table2912[[#This Row],[Acetate '[%']]],Q$6,Q$2,FALSE),-100)</f>
        <v>-100</v>
      </c>
      <c r="BJ520">
        <f>IF(Table2912[[#This Row],[Propionate '[%']]]&lt;R$10,_xlfn.NORM.DIST(Table2912[[#This Row],[Propionate '[%']]],R$6,R$2,FALSE),-100)</f>
        <v>-100</v>
      </c>
      <c r="BK520">
        <f>IF(Table2912[[#This Row],[Butyrate '[%']]]&lt;S$10,_xlfn.NORM.DIST(Table2912[[#This Row],[Butyrate '[%']]],S$6,S$2,FALSE),-100)</f>
        <v>-100</v>
      </c>
      <c r="BL520">
        <f>IF(Table2912[[#This Row],[Valerate '[%']]]&lt;T$10,_xlfn.NORM.DIST(Table2912[[#This Row],[Valerate '[%']]],T$6,T$2,FALSE),-100)</f>
        <v>-100</v>
      </c>
      <c r="BM520">
        <f>IF(Table2912[[#This Row],[Caproate '[%']]]&lt;U$10,_xlfn.NORM.DIST(Table2912[[#This Row],[Caproate '[%']]],U$6,U$2,FALSE),-100)</f>
        <v>-100</v>
      </c>
      <c r="BN520">
        <f>IF(Table2912[[#This Row],[Isobutyrate '[%']]]&lt;V$10,_xlfn.NORM.DIST(Table2912[[#This Row],[Isobutyrate '[%']]],V$6,V$2,FALSE),-100)</f>
        <v>-100</v>
      </c>
      <c r="BO520">
        <f>IF(Table2912[[#This Row],[Isovalerate '[%']]]&lt;W$10,_xlfn.NORM.DIST(Table2912[[#This Row],[Isovalerate '[%']]],W$6,W$2,FALSE),-100)</f>
        <v>-100</v>
      </c>
      <c r="BP520">
        <f>IF(Table2912[[#This Row],[CH4 '[g/mmol SCFA']]]&lt;X$10,_xlfn.NORM.DIST(Table2912[[#This Row],[CH4 '[g/mmol SCFA']]],X$6,X$2,FALSE),-100)</f>
        <v>-100</v>
      </c>
      <c r="BQ520">
        <f>IF(Table2912[[#This Row],[DMD '[mg/g']]]&gt;Y$10,_xlfn.NORM.DIST(Table2912[[#This Row],[DMD '[mg/g']]],Y$6,Y$2,FALSE),-100)</f>
        <v>9.7264943771349253E-4</v>
      </c>
      <c r="BR520">
        <f>IF(Table2912[[#This Row],[CH4 '[ml/g']]]&lt;Z$10,_xlfn.NORM.DIST(Table2912[[#This Row],[CH4 '[ml/g']]],Z$6,Z$2,FALSE),-100)</f>
        <v>-100</v>
      </c>
      <c r="BS520">
        <f>IF(Table2912[[#This Row],[CH4 '[% GP']]]&lt;AA$10,_xlfn.NORM.DIST(Table2912[[#This Row],[CH4 '[% GP']]],AA$6,AA$2,FALSE),-100)</f>
        <v>-100</v>
      </c>
      <c r="BT520">
        <f>IF(Table2912[[#This Row],[CH4 '[g/g DDM']]]&lt;AB$10,_xlfn.NORM.DIST(Table2912[[#This Row],[CH4 '[g/g DDM']]],AB$6,AB$2,FALSE),-100)</f>
        <v>-100</v>
      </c>
    </row>
    <row r="521" spans="1:72" x14ac:dyDescent="0.25">
      <c r="A521" s="12" t="s">
        <v>200</v>
      </c>
      <c r="B521" s="13">
        <v>1189</v>
      </c>
      <c r="C521" s="13"/>
      <c r="D521" t="s">
        <v>615</v>
      </c>
      <c r="E521" s="13"/>
      <c r="F521" s="13"/>
      <c r="G521" s="13"/>
      <c r="H521" s="13"/>
      <c r="I521" s="13"/>
      <c r="J521" s="70">
        <v>2</v>
      </c>
      <c r="K521" s="70"/>
      <c r="L521" s="70"/>
      <c r="M521" t="s">
        <v>615</v>
      </c>
      <c r="N521" t="s">
        <v>208</v>
      </c>
      <c r="O521" s="18">
        <v>257.67969576719537</v>
      </c>
      <c r="P521" s="18">
        <v>7.3621499118165783</v>
      </c>
      <c r="Q521" s="97">
        <v>0.7274638970279792</v>
      </c>
      <c r="R521" s="97">
        <v>0.14779182802791788</v>
      </c>
      <c r="S521" s="97">
        <v>6.8017691731951713E-2</v>
      </c>
      <c r="T521" s="97">
        <v>1.3451187723030195E-2</v>
      </c>
      <c r="U521" s="97">
        <v>2.2599794676552532E-4</v>
      </c>
      <c r="V521" s="97">
        <v>1.6626157058776188E-2</v>
      </c>
      <c r="W521" s="97">
        <v>2.642324048357942E-2</v>
      </c>
      <c r="X521" s="51">
        <f t="shared" si="34"/>
        <v>4.9872860653354847</v>
      </c>
      <c r="Y521" s="18">
        <v>985.29365079365073</v>
      </c>
      <c r="Z521" s="18">
        <v>36.717147666113689</v>
      </c>
      <c r="AA521" s="18">
        <f t="shared" si="35"/>
        <v>14.249142741648669</v>
      </c>
      <c r="AB521" s="18">
        <f t="shared" si="36"/>
        <v>37.265182452498451</v>
      </c>
      <c r="AC521" s="18">
        <f>$CP$15*Table2912[[#This Row],[DMD '[mg/g']]]+$CS$15*Table2912[[#This Row],[CH4 '[ml/g']]]+$CR$15*Table2912[[#This Row],[CH4 '[% GP']]]+$CQ$15*Table2912[[#This Row],[CH4 '[g/g DDM']]]</f>
        <v>37.240521098297954</v>
      </c>
      <c r="AD521" s="18">
        <f>_xlfn.RANK.AVG(Table2912[[#This Row],[Index]],Table2912[Index])</f>
        <v>9</v>
      </c>
      <c r="AE52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6.9445203022235829</v>
      </c>
      <c r="AF521" s="18">
        <f>Table2912[[#This Row],[CH4 '[ml/g']]]/Table2912[[#This Row],[APB]]</f>
        <v>5.2872115089586726</v>
      </c>
      <c r="AG521" s="18">
        <f>Table2912[[#This Row],[Propionate '[%']]]/Table2912[[#This Row],[Acetate '[%']]]</f>
        <v>0.20316036112818064</v>
      </c>
      <c r="AH521" s="51"/>
      <c r="AI521" s="18"/>
      <c r="AJ521" s="18"/>
      <c r="AK521" s="18">
        <f>(Table2912[[#This Row],[DMD '[mg/g']]]-$AK$15)/$AK$15*100</f>
        <v>100.96176115197055</v>
      </c>
      <c r="AL521" s="18">
        <f>(Table2912[[#This Row],[CH4 '[ml/g']]]-AL$15)/AL$15*100</f>
        <v>-6.6486485119897329</v>
      </c>
      <c r="AM521" s="18">
        <f>(Table2912[[#This Row],[CH4 '[% GP']]]-AM$15)/AM$15*100</f>
        <v>-8.2024354194610147</v>
      </c>
      <c r="AN521" s="18">
        <f>(Table2912[[#This Row],[CH4 '[g/g DDM']]]-AN$15)/AN$15*100</f>
        <v>-27.238503689505805</v>
      </c>
      <c r="AO521" s="18"/>
      <c r="AP521" s="18"/>
      <c r="AQ521" t="e">
        <f t="shared" si="33"/>
        <v>#DIV/0!</v>
      </c>
      <c r="AR521">
        <f>_xlfn.NORM.DIST(Table2912[[#This Row],[GP '[ml/g']]],O$6,O$2,FALSE)</f>
        <v>7.4735622983106327E-3</v>
      </c>
      <c r="AS521">
        <f>_xlfn.NORM.DIST(Table2912[[#This Row],[SCFA '[mmol/g']]],P$6,P$2,FALSE)</f>
        <v>0.26264815555722071</v>
      </c>
      <c r="AT521">
        <f>_xlfn.NORM.DIST(Table2912[[#This Row],[Acetate '[%']]],Q$6,Q$2,FALSE)</f>
        <v>2.2610720916396363</v>
      </c>
      <c r="AU521">
        <f>_xlfn.NORM.DIST(Table2912[[#This Row],[Propionate '[%']]],R$6,R$2,FALSE)</f>
        <v>10.04865538952129</v>
      </c>
      <c r="AV521">
        <f>_xlfn.NORM.DIST(Table2912[[#This Row],[Butyrate '[%']]],S$6,S$2,FALSE)</f>
        <v>8.1937110364319068</v>
      </c>
      <c r="AW521">
        <f>_xlfn.NORM.DIST(Table2912[[#This Row],[Valerate '[%']]],T$6,T$2,FALSE)</f>
        <v>55.463693274706827</v>
      </c>
      <c r="AX521">
        <f>_xlfn.NORM.DIST(Table2912[[#This Row],[Caproate '[%']]],U$6,U$2,FALSE)</f>
        <v>215.09327533155894</v>
      </c>
      <c r="AY521">
        <f>_xlfn.NORM.DIST(Table2912[[#This Row],[Isobutyrate '[%']]],V$6,V$2,FALSE)</f>
        <v>86.301253357612978</v>
      </c>
      <c r="AZ521">
        <f>_xlfn.NORM.DIST(Table2912[[#This Row],[Isovalerate '[%']]],W$6,W$2,FALSE)</f>
        <v>44.796228736079286</v>
      </c>
      <c r="BA521">
        <f>_xlfn.NORM.DIST(Table2912[[#This Row],[CH4 '[g/mmol SCFA']]],X$6,X$2,FALSE)</f>
        <v>0.18656317896163313</v>
      </c>
      <c r="BB521">
        <f>_xlfn.NORM.DIST(Table2912[[#This Row],[DMD '[mg/g']]],Y$6,Y$2,FALSE)</f>
        <v>9.0484973049227929E-4</v>
      </c>
      <c r="BC521">
        <f>_xlfn.NORM.DIST(Table2912[[#This Row],[CH4 '[ml/g']]],Z$6,Z$2,FALSE)</f>
        <v>3.1014230476884806E-2</v>
      </c>
      <c r="BD521">
        <f>_xlfn.NORM.DIST(Table2912[[#This Row],[CH4 '[% GP']]],AA$6,AA$2,FALSE)</f>
        <v>0.1115527261243648</v>
      </c>
      <c r="BE521">
        <f>_xlfn.NORM.DIST(Table2912[[#This Row],[CH4 '[g/g DDM']]],AB$6,AB$2,FALSE)</f>
        <v>1.3658191440892919E-2</v>
      </c>
      <c r="BG521">
        <f>IF(Table2912[[#This Row],[GP '[ml/g']]]&lt;O$10,_xlfn.NORM.DIST(Table2912[[#This Row],[GP '[ml/g']]],O$6,O$2,FALSE),-100)</f>
        <v>-100</v>
      </c>
      <c r="BH521">
        <f>IF(Table2912[[#This Row],[SCFA '[mmol/g']]]&lt;P$10,_xlfn.NORM.DIST(Table2912[[#This Row],[SCFA '[mmol/g']]],P$6,P$2,FALSE),-100)</f>
        <v>-100</v>
      </c>
      <c r="BI521">
        <f>IF(Table2912[[#This Row],[Acetate '[%']]]&lt;Q$10,_xlfn.NORM.DIST(Table2912[[#This Row],[Acetate '[%']]],Q$6,Q$2,FALSE),-100)</f>
        <v>-100</v>
      </c>
      <c r="BJ521">
        <f>IF(Table2912[[#This Row],[Propionate '[%']]]&lt;R$10,_xlfn.NORM.DIST(Table2912[[#This Row],[Propionate '[%']]],R$6,R$2,FALSE),-100)</f>
        <v>10.04865538952129</v>
      </c>
      <c r="BK521">
        <f>IF(Table2912[[#This Row],[Butyrate '[%']]]&lt;S$10,_xlfn.NORM.DIST(Table2912[[#This Row],[Butyrate '[%']]],S$6,S$2,FALSE),-100)</f>
        <v>8.1937110364319068</v>
      </c>
      <c r="BL521">
        <f>IF(Table2912[[#This Row],[Valerate '[%']]]&lt;T$10,_xlfn.NORM.DIST(Table2912[[#This Row],[Valerate '[%']]],T$6,T$2,FALSE),-100)</f>
        <v>-100</v>
      </c>
      <c r="BM521">
        <f>IF(Table2912[[#This Row],[Caproate '[%']]]&lt;U$10,_xlfn.NORM.DIST(Table2912[[#This Row],[Caproate '[%']]],U$6,U$2,FALSE),-100)</f>
        <v>215.09327533155894</v>
      </c>
      <c r="BN521">
        <f>IF(Table2912[[#This Row],[Isobutyrate '[%']]]&lt;V$10,_xlfn.NORM.DIST(Table2912[[#This Row],[Isobutyrate '[%']]],V$6,V$2,FALSE),-100)</f>
        <v>-100</v>
      </c>
      <c r="BO521">
        <f>IF(Table2912[[#This Row],[Isovalerate '[%']]]&lt;W$10,_xlfn.NORM.DIST(Table2912[[#This Row],[Isovalerate '[%']]],W$6,W$2,FALSE),-100)</f>
        <v>-100</v>
      </c>
      <c r="BP521">
        <f>IF(Table2912[[#This Row],[CH4 '[g/mmol SCFA']]]&lt;X$10,_xlfn.NORM.DIST(Table2912[[#This Row],[CH4 '[g/mmol SCFA']]],X$6,X$2,FALSE),-100)</f>
        <v>-100</v>
      </c>
      <c r="BQ521">
        <f>IF(Table2912[[#This Row],[DMD '[mg/g']]]&gt;Y$10,_xlfn.NORM.DIST(Table2912[[#This Row],[DMD '[mg/g']]],Y$6,Y$2,FALSE),-100)</f>
        <v>9.0484973049227929E-4</v>
      </c>
      <c r="BR521">
        <f>IF(Table2912[[#This Row],[CH4 '[ml/g']]]&lt;Z$10,_xlfn.NORM.DIST(Table2912[[#This Row],[CH4 '[ml/g']]],Z$6,Z$2,FALSE),-100)</f>
        <v>-100</v>
      </c>
      <c r="BS521">
        <f>IF(Table2912[[#This Row],[CH4 '[% GP']]]&lt;AA$10,_xlfn.NORM.DIST(Table2912[[#This Row],[CH4 '[% GP']]],AA$6,AA$2,FALSE),-100)</f>
        <v>-100</v>
      </c>
      <c r="BT521">
        <f>IF(Table2912[[#This Row],[CH4 '[g/g DDM']]]&lt;AB$10,_xlfn.NORM.DIST(Table2912[[#This Row],[CH4 '[g/g DDM']]],AB$6,AB$2,FALSE),-100)</f>
        <v>-100</v>
      </c>
    </row>
    <row r="522" spans="1:72" x14ac:dyDescent="0.25">
      <c r="A522" s="12" t="s">
        <v>200</v>
      </c>
      <c r="B522" s="13">
        <v>1189</v>
      </c>
      <c r="C522" s="13"/>
      <c r="D522" t="s">
        <v>615</v>
      </c>
      <c r="E522" s="13"/>
      <c r="F522" s="13"/>
      <c r="G522" s="13"/>
      <c r="H522" s="13"/>
      <c r="I522" s="13"/>
      <c r="J522" s="70">
        <v>1</v>
      </c>
      <c r="K522" s="70"/>
      <c r="L522" s="70"/>
      <c r="M522" t="s">
        <v>615</v>
      </c>
      <c r="N522" t="s">
        <v>352</v>
      </c>
      <c r="O522" s="18">
        <v>290.18622754491014</v>
      </c>
      <c r="P522" s="18">
        <v>8.1185643338949696</v>
      </c>
      <c r="Q522" s="97">
        <v>0.70594742769801355</v>
      </c>
      <c r="R522" s="97">
        <v>0.14266776866054415</v>
      </c>
      <c r="S522" s="97">
        <v>8.7960737161247415E-2</v>
      </c>
      <c r="T522" s="97">
        <v>1.5009206843525453E-2</v>
      </c>
      <c r="U522" s="97">
        <v>6.2752096132793209E-4</v>
      </c>
      <c r="V522" s="97">
        <v>1.7953798020550374E-2</v>
      </c>
      <c r="W522" s="97">
        <v>2.9833540654791171E-2</v>
      </c>
      <c r="X522" s="51">
        <f t="shared" si="34"/>
        <v>4.9101914945594265</v>
      </c>
      <c r="Y522" s="18">
        <v>986.89479804852203</v>
      </c>
      <c r="Z522" s="18">
        <v>39.863705540324595</v>
      </c>
      <c r="AA522" s="18">
        <f t="shared" si="35"/>
        <v>13.73728377035232</v>
      </c>
      <c r="AB522" s="18">
        <f t="shared" si="36"/>
        <v>40.393064812126653</v>
      </c>
      <c r="AC522" s="18">
        <f>$CP$15*Table2912[[#This Row],[DMD '[mg/g']]]+$CS$15*Table2912[[#This Row],[CH4 '[ml/g']]]+$CR$15*Table2912[[#This Row],[CH4 '[% GP']]]+$CQ$15*Table2912[[#This Row],[CH4 '[g/g DDM']]]</f>
        <v>36.575041357714866</v>
      </c>
      <c r="AD522" s="18">
        <f>_xlfn.RANK.AVG(Table2912[[#This Row],[Index]],Table2912[Index])</f>
        <v>12</v>
      </c>
      <c r="AE52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7.6036519698582765</v>
      </c>
      <c r="AF522" s="18">
        <f>Table2912[[#This Row],[CH4 '[ml/g']]]/Table2912[[#This Row],[APB]]</f>
        <v>5.2427051761901735</v>
      </c>
      <c r="AG522" s="18">
        <f>Table2912[[#This Row],[Propionate '[%']]]/Table2912[[#This Row],[Acetate '[%']]]</f>
        <v>0.20209404137325337</v>
      </c>
      <c r="AH522" s="51"/>
      <c r="AI522" s="18"/>
      <c r="AJ522" s="18"/>
      <c r="AK522" s="18">
        <f>(Table2912[[#This Row],[DMD '[mg/g']]]-$AK$15)/$AK$15*100</f>
        <v>101.28833320685328</v>
      </c>
      <c r="AL522" s="18">
        <f>(Table2912[[#This Row],[CH4 '[ml/g']]]-AL$15)/AL$15*100</f>
        <v>1.3513037926909912</v>
      </c>
      <c r="AM522" s="18">
        <f>(Table2912[[#This Row],[CH4 '[% GP']]]-AM$15)/AM$15*100</f>
        <v>-11.499995688568699</v>
      </c>
      <c r="AN522" s="18">
        <f>(Table2912[[#This Row],[CH4 '[g/g DDM']]]-AN$15)/AN$15*100</f>
        <v>-21.131210345112468</v>
      </c>
      <c r="AO522" s="18"/>
      <c r="AP522" s="18"/>
      <c r="AQ522" t="e">
        <f t="shared" si="33"/>
        <v>#DIV/0!</v>
      </c>
      <c r="AR522">
        <f>_xlfn.NORM.DIST(Table2912[[#This Row],[GP '[ml/g']]],O$6,O$2,FALSE)</f>
        <v>6.0533899624763575E-3</v>
      </c>
      <c r="AS522">
        <f>_xlfn.NORM.DIST(Table2912[[#This Row],[SCFA '[mmol/g']]],P$6,P$2,FALSE)</f>
        <v>0.1394695298414714</v>
      </c>
      <c r="AT522">
        <f>_xlfn.NORM.DIST(Table2912[[#This Row],[Acetate '[%']]],Q$6,Q$2,FALSE)</f>
        <v>7.2070973104673097</v>
      </c>
      <c r="AU522">
        <f>_xlfn.NORM.DIST(Table2912[[#This Row],[Propionate '[%']]],R$6,R$2,FALSE)</f>
        <v>7.8903739028436171</v>
      </c>
      <c r="AV522">
        <f>_xlfn.NORM.DIST(Table2912[[#This Row],[Butyrate '[%']]],S$6,S$2,FALSE)</f>
        <v>22.104687626095401</v>
      </c>
      <c r="AW522">
        <f>_xlfn.NORM.DIST(Table2912[[#This Row],[Valerate '[%']]],T$6,T$2,FALSE)</f>
        <v>67.815479413952474</v>
      </c>
      <c r="AX522">
        <f>_xlfn.NORM.DIST(Table2912[[#This Row],[Caproate '[%']]],U$6,U$2,FALSE)</f>
        <v>314.08445649485196</v>
      </c>
      <c r="AY522">
        <f>_xlfn.NORM.DIST(Table2912[[#This Row],[Isobutyrate '[%']]],V$6,V$2,FALSE)</f>
        <v>75.498043543741602</v>
      </c>
      <c r="AZ522">
        <f>_xlfn.NORM.DIST(Table2912[[#This Row],[Isovalerate '[%']]],W$6,W$2,FALSE)</f>
        <v>44.336441910850688</v>
      </c>
      <c r="BA522">
        <f>_xlfn.NORM.DIST(Table2912[[#This Row],[CH4 '[g/mmol SCFA']]],X$6,X$2,FALSE)</f>
        <v>0.17619897834970974</v>
      </c>
      <c r="BB522">
        <f>_xlfn.NORM.DIST(Table2912[[#This Row],[DMD '[mg/g']]],Y$6,Y$2,FALSE)</f>
        <v>8.8873203518982083E-4</v>
      </c>
      <c r="BC522">
        <f>_xlfn.NORM.DIST(Table2912[[#This Row],[CH4 '[ml/g']]],Z$6,Z$2,FALSE)</f>
        <v>3.3228958387764893E-2</v>
      </c>
      <c r="BD522">
        <f>_xlfn.NORM.DIST(Table2912[[#This Row],[CH4 '[% GP']]],AA$6,AA$2,FALSE)</f>
        <v>9.8827958781880831E-2</v>
      </c>
      <c r="BE522">
        <f>_xlfn.NORM.DIST(Table2912[[#This Row],[CH4 '[g/g DDM']]],AB$6,AB$2,FALSE)</f>
        <v>1.8586354902474223E-2</v>
      </c>
      <c r="BG522">
        <f>IF(Table2912[[#This Row],[GP '[ml/g']]]&lt;O$10,_xlfn.NORM.DIST(Table2912[[#This Row],[GP '[ml/g']]],O$6,O$2,FALSE),-100)</f>
        <v>-100</v>
      </c>
      <c r="BH522">
        <f>IF(Table2912[[#This Row],[SCFA '[mmol/g']]]&lt;P$10,_xlfn.NORM.DIST(Table2912[[#This Row],[SCFA '[mmol/g']]],P$6,P$2,FALSE),-100)</f>
        <v>-100</v>
      </c>
      <c r="BI522">
        <f>IF(Table2912[[#This Row],[Acetate '[%']]]&lt;Q$10,_xlfn.NORM.DIST(Table2912[[#This Row],[Acetate '[%']]],Q$6,Q$2,FALSE),-100)</f>
        <v>-100</v>
      </c>
      <c r="BJ522">
        <f>IF(Table2912[[#This Row],[Propionate '[%']]]&lt;R$10,_xlfn.NORM.DIST(Table2912[[#This Row],[Propionate '[%']]],R$6,R$2,FALSE),-100)</f>
        <v>7.8903739028436171</v>
      </c>
      <c r="BK522">
        <f>IF(Table2912[[#This Row],[Butyrate '[%']]]&lt;S$10,_xlfn.NORM.DIST(Table2912[[#This Row],[Butyrate '[%']]],S$6,S$2,FALSE),-100)</f>
        <v>-100</v>
      </c>
      <c r="BL522">
        <f>IF(Table2912[[#This Row],[Valerate '[%']]]&lt;T$10,_xlfn.NORM.DIST(Table2912[[#This Row],[Valerate '[%']]],T$6,T$2,FALSE),-100)</f>
        <v>-100</v>
      </c>
      <c r="BM522">
        <f>IF(Table2912[[#This Row],[Caproate '[%']]]&lt;U$10,_xlfn.NORM.DIST(Table2912[[#This Row],[Caproate '[%']]],U$6,U$2,FALSE),-100)</f>
        <v>-100</v>
      </c>
      <c r="BN522">
        <f>IF(Table2912[[#This Row],[Isobutyrate '[%']]]&lt;V$10,_xlfn.NORM.DIST(Table2912[[#This Row],[Isobutyrate '[%']]],V$6,V$2,FALSE),-100)</f>
        <v>-100</v>
      </c>
      <c r="BO522">
        <f>IF(Table2912[[#This Row],[Isovalerate '[%']]]&lt;W$10,_xlfn.NORM.DIST(Table2912[[#This Row],[Isovalerate '[%']]],W$6,W$2,FALSE),-100)</f>
        <v>-100</v>
      </c>
      <c r="BP522">
        <f>IF(Table2912[[#This Row],[CH4 '[g/mmol SCFA']]]&lt;X$10,_xlfn.NORM.DIST(Table2912[[#This Row],[CH4 '[g/mmol SCFA']]],X$6,X$2,FALSE),-100)</f>
        <v>0.17619897834970974</v>
      </c>
      <c r="BQ522">
        <f>IF(Table2912[[#This Row],[DMD '[mg/g']]]&gt;Y$10,_xlfn.NORM.DIST(Table2912[[#This Row],[DMD '[mg/g']]],Y$6,Y$2,FALSE),-100)</f>
        <v>8.8873203518982083E-4</v>
      </c>
      <c r="BR522">
        <f>IF(Table2912[[#This Row],[CH4 '[ml/g']]]&lt;Z$10,_xlfn.NORM.DIST(Table2912[[#This Row],[CH4 '[ml/g']]],Z$6,Z$2,FALSE),-100)</f>
        <v>-100</v>
      </c>
      <c r="BS522">
        <f>IF(Table2912[[#This Row],[CH4 '[% GP']]]&lt;AA$10,_xlfn.NORM.DIST(Table2912[[#This Row],[CH4 '[% GP']]],AA$6,AA$2,FALSE),-100)</f>
        <v>-100</v>
      </c>
      <c r="BT522">
        <f>IF(Table2912[[#This Row],[CH4 '[g/g DDM']]]&lt;AB$10,_xlfn.NORM.DIST(Table2912[[#This Row],[CH4 '[g/g DDM']]],AB$6,AB$2,FALSE),-100)</f>
        <v>-100</v>
      </c>
    </row>
    <row r="523" spans="1:72" x14ac:dyDescent="0.25">
      <c r="A523" s="12" t="s">
        <v>200</v>
      </c>
      <c r="B523" s="13">
        <v>1194</v>
      </c>
      <c r="C523" s="113" t="s">
        <v>616</v>
      </c>
      <c r="D523" s="113" t="s">
        <v>617</v>
      </c>
      <c r="E523" s="113" t="s">
        <v>618</v>
      </c>
      <c r="F523" s="113" t="s">
        <v>619</v>
      </c>
      <c r="G523" t="s">
        <v>457</v>
      </c>
      <c r="H523" t="s">
        <v>458</v>
      </c>
      <c r="I523" s="53" t="s">
        <v>48</v>
      </c>
      <c r="J523" s="70">
        <v>3</v>
      </c>
      <c r="K523" s="70"/>
      <c r="L523" s="70"/>
      <c r="M523" t="s">
        <v>620</v>
      </c>
      <c r="N523" t="s">
        <v>352</v>
      </c>
      <c r="O523" s="18">
        <v>309.09508840864305</v>
      </c>
      <c r="P523" s="18">
        <v>7.8283796457231283</v>
      </c>
      <c r="Q523" s="97">
        <v>0.66433291682657036</v>
      </c>
      <c r="R523" s="97">
        <v>0.16120843066559365</v>
      </c>
      <c r="S523" s="97">
        <v>0.10825028453078653</v>
      </c>
      <c r="T523" s="97">
        <v>1.6108833926849503E-2</v>
      </c>
      <c r="U523" s="97">
        <v>9.6663768801198496E-4</v>
      </c>
      <c r="V523" s="97">
        <v>1.815133357562438E-2</v>
      </c>
      <c r="W523" s="97">
        <v>3.0981562786563572E-2</v>
      </c>
      <c r="X523" s="51">
        <f t="shared" si="34"/>
        <v>6.7353625627058227</v>
      </c>
      <c r="Y523" s="18">
        <v>988.18353793414985</v>
      </c>
      <c r="Z523" s="18">
        <v>52.726975192451832</v>
      </c>
      <c r="AA523" s="18">
        <f t="shared" si="35"/>
        <v>17.058496614719246</v>
      </c>
      <c r="AB523" s="18">
        <f t="shared" si="36"/>
        <v>53.357471733115872</v>
      </c>
      <c r="AC523" s="18">
        <f>$CP$15*Table2912[[#This Row],[DMD '[mg/g']]]+$CS$15*Table2912[[#This Row],[CH4 '[ml/g']]]+$CR$15*Table2912[[#This Row],[CH4 '[% GP']]]+$CQ$15*Table2912[[#This Row],[CH4 '[g/g DDM']]]</f>
        <v>31.789357645821752</v>
      </c>
      <c r="AD523" s="18">
        <f>_xlfn.RANK.AVG(Table2912[[#This Row],[Index]],Table2912[Index])</f>
        <v>36</v>
      </c>
      <c r="AE52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7.3100754054750468</v>
      </c>
      <c r="AF523" s="18">
        <f>Table2912[[#This Row],[CH4 '[ml/g']]]/Table2912[[#This Row],[APB]]</f>
        <v>7.2129180983496788</v>
      </c>
      <c r="AG523" s="18">
        <f>Table2912[[#This Row],[Propionate '[%']]]/Table2912[[#This Row],[Acetate '[%']]]</f>
        <v>0.24266211500653137</v>
      </c>
      <c r="AH523" s="51"/>
      <c r="AI523" s="18"/>
      <c r="AJ523" s="18"/>
      <c r="AK523" s="18">
        <f>(Table2912[[#This Row],[DMD '[mg/g']]]-$AK$15)/$AK$15*100</f>
        <v>101.55118625261679</v>
      </c>
      <c r="AL523" s="18">
        <f>(Table2912[[#This Row],[CH4 '[ml/g']]]-AL$15)/AL$15*100</f>
        <v>34.055467457588321</v>
      </c>
      <c r="AM523" s="18">
        <f>(Table2912[[#This Row],[CH4 '[% GP']]]-AM$15)/AM$15*100</f>
        <v>9.8963266091482076</v>
      </c>
      <c r="AN523" s="18">
        <f>(Table2912[[#This Row],[CH4 '[g/g DDM']]]-AN$15)/AN$15*100</f>
        <v>4.1822212354716282</v>
      </c>
      <c r="AO523" s="18"/>
      <c r="AP523" s="18"/>
      <c r="AQ523" t="e">
        <f t="shared" si="33"/>
        <v>#DIV/0!</v>
      </c>
      <c r="AR523">
        <f>_xlfn.NORM.DIST(Table2912[[#This Row],[GP '[ml/g']]],O$6,O$2,FALSE)</f>
        <v>4.5138146689326928E-3</v>
      </c>
      <c r="AS523">
        <f>_xlfn.NORM.DIST(Table2912[[#This Row],[SCFA '[mmol/g']]],P$6,P$2,FALSE)</f>
        <v>0.18636971827607976</v>
      </c>
      <c r="AT523">
        <f>_xlfn.NORM.DIST(Table2912[[#This Row],[Acetate '[%']]],Q$6,Q$2,FALSE)</f>
        <v>13.372444875396047</v>
      </c>
      <c r="AU523">
        <f>_xlfn.NORM.DIST(Table2912[[#This Row],[Propionate '[%']]],R$6,R$2,FALSE)</f>
        <v>15.183569907864303</v>
      </c>
      <c r="AV523">
        <f>_xlfn.NORM.DIST(Table2912[[#This Row],[Butyrate '[%']]],S$6,S$2,FALSE)</f>
        <v>15.569208934769931</v>
      </c>
      <c r="AW523">
        <f>_xlfn.NORM.DIST(Table2912[[#This Row],[Valerate '[%']]],T$6,T$2,FALSE)</f>
        <v>73.973154784397394</v>
      </c>
      <c r="AX523">
        <f>_xlfn.NORM.DIST(Table2912[[#This Row],[Caproate '[%']]],U$6,U$2,FALSE)</f>
        <v>379.46385030868487</v>
      </c>
      <c r="AY523">
        <f>_xlfn.NORM.DIST(Table2912[[#This Row],[Isobutyrate '[%']]],V$6,V$2,FALSE)</f>
        <v>73.443383275064448</v>
      </c>
      <c r="AZ523">
        <f>_xlfn.NORM.DIST(Table2912[[#This Row],[Isovalerate '[%']]],W$6,W$2,FALSE)</f>
        <v>42.7087377745422</v>
      </c>
      <c r="BA523">
        <f>_xlfn.NORM.DIST(Table2912[[#This Row],[CH4 '[g/mmol SCFA']]],X$6,X$2,FALSE)</f>
        <v>0.28094914252273839</v>
      </c>
      <c r="BB523">
        <f>_xlfn.NORM.DIST(Table2912[[#This Row],[DMD '[mg/g']]],Y$6,Y$2,FALSE)</f>
        <v>8.7588077169284981E-4</v>
      </c>
      <c r="BC523">
        <f>_xlfn.NORM.DIST(Table2912[[#This Row],[CH4 '[ml/g']]],Z$6,Z$2,FALSE)</f>
        <v>2.1307677518395105E-2</v>
      </c>
      <c r="BD523">
        <f>_xlfn.NORM.DIST(Table2912[[#This Row],[CH4 '[% GP']]],AA$6,AA$2,FALSE)</f>
        <v>0.12739198400590906</v>
      </c>
      <c r="BE523">
        <f>_xlfn.NORM.DIST(Table2912[[#This Row],[CH4 '[g/g DDM']]],AB$6,AB$2,FALSE)</f>
        <v>3.2852130920818325E-2</v>
      </c>
      <c r="BG523">
        <f>IF(Table2912[[#This Row],[GP '[ml/g']]]&lt;O$10,_xlfn.NORM.DIST(Table2912[[#This Row],[GP '[ml/g']]],O$6,O$2,FALSE),-100)</f>
        <v>-100</v>
      </c>
      <c r="BH523">
        <f>IF(Table2912[[#This Row],[SCFA '[mmol/g']]]&lt;P$10,_xlfn.NORM.DIST(Table2912[[#This Row],[SCFA '[mmol/g']]],P$6,P$2,FALSE),-100)</f>
        <v>-100</v>
      </c>
      <c r="BI523">
        <f>IF(Table2912[[#This Row],[Acetate '[%']]]&lt;Q$10,_xlfn.NORM.DIST(Table2912[[#This Row],[Acetate '[%']]],Q$6,Q$2,FALSE),-100)</f>
        <v>-100</v>
      </c>
      <c r="BJ523">
        <f>IF(Table2912[[#This Row],[Propionate '[%']]]&lt;R$10,_xlfn.NORM.DIST(Table2912[[#This Row],[Propionate '[%']]],R$6,R$2,FALSE),-100)</f>
        <v>-100</v>
      </c>
      <c r="BK523">
        <f>IF(Table2912[[#This Row],[Butyrate '[%']]]&lt;S$10,_xlfn.NORM.DIST(Table2912[[#This Row],[Butyrate '[%']]],S$6,S$2,FALSE),-100)</f>
        <v>-100</v>
      </c>
      <c r="BL523">
        <f>IF(Table2912[[#This Row],[Valerate '[%']]]&lt;T$10,_xlfn.NORM.DIST(Table2912[[#This Row],[Valerate '[%']]],T$6,T$2,FALSE),-100)</f>
        <v>-100</v>
      </c>
      <c r="BM523">
        <f>IF(Table2912[[#This Row],[Caproate '[%']]]&lt;U$10,_xlfn.NORM.DIST(Table2912[[#This Row],[Caproate '[%']]],U$6,U$2,FALSE),-100)</f>
        <v>-100</v>
      </c>
      <c r="BN523">
        <f>IF(Table2912[[#This Row],[Isobutyrate '[%']]]&lt;V$10,_xlfn.NORM.DIST(Table2912[[#This Row],[Isobutyrate '[%']]],V$6,V$2,FALSE),-100)</f>
        <v>-100</v>
      </c>
      <c r="BO523">
        <f>IF(Table2912[[#This Row],[Isovalerate '[%']]]&lt;W$10,_xlfn.NORM.DIST(Table2912[[#This Row],[Isovalerate '[%']]],W$6,W$2,FALSE),-100)</f>
        <v>-100</v>
      </c>
      <c r="BP523">
        <f>IF(Table2912[[#This Row],[CH4 '[g/mmol SCFA']]]&lt;X$10,_xlfn.NORM.DIST(Table2912[[#This Row],[CH4 '[g/mmol SCFA']]],X$6,X$2,FALSE),-100)</f>
        <v>-100</v>
      </c>
      <c r="BQ523">
        <f>IF(Table2912[[#This Row],[DMD '[mg/g']]]&gt;Y$10,_xlfn.NORM.DIST(Table2912[[#This Row],[DMD '[mg/g']]],Y$6,Y$2,FALSE),-100)</f>
        <v>8.7588077169284981E-4</v>
      </c>
      <c r="BR523">
        <f>IF(Table2912[[#This Row],[CH4 '[ml/g']]]&lt;Z$10,_xlfn.NORM.DIST(Table2912[[#This Row],[CH4 '[ml/g']]],Z$6,Z$2,FALSE),-100)</f>
        <v>-100</v>
      </c>
      <c r="BS523">
        <f>IF(Table2912[[#This Row],[CH4 '[% GP']]]&lt;AA$10,_xlfn.NORM.DIST(Table2912[[#This Row],[CH4 '[% GP']]],AA$6,AA$2,FALSE),-100)</f>
        <v>-100</v>
      </c>
      <c r="BT523">
        <f>IF(Table2912[[#This Row],[CH4 '[g/g DDM']]]&lt;AB$10,_xlfn.NORM.DIST(Table2912[[#This Row],[CH4 '[g/g DDM']]],AB$6,AB$2,FALSE),-100)</f>
        <v>-100</v>
      </c>
    </row>
    <row r="524" spans="1:72" x14ac:dyDescent="0.25">
      <c r="A524" s="12" t="s">
        <v>200</v>
      </c>
      <c r="B524" s="13">
        <v>1187</v>
      </c>
      <c r="C524" s="113" t="s">
        <v>591</v>
      </c>
      <c r="D524" s="113" t="s">
        <v>592</v>
      </c>
      <c r="E524" s="113" t="s">
        <v>593</v>
      </c>
      <c r="F524" s="113" t="s">
        <v>594</v>
      </c>
      <c r="G524" t="s">
        <v>595</v>
      </c>
      <c r="H524" t="s">
        <v>539</v>
      </c>
      <c r="I524" s="115" t="s">
        <v>48</v>
      </c>
      <c r="J524" s="107">
        <v>3</v>
      </c>
      <c r="K524" s="107"/>
      <c r="L524" s="107"/>
      <c r="M524" t="s">
        <v>596</v>
      </c>
      <c r="N524" t="s">
        <v>208</v>
      </c>
      <c r="O524" s="18">
        <v>283.66112202575846</v>
      </c>
      <c r="P524" s="18">
        <v>7.1835395810340819</v>
      </c>
      <c r="Q524" s="97">
        <v>0.67964080140797334</v>
      </c>
      <c r="R524" s="97">
        <v>0.14924568211852079</v>
      </c>
      <c r="S524" s="97">
        <v>9.7771172225111655E-2</v>
      </c>
      <c r="T524" s="97">
        <v>2.3186661146225418E-2</v>
      </c>
      <c r="U524" s="97">
        <v>1.199824968692656E-3</v>
      </c>
      <c r="V524" s="97">
        <v>2.0233006195811108E-2</v>
      </c>
      <c r="W524" s="97">
        <v>2.8722851937664974E-2</v>
      </c>
      <c r="X524" s="51">
        <f t="shared" si="34"/>
        <v>6.907578587410244</v>
      </c>
      <c r="Y524" s="18">
        <v>988.25436085824799</v>
      </c>
      <c r="Z524" s="18">
        <v>49.62086419176498</v>
      </c>
      <c r="AA524" s="18">
        <f t="shared" si="35"/>
        <v>17.493008501622949</v>
      </c>
      <c r="AB524" s="18">
        <f t="shared" si="36"/>
        <v>50.210620015551271</v>
      </c>
      <c r="AC524" s="18">
        <f>$CP$15*Table2912[[#This Row],[DMD '[mg/g']]]+$CS$15*Table2912[[#This Row],[CH4 '[ml/g']]]+$CR$15*Table2912[[#This Row],[CH4 '[% GP']]]+$CQ$15*Table2912[[#This Row],[CH4 '[g/g DDM']]]</f>
        <v>32.608207379728967</v>
      </c>
      <c r="AD524" s="18">
        <f>_xlfn.RANK.AVG(Table2912[[#This Row],[Index]],Table2912[Index])</f>
        <v>31</v>
      </c>
      <c r="AE524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6.6566819481599149</v>
      </c>
      <c r="AF524" s="18">
        <f>Table2912[[#This Row],[CH4 '[ml/g']]]/Table2912[[#This Row],[APB]]</f>
        <v>7.4542939828275125</v>
      </c>
      <c r="AG524" s="18">
        <f>Table2912[[#This Row],[Propionate '[%']]]/Table2912[[#This Row],[Acetate '[%']]]</f>
        <v>0.21959494163584201</v>
      </c>
      <c r="AH524" s="51"/>
      <c r="AI524" s="18"/>
      <c r="AJ524" s="18"/>
      <c r="AK524" s="18">
        <f>(Table2912[[#This Row],[DMD '[mg/g']]]-$AK$15)/$AK$15*100</f>
        <v>101.56563138736949</v>
      </c>
      <c r="AL524" s="18">
        <f>(Table2912[[#This Row],[CH4 '[ml/g']]]-AL$15)/AL$15*100</f>
        <v>26.15834912958983</v>
      </c>
      <c r="AM524" s="18">
        <f>(Table2912[[#This Row],[CH4 '[% GP']]]-AM$15)/AM$15*100</f>
        <v>12.69559206127038</v>
      </c>
      <c r="AN524" s="18">
        <f>(Table2912[[#This Row],[CH4 '[g/g DDM']]]-AN$15)/AN$15*100</f>
        <v>-1.9621104051721374</v>
      </c>
      <c r="AO524" s="18"/>
      <c r="AP524" s="18"/>
      <c r="AQ524" t="e">
        <f t="shared" si="33"/>
        <v>#DIV/0!</v>
      </c>
      <c r="AR524">
        <f>_xlfn.NORM.DIST(Table2912[[#This Row],[GP '[ml/g']]],O$6,O$2,FALSE)</f>
        <v>6.5059780756865854E-3</v>
      </c>
      <c r="AS524">
        <f>_xlfn.NORM.DIST(Table2912[[#This Row],[SCFA '[mmol/g']]],P$6,P$2,FALSE)</f>
        <v>0.28777736159422934</v>
      </c>
      <c r="AT524">
        <f>_xlfn.NORM.DIST(Table2912[[#This Row],[Acetate '[%']]],Q$6,Q$2,FALSE)</f>
        <v>13.663578232858914</v>
      </c>
      <c r="AU524">
        <f>_xlfn.NORM.DIST(Table2912[[#This Row],[Propionate '[%']]],R$6,R$2,FALSE)</f>
        <v>10.671461198830375</v>
      </c>
      <c r="AV524">
        <f>_xlfn.NORM.DIST(Table2912[[#This Row],[Butyrate '[%']]],S$6,S$2,FALSE)</f>
        <v>22.145096109981257</v>
      </c>
      <c r="AW524">
        <f>_xlfn.NORM.DIST(Table2912[[#This Row],[Valerate '[%']]],T$6,T$2,FALSE)</f>
        <v>43.551481911410569</v>
      </c>
      <c r="AX524">
        <f>_xlfn.NORM.DIST(Table2912[[#This Row],[Caproate '[%']]],U$6,U$2,FALSE)</f>
        <v>403.17398857192023</v>
      </c>
      <c r="AY524">
        <f>_xlfn.NORM.DIST(Table2912[[#This Row],[Isobutyrate '[%']]],V$6,V$2,FALSE)</f>
        <v>48.646764031743075</v>
      </c>
      <c r="AZ524">
        <f>_xlfn.NORM.DIST(Table2912[[#This Row],[Isovalerate '[%']]],W$6,W$2,FALSE)</f>
        <v>45.228518125639937</v>
      </c>
      <c r="BA524">
        <f>_xlfn.NORM.DIST(Table2912[[#This Row],[CH4 '[g/mmol SCFA']]],X$6,X$2,FALSE)</f>
        <v>0.26682998882349757</v>
      </c>
      <c r="BB524">
        <f>_xlfn.NORM.DIST(Table2912[[#This Row],[DMD '[mg/g']]],Y$6,Y$2,FALSE)</f>
        <v>8.7517768863479555E-4</v>
      </c>
      <c r="BC524">
        <f>_xlfn.NORM.DIST(Table2912[[#This Row],[CH4 '[ml/g']]],Z$6,Z$2,FALSE)</f>
        <v>2.6397149368678121E-2</v>
      </c>
      <c r="BD524">
        <f>_xlfn.NORM.DIST(Table2912[[#This Row],[CH4 '[% GP']]],AA$6,AA$2,FALSE)</f>
        <v>0.11999387248803678</v>
      </c>
      <c r="BE524">
        <f>_xlfn.NORM.DIST(Table2912[[#This Row],[CH4 '[g/g DDM']]],AB$6,AB$2,FALSE)</f>
        <v>3.1769632078476204E-2</v>
      </c>
      <c r="BG524">
        <f>IF(Table2912[[#This Row],[GP '[ml/g']]]&lt;O$10,_xlfn.NORM.DIST(Table2912[[#This Row],[GP '[ml/g']]],O$6,O$2,FALSE),-100)</f>
        <v>-100</v>
      </c>
      <c r="BH524">
        <f>IF(Table2912[[#This Row],[SCFA '[mmol/g']]]&lt;P$10,_xlfn.NORM.DIST(Table2912[[#This Row],[SCFA '[mmol/g']]],P$6,P$2,FALSE),-100)</f>
        <v>-100</v>
      </c>
      <c r="BI524">
        <f>IF(Table2912[[#This Row],[Acetate '[%']]]&lt;Q$10,_xlfn.NORM.DIST(Table2912[[#This Row],[Acetate '[%']]],Q$6,Q$2,FALSE),-100)</f>
        <v>-100</v>
      </c>
      <c r="BJ524">
        <f>IF(Table2912[[#This Row],[Propionate '[%']]]&lt;R$10,_xlfn.NORM.DIST(Table2912[[#This Row],[Propionate '[%']]],R$6,R$2,FALSE),-100)</f>
        <v>-100</v>
      </c>
      <c r="BK524">
        <f>IF(Table2912[[#This Row],[Butyrate '[%']]]&lt;S$10,_xlfn.NORM.DIST(Table2912[[#This Row],[Butyrate '[%']]],S$6,S$2,FALSE),-100)</f>
        <v>-100</v>
      </c>
      <c r="BL524">
        <f>IF(Table2912[[#This Row],[Valerate '[%']]]&lt;T$10,_xlfn.NORM.DIST(Table2912[[#This Row],[Valerate '[%']]],T$6,T$2,FALSE),-100)</f>
        <v>-100</v>
      </c>
      <c r="BM524">
        <f>IF(Table2912[[#This Row],[Caproate '[%']]]&lt;U$10,_xlfn.NORM.DIST(Table2912[[#This Row],[Caproate '[%']]],U$6,U$2,FALSE),-100)</f>
        <v>-100</v>
      </c>
      <c r="BN524">
        <f>IF(Table2912[[#This Row],[Isobutyrate '[%']]]&lt;V$10,_xlfn.NORM.DIST(Table2912[[#This Row],[Isobutyrate '[%']]],V$6,V$2,FALSE),-100)</f>
        <v>-100</v>
      </c>
      <c r="BO524">
        <f>IF(Table2912[[#This Row],[Isovalerate '[%']]]&lt;W$10,_xlfn.NORM.DIST(Table2912[[#This Row],[Isovalerate '[%']]],W$6,W$2,FALSE),-100)</f>
        <v>-100</v>
      </c>
      <c r="BP524">
        <f>IF(Table2912[[#This Row],[CH4 '[g/mmol SCFA']]]&lt;X$10,_xlfn.NORM.DIST(Table2912[[#This Row],[CH4 '[g/mmol SCFA']]],X$6,X$2,FALSE),-100)</f>
        <v>-100</v>
      </c>
      <c r="BQ524">
        <f>IF(Table2912[[#This Row],[DMD '[mg/g']]]&gt;Y$10,_xlfn.NORM.DIST(Table2912[[#This Row],[DMD '[mg/g']]],Y$6,Y$2,FALSE),-100)</f>
        <v>8.7517768863479555E-4</v>
      </c>
      <c r="BR524">
        <f>IF(Table2912[[#This Row],[CH4 '[ml/g']]]&lt;Z$10,_xlfn.NORM.DIST(Table2912[[#This Row],[CH4 '[ml/g']]],Z$6,Z$2,FALSE),-100)</f>
        <v>-100</v>
      </c>
      <c r="BS524">
        <f>IF(Table2912[[#This Row],[CH4 '[% GP']]]&lt;AA$10,_xlfn.NORM.DIST(Table2912[[#This Row],[CH4 '[% GP']]],AA$6,AA$2,FALSE),-100)</f>
        <v>-100</v>
      </c>
      <c r="BT524">
        <f>IF(Table2912[[#This Row],[CH4 '[g/g DDM']]]&lt;AB$10,_xlfn.NORM.DIST(Table2912[[#This Row],[CH4 '[g/g DDM']]],AB$6,AB$2,FALSE),-100)</f>
        <v>-100</v>
      </c>
    </row>
    <row r="525" spans="1:72" x14ac:dyDescent="0.25">
      <c r="A525" s="12" t="s">
        <v>200</v>
      </c>
      <c r="B525" s="13">
        <v>1194</v>
      </c>
      <c r="C525" s="113" t="s">
        <v>616</v>
      </c>
      <c r="D525" s="113" t="s">
        <v>617</v>
      </c>
      <c r="E525" s="113" t="s">
        <v>618</v>
      </c>
      <c r="F525" s="113" t="s">
        <v>619</v>
      </c>
      <c r="G525" t="s">
        <v>457</v>
      </c>
      <c r="H525" t="s">
        <v>458</v>
      </c>
      <c r="I525" s="53" t="s">
        <v>48</v>
      </c>
      <c r="J525" s="70">
        <v>1</v>
      </c>
      <c r="K525" s="70"/>
      <c r="L525" s="70"/>
      <c r="M525" t="s">
        <v>620</v>
      </c>
      <c r="N525" t="s">
        <v>363</v>
      </c>
      <c r="O525" s="18">
        <v>282.14000441793661</v>
      </c>
      <c r="P525" s="18">
        <v>7.1333828386728371</v>
      </c>
      <c r="Q525" s="97">
        <v>0.68268500649934616</v>
      </c>
      <c r="R525" s="97">
        <v>0.188247436440065</v>
      </c>
      <c r="S525" s="97">
        <v>8.273348347075174E-2</v>
      </c>
      <c r="T525" s="97">
        <v>1.2345662618085581E-2</v>
      </c>
      <c r="U525" s="97">
        <v>5.3581640176175835E-4</v>
      </c>
      <c r="V525" s="97">
        <v>1.3398810133616022E-2</v>
      </c>
      <c r="W525" s="97">
        <v>2.0053784436373855E-2</v>
      </c>
      <c r="X525" s="51">
        <f t="shared" si="34"/>
        <v>5.5793758455063314</v>
      </c>
      <c r="Y525" s="18">
        <v>989.17605478241671</v>
      </c>
      <c r="Z525" s="18">
        <v>39.799823906840615</v>
      </c>
      <c r="AA525" s="18">
        <f t="shared" si="35"/>
        <v>14.106409329988088</v>
      </c>
      <c r="AB525" s="18">
        <f t="shared" si="36"/>
        <v>40.235328902694832</v>
      </c>
      <c r="AC525" s="18">
        <f>$CP$15*Table2912[[#This Row],[DMD '[mg/g']]]+$CS$15*Table2912[[#This Row],[CH4 '[ml/g']]]+$CR$15*Table2912[[#This Row],[CH4 '[% GP']]]+$CQ$15*Table2912[[#This Row],[CH4 '[g/g DDM']]]</f>
        <v>36.687803501518033</v>
      </c>
      <c r="AD525" s="18">
        <f>_xlfn.RANK.AVG(Table2912[[#This Row],[Index]],Table2912[Index])</f>
        <v>10</v>
      </c>
      <c r="AE525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6.8028641532812886</v>
      </c>
      <c r="AF525" s="18">
        <f>Table2912[[#This Row],[CH4 '[ml/g']]]/Table2912[[#This Row],[APB]]</f>
        <v>5.850451076204954</v>
      </c>
      <c r="AG525" s="18">
        <f>Table2912[[#This Row],[Propionate '[%']]]/Table2912[[#This Row],[Acetate '[%']]]</f>
        <v>0.27574567281820817</v>
      </c>
      <c r="AH525" s="51"/>
      <c r="AI525" s="18"/>
      <c r="AJ525" s="18"/>
      <c r="AK525" s="18">
        <f>(Table2912[[#This Row],[DMD '[mg/g']]]-$AK$15)/$AK$15*100</f>
        <v>101.75362126642212</v>
      </c>
      <c r="AL525" s="18">
        <f>(Table2912[[#This Row],[CH4 '[ml/g']]]-AL$15)/AL$15*100</f>
        <v>1.1888882130490315</v>
      </c>
      <c r="AM525" s="18">
        <f>(Table2912[[#This Row],[CH4 '[% GP']]]-AM$15)/AM$15*100</f>
        <v>-9.1219700056656592</v>
      </c>
      <c r="AN525" s="18">
        <f>(Table2912[[#This Row],[CH4 '[g/g DDM']]]-AN$15)/AN$15*100</f>
        <v>-21.439194904339718</v>
      </c>
      <c r="AO525" s="18"/>
      <c r="AP525" s="18"/>
      <c r="AQ525" t="e">
        <f t="shared" si="33"/>
        <v>#DIV/0!</v>
      </c>
      <c r="AR525">
        <f>_xlfn.NORM.DIST(Table2912[[#This Row],[GP '[ml/g']]],O$6,O$2,FALSE)</f>
        <v>6.6020399959041253E-3</v>
      </c>
      <c r="AS525">
        <f>_xlfn.NORM.DIST(Table2912[[#This Row],[SCFA '[mmol/g']]],P$6,P$2,FALSE)</f>
        <v>0.2940808568491029</v>
      </c>
      <c r="AT525">
        <f>_xlfn.NORM.DIST(Table2912[[#This Row],[Acetate '[%']]],Q$6,Q$2,FALSE)</f>
        <v>13.256446523092984</v>
      </c>
      <c r="AU525">
        <f>_xlfn.NORM.DIST(Table2912[[#This Row],[Propionate '[%']]],R$6,R$2,FALSE)</f>
        <v>13.239447781610808</v>
      </c>
      <c r="AV525">
        <f>_xlfn.NORM.DIST(Table2912[[#This Row],[Butyrate '[%']]],S$6,S$2,FALSE)</f>
        <v>19.372213725266324</v>
      </c>
      <c r="AW525">
        <f>_xlfn.NORM.DIST(Table2912[[#This Row],[Valerate '[%']]],T$6,T$2,FALSE)</f>
        <v>45.497099548812088</v>
      </c>
      <c r="AX525">
        <f>_xlfn.NORM.DIST(Table2912[[#This Row],[Caproate '[%']]],U$6,U$2,FALSE)</f>
        <v>292.35661481150669</v>
      </c>
      <c r="AY525">
        <f>_xlfn.NORM.DIST(Table2912[[#This Row],[Isobutyrate '[%']]],V$6,V$2,FALSE)</f>
        <v>82.067672760774315</v>
      </c>
      <c r="AZ525">
        <f>_xlfn.NORM.DIST(Table2912[[#This Row],[Isovalerate '[%']]],W$6,W$2,FALSE)</f>
        <v>30.49316468443449</v>
      </c>
      <c r="BA525">
        <f>_xlfn.NORM.DIST(Table2912[[#This Row],[CH4 '[g/mmol SCFA']]],X$6,X$2,FALSE)</f>
        <v>0.25920808337347956</v>
      </c>
      <c r="BB525">
        <f>_xlfn.NORM.DIST(Table2912[[#This Row],[DMD '[mg/g']]],Y$6,Y$2,FALSE)</f>
        <v>8.6605785744076872E-4</v>
      </c>
      <c r="BC525">
        <f>_xlfn.NORM.DIST(Table2912[[#This Row],[CH4 '[ml/g']]],Z$6,Z$2,FALSE)</f>
        <v>3.3205513552301891E-2</v>
      </c>
      <c r="BD525">
        <f>_xlfn.NORM.DIST(Table2912[[#This Row],[CH4 '[% GP']]],AA$6,AA$2,FALSE)</f>
        <v>0.10817253817561541</v>
      </c>
      <c r="BE525">
        <f>_xlfn.NORM.DIST(Table2912[[#This Row],[CH4 '[g/g DDM']]],AB$6,AB$2,FALSE)</f>
        <v>1.8328910495563438E-2</v>
      </c>
      <c r="BG525">
        <f>IF(Table2912[[#This Row],[GP '[ml/g']]]&lt;O$10,_xlfn.NORM.DIST(Table2912[[#This Row],[GP '[ml/g']]],O$6,O$2,FALSE),-100)</f>
        <v>-100</v>
      </c>
      <c r="BH525">
        <f>IF(Table2912[[#This Row],[SCFA '[mmol/g']]]&lt;P$10,_xlfn.NORM.DIST(Table2912[[#This Row],[SCFA '[mmol/g']]],P$6,P$2,FALSE),-100)</f>
        <v>-100</v>
      </c>
      <c r="BI525">
        <f>IF(Table2912[[#This Row],[Acetate '[%']]]&lt;Q$10,_xlfn.NORM.DIST(Table2912[[#This Row],[Acetate '[%']]],Q$6,Q$2,FALSE),-100)</f>
        <v>-100</v>
      </c>
      <c r="BJ525">
        <f>IF(Table2912[[#This Row],[Propionate '[%']]]&lt;R$10,_xlfn.NORM.DIST(Table2912[[#This Row],[Propionate '[%']]],R$6,R$2,FALSE),-100)</f>
        <v>-100</v>
      </c>
      <c r="BK525">
        <f>IF(Table2912[[#This Row],[Butyrate '[%']]]&lt;S$10,_xlfn.NORM.DIST(Table2912[[#This Row],[Butyrate '[%']]],S$6,S$2,FALSE),-100)</f>
        <v>-100</v>
      </c>
      <c r="BL525">
        <f>IF(Table2912[[#This Row],[Valerate '[%']]]&lt;T$10,_xlfn.NORM.DIST(Table2912[[#This Row],[Valerate '[%']]],T$6,T$2,FALSE),-100)</f>
        <v>45.497099548812088</v>
      </c>
      <c r="BM525">
        <f>IF(Table2912[[#This Row],[Caproate '[%']]]&lt;U$10,_xlfn.NORM.DIST(Table2912[[#This Row],[Caproate '[%']]],U$6,U$2,FALSE),-100)</f>
        <v>-100</v>
      </c>
      <c r="BN525">
        <f>IF(Table2912[[#This Row],[Isobutyrate '[%']]]&lt;V$10,_xlfn.NORM.DIST(Table2912[[#This Row],[Isobutyrate '[%']]],V$6,V$2,FALSE),-100)</f>
        <v>-100</v>
      </c>
      <c r="BO525">
        <f>IF(Table2912[[#This Row],[Isovalerate '[%']]]&lt;W$10,_xlfn.NORM.DIST(Table2912[[#This Row],[Isovalerate '[%']]],W$6,W$2,FALSE),-100)</f>
        <v>-100</v>
      </c>
      <c r="BP525">
        <f>IF(Table2912[[#This Row],[CH4 '[g/mmol SCFA']]]&lt;X$10,_xlfn.NORM.DIST(Table2912[[#This Row],[CH4 '[g/mmol SCFA']]],X$6,X$2,FALSE),-100)</f>
        <v>-100</v>
      </c>
      <c r="BQ525">
        <f>IF(Table2912[[#This Row],[DMD '[mg/g']]]&gt;Y$10,_xlfn.NORM.DIST(Table2912[[#This Row],[DMD '[mg/g']]],Y$6,Y$2,FALSE),-100)</f>
        <v>8.6605785744076872E-4</v>
      </c>
      <c r="BR525">
        <f>IF(Table2912[[#This Row],[CH4 '[ml/g']]]&lt;Z$10,_xlfn.NORM.DIST(Table2912[[#This Row],[CH4 '[ml/g']]],Z$6,Z$2,FALSE),-100)</f>
        <v>-100</v>
      </c>
      <c r="BS525">
        <f>IF(Table2912[[#This Row],[CH4 '[% GP']]]&lt;AA$10,_xlfn.NORM.DIST(Table2912[[#This Row],[CH4 '[% GP']]],AA$6,AA$2,FALSE),-100)</f>
        <v>-100</v>
      </c>
      <c r="BT525">
        <f>IF(Table2912[[#This Row],[CH4 '[g/g DDM']]]&lt;AB$10,_xlfn.NORM.DIST(Table2912[[#This Row],[CH4 '[g/g DDM']]],AB$6,AB$2,FALSE),-100)</f>
        <v>-100</v>
      </c>
    </row>
    <row r="526" spans="1:72" ht="30" x14ac:dyDescent="0.25">
      <c r="A526" s="12" t="s">
        <v>200</v>
      </c>
      <c r="B526" s="13">
        <v>1185</v>
      </c>
      <c r="C526" s="113" t="s">
        <v>609</v>
      </c>
      <c r="D526" s="113" t="s">
        <v>610</v>
      </c>
      <c r="E526" s="113" t="s">
        <v>611</v>
      </c>
      <c r="F526" s="113" t="s">
        <v>612</v>
      </c>
      <c r="G526" s="121" t="s">
        <v>613</v>
      </c>
      <c r="H526" s="130" t="s">
        <v>317</v>
      </c>
      <c r="I526" s="53" t="s">
        <v>48</v>
      </c>
      <c r="J526" s="100">
        <v>1</v>
      </c>
      <c r="K526" s="100"/>
      <c r="L526" s="100"/>
      <c r="M526" t="s">
        <v>614</v>
      </c>
      <c r="N526" t="s">
        <v>363</v>
      </c>
      <c r="O526" s="18">
        <v>264.2807496118881</v>
      </c>
      <c r="P526" s="18">
        <v>7.5190609594459374</v>
      </c>
      <c r="Q526" s="97">
        <v>0.68955250315694272</v>
      </c>
      <c r="R526" s="97">
        <v>0.17921833811291668</v>
      </c>
      <c r="S526" s="97">
        <v>8.348713508708161E-2</v>
      </c>
      <c r="T526" s="97">
        <v>1.4256974916096737E-2</v>
      </c>
      <c r="U526" s="97">
        <v>6.3732297284370084E-4</v>
      </c>
      <c r="V526" s="97">
        <v>1.3065630852815256E-2</v>
      </c>
      <c r="W526" s="97">
        <v>1.9782094901303296E-2</v>
      </c>
      <c r="X526" s="51">
        <f t="shared" si="34"/>
        <v>6.5856395745483258</v>
      </c>
      <c r="Y526" s="18">
        <v>991.22817357411168</v>
      </c>
      <c r="Z526" s="18">
        <v>49.517825417968467</v>
      </c>
      <c r="AA526" s="18">
        <f t="shared" si="35"/>
        <v>18.736826458487165</v>
      </c>
      <c r="AB526" s="18">
        <f t="shared" si="36"/>
        <v>49.956031051276554</v>
      </c>
      <c r="AC526" s="18">
        <f>$CP$15*Table2912[[#This Row],[DMD '[mg/g']]]+$CS$15*Table2912[[#This Row],[CH4 '[ml/g']]]+$CR$15*Table2912[[#This Row],[CH4 '[% GP']]]+$CQ$15*Table2912[[#This Row],[CH4 '[g/g DDM']]]</f>
        <v>32.557563656308133</v>
      </c>
      <c r="AD526" s="18">
        <f>_xlfn.RANK.AVG(Table2912[[#This Row],[Index]],Table2912[Index])</f>
        <v>32</v>
      </c>
      <c r="AE526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7.1600857733464682</v>
      </c>
      <c r="AF526" s="18">
        <f>Table2912[[#This Row],[CH4 '[ml/g']]]/Table2912[[#This Row],[APB]]</f>
        <v>6.9158145566215632</v>
      </c>
      <c r="AG526" s="18">
        <f>Table2912[[#This Row],[Propionate '[%']]]/Table2912[[#This Row],[Acetate '[%']]]</f>
        <v>0.25990528247292349</v>
      </c>
      <c r="AH526" s="51"/>
      <c r="AI526" s="18"/>
      <c r="AJ526" s="18"/>
      <c r="AK526" s="18">
        <f>(Table2912[[#This Row],[DMD '[mg/g']]]-$AK$15)/$AK$15*100</f>
        <v>102.17217405638468</v>
      </c>
      <c r="AL526" s="18">
        <f>(Table2912[[#This Row],[CH4 '[ml/g']]]-AL$15)/AL$15*100</f>
        <v>25.896378649828161</v>
      </c>
      <c r="AM526" s="18">
        <f>(Table2912[[#This Row],[CH4 '[% GP']]]-AM$15)/AM$15*100</f>
        <v>20.708667745321392</v>
      </c>
      <c r="AN526" s="18">
        <f>(Table2912[[#This Row],[CH4 '[g/g DDM']]]-AN$15)/AN$15*100</f>
        <v>-2.4592037444676063</v>
      </c>
      <c r="AO526" s="18"/>
      <c r="AP526" s="18"/>
      <c r="AQ526" t="e">
        <f t="shared" si="33"/>
        <v>#DIV/0!</v>
      </c>
      <c r="AR526">
        <f>_xlfn.NORM.DIST(Table2912[[#This Row],[GP '[ml/g']]],O$6,O$2,FALSE)</f>
        <v>7.3789486021350915E-3</v>
      </c>
      <c r="AS526">
        <f>_xlfn.NORM.DIST(Table2912[[#This Row],[SCFA '[mmol/g']]],P$6,P$2,FALSE)</f>
        <v>0.23799077829637266</v>
      </c>
      <c r="AT526">
        <f>_xlfn.NORM.DIST(Table2912[[#This Row],[Acetate '[%']]],Q$6,Q$2,FALSE)</f>
        <v>11.871826775443655</v>
      </c>
      <c r="AU526">
        <f>_xlfn.NORM.DIST(Table2912[[#This Row],[Propionate '[%']]],R$6,R$2,FALSE)</f>
        <v>16.006370277893016</v>
      </c>
      <c r="AV526">
        <f>_xlfn.NORM.DIST(Table2912[[#This Row],[Butyrate '[%']]],S$6,S$2,FALSE)</f>
        <v>19.855514330763402</v>
      </c>
      <c r="AW526">
        <f>_xlfn.NORM.DIST(Table2912[[#This Row],[Valerate '[%']]],T$6,T$2,FALSE)</f>
        <v>62.247704114229883</v>
      </c>
      <c r="AX526">
        <f>_xlfn.NORM.DIST(Table2912[[#This Row],[Caproate '[%']]],U$6,U$2,FALSE)</f>
        <v>316.33659278695183</v>
      </c>
      <c r="AY526">
        <f>_xlfn.NORM.DIST(Table2912[[#This Row],[Isobutyrate '[%']]],V$6,V$2,FALSE)</f>
        <v>79.206437226005164</v>
      </c>
      <c r="AZ526">
        <f>_xlfn.NORM.DIST(Table2912[[#This Row],[Isovalerate '[%']]],W$6,W$2,FALSE)</f>
        <v>29.648083508073185</v>
      </c>
      <c r="BA526">
        <f>_xlfn.NORM.DIST(Table2912[[#This Row],[CH4 '[g/mmol SCFA']]],X$6,X$2,FALSE)</f>
        <v>0.28992057512963171</v>
      </c>
      <c r="BB526">
        <f>_xlfn.NORM.DIST(Table2912[[#This Row],[DMD '[mg/g']]],Y$6,Y$2,FALSE)</f>
        <v>8.4595484198316179E-4</v>
      </c>
      <c r="BC526">
        <f>_xlfn.NORM.DIST(Table2912[[#This Row],[CH4 '[ml/g']]],Z$6,Z$2,FALSE)</f>
        <v>2.6554389153133146E-2</v>
      </c>
      <c r="BD526">
        <f>_xlfn.NORM.DIST(Table2912[[#This Row],[CH4 '[% GP']]],AA$6,AA$2,FALSE)</f>
        <v>8.9761543949982439E-2</v>
      </c>
      <c r="BE526">
        <f>_xlfn.NORM.DIST(Table2912[[#This Row],[CH4 '[g/g DDM']]],AB$6,AB$2,FALSE)</f>
        <v>3.1590738817282422E-2</v>
      </c>
      <c r="BG526">
        <f>IF(Table2912[[#This Row],[GP '[ml/g']]]&lt;O$10,_xlfn.NORM.DIST(Table2912[[#This Row],[GP '[ml/g']]],O$6,O$2,FALSE),-100)</f>
        <v>-100</v>
      </c>
      <c r="BH526">
        <f>IF(Table2912[[#This Row],[SCFA '[mmol/g']]]&lt;P$10,_xlfn.NORM.DIST(Table2912[[#This Row],[SCFA '[mmol/g']]],P$6,P$2,FALSE),-100)</f>
        <v>-100</v>
      </c>
      <c r="BI526">
        <f>IF(Table2912[[#This Row],[Acetate '[%']]]&lt;Q$10,_xlfn.NORM.DIST(Table2912[[#This Row],[Acetate '[%']]],Q$6,Q$2,FALSE),-100)</f>
        <v>-100</v>
      </c>
      <c r="BJ526">
        <f>IF(Table2912[[#This Row],[Propionate '[%']]]&lt;R$10,_xlfn.NORM.DIST(Table2912[[#This Row],[Propionate '[%']]],R$6,R$2,FALSE),-100)</f>
        <v>-100</v>
      </c>
      <c r="BK526">
        <f>IF(Table2912[[#This Row],[Butyrate '[%']]]&lt;S$10,_xlfn.NORM.DIST(Table2912[[#This Row],[Butyrate '[%']]],S$6,S$2,FALSE),-100)</f>
        <v>-100</v>
      </c>
      <c r="BL526">
        <f>IF(Table2912[[#This Row],[Valerate '[%']]]&lt;T$10,_xlfn.NORM.DIST(Table2912[[#This Row],[Valerate '[%']]],T$6,T$2,FALSE),-100)</f>
        <v>-100</v>
      </c>
      <c r="BM526">
        <f>IF(Table2912[[#This Row],[Caproate '[%']]]&lt;U$10,_xlfn.NORM.DIST(Table2912[[#This Row],[Caproate '[%']]],U$6,U$2,FALSE),-100)</f>
        <v>-100</v>
      </c>
      <c r="BN526">
        <f>IF(Table2912[[#This Row],[Isobutyrate '[%']]]&lt;V$10,_xlfn.NORM.DIST(Table2912[[#This Row],[Isobutyrate '[%']]],V$6,V$2,FALSE),-100)</f>
        <v>-100</v>
      </c>
      <c r="BO526">
        <f>IF(Table2912[[#This Row],[Isovalerate '[%']]]&lt;W$10,_xlfn.NORM.DIST(Table2912[[#This Row],[Isovalerate '[%']]],W$6,W$2,FALSE),-100)</f>
        <v>-100</v>
      </c>
      <c r="BP526">
        <f>IF(Table2912[[#This Row],[CH4 '[g/mmol SCFA']]]&lt;X$10,_xlfn.NORM.DIST(Table2912[[#This Row],[CH4 '[g/mmol SCFA']]],X$6,X$2,FALSE),-100)</f>
        <v>-100</v>
      </c>
      <c r="BQ526">
        <f>IF(Table2912[[#This Row],[DMD '[mg/g']]]&gt;Y$10,_xlfn.NORM.DIST(Table2912[[#This Row],[DMD '[mg/g']]],Y$6,Y$2,FALSE),-100)</f>
        <v>8.4595484198316179E-4</v>
      </c>
      <c r="BR526">
        <f>IF(Table2912[[#This Row],[CH4 '[ml/g']]]&lt;Z$10,_xlfn.NORM.DIST(Table2912[[#This Row],[CH4 '[ml/g']]],Z$6,Z$2,FALSE),-100)</f>
        <v>-100</v>
      </c>
      <c r="BS526">
        <f>IF(Table2912[[#This Row],[CH4 '[% GP']]]&lt;AA$10,_xlfn.NORM.DIST(Table2912[[#This Row],[CH4 '[% GP']]],AA$6,AA$2,FALSE),-100)</f>
        <v>-100</v>
      </c>
      <c r="BT526">
        <f>IF(Table2912[[#This Row],[CH4 '[g/g DDM']]]&lt;AB$10,_xlfn.NORM.DIST(Table2912[[#This Row],[CH4 '[g/g DDM']]],AB$6,AB$2,FALSE),-100)</f>
        <v>-100</v>
      </c>
    </row>
    <row r="527" spans="1:72" x14ac:dyDescent="0.25">
      <c r="A527" s="12" t="s">
        <v>200</v>
      </c>
      <c r="B527" s="13">
        <v>1189</v>
      </c>
      <c r="C527" s="13"/>
      <c r="D527" t="s">
        <v>615</v>
      </c>
      <c r="E527" s="13"/>
      <c r="F527" s="13"/>
      <c r="G527" s="13"/>
      <c r="H527" s="13"/>
      <c r="I527" s="13"/>
      <c r="J527" s="70">
        <v>3</v>
      </c>
      <c r="K527" s="70"/>
      <c r="L527" s="70"/>
      <c r="M527" s="103" t="s">
        <v>615</v>
      </c>
      <c r="N527" t="s">
        <v>363</v>
      </c>
      <c r="O527" s="18">
        <v>249.67080867850086</v>
      </c>
      <c r="P527" s="18">
        <v>6.7663888845748321</v>
      </c>
      <c r="Q527" s="97">
        <v>0.68337115730486586</v>
      </c>
      <c r="R527" s="97">
        <v>0.19251751016579782</v>
      </c>
      <c r="S527" s="97">
        <v>7.6252252615819971E-2</v>
      </c>
      <c r="T527" s="97">
        <v>1.5203908570216459E-2</v>
      </c>
      <c r="U527" s="97">
        <v>5.4767036416055303E-3</v>
      </c>
      <c r="V527" s="97">
        <v>1.1545560668869179E-2</v>
      </c>
      <c r="W527" s="97">
        <v>1.5632907032825116E-2</v>
      </c>
      <c r="X527" s="51">
        <f t="shared" si="34"/>
        <v>3.9990569042117015</v>
      </c>
      <c r="Y527" s="18">
        <v>992.12080738428426</v>
      </c>
      <c r="Z527" s="18">
        <v>27.059174185440295</v>
      </c>
      <c r="AA527" s="18">
        <f t="shared" si="35"/>
        <v>10.837940698259276</v>
      </c>
      <c r="AB527" s="18">
        <f t="shared" si="36"/>
        <v>27.274071850968948</v>
      </c>
      <c r="AC527" s="18">
        <f>$CP$15*Table2912[[#This Row],[DMD '[mg/g']]]+$CS$15*Table2912[[#This Row],[CH4 '[ml/g']]]+$CR$15*Table2912[[#This Row],[CH4 '[% GP']]]+$CQ$15*Table2912[[#This Row],[CH4 '[g/g DDM']]]</f>
        <v>41.753859318656176</v>
      </c>
      <c r="AD527" s="18">
        <f>_xlfn.RANK.AVG(Table2912[[#This Row],[Index]],Table2912[Index])</f>
        <v>3</v>
      </c>
      <c r="AE527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6.4425557382220369</v>
      </c>
      <c r="AF527" s="18">
        <f>Table2912[[#This Row],[CH4 '[ml/g']]]/Table2912[[#This Row],[APB]]</f>
        <v>4.2000683090570918</v>
      </c>
      <c r="AG527" s="18">
        <f>Table2912[[#This Row],[Propionate '[%']]]/Table2912[[#This Row],[Acetate '[%']]]</f>
        <v>0.28171734804416371</v>
      </c>
      <c r="AH527" s="51"/>
      <c r="AI527" s="18"/>
      <c r="AJ527" s="18"/>
      <c r="AK527" s="18">
        <f>(Table2912[[#This Row],[DMD '[mg/g']]]-$AK$15)/$AK$15*100</f>
        <v>102.3542367971844</v>
      </c>
      <c r="AL527" s="18">
        <f>(Table2912[[#This Row],[CH4 '[ml/g']]]-AL$15)/AL$15*100</f>
        <v>-31.203520945294187</v>
      </c>
      <c r="AM527" s="18">
        <f>(Table2912[[#This Row],[CH4 '[% GP']]]-AM$15)/AM$15*100</f>
        <v>-30.17849710631819</v>
      </c>
      <c r="AN527" s="18">
        <f>(Table2912[[#This Row],[CH4 '[g/g DDM']]]-AN$15)/AN$15*100</f>
        <v>-46.746476261425649</v>
      </c>
      <c r="AO527" s="18"/>
      <c r="AP527" s="18"/>
      <c r="AQ527" t="e">
        <f t="shared" si="33"/>
        <v>#DIV/0!</v>
      </c>
      <c r="AR527">
        <f>_xlfn.NORM.DIST(Table2912[[#This Row],[GP '[ml/g']]],O$6,O$2,FALSE)</f>
        <v>7.4354806324826387E-3</v>
      </c>
      <c r="AS527">
        <f>_xlfn.NORM.DIST(Table2912[[#This Row],[SCFA '[mmol/g']]],P$6,P$2,FALSE)</f>
        <v>0.32673363620669699</v>
      </c>
      <c r="AT527">
        <f>_xlfn.NORM.DIST(Table2912[[#This Row],[Acetate '[%']]],Q$6,Q$2,FALSE)</f>
        <v>13.145554676303709</v>
      </c>
      <c r="AU527">
        <f>_xlfn.NORM.DIST(Table2912[[#This Row],[Propionate '[%']]],R$6,R$2,FALSE)</f>
        <v>11.509199597111815</v>
      </c>
      <c r="AV527">
        <f>_xlfn.NORM.DIST(Table2912[[#This Row],[Butyrate '[%']]],S$6,S$2,FALSE)</f>
        <v>14.494831930263075</v>
      </c>
      <c r="AW527">
        <f>_xlfn.NORM.DIST(Table2912[[#This Row],[Valerate '[%']]],T$6,T$2,FALSE)</f>
        <v>69.095859484807107</v>
      </c>
      <c r="AX527">
        <f>_xlfn.NORM.DIST(Table2912[[#This Row],[Caproate '[%']]],U$6,U$2,FALSE)</f>
        <v>5.3782389290831074E-2</v>
      </c>
      <c r="AY527">
        <f>_xlfn.NORM.DIST(Table2912[[#This Row],[Isobutyrate '[%']]],V$6,V$2,FALSE)</f>
        <v>62.691014720251054</v>
      </c>
      <c r="AZ527">
        <f>_xlfn.NORM.DIST(Table2912[[#This Row],[Isovalerate '[%']]],W$6,W$2,FALSE)</f>
        <v>17.137155040654481</v>
      </c>
      <c r="BA527">
        <f>_xlfn.NORM.DIST(Table2912[[#This Row],[CH4 '[g/mmol SCFA']]],X$6,X$2,FALSE)</f>
        <v>6.9819814123705887E-2</v>
      </c>
      <c r="BB527">
        <f>_xlfn.NORM.DIST(Table2912[[#This Row],[DMD '[mg/g']]],Y$6,Y$2,FALSE)</f>
        <v>8.3729788018097268E-4</v>
      </c>
      <c r="BC527">
        <f>_xlfn.NORM.DIST(Table2912[[#This Row],[CH4 '[ml/g']]],Z$6,Z$2,FALSE)</f>
        <v>1.6225344049670999E-2</v>
      </c>
      <c r="BD527">
        <f>_xlfn.NORM.DIST(Table2912[[#This Row],[CH4 '[% GP']]],AA$6,AA$2,FALSE)</f>
        <v>2.8316240765537137E-2</v>
      </c>
      <c r="BE527">
        <f>_xlfn.NORM.DIST(Table2912[[#This Row],[CH4 '[g/g DDM']]],AB$6,AB$2,FALSE)</f>
        <v>3.2733813175794013E-3</v>
      </c>
      <c r="BG527">
        <f>IF(Table2912[[#This Row],[GP '[ml/g']]]&lt;O$10,_xlfn.NORM.DIST(Table2912[[#This Row],[GP '[ml/g']]],O$6,O$2,FALSE),-100)</f>
        <v>-100</v>
      </c>
      <c r="BH527">
        <f>IF(Table2912[[#This Row],[SCFA '[mmol/g']]]&lt;P$10,_xlfn.NORM.DIST(Table2912[[#This Row],[SCFA '[mmol/g']]],P$6,P$2,FALSE),-100)</f>
        <v>-100</v>
      </c>
      <c r="BI527">
        <f>IF(Table2912[[#This Row],[Acetate '[%']]]&lt;Q$10,_xlfn.NORM.DIST(Table2912[[#This Row],[Acetate '[%']]],Q$6,Q$2,FALSE),-100)</f>
        <v>-100</v>
      </c>
      <c r="BJ527">
        <f>IF(Table2912[[#This Row],[Propionate '[%']]]&lt;R$10,_xlfn.NORM.DIST(Table2912[[#This Row],[Propionate '[%']]],R$6,R$2,FALSE),-100)</f>
        <v>-100</v>
      </c>
      <c r="BK527">
        <f>IF(Table2912[[#This Row],[Butyrate '[%']]]&lt;S$10,_xlfn.NORM.DIST(Table2912[[#This Row],[Butyrate '[%']]],S$6,S$2,FALSE),-100)</f>
        <v>-100</v>
      </c>
      <c r="BL527">
        <f>IF(Table2912[[#This Row],[Valerate '[%']]]&lt;T$10,_xlfn.NORM.DIST(Table2912[[#This Row],[Valerate '[%']]],T$6,T$2,FALSE),-100)</f>
        <v>-100</v>
      </c>
      <c r="BM527">
        <f>IF(Table2912[[#This Row],[Caproate '[%']]]&lt;U$10,_xlfn.NORM.DIST(Table2912[[#This Row],[Caproate '[%']]],U$6,U$2,FALSE),-100)</f>
        <v>-100</v>
      </c>
      <c r="BN527">
        <f>IF(Table2912[[#This Row],[Isobutyrate '[%']]]&lt;V$10,_xlfn.NORM.DIST(Table2912[[#This Row],[Isobutyrate '[%']]],V$6,V$2,FALSE),-100)</f>
        <v>-100</v>
      </c>
      <c r="BO527">
        <f>IF(Table2912[[#This Row],[Isovalerate '[%']]]&lt;W$10,_xlfn.NORM.DIST(Table2912[[#This Row],[Isovalerate '[%']]],W$6,W$2,FALSE),-100)</f>
        <v>17.137155040654481</v>
      </c>
      <c r="BP527">
        <f>IF(Table2912[[#This Row],[CH4 '[g/mmol SCFA']]]&lt;X$10,_xlfn.NORM.DIST(Table2912[[#This Row],[CH4 '[g/mmol SCFA']]],X$6,X$2,FALSE),-100)</f>
        <v>6.9819814123705887E-2</v>
      </c>
      <c r="BQ527">
        <f>IF(Table2912[[#This Row],[DMD '[mg/g']]]&gt;Y$10,_xlfn.NORM.DIST(Table2912[[#This Row],[DMD '[mg/g']]],Y$6,Y$2,FALSE),-100)</f>
        <v>8.3729788018097268E-4</v>
      </c>
      <c r="BR527">
        <f>IF(Table2912[[#This Row],[CH4 '[ml/g']]]&lt;Z$10,_xlfn.NORM.DIST(Table2912[[#This Row],[CH4 '[ml/g']]],Z$6,Z$2,FALSE),-100)</f>
        <v>1.6225344049670999E-2</v>
      </c>
      <c r="BS527">
        <f>IF(Table2912[[#This Row],[CH4 '[% GP']]]&lt;AA$10,_xlfn.NORM.DIST(Table2912[[#This Row],[CH4 '[% GP']]],AA$6,AA$2,FALSE),-100)</f>
        <v>2.8316240765537137E-2</v>
      </c>
      <c r="BT527">
        <f>IF(Table2912[[#This Row],[CH4 '[g/g DDM']]]&lt;AB$10,_xlfn.NORM.DIST(Table2912[[#This Row],[CH4 '[g/g DDM']]],AB$6,AB$2,FALSE),-100)</f>
        <v>3.2733813175794013E-3</v>
      </c>
    </row>
    <row r="528" spans="1:72" ht="30" x14ac:dyDescent="0.25">
      <c r="A528" s="12" t="s">
        <v>200</v>
      </c>
      <c r="B528" s="13">
        <v>1185</v>
      </c>
      <c r="C528" s="113" t="s">
        <v>609</v>
      </c>
      <c r="D528" s="113" t="s">
        <v>610</v>
      </c>
      <c r="E528" s="113" t="s">
        <v>611</v>
      </c>
      <c r="F528" s="113" t="s">
        <v>612</v>
      </c>
      <c r="G528" s="121" t="s">
        <v>613</v>
      </c>
      <c r="H528" s="53" t="s">
        <v>317</v>
      </c>
      <c r="I528" s="53" t="s">
        <v>48</v>
      </c>
      <c r="J528" s="100">
        <v>2</v>
      </c>
      <c r="K528" s="100"/>
      <c r="L528" s="100"/>
      <c r="M528" t="s">
        <v>614</v>
      </c>
      <c r="N528" t="s">
        <v>208</v>
      </c>
      <c r="O528" s="18">
        <v>291.59667766776852</v>
      </c>
      <c r="P528" s="18">
        <v>6.8835781024074905</v>
      </c>
      <c r="Q528" s="97">
        <v>0.69641565651363868</v>
      </c>
      <c r="R528" s="97">
        <v>0.1577499694422789</v>
      </c>
      <c r="S528" s="97">
        <v>8.7427968345050108E-2</v>
      </c>
      <c r="T528" s="97">
        <v>1.6133652497128781E-2</v>
      </c>
      <c r="U528" s="97">
        <v>9.3128429793963065E-4</v>
      </c>
      <c r="V528" s="97">
        <v>1.5744010113884016E-2</v>
      </c>
      <c r="W528" s="97">
        <v>2.5597458790079956E-2</v>
      </c>
      <c r="X528" s="51">
        <f t="shared" si="34"/>
        <v>8.5506612487464206</v>
      </c>
      <c r="Y528" s="18">
        <v>992.21256113823574</v>
      </c>
      <c r="Z528" s="18">
        <v>58.859144532975151</v>
      </c>
      <c r="AA528" s="18">
        <f t="shared" si="35"/>
        <v>20.18512179347821</v>
      </c>
      <c r="AB528" s="18">
        <f t="shared" si="36"/>
        <v>59.321104003615673</v>
      </c>
      <c r="AC528" s="18">
        <f>$CP$15*Table2912[[#This Row],[DMD '[mg/g']]]+$CS$15*Table2912[[#This Row],[CH4 '[ml/g']]]+$CR$15*Table2912[[#This Row],[CH4 '[% GP']]]+$CQ$15*Table2912[[#This Row],[CH4 '[g/g DDM']]]</f>
        <v>29.418242482689081</v>
      </c>
      <c r="AD528" s="18">
        <f>_xlfn.RANK.AVG(Table2912[[#This Row],[Index]],Table2912[Index])</f>
        <v>54</v>
      </c>
      <c r="AE528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6.4815330470973045</v>
      </c>
      <c r="AF528" s="18">
        <f>Table2912[[#This Row],[CH4 '[ml/g']]]/Table2912[[#This Row],[APB]]</f>
        <v>9.0810529091315342</v>
      </c>
      <c r="AG528" s="18">
        <f>Table2912[[#This Row],[Propionate '[%']]]/Table2912[[#This Row],[Acetate '[%']]]</f>
        <v>0.22651697727762027</v>
      </c>
      <c r="AH528" s="51"/>
      <c r="AI528" s="18"/>
      <c r="AJ528" s="18"/>
      <c r="AK528" s="18">
        <f>(Table2912[[#This Row],[DMD '[mg/g']]]-$AK$15)/$AK$15*100</f>
        <v>102.37295101093331</v>
      </c>
      <c r="AL528" s="18">
        <f>(Table2912[[#This Row],[CH4 '[ml/g']]]-AL$15)/AL$15*100</f>
        <v>49.646174576145469</v>
      </c>
      <c r="AM528" s="18">
        <f>(Table2912[[#This Row],[CH4 '[% GP']]]-AM$15)/AM$15*100</f>
        <v>30.039052523974476</v>
      </c>
      <c r="AN528" s="18">
        <f>(Table2912[[#This Row],[CH4 '[g/g DDM']]]-AN$15)/AN$15*100</f>
        <v>15.826409694772273</v>
      </c>
      <c r="AO528" s="18"/>
      <c r="AP528" s="18"/>
      <c r="AQ528" t="e">
        <f t="shared" si="33"/>
        <v>#DIV/0!</v>
      </c>
      <c r="AR528">
        <f>_xlfn.NORM.DIST(Table2912[[#This Row],[GP '[ml/g']]],O$6,O$2,FALSE)</f>
        <v>5.9480624446808664E-3</v>
      </c>
      <c r="AS528">
        <f>_xlfn.NORM.DIST(Table2912[[#This Row],[SCFA '[mmol/g']]],P$6,P$2,FALSE)</f>
        <v>0.31916438281750692</v>
      </c>
      <c r="AT528">
        <f>_xlfn.NORM.DIST(Table2912[[#This Row],[Acetate '[%']]],Q$6,Q$2,FALSE)</f>
        <v>10.030927315628521</v>
      </c>
      <c r="AU528">
        <f>_xlfn.NORM.DIST(Table2912[[#This Row],[Propionate '[%']]],R$6,R$2,FALSE)</f>
        <v>14.073811694093376</v>
      </c>
      <c r="AV528">
        <f>_xlfn.NORM.DIST(Table2912[[#This Row],[Butyrate '[%']]],S$6,S$2,FALSE)</f>
        <v>21.900480785803808</v>
      </c>
      <c r="AW528">
        <f>_xlfn.NORM.DIST(Table2912[[#This Row],[Valerate '[%']]],T$6,T$2,FALSE)</f>
        <v>74.079488781494632</v>
      </c>
      <c r="AX528">
        <f>_xlfn.NORM.DIST(Table2912[[#This Row],[Caproate '[%']]],U$6,U$2,FALSE)</f>
        <v>374.14070393242491</v>
      </c>
      <c r="AY528">
        <f>_xlfn.NORM.DIST(Table2912[[#This Row],[Isobutyrate '[%']]],V$6,V$2,FALSE)</f>
        <v>89.740813102780024</v>
      </c>
      <c r="AZ528">
        <f>_xlfn.NORM.DIST(Table2912[[#This Row],[Isovalerate '[%']]],W$6,W$2,FALSE)</f>
        <v>43.901176105159998</v>
      </c>
      <c r="BA528">
        <f>_xlfn.NORM.DIST(Table2912[[#This Row],[CH4 '[g/mmol SCFA']]],X$6,X$2,FALSE)</f>
        <v>7.1225316870397959E-2</v>
      </c>
      <c r="BB528">
        <f>_xlfn.NORM.DIST(Table2912[[#This Row],[DMD '[mg/g']]],Y$6,Y$2,FALSE)</f>
        <v>8.3641105018853054E-4</v>
      </c>
      <c r="BC528">
        <f>_xlfn.NORM.DIST(Table2912[[#This Row],[CH4 '[ml/g']]],Z$6,Z$2,FALSE)</f>
        <v>1.1431903345406081E-2</v>
      </c>
      <c r="BD528">
        <f>_xlfn.NORM.DIST(Table2912[[#This Row],[CH4 '[% GP']]],AA$6,AA$2,FALSE)</f>
        <v>5.1256834499124951E-2</v>
      </c>
      <c r="BE528">
        <f>_xlfn.NORM.DIST(Table2912[[#This Row],[CH4 '[g/g DDM']]],AB$6,AB$2,FALSE)</f>
        <v>2.9116262748181562E-2</v>
      </c>
      <c r="BG528">
        <f>IF(Table2912[[#This Row],[GP '[ml/g']]]&lt;O$10,_xlfn.NORM.DIST(Table2912[[#This Row],[GP '[ml/g']]],O$6,O$2,FALSE),-100)</f>
        <v>-100</v>
      </c>
      <c r="BH528">
        <f>IF(Table2912[[#This Row],[SCFA '[mmol/g']]]&lt;P$10,_xlfn.NORM.DIST(Table2912[[#This Row],[SCFA '[mmol/g']]],P$6,P$2,FALSE),-100)</f>
        <v>-100</v>
      </c>
      <c r="BI528">
        <f>IF(Table2912[[#This Row],[Acetate '[%']]]&lt;Q$10,_xlfn.NORM.DIST(Table2912[[#This Row],[Acetate '[%']]],Q$6,Q$2,FALSE),-100)</f>
        <v>-100</v>
      </c>
      <c r="BJ528">
        <f>IF(Table2912[[#This Row],[Propionate '[%']]]&lt;R$10,_xlfn.NORM.DIST(Table2912[[#This Row],[Propionate '[%']]],R$6,R$2,FALSE),-100)</f>
        <v>-100</v>
      </c>
      <c r="BK528">
        <f>IF(Table2912[[#This Row],[Butyrate '[%']]]&lt;S$10,_xlfn.NORM.DIST(Table2912[[#This Row],[Butyrate '[%']]],S$6,S$2,FALSE),-100)</f>
        <v>-100</v>
      </c>
      <c r="BL528">
        <f>IF(Table2912[[#This Row],[Valerate '[%']]]&lt;T$10,_xlfn.NORM.DIST(Table2912[[#This Row],[Valerate '[%']]],T$6,T$2,FALSE),-100)</f>
        <v>-100</v>
      </c>
      <c r="BM528">
        <f>IF(Table2912[[#This Row],[Caproate '[%']]]&lt;U$10,_xlfn.NORM.DIST(Table2912[[#This Row],[Caproate '[%']]],U$6,U$2,FALSE),-100)</f>
        <v>-100</v>
      </c>
      <c r="BN528">
        <f>IF(Table2912[[#This Row],[Isobutyrate '[%']]]&lt;V$10,_xlfn.NORM.DIST(Table2912[[#This Row],[Isobutyrate '[%']]],V$6,V$2,FALSE),-100)</f>
        <v>-100</v>
      </c>
      <c r="BO528">
        <f>IF(Table2912[[#This Row],[Isovalerate '[%']]]&lt;W$10,_xlfn.NORM.DIST(Table2912[[#This Row],[Isovalerate '[%']]],W$6,W$2,FALSE),-100)</f>
        <v>-100</v>
      </c>
      <c r="BP528">
        <f>IF(Table2912[[#This Row],[CH4 '[g/mmol SCFA']]]&lt;X$10,_xlfn.NORM.DIST(Table2912[[#This Row],[CH4 '[g/mmol SCFA']]],X$6,X$2,FALSE),-100)</f>
        <v>-100</v>
      </c>
      <c r="BQ528">
        <f>IF(Table2912[[#This Row],[DMD '[mg/g']]]&gt;Y$10,_xlfn.NORM.DIST(Table2912[[#This Row],[DMD '[mg/g']]],Y$6,Y$2,FALSE),-100)</f>
        <v>8.3641105018853054E-4</v>
      </c>
      <c r="BR528">
        <f>IF(Table2912[[#This Row],[CH4 '[ml/g']]]&lt;Z$10,_xlfn.NORM.DIST(Table2912[[#This Row],[CH4 '[ml/g']]],Z$6,Z$2,FALSE),-100)</f>
        <v>-100</v>
      </c>
      <c r="BS528">
        <f>IF(Table2912[[#This Row],[CH4 '[% GP']]]&lt;AA$10,_xlfn.NORM.DIST(Table2912[[#This Row],[CH4 '[% GP']]],AA$6,AA$2,FALSE),-100)</f>
        <v>-100</v>
      </c>
      <c r="BT528">
        <f>IF(Table2912[[#This Row],[CH4 '[g/g DDM']]]&lt;AB$10,_xlfn.NORM.DIST(Table2912[[#This Row],[CH4 '[g/g DDM']]],AB$6,AB$2,FALSE),-100)</f>
        <v>-100</v>
      </c>
    </row>
    <row r="529" spans="1:72" x14ac:dyDescent="0.25">
      <c r="A529" s="12" t="s">
        <v>200</v>
      </c>
      <c r="B529" s="13">
        <v>1194</v>
      </c>
      <c r="C529" s="113" t="s">
        <v>616</v>
      </c>
      <c r="D529" s="113" t="s">
        <v>617</v>
      </c>
      <c r="E529" s="113" t="s">
        <v>618</v>
      </c>
      <c r="F529" s="113" t="s">
        <v>619</v>
      </c>
      <c r="G529" t="s">
        <v>457</v>
      </c>
      <c r="H529" t="s">
        <v>458</v>
      </c>
      <c r="I529" s="53" t="s">
        <v>48</v>
      </c>
      <c r="J529" s="70">
        <v>2</v>
      </c>
      <c r="K529" s="70"/>
      <c r="L529" s="70"/>
      <c r="M529" t="s">
        <v>620</v>
      </c>
      <c r="N529" t="s">
        <v>208</v>
      </c>
      <c r="O529" s="18">
        <v>284.67733510402689</v>
      </c>
      <c r="P529" s="18">
        <v>7.2996667261564188</v>
      </c>
      <c r="Q529" s="97">
        <v>0.68507664954387359</v>
      </c>
      <c r="R529" s="97">
        <v>0.16715727261916252</v>
      </c>
      <c r="S529" s="97">
        <v>8.9467964141261402E-2</v>
      </c>
      <c r="T529" s="97">
        <v>1.4754739995155764E-2</v>
      </c>
      <c r="U529" s="97">
        <v>5.889506049362636E-4</v>
      </c>
      <c r="V529" s="97">
        <v>1.6618473017395899E-2</v>
      </c>
      <c r="W529" s="97">
        <v>2.6335950078214647E-2</v>
      </c>
      <c r="X529" s="51">
        <f t="shared" si="34"/>
        <v>6.6177583479729449</v>
      </c>
      <c r="Y529" s="18">
        <v>992.72912740780407</v>
      </c>
      <c r="Z529" s="18">
        <v>48.307430414441974</v>
      </c>
      <c r="AA529" s="18">
        <f t="shared" si="35"/>
        <v>16.969187377277315</v>
      </c>
      <c r="AB529" s="18">
        <f t="shared" si="36"/>
        <v>48.661240091324245</v>
      </c>
      <c r="AC529" s="18">
        <f>$CP$15*Table2912[[#This Row],[DMD '[mg/g']]]+$CS$15*Table2912[[#This Row],[CH4 '[ml/g']]]+$CR$15*Table2912[[#This Row],[CH4 '[% GP']]]+$CQ$15*Table2912[[#This Row],[CH4 '[g/g DDM']]]</f>
        <v>33.59815811718348</v>
      </c>
      <c r="AD529" s="18">
        <f>_xlfn.RANK.AVG(Table2912[[#This Row],[Index]],Table2912[Index])</f>
        <v>24</v>
      </c>
      <c r="AE529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6.8741099254142153</v>
      </c>
      <c r="AF529" s="18">
        <f>Table2912[[#This Row],[CH4 '[ml/g']]]/Table2912[[#This Row],[APB]]</f>
        <v>7.0274451439661982</v>
      </c>
      <c r="AG529" s="18">
        <f>Table2912[[#This Row],[Propionate '[%']]]/Table2912[[#This Row],[Acetate '[%']]]</f>
        <v>0.24399791283275588</v>
      </c>
      <c r="AH529" s="51"/>
      <c r="AI529" s="18"/>
      <c r="AJ529" s="18"/>
      <c r="AK529" s="18">
        <f>(Table2912[[#This Row],[DMD '[mg/g']]]-$AK$15)/$AK$15*100</f>
        <v>102.47831053212839</v>
      </c>
      <c r="AL529" s="18">
        <f>(Table2912[[#This Row],[CH4 '[ml/g']]]-AL$15)/AL$15*100</f>
        <v>22.819015167211738</v>
      </c>
      <c r="AM529" s="18">
        <f>(Table2912[[#This Row],[CH4 '[% GP']]]-AM$15)/AM$15*100</f>
        <v>9.3209677514008291</v>
      </c>
      <c r="AN529" s="18">
        <f>(Table2912[[#This Row],[CH4 '[g/g DDM']]]-AN$15)/AN$15*100</f>
        <v>-4.987325746165058</v>
      </c>
      <c r="AO529" s="18"/>
      <c r="AP529" s="18"/>
      <c r="AQ529" t="e">
        <f t="shared" si="33"/>
        <v>#DIV/0!</v>
      </c>
      <c r="AR529">
        <f>_xlfn.NORM.DIST(Table2912[[#This Row],[GP '[ml/g']]],O$6,O$2,FALSE)</f>
        <v>6.439662875307603E-3</v>
      </c>
      <c r="AS529">
        <f>_xlfn.NORM.DIST(Table2912[[#This Row],[SCFA '[mmol/g']]],P$6,P$2,FALSE)</f>
        <v>0.27186449337645446</v>
      </c>
      <c r="AT529">
        <f>_xlfn.NORM.DIST(Table2912[[#This Row],[Acetate '[%']]],Q$6,Q$2,FALSE)</f>
        <v>12.841506559471396</v>
      </c>
      <c r="AU529">
        <f>_xlfn.NORM.DIST(Table2912[[#This Row],[Propionate '[%']]],R$6,R$2,FALSE)</f>
        <v>16.46433819633522</v>
      </c>
      <c r="AV529">
        <f>_xlfn.NORM.DIST(Table2912[[#This Row],[Butyrate '[%']]],S$6,S$2,FALSE)</f>
        <v>22.57680579426216</v>
      </c>
      <c r="AW529">
        <f>_xlfn.NORM.DIST(Table2912[[#This Row],[Valerate '[%']]],T$6,T$2,FALSE)</f>
        <v>66.035588999308331</v>
      </c>
      <c r="AX529">
        <f>_xlfn.NORM.DIST(Table2912[[#This Row],[Caproate '[%']]],U$6,U$2,FALSE)</f>
        <v>305.08079493183578</v>
      </c>
      <c r="AY529">
        <f>_xlfn.NORM.DIST(Table2912[[#This Row],[Isobutyrate '[%']]],V$6,V$2,FALSE)</f>
        <v>86.345452178815606</v>
      </c>
      <c r="AZ529">
        <f>_xlfn.NORM.DIST(Table2912[[#This Row],[Isovalerate '[%']]],W$6,W$2,FALSE)</f>
        <v>44.719447323247998</v>
      </c>
      <c r="BA529">
        <f>_xlfn.NORM.DIST(Table2912[[#This Row],[CH4 '[g/mmol SCFA']]],X$6,X$2,FALSE)</f>
        <v>0.28827460356922935</v>
      </c>
      <c r="BB529">
        <f>_xlfn.NORM.DIST(Table2912[[#This Row],[DMD '[mg/g']]],Y$6,Y$2,FALSE)</f>
        <v>8.3142879032859418E-4</v>
      </c>
      <c r="BC529">
        <f>_xlfn.NORM.DIST(Table2912[[#This Row],[CH4 '[ml/g']]],Z$6,Z$2,FALSE)</f>
        <v>2.8313923568357605E-2</v>
      </c>
      <c r="BD529">
        <f>_xlfn.NORM.DIST(Table2912[[#This Row],[CH4 '[% GP']]],AA$6,AA$2,FALSE)</f>
        <v>0.1286246590992631</v>
      </c>
      <c r="BE529">
        <f>_xlfn.NORM.DIST(Table2912[[#This Row],[CH4 '[g/g DDM']]],AB$6,AB$2,FALSE)</f>
        <v>3.0488304589301806E-2</v>
      </c>
      <c r="BG529">
        <f>IF(Table2912[[#This Row],[GP '[ml/g']]]&lt;O$10,_xlfn.NORM.DIST(Table2912[[#This Row],[GP '[ml/g']]],O$6,O$2,FALSE),-100)</f>
        <v>-100</v>
      </c>
      <c r="BH529">
        <f>IF(Table2912[[#This Row],[SCFA '[mmol/g']]]&lt;P$10,_xlfn.NORM.DIST(Table2912[[#This Row],[SCFA '[mmol/g']]],P$6,P$2,FALSE),-100)</f>
        <v>-100</v>
      </c>
      <c r="BI529">
        <f>IF(Table2912[[#This Row],[Acetate '[%']]]&lt;Q$10,_xlfn.NORM.DIST(Table2912[[#This Row],[Acetate '[%']]],Q$6,Q$2,FALSE),-100)</f>
        <v>-100</v>
      </c>
      <c r="BJ529">
        <f>IF(Table2912[[#This Row],[Propionate '[%']]]&lt;R$10,_xlfn.NORM.DIST(Table2912[[#This Row],[Propionate '[%']]],R$6,R$2,FALSE),-100)</f>
        <v>-100</v>
      </c>
      <c r="BK529">
        <f>IF(Table2912[[#This Row],[Butyrate '[%']]]&lt;S$10,_xlfn.NORM.DIST(Table2912[[#This Row],[Butyrate '[%']]],S$6,S$2,FALSE),-100)</f>
        <v>-100</v>
      </c>
      <c r="BL529">
        <f>IF(Table2912[[#This Row],[Valerate '[%']]]&lt;T$10,_xlfn.NORM.DIST(Table2912[[#This Row],[Valerate '[%']]],T$6,T$2,FALSE),-100)</f>
        <v>-100</v>
      </c>
      <c r="BM529">
        <f>IF(Table2912[[#This Row],[Caproate '[%']]]&lt;U$10,_xlfn.NORM.DIST(Table2912[[#This Row],[Caproate '[%']]],U$6,U$2,FALSE),-100)</f>
        <v>-100</v>
      </c>
      <c r="BN529">
        <f>IF(Table2912[[#This Row],[Isobutyrate '[%']]]&lt;V$10,_xlfn.NORM.DIST(Table2912[[#This Row],[Isobutyrate '[%']]],V$6,V$2,FALSE),-100)</f>
        <v>-100</v>
      </c>
      <c r="BO529">
        <f>IF(Table2912[[#This Row],[Isovalerate '[%']]]&lt;W$10,_xlfn.NORM.DIST(Table2912[[#This Row],[Isovalerate '[%']]],W$6,W$2,FALSE),-100)</f>
        <v>-100</v>
      </c>
      <c r="BP529">
        <f>IF(Table2912[[#This Row],[CH4 '[g/mmol SCFA']]]&lt;X$10,_xlfn.NORM.DIST(Table2912[[#This Row],[CH4 '[g/mmol SCFA']]],X$6,X$2,FALSE),-100)</f>
        <v>-100</v>
      </c>
      <c r="BQ529">
        <f>IF(Table2912[[#This Row],[DMD '[mg/g']]]&gt;Y$10,_xlfn.NORM.DIST(Table2912[[#This Row],[DMD '[mg/g']]],Y$6,Y$2,FALSE),-100)</f>
        <v>8.3142879032859418E-4</v>
      </c>
      <c r="BR529">
        <f>IF(Table2912[[#This Row],[CH4 '[ml/g']]]&lt;Z$10,_xlfn.NORM.DIST(Table2912[[#This Row],[CH4 '[ml/g']]],Z$6,Z$2,FALSE),-100)</f>
        <v>-100</v>
      </c>
      <c r="BS529">
        <f>IF(Table2912[[#This Row],[CH4 '[% GP']]]&lt;AA$10,_xlfn.NORM.DIST(Table2912[[#This Row],[CH4 '[% GP']]],AA$6,AA$2,FALSE),-100)</f>
        <v>-100</v>
      </c>
      <c r="BT529">
        <f>IF(Table2912[[#This Row],[CH4 '[g/g DDM']]]&lt;AB$10,_xlfn.NORM.DIST(Table2912[[#This Row],[CH4 '[g/g DDM']]],AB$6,AB$2,FALSE),-100)</f>
        <v>-100</v>
      </c>
    </row>
    <row r="530" spans="1:72" x14ac:dyDescent="0.25">
      <c r="A530" s="12" t="s">
        <v>200</v>
      </c>
      <c r="B530" s="13">
        <v>1184</v>
      </c>
      <c r="C530" s="113" t="s">
        <v>603</v>
      </c>
      <c r="D530" s="113" t="s">
        <v>604</v>
      </c>
      <c r="E530" s="113" t="s">
        <v>605</v>
      </c>
      <c r="F530" s="113" t="s">
        <v>606</v>
      </c>
      <c r="G530" t="s">
        <v>607</v>
      </c>
      <c r="H530" t="s">
        <v>317</v>
      </c>
      <c r="I530" s="115" t="s">
        <v>48</v>
      </c>
      <c r="J530" s="107">
        <v>2</v>
      </c>
      <c r="K530" s="107"/>
      <c r="L530" s="107"/>
      <c r="M530" t="s">
        <v>608</v>
      </c>
      <c r="N530" t="s">
        <v>208</v>
      </c>
      <c r="O530" s="18">
        <v>289.7243777777781</v>
      </c>
      <c r="P530" s="18">
        <v>8.0511788297172888</v>
      </c>
      <c r="Q530" s="97">
        <v>0.6534290987109348</v>
      </c>
      <c r="R530" s="97">
        <v>0.18258852425203495</v>
      </c>
      <c r="S530" s="97">
        <v>0.10207163128039291</v>
      </c>
      <c r="T530" s="97">
        <v>1.7808871414361924E-2</v>
      </c>
      <c r="U530" s="97">
        <v>5.218996506640909E-4</v>
      </c>
      <c r="V530" s="97">
        <v>1.642732410426441E-2</v>
      </c>
      <c r="W530" s="97">
        <v>2.7152650587346956E-2</v>
      </c>
      <c r="X530" s="51">
        <f t="shared" si="34"/>
        <v>6.5965117724027822</v>
      </c>
      <c r="Y530" s="18">
        <v>997.11111111111143</v>
      </c>
      <c r="Z530" s="18">
        <v>53.109695931950149</v>
      </c>
      <c r="AA530" s="18">
        <f t="shared" si="35"/>
        <v>18.331110533158483</v>
      </c>
      <c r="AB530" s="18">
        <f t="shared" si="36"/>
        <v>53.263568463065653</v>
      </c>
      <c r="AC530" s="18">
        <f>$CP$15*Table2912[[#This Row],[DMD '[mg/g']]]+$CS$15*Table2912[[#This Row],[CH4 '[ml/g']]]+$CR$15*Table2912[[#This Row],[CH4 '[% GP']]]+$CQ$15*Table2912[[#This Row],[CH4 '[g/g DDM']]]</f>
        <v>32.193509697897532</v>
      </c>
      <c r="AD530" s="18">
        <f>_xlfn.RANK.AVG(Table2912[[#This Row],[Index]],Table2912[Index])</f>
        <v>34</v>
      </c>
      <c r="AE530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7.5527243441494409</v>
      </c>
      <c r="AF530" s="18">
        <f>Table2912[[#This Row],[CH4 '[ml/g']]]/Table2912[[#This Row],[APB]]</f>
        <v>7.0318594340187275</v>
      </c>
      <c r="AG530" s="18">
        <f>Table2912[[#This Row],[Propionate '[%']]]/Table2912[[#This Row],[Acetate '[%']]]</f>
        <v>0.27943127205727458</v>
      </c>
      <c r="AH530" s="51"/>
      <c r="AI530" s="18"/>
      <c r="AJ530" s="18"/>
      <c r="AK530" s="18">
        <f>(Table2912[[#This Row],[DMD '[mg/g']]]-$AK$15)/$AK$15*100</f>
        <v>103.37206556814891</v>
      </c>
      <c r="AL530" s="18">
        <f>(Table2912[[#This Row],[CH4 '[ml/g']]]-AL$15)/AL$15*100</f>
        <v>35.028514127758505</v>
      </c>
      <c r="AM530" s="18">
        <f>(Table2912[[#This Row],[CH4 '[% GP']]]-AM$15)/AM$15*100</f>
        <v>18.094915147570127</v>
      </c>
      <c r="AN530" s="18">
        <f>(Table2912[[#This Row],[CH4 '[g/g DDM']]]-AN$15)/AN$15*100</f>
        <v>3.9988720073815265</v>
      </c>
      <c r="AO530" s="18"/>
      <c r="AP530" s="18"/>
      <c r="AQ530" t="e">
        <f t="shared" si="33"/>
        <v>#DIV/0!</v>
      </c>
      <c r="AR530">
        <f>_xlfn.NORM.DIST(Table2912[[#This Row],[GP '[ml/g']]],O$6,O$2,FALSE)</f>
        <v>6.0873577755390382E-3</v>
      </c>
      <c r="AS530">
        <f>_xlfn.NORM.DIST(Table2912[[#This Row],[SCFA '[mmol/g']]],P$6,P$2,FALSE)</f>
        <v>0.14996238769714462</v>
      </c>
      <c r="AT530">
        <f>_xlfn.NORM.DIST(Table2912[[#This Row],[Acetate '[%']]],Q$6,Q$2,FALSE)</f>
        <v>11.036317597837799</v>
      </c>
      <c r="AU530">
        <f>_xlfn.NORM.DIST(Table2912[[#This Row],[Propionate '[%']]],R$6,R$2,FALSE)</f>
        <v>15.165757740869607</v>
      </c>
      <c r="AV530">
        <f>_xlfn.NORM.DIST(Table2912[[#This Row],[Butyrate '[%']]],S$6,S$2,FALSE)</f>
        <v>20.031443339171911</v>
      </c>
      <c r="AW530">
        <f>_xlfn.NORM.DIST(Table2912[[#This Row],[Valerate '[%']]],T$6,T$2,FALSE)</f>
        <v>77.362564706143459</v>
      </c>
      <c r="AX530">
        <f>_xlfn.NORM.DIST(Table2912[[#This Row],[Caproate '[%']]],U$6,U$2,FALSE)</f>
        <v>288.97225351154907</v>
      </c>
      <c r="AY530">
        <f>_xlfn.NORM.DIST(Table2912[[#This Row],[Isobutyrate '[%']]],V$6,V$2,FALSE)</f>
        <v>87.367424827827989</v>
      </c>
      <c r="AZ530">
        <f>_xlfn.NORM.DIST(Table2912[[#This Row],[Isovalerate '[%']]],W$6,W$2,FALSE)</f>
        <v>45.267814569451872</v>
      </c>
      <c r="BA530">
        <f>_xlfn.NORM.DIST(Table2912[[#This Row],[CH4 '[g/mmol SCFA']]],X$6,X$2,FALSE)</f>
        <v>0.28938093899353889</v>
      </c>
      <c r="BB530">
        <f>_xlfn.NORM.DIST(Table2912[[#This Row],[DMD '[mg/g']]],Y$6,Y$2,FALSE)</f>
        <v>7.8988778607729242E-4</v>
      </c>
      <c r="BC530">
        <f>_xlfn.NORM.DIST(Table2912[[#This Row],[CH4 '[ml/g']]],Z$6,Z$2,FALSE)</f>
        <v>2.0655193876476345E-2</v>
      </c>
      <c r="BD530">
        <f>_xlfn.NORM.DIST(Table2912[[#This Row],[CH4 '[% GP']]],AA$6,AA$2,FALSE)</f>
        <v>0.100607851814809</v>
      </c>
      <c r="BE530">
        <f>_xlfn.NORM.DIST(Table2912[[#This Row],[CH4 '[g/g DDM']]],AB$6,AB$2,FALSE)</f>
        <v>3.2851217647854293E-2</v>
      </c>
      <c r="BG530">
        <f>IF(Table2912[[#This Row],[GP '[ml/g']]]&lt;O$10,_xlfn.NORM.DIST(Table2912[[#This Row],[GP '[ml/g']]],O$6,O$2,FALSE),-100)</f>
        <v>-100</v>
      </c>
      <c r="BH530">
        <f>IF(Table2912[[#This Row],[SCFA '[mmol/g']]]&lt;P$10,_xlfn.NORM.DIST(Table2912[[#This Row],[SCFA '[mmol/g']]],P$6,P$2,FALSE),-100)</f>
        <v>-100</v>
      </c>
      <c r="BI530">
        <f>IF(Table2912[[#This Row],[Acetate '[%']]]&lt;Q$10,_xlfn.NORM.DIST(Table2912[[#This Row],[Acetate '[%']]],Q$6,Q$2,FALSE),-100)</f>
        <v>-100</v>
      </c>
      <c r="BJ530">
        <f>IF(Table2912[[#This Row],[Propionate '[%']]]&lt;R$10,_xlfn.NORM.DIST(Table2912[[#This Row],[Propionate '[%']]],R$6,R$2,FALSE),-100)</f>
        <v>-100</v>
      </c>
      <c r="BK530">
        <f>IF(Table2912[[#This Row],[Butyrate '[%']]]&lt;S$10,_xlfn.NORM.DIST(Table2912[[#This Row],[Butyrate '[%']]],S$6,S$2,FALSE),-100)</f>
        <v>-100</v>
      </c>
      <c r="BL530">
        <f>IF(Table2912[[#This Row],[Valerate '[%']]]&lt;T$10,_xlfn.NORM.DIST(Table2912[[#This Row],[Valerate '[%']]],T$6,T$2,FALSE),-100)</f>
        <v>-100</v>
      </c>
      <c r="BM530">
        <f>IF(Table2912[[#This Row],[Caproate '[%']]]&lt;U$10,_xlfn.NORM.DIST(Table2912[[#This Row],[Caproate '[%']]],U$6,U$2,FALSE),-100)</f>
        <v>-100</v>
      </c>
      <c r="BN530">
        <f>IF(Table2912[[#This Row],[Isobutyrate '[%']]]&lt;V$10,_xlfn.NORM.DIST(Table2912[[#This Row],[Isobutyrate '[%']]],V$6,V$2,FALSE),-100)</f>
        <v>-100</v>
      </c>
      <c r="BO530">
        <f>IF(Table2912[[#This Row],[Isovalerate '[%']]]&lt;W$10,_xlfn.NORM.DIST(Table2912[[#This Row],[Isovalerate '[%']]],W$6,W$2,FALSE),-100)</f>
        <v>-100</v>
      </c>
      <c r="BP530">
        <f>IF(Table2912[[#This Row],[CH4 '[g/mmol SCFA']]]&lt;X$10,_xlfn.NORM.DIST(Table2912[[#This Row],[CH4 '[g/mmol SCFA']]],X$6,X$2,FALSE),-100)</f>
        <v>-100</v>
      </c>
      <c r="BQ530">
        <f>IF(Table2912[[#This Row],[DMD '[mg/g']]]&gt;Y$10,_xlfn.NORM.DIST(Table2912[[#This Row],[DMD '[mg/g']]],Y$6,Y$2,FALSE),-100)</f>
        <v>7.8988778607729242E-4</v>
      </c>
      <c r="BR530">
        <f>IF(Table2912[[#This Row],[CH4 '[ml/g']]]&lt;Z$10,_xlfn.NORM.DIST(Table2912[[#This Row],[CH4 '[ml/g']]],Z$6,Z$2,FALSE),-100)</f>
        <v>-100</v>
      </c>
      <c r="BS530">
        <f>IF(Table2912[[#This Row],[CH4 '[% GP']]]&lt;AA$10,_xlfn.NORM.DIST(Table2912[[#This Row],[CH4 '[% GP']]],AA$6,AA$2,FALSE),-100)</f>
        <v>-100</v>
      </c>
      <c r="BT530">
        <f>IF(Table2912[[#This Row],[CH4 '[g/g DDM']]]&lt;AB$10,_xlfn.NORM.DIST(Table2912[[#This Row],[CH4 '[g/g DDM']]],AB$6,AB$2,FALSE),-100)</f>
        <v>-100</v>
      </c>
    </row>
    <row r="531" spans="1:72" x14ac:dyDescent="0.25">
      <c r="A531" s="12" t="s">
        <v>70</v>
      </c>
      <c r="B531" s="13">
        <v>1013</v>
      </c>
      <c r="C531" s="96" t="s">
        <v>131</v>
      </c>
      <c r="D531" s="96"/>
      <c r="E531" s="96"/>
      <c r="F531" s="96" t="s">
        <v>132</v>
      </c>
      <c r="G531" t="s">
        <v>73</v>
      </c>
      <c r="H531" t="s">
        <v>74</v>
      </c>
      <c r="I531" t="s">
        <v>75</v>
      </c>
      <c r="J531" s="107">
        <v>3</v>
      </c>
      <c r="K531" s="107"/>
      <c r="L531" s="107"/>
      <c r="M531" t="s">
        <v>132</v>
      </c>
      <c r="N531" t="s">
        <v>76</v>
      </c>
      <c r="O531" s="18">
        <v>148.97226666666668</v>
      </c>
      <c r="P531" s="18">
        <v>4.4041666666666668</v>
      </c>
      <c r="Q531" s="97">
        <v>0.56726291689532626</v>
      </c>
      <c r="R531" s="97">
        <v>0.28829598166572851</v>
      </c>
      <c r="S531" s="97">
        <v>8.8726975875532757E-2</v>
      </c>
      <c r="T531" s="97">
        <v>2.501563868938083E-2</v>
      </c>
      <c r="U531" s="97">
        <v>2.4092235048009806E-4</v>
      </c>
      <c r="V531" s="97">
        <v>9.8094027469228656E-3</v>
      </c>
      <c r="W531" s="97">
        <v>2.0648161776628673E-2</v>
      </c>
      <c r="X531" s="51">
        <f t="shared" si="34"/>
        <v>1.2174893904990609</v>
      </c>
      <c r="Y531" s="18"/>
      <c r="Z531" s="101">
        <v>5.3620261906562812</v>
      </c>
      <c r="AA531" s="18">
        <f t="shared" si="35"/>
        <v>3.5993452409864299</v>
      </c>
      <c r="AB531" s="18"/>
      <c r="AC531" s="18">
        <f>$CP$15*Table2912[[#This Row],[DMD '[mg/g']]]+$CS$15*Table2912[[#This Row],[CH4 '[ml/g']]]+$CR$15*Table2912[[#This Row],[CH4 '[% GP']]]+$CQ$15*Table2912[[#This Row],[CH4 '[g/g DDM']]]</f>
        <v>2.0803245318485679</v>
      </c>
      <c r="AD531" s="18">
        <f>_xlfn.RANK.AVG(Table2912[[#This Row],[Index]],Table2912[Index])</f>
        <v>433</v>
      </c>
      <c r="AE531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4.1587923719978042</v>
      </c>
      <c r="AF531" s="18">
        <f>Table2912[[#This Row],[CH4 '[ml/g']]]/Table2912[[#This Row],[APB]]</f>
        <v>1.289322887759474</v>
      </c>
      <c r="AG531" s="18">
        <f>Table2912[[#This Row],[Propionate '[%']]]/Table2912[[#This Row],[Acetate '[%']]]</f>
        <v>0.50822285941692558</v>
      </c>
      <c r="AH531" s="51"/>
      <c r="AI531" s="18"/>
      <c r="AJ531" s="18"/>
      <c r="AK531" s="18">
        <f>(Table2912[[#This Row],[DMD '[mg/g']]]-$AK$15)/$AK$15*100</f>
        <v>-100</v>
      </c>
      <c r="AL531" s="18">
        <f>(Table2912[[#This Row],[CH4 '[ml/g']]]-AL$15)/AL$15*100</f>
        <v>-86.367339964323222</v>
      </c>
      <c r="AM531" s="18">
        <f>(Table2912[[#This Row],[CH4 '[% GP']]]-AM$15)/AM$15*100</f>
        <v>-76.811859267761264</v>
      </c>
      <c r="AN531" s="18">
        <f>(Table2912[[#This Row],[CH4 '[g/g DDM']]]-AN$15)/AN$15*100</f>
        <v>-100</v>
      </c>
      <c r="AO531" s="18"/>
      <c r="AP531" s="18"/>
      <c r="AQ531" t="e">
        <f t="shared" si="33"/>
        <v>#DIV/0!</v>
      </c>
      <c r="AR531">
        <f>_xlfn.NORM.DIST(Table2912[[#This Row],[GP '[ml/g']]],O$6,O$2,FALSE)</f>
        <v>1.0181289213189468E-3</v>
      </c>
      <c r="AS531">
        <f>_xlfn.NORM.DIST(Table2912[[#This Row],[SCFA '[mmol/g']]],P$6,P$2,FALSE)</f>
        <v>6.8332745817394153E-2</v>
      </c>
      <c r="AT531">
        <f>_xlfn.NORM.DIST(Table2912[[#This Row],[Acetate '[%']]],Q$6,Q$2,FALSE)</f>
        <v>1.3757663853594294E-2</v>
      </c>
      <c r="AU531">
        <f>_xlfn.NORM.DIST(Table2912[[#This Row],[Propionate '[%']]],R$6,R$2,FALSE)</f>
        <v>1.024730198784486E-4</v>
      </c>
      <c r="AV531">
        <f>_xlfn.NORM.DIST(Table2912[[#This Row],[Butyrate '[%']]],S$6,S$2,FALSE)</f>
        <v>22.36460257112352</v>
      </c>
      <c r="AW531">
        <f>_xlfn.NORM.DIST(Table2912[[#This Row],[Valerate '[%']]],T$6,T$2,FALSE)</f>
        <v>27.952141879753835</v>
      </c>
      <c r="AX531">
        <f>_xlfn.NORM.DIST(Table2912[[#This Row],[Caproate '[%']]],U$6,U$2,FALSE)</f>
        <v>218.79716170734329</v>
      </c>
      <c r="AY531">
        <f>_xlfn.NORM.DIST(Table2912[[#This Row],[Isobutyrate '[%']]],V$6,V$2,FALSE)</f>
        <v>41.544723482616014</v>
      </c>
      <c r="AZ531">
        <f>_xlfn.NORM.DIST(Table2912[[#This Row],[Isovalerate '[%']]],W$6,W$2,FALSE)</f>
        <v>32.318845798766247</v>
      </c>
      <c r="BA531">
        <f>_xlfn.NORM.DIST(Table2912[[#This Row],[CH4 '[g/mmol SCFA']]],X$6,X$2,FALSE)</f>
        <v>2.3827785199994665E-4</v>
      </c>
      <c r="BB531">
        <f>_xlfn.NORM.DIST(Table2912[[#This Row],[DMD '[mg/g']]],Y$6,Y$2,FALSE)</f>
        <v>3.0096929032212247E-10</v>
      </c>
      <c r="BC531">
        <f>_xlfn.NORM.DIST(Table2912[[#This Row],[CH4 '[ml/g']]],Z$6,Z$2,FALSE)</f>
        <v>3.435829660389481E-4</v>
      </c>
      <c r="BD531">
        <f>_xlfn.NORM.DIST(Table2912[[#This Row],[CH4 '[% GP']]],AA$6,AA$2,FALSE)</f>
        <v>1.9038800988910046E-5</v>
      </c>
      <c r="BE531">
        <f>_xlfn.NORM.DIST(Table2912[[#This Row],[CH4 '[g/g DDM']]],AB$6,AB$2,FALSE)</f>
        <v>2.1124510744720861E-6</v>
      </c>
      <c r="BG531">
        <f>IF(Table2912[[#This Row],[GP '[ml/g']]]&lt;O$10,_xlfn.NORM.DIST(Table2912[[#This Row],[GP '[ml/g']]],O$6,O$2,FALSE),-100)</f>
        <v>1.0181289213189468E-3</v>
      </c>
      <c r="BH531">
        <f>IF(Table2912[[#This Row],[SCFA '[mmol/g']]]&lt;P$10,_xlfn.NORM.DIST(Table2912[[#This Row],[SCFA '[mmol/g']]],P$6,P$2,FALSE),-100)</f>
        <v>6.8332745817394153E-2</v>
      </c>
      <c r="BI531">
        <f>IF(Table2912[[#This Row],[Acetate '[%']]]&lt;Q$10,_xlfn.NORM.DIST(Table2912[[#This Row],[Acetate '[%']]],Q$6,Q$2,FALSE),-100)</f>
        <v>1.3757663853594294E-2</v>
      </c>
      <c r="BJ531">
        <f>IF(Table2912[[#This Row],[Propionate '[%']]]&lt;R$10,_xlfn.NORM.DIST(Table2912[[#This Row],[Propionate '[%']]],R$6,R$2,FALSE),-100)</f>
        <v>-100</v>
      </c>
      <c r="BK531">
        <f>IF(Table2912[[#This Row],[Butyrate '[%']]]&lt;S$10,_xlfn.NORM.DIST(Table2912[[#This Row],[Butyrate '[%']]],S$6,S$2,FALSE),-100)</f>
        <v>-100</v>
      </c>
      <c r="BL531">
        <f>IF(Table2912[[#This Row],[Valerate '[%']]]&lt;T$10,_xlfn.NORM.DIST(Table2912[[#This Row],[Valerate '[%']]],T$6,T$2,FALSE),-100)</f>
        <v>-100</v>
      </c>
      <c r="BM531">
        <f>IF(Table2912[[#This Row],[Caproate '[%']]]&lt;U$10,_xlfn.NORM.DIST(Table2912[[#This Row],[Caproate '[%']]],U$6,U$2,FALSE),-100)</f>
        <v>218.79716170734329</v>
      </c>
      <c r="BN531">
        <f>IF(Table2912[[#This Row],[Isobutyrate '[%']]]&lt;V$10,_xlfn.NORM.DIST(Table2912[[#This Row],[Isobutyrate '[%']]],V$6,V$2,FALSE),-100)</f>
        <v>41.544723482616014</v>
      </c>
      <c r="BO531">
        <f>IF(Table2912[[#This Row],[Isovalerate '[%']]]&lt;W$10,_xlfn.NORM.DIST(Table2912[[#This Row],[Isovalerate '[%']]],W$6,W$2,FALSE),-100)</f>
        <v>-100</v>
      </c>
      <c r="BP531">
        <f>IF(Table2912[[#This Row],[CH4 '[g/mmol SCFA']]]&lt;X$10,_xlfn.NORM.DIST(Table2912[[#This Row],[CH4 '[g/mmol SCFA']]],X$6,X$2,FALSE),-100)</f>
        <v>2.3827785199994665E-4</v>
      </c>
      <c r="BQ531">
        <f>IF(Table2912[[#This Row],[DMD '[mg/g']]]&gt;Y$10,_xlfn.NORM.DIST(Table2912[[#This Row],[DMD '[mg/g']]],Y$6,Y$2,FALSE),-100)</f>
        <v>-100</v>
      </c>
      <c r="BR531">
        <f>IF(Table2912[[#This Row],[CH4 '[ml/g']]]&lt;Z$10,_xlfn.NORM.DIST(Table2912[[#This Row],[CH4 '[ml/g']]],Z$6,Z$2,FALSE),-100)</f>
        <v>3.435829660389481E-4</v>
      </c>
      <c r="BS531">
        <f>IF(Table2912[[#This Row],[CH4 '[% GP']]]&lt;AA$10,_xlfn.NORM.DIST(Table2912[[#This Row],[CH4 '[% GP']]],AA$6,AA$2,FALSE),-100)</f>
        <v>1.9038800988910046E-5</v>
      </c>
      <c r="BT531">
        <f>IF(Table2912[[#This Row],[CH4 '[g/g DDM']]]&lt;AB$10,_xlfn.NORM.DIST(Table2912[[#This Row],[CH4 '[g/g DDM']]],AB$6,AB$2,FALSE),-100)</f>
        <v>2.1124510744720861E-6</v>
      </c>
    </row>
    <row r="532" spans="1:72" x14ac:dyDescent="0.25">
      <c r="A532" s="12" t="s">
        <v>70</v>
      </c>
      <c r="B532" s="13">
        <v>1021</v>
      </c>
      <c r="C532" s="96" t="s">
        <v>167</v>
      </c>
      <c r="D532" s="96"/>
      <c r="E532" s="96"/>
      <c r="F532" s="96" t="s">
        <v>168</v>
      </c>
      <c r="G532" t="s">
        <v>73</v>
      </c>
      <c r="H532" t="s">
        <v>74</v>
      </c>
      <c r="I532" t="s">
        <v>75</v>
      </c>
      <c r="J532" s="100">
        <v>3</v>
      </c>
      <c r="K532" s="100"/>
      <c r="L532" s="100"/>
      <c r="M532" t="s">
        <v>168</v>
      </c>
      <c r="N532" t="s">
        <v>76</v>
      </c>
      <c r="O532" s="18"/>
      <c r="P532" s="18">
        <v>6.3698333333333323</v>
      </c>
      <c r="Q532" s="97">
        <v>0.67600598431187353</v>
      </c>
      <c r="R532" s="97">
        <v>0.15557778800475863</v>
      </c>
      <c r="S532" s="97">
        <v>0.10668553233443503</v>
      </c>
      <c r="T532" s="97">
        <v>1.9815241434196815E-2</v>
      </c>
      <c r="U532" s="97">
        <v>1.055375769353373E-3</v>
      </c>
      <c r="V532" s="97">
        <v>1.4024245216410139E-2</v>
      </c>
      <c r="W532" s="97">
        <v>2.6835832928972628E-2</v>
      </c>
      <c r="X532" s="51"/>
      <c r="Y532" s="18"/>
      <c r="Z532" s="18"/>
      <c r="AA532" s="18"/>
      <c r="AB532" s="18"/>
      <c r="AC532" s="18">
        <f>$CP$15*Table2912[[#This Row],[DMD '[mg/g']]]+$CS$15*Table2912[[#This Row],[CH4 '[ml/g']]]+$CR$15*Table2912[[#This Row],[CH4 '[% GP']]]+$CQ$15*Table2912[[#This Row],[CH4 '[g/g DDM']]]</f>
        <v>0</v>
      </c>
      <c r="AD532" s="18">
        <f>_xlfn.RANK.AVG(Table2912[[#This Row],[Index]],Table2912[Index])</f>
        <v>444.5</v>
      </c>
      <c r="AE532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5.9766190924098552</v>
      </c>
      <c r="AF532" s="18">
        <f>Table2912[[#This Row],[CH4 '[ml/g']]]/Table2912[[#This Row],[APB]]</f>
        <v>0</v>
      </c>
      <c r="AG532" s="18">
        <f>Table2912[[#This Row],[Propionate '[%']]]/Table2912[[#This Row],[Acetate '[%']]]</f>
        <v>0.23014261946678749</v>
      </c>
      <c r="AH532" s="51"/>
      <c r="AI532" s="18"/>
      <c r="AJ532" s="18"/>
      <c r="AK532" s="18">
        <f>(Table2912[[#This Row],[DMD '[mg/g']]]-$AK$15)/$AK$15*100</f>
        <v>-100</v>
      </c>
      <c r="AL532" s="18">
        <f>(Table2912[[#This Row],[CH4 '[ml/g']]]-AL$15)/AL$15*100</f>
        <v>-100</v>
      </c>
      <c r="AM532" s="18">
        <f>(Table2912[[#This Row],[CH4 '[% GP']]]-AM$15)/AM$15*100</f>
        <v>-100</v>
      </c>
      <c r="AN532" s="18">
        <f>(Table2912[[#This Row],[CH4 '[g/g DDM']]]-AN$15)/AN$15*100</f>
        <v>-100</v>
      </c>
      <c r="AO532" s="18"/>
      <c r="AP532" s="18"/>
      <c r="AQ532" t="e">
        <f t="shared" si="33"/>
        <v>#DIV/0!</v>
      </c>
      <c r="AR532">
        <f>_xlfn.NORM.DIST(Table2912[[#This Row],[GP '[ml/g']]],O$6,O$2,FALSE)</f>
        <v>7.7830314590194085E-8</v>
      </c>
      <c r="AS532">
        <f>_xlfn.NORM.DIST(Table2912[[#This Row],[SCFA '[mmol/g']]],P$6,P$2,FALSE)</f>
        <v>0.32950682307141932</v>
      </c>
      <c r="AT532">
        <f>_xlfn.NORM.DIST(Table2912[[#This Row],[Acetate '[%']]],Q$6,Q$2,FALSE)</f>
        <v>13.955117226858238</v>
      </c>
      <c r="AU532">
        <f>_xlfn.NORM.DIST(Table2912[[#This Row],[Propionate '[%']]],R$6,R$2,FALSE)</f>
        <v>13.274069918589966</v>
      </c>
      <c r="AV532">
        <f>_xlfn.NORM.DIST(Table2912[[#This Row],[Butyrate '[%']]],S$6,S$2,FALSE)</f>
        <v>16.796091537434229</v>
      </c>
      <c r="AW532">
        <f>_xlfn.NORM.DIST(Table2912[[#This Row],[Valerate '[%']]],T$6,T$2,FALSE)</f>
        <v>70.911754234469939</v>
      </c>
      <c r="AX532">
        <f>_xlfn.NORM.DIST(Table2912[[#This Row],[Caproate '[%']]],U$6,U$2,FALSE)</f>
        <v>390.91551658846151</v>
      </c>
      <c r="AY532">
        <f>_xlfn.NORM.DIST(Table2912[[#This Row],[Isobutyrate '[%']]],V$6,V$2,FALSE)</f>
        <v>86.387952355776576</v>
      </c>
      <c r="AZ532">
        <f>_xlfn.NORM.DIST(Table2912[[#This Row],[Isovalerate '[%']]],W$6,W$2,FALSE)</f>
        <v>45.100584180132543</v>
      </c>
      <c r="BA532">
        <f>_xlfn.NORM.DIST(Table2912[[#This Row],[CH4 '[g/mmol SCFA']]],X$6,X$2,FALSE)</f>
        <v>5.1257329689735196E-6</v>
      </c>
      <c r="BB532">
        <f>_xlfn.NORM.DIST(Table2912[[#This Row],[DMD '[mg/g']]],Y$6,Y$2,FALSE)</f>
        <v>3.0096929032212247E-10</v>
      </c>
      <c r="BC532">
        <f>_xlfn.NORM.DIST(Table2912[[#This Row],[CH4 '[ml/g']]],Z$6,Z$2,FALSE)</f>
        <v>7.9442788811288467E-5</v>
      </c>
      <c r="BD532">
        <f>_xlfn.NORM.DIST(Table2912[[#This Row],[CH4 '[% GP']]],AA$6,AA$2,FALSE)</f>
        <v>5.4481631913066772E-8</v>
      </c>
      <c r="BE532">
        <f>_xlfn.NORM.DIST(Table2912[[#This Row],[CH4 '[g/g DDM']]],AB$6,AB$2,FALSE)</f>
        <v>2.1124510744720861E-6</v>
      </c>
      <c r="BG532">
        <f>IF(Table2912[[#This Row],[GP '[ml/g']]]&lt;O$10,_xlfn.NORM.DIST(Table2912[[#This Row],[GP '[ml/g']]],O$6,O$2,FALSE),-100)</f>
        <v>7.7830314590194085E-8</v>
      </c>
      <c r="BH532">
        <f>IF(Table2912[[#This Row],[SCFA '[mmol/g']]]&lt;P$10,_xlfn.NORM.DIST(Table2912[[#This Row],[SCFA '[mmol/g']]],P$6,P$2,FALSE),-100)</f>
        <v>-100</v>
      </c>
      <c r="BI532">
        <f>IF(Table2912[[#This Row],[Acetate '[%']]]&lt;Q$10,_xlfn.NORM.DIST(Table2912[[#This Row],[Acetate '[%']]],Q$6,Q$2,FALSE),-100)</f>
        <v>-100</v>
      </c>
      <c r="BJ532">
        <f>IF(Table2912[[#This Row],[Propionate '[%']]]&lt;R$10,_xlfn.NORM.DIST(Table2912[[#This Row],[Propionate '[%']]],R$6,R$2,FALSE),-100)</f>
        <v>-100</v>
      </c>
      <c r="BK532">
        <f>IF(Table2912[[#This Row],[Butyrate '[%']]]&lt;S$10,_xlfn.NORM.DIST(Table2912[[#This Row],[Butyrate '[%']]],S$6,S$2,FALSE),-100)</f>
        <v>-100</v>
      </c>
      <c r="BL532">
        <f>IF(Table2912[[#This Row],[Valerate '[%']]]&lt;T$10,_xlfn.NORM.DIST(Table2912[[#This Row],[Valerate '[%']]],T$6,T$2,FALSE),-100)</f>
        <v>-100</v>
      </c>
      <c r="BM532">
        <f>IF(Table2912[[#This Row],[Caproate '[%']]]&lt;U$10,_xlfn.NORM.DIST(Table2912[[#This Row],[Caproate '[%']]],U$6,U$2,FALSE),-100)</f>
        <v>-100</v>
      </c>
      <c r="BN532">
        <f>IF(Table2912[[#This Row],[Isobutyrate '[%']]]&lt;V$10,_xlfn.NORM.DIST(Table2912[[#This Row],[Isobutyrate '[%']]],V$6,V$2,FALSE),-100)</f>
        <v>-100</v>
      </c>
      <c r="BO532">
        <f>IF(Table2912[[#This Row],[Isovalerate '[%']]]&lt;W$10,_xlfn.NORM.DIST(Table2912[[#This Row],[Isovalerate '[%']]],W$6,W$2,FALSE),-100)</f>
        <v>-100</v>
      </c>
      <c r="BP532">
        <f>IF(Table2912[[#This Row],[CH4 '[g/mmol SCFA']]]&lt;X$10,_xlfn.NORM.DIST(Table2912[[#This Row],[CH4 '[g/mmol SCFA']]],X$6,X$2,FALSE),-100)</f>
        <v>5.1257329689735196E-6</v>
      </c>
      <c r="BQ532">
        <f>IF(Table2912[[#This Row],[DMD '[mg/g']]]&gt;Y$10,_xlfn.NORM.DIST(Table2912[[#This Row],[DMD '[mg/g']]],Y$6,Y$2,FALSE),-100)</f>
        <v>-100</v>
      </c>
      <c r="BR532">
        <f>IF(Table2912[[#This Row],[CH4 '[ml/g']]]&lt;Z$10,_xlfn.NORM.DIST(Table2912[[#This Row],[CH4 '[ml/g']]],Z$6,Z$2,FALSE),-100)</f>
        <v>7.9442788811288467E-5</v>
      </c>
      <c r="BS532">
        <f>IF(Table2912[[#This Row],[CH4 '[% GP']]]&lt;AA$10,_xlfn.NORM.DIST(Table2912[[#This Row],[CH4 '[% GP']]],AA$6,AA$2,FALSE),-100)</f>
        <v>5.4481631913066772E-8</v>
      </c>
      <c r="BT532">
        <f>IF(Table2912[[#This Row],[CH4 '[g/g DDM']]]&lt;AB$10,_xlfn.NORM.DIST(Table2912[[#This Row],[CH4 '[g/g DDM']]],AB$6,AB$2,FALSE),-100)</f>
        <v>2.1124510744720861E-6</v>
      </c>
    </row>
    <row r="533" spans="1:72" x14ac:dyDescent="0.25">
      <c r="A533" s="12" t="s">
        <v>70</v>
      </c>
      <c r="B533" s="13">
        <v>1021</v>
      </c>
      <c r="C533" s="96" t="s">
        <v>167</v>
      </c>
      <c r="D533" s="96"/>
      <c r="E533" s="96"/>
      <c r="F533" s="96" t="s">
        <v>168</v>
      </c>
      <c r="G533" t="s">
        <v>73</v>
      </c>
      <c r="H533" t="s">
        <v>74</v>
      </c>
      <c r="I533" t="s">
        <v>75</v>
      </c>
      <c r="J533" s="100">
        <v>4</v>
      </c>
      <c r="K533" s="100"/>
      <c r="L533" s="100"/>
      <c r="M533" t="s">
        <v>168</v>
      </c>
      <c r="N533" t="s">
        <v>76</v>
      </c>
      <c r="O533" s="18"/>
      <c r="P533" s="18">
        <v>6.3698333333333323</v>
      </c>
      <c r="Q533" s="97">
        <v>0.67600598431187353</v>
      </c>
      <c r="R533" s="97">
        <v>0.15557778800475863</v>
      </c>
      <c r="S533" s="97">
        <v>0.10668553233443503</v>
      </c>
      <c r="T533" s="97">
        <v>1.9815241434196815E-2</v>
      </c>
      <c r="U533" s="97">
        <v>1.055375769353373E-3</v>
      </c>
      <c r="V533" s="97">
        <v>1.4024245216410139E-2</v>
      </c>
      <c r="W533" s="97">
        <v>2.6835832928972628E-2</v>
      </c>
      <c r="X533" s="51"/>
      <c r="Y533" s="18"/>
      <c r="Z533" s="18"/>
      <c r="AA533" s="18"/>
      <c r="AB533" s="18"/>
      <c r="AC533" s="18">
        <f>$CP$15*Table2912[[#This Row],[DMD '[mg/g']]]+$CS$15*Table2912[[#This Row],[CH4 '[ml/g']]]+$CR$15*Table2912[[#This Row],[CH4 '[% GP']]]+$CQ$15*Table2912[[#This Row],[CH4 '[g/g DDM']]]</f>
        <v>0</v>
      </c>
      <c r="AD533" s="18">
        <f>_xlfn.RANK.AVG(Table2912[[#This Row],[Index]],Table2912[Index])</f>
        <v>444.5</v>
      </c>
      <c r="AE533" s="18">
        <f>Table2912[[#This Row],[Butyrate '[%']]]*Table2912[[#This Row],[SCFA '[mmol/g']]]+Table2912[[#This Row],[Propionate '[%']]]*Table2912[[#This Row],[SCFA '[mmol/g']]]+Table2912[[#This Row],[Acetate '[%']]]*Table2912[[#This Row],[SCFA '[mmol/g']]]</f>
        <v>5.9766190924098552</v>
      </c>
      <c r="AF533" s="18">
        <f>Table2912[[#This Row],[CH4 '[ml/g']]]/Table2912[[#This Row],[APB]]</f>
        <v>0</v>
      </c>
      <c r="AG533" s="18">
        <f>Table2912[[#This Row],[Propionate '[%']]]/Table2912[[#This Row],[Acetate '[%']]]</f>
        <v>0.23014261946678749</v>
      </c>
      <c r="AH533" s="51"/>
      <c r="AK533" s="18">
        <f>(Table2912[[#This Row],[DMD '[mg/g']]]-$AK$15)/$AK$15*100</f>
        <v>-100</v>
      </c>
      <c r="AL533" s="18">
        <f>(Table2912[[#This Row],[CH4 '[ml/g']]]-AL$15)/AL$15*100</f>
        <v>-100</v>
      </c>
      <c r="AM533" s="18">
        <f>(Table2912[[#This Row],[CH4 '[% GP']]]-AM$15)/AM$15*100</f>
        <v>-100</v>
      </c>
      <c r="AN533" s="18">
        <f>(Table2912[[#This Row],[CH4 '[g/g DDM']]]-AN$15)/AN$15*100</f>
        <v>-100</v>
      </c>
      <c r="AO533" s="18"/>
      <c r="AP533" s="18"/>
      <c r="AQ533" t="e">
        <f t="shared" si="33"/>
        <v>#DIV/0!</v>
      </c>
      <c r="AR533">
        <f>_xlfn.NORM.DIST(Table2912[[#This Row],[GP '[ml/g']]],O$6,O$2,FALSE)</f>
        <v>7.7830314590194085E-8</v>
      </c>
      <c r="AS533">
        <f>_xlfn.NORM.DIST(Table2912[[#This Row],[SCFA '[mmol/g']]],P$6,P$2,FALSE)</f>
        <v>0.32950682307141932</v>
      </c>
      <c r="AT533">
        <f>_xlfn.NORM.DIST(Table2912[[#This Row],[Acetate '[%']]],Q$6,Q$2,FALSE)</f>
        <v>13.955117226858238</v>
      </c>
      <c r="AU533">
        <f>_xlfn.NORM.DIST(Table2912[[#This Row],[Propionate '[%']]],R$6,R$2,FALSE)</f>
        <v>13.274069918589966</v>
      </c>
      <c r="AV533">
        <f>_xlfn.NORM.DIST(Table2912[[#This Row],[Butyrate '[%']]],S$6,S$2,FALSE)</f>
        <v>16.796091537434229</v>
      </c>
      <c r="AW533">
        <f>_xlfn.NORM.DIST(Table2912[[#This Row],[Valerate '[%']]],T$6,T$2,FALSE)</f>
        <v>70.911754234469939</v>
      </c>
      <c r="AX533">
        <f>_xlfn.NORM.DIST(Table2912[[#This Row],[Caproate '[%']]],U$6,U$2,FALSE)</f>
        <v>390.91551658846151</v>
      </c>
      <c r="AY533">
        <f>_xlfn.NORM.DIST(Table2912[[#This Row],[Isobutyrate '[%']]],V$6,V$2,FALSE)</f>
        <v>86.387952355776576</v>
      </c>
      <c r="AZ533">
        <f>_xlfn.NORM.DIST(Table2912[[#This Row],[Isovalerate '[%']]],W$6,W$2,FALSE)</f>
        <v>45.100584180132543</v>
      </c>
      <c r="BA533">
        <f>_xlfn.NORM.DIST(Table2912[[#This Row],[CH4 '[g/mmol SCFA']]],X$6,X$2,FALSE)</f>
        <v>5.1257329689735196E-6</v>
      </c>
      <c r="BB533">
        <f>_xlfn.NORM.DIST(Table2912[[#This Row],[DMD '[mg/g']]],Y$6,Y$2,FALSE)</f>
        <v>3.0096929032212247E-10</v>
      </c>
      <c r="BC533">
        <f>_xlfn.NORM.DIST(Table2912[[#This Row],[CH4 '[ml/g']]],Z$6,Z$2,FALSE)</f>
        <v>7.9442788811288467E-5</v>
      </c>
      <c r="BD533">
        <f>_xlfn.NORM.DIST(Table2912[[#This Row],[CH4 '[% GP']]],AA$6,AA$2,FALSE)</f>
        <v>5.4481631913066772E-8</v>
      </c>
      <c r="BE533">
        <f>_xlfn.NORM.DIST(Table2912[[#This Row],[CH4 '[g/g DDM']]],AB$6,AB$2,FALSE)</f>
        <v>2.1124510744720861E-6</v>
      </c>
      <c r="BG533">
        <f>IF(Table2912[[#This Row],[GP '[ml/g']]]&lt;O$10,_xlfn.NORM.DIST(Table2912[[#This Row],[GP '[ml/g']]],O$6,O$2,FALSE),-100)</f>
        <v>7.7830314590194085E-8</v>
      </c>
      <c r="BH533">
        <f>IF(Table2912[[#This Row],[SCFA '[mmol/g']]]&lt;P$10,_xlfn.NORM.DIST(Table2912[[#This Row],[SCFA '[mmol/g']]],P$6,P$2,FALSE),-100)</f>
        <v>-100</v>
      </c>
      <c r="BI533">
        <f>IF(Table2912[[#This Row],[Acetate '[%']]]&lt;Q$10,_xlfn.NORM.DIST(Table2912[[#This Row],[Acetate '[%']]],Q$6,Q$2,FALSE),-100)</f>
        <v>-100</v>
      </c>
      <c r="BJ533">
        <f>IF(Table2912[[#This Row],[Propionate '[%']]]&lt;R$10,_xlfn.NORM.DIST(Table2912[[#This Row],[Propionate '[%']]],R$6,R$2,FALSE),-100)</f>
        <v>-100</v>
      </c>
      <c r="BK533">
        <f>IF(Table2912[[#This Row],[Butyrate '[%']]]&lt;S$10,_xlfn.NORM.DIST(Table2912[[#This Row],[Butyrate '[%']]],S$6,S$2,FALSE),-100)</f>
        <v>-100</v>
      </c>
      <c r="BL533">
        <f>IF(Table2912[[#This Row],[Valerate '[%']]]&lt;T$10,_xlfn.NORM.DIST(Table2912[[#This Row],[Valerate '[%']]],T$6,T$2,FALSE),-100)</f>
        <v>-100</v>
      </c>
      <c r="BM533">
        <f>IF(Table2912[[#This Row],[Caproate '[%']]]&lt;U$10,_xlfn.NORM.DIST(Table2912[[#This Row],[Caproate '[%']]],U$6,U$2,FALSE),-100)</f>
        <v>-100</v>
      </c>
      <c r="BN533">
        <f>IF(Table2912[[#This Row],[Isobutyrate '[%']]]&lt;V$10,_xlfn.NORM.DIST(Table2912[[#This Row],[Isobutyrate '[%']]],V$6,V$2,FALSE),-100)</f>
        <v>-100</v>
      </c>
      <c r="BO533">
        <f>IF(Table2912[[#This Row],[Isovalerate '[%']]]&lt;W$10,_xlfn.NORM.DIST(Table2912[[#This Row],[Isovalerate '[%']]],W$6,W$2,FALSE),-100)</f>
        <v>-100</v>
      </c>
      <c r="BP533">
        <f>IF(Table2912[[#This Row],[CH4 '[g/mmol SCFA']]]&lt;X$10,_xlfn.NORM.DIST(Table2912[[#This Row],[CH4 '[g/mmol SCFA']]],X$6,X$2,FALSE),-100)</f>
        <v>5.1257329689735196E-6</v>
      </c>
      <c r="BQ533">
        <f>IF(Table2912[[#This Row],[DMD '[mg/g']]]&gt;Y$10,_xlfn.NORM.DIST(Table2912[[#This Row],[DMD '[mg/g']]],Y$6,Y$2,FALSE),-100)</f>
        <v>-100</v>
      </c>
      <c r="BR533">
        <f>IF(Table2912[[#This Row],[CH4 '[ml/g']]]&lt;Z$10,_xlfn.NORM.DIST(Table2912[[#This Row],[CH4 '[ml/g']]],Z$6,Z$2,FALSE),-100)</f>
        <v>7.9442788811288467E-5</v>
      </c>
      <c r="BS533">
        <f>IF(Table2912[[#This Row],[CH4 '[% GP']]]&lt;AA$10,_xlfn.NORM.DIST(Table2912[[#This Row],[CH4 '[% GP']]],AA$6,AA$2,FALSE),-100)</f>
        <v>5.4481631913066772E-8</v>
      </c>
      <c r="BT533">
        <f>IF(Table2912[[#This Row],[CH4 '[g/g DDM']]]&lt;AB$10,_xlfn.NORM.DIST(Table2912[[#This Row],[CH4 '[g/g DDM']]],AB$6,AB$2,FALSE),-100)</f>
        <v>2.1124510744720861E-6</v>
      </c>
    </row>
  </sheetData>
  <mergeCells count="1">
    <mergeCell ref="AY4:AZ4"/>
  </mergeCells>
  <conditionalFormatting sqref="I20:I515 I525:I52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0:L53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{A3FDA1ED-62E5-4AFC-9F4A-94722F49390C}</x14:id>
        </ext>
      </extLst>
    </cfRule>
  </conditionalFormatting>
  <conditionalFormatting sqref="P20:P533">
    <cfRule type="cellIs" dxfId="42" priority="13" operator="lessThan">
      <formula>$BJ$16</formula>
    </cfRule>
  </conditionalFormatting>
  <conditionalFormatting sqref="Y20:Y533">
    <cfRule type="expression" dxfId="41" priority="5">
      <formula>Y20&lt;=AVERAGE(_xlfn._xlws.FILTER(Y$20:Y$533,Y$20:Y$533=SMALL(Y$20:Y$533,COUNT(Y$20:Y$533)*AK$11)))</formula>
    </cfRule>
    <cfRule type="cellIs" dxfId="40" priority="8" operator="greaterThan">
      <formula>$Y$10</formula>
    </cfRule>
  </conditionalFormatting>
  <conditionalFormatting sqref="Z20:Z533">
    <cfRule type="expression" dxfId="39" priority="4">
      <formula>Z20&gt;=AVERAGE(_xlfn._xlws.FILTER(Z$20:Z$533,Z$20:Z$533=LARGE(Z$20:Z$533,COUNT(Z$20:Z$533)*AL$11)))</formula>
    </cfRule>
    <cfRule type="cellIs" dxfId="38" priority="10" operator="lessThan">
      <formula>$Z$10</formula>
    </cfRule>
  </conditionalFormatting>
  <conditionalFormatting sqref="AA20:AA533">
    <cfRule type="expression" dxfId="37" priority="3">
      <formula>AA20&gt;=AVERAGE(_xlfn._xlws.FILTER(AA$20:AA$533,AA$20:AA$533=LARGE(AA$20:AA$533,COUNT(AA$20:AA$533)*AM$11)))</formula>
    </cfRule>
    <cfRule type="cellIs" dxfId="36" priority="11" operator="lessThan">
      <formula>$AA$10</formula>
    </cfRule>
  </conditionalFormatting>
  <conditionalFormatting sqref="AB20:AB533">
    <cfRule type="expression" dxfId="35" priority="2">
      <formula>AB20&gt;=AVERAGE(_xlfn._xlws.FILTER(AB$20:AB$533,AB$20:AB$533=LARGE(AB$20:AB$533,COUNT(AB$20:AB$533)*AN$11)))</formula>
    </cfRule>
    <cfRule type="cellIs" dxfId="34" priority="12" operator="between">
      <formula>0.1</formula>
      <formula>$AB$10</formula>
    </cfRule>
  </conditionalFormatting>
  <conditionalFormatting sqref="AC20:AC533">
    <cfRule type="expression" dxfId="33" priority="15">
      <formula>AD20&lt;=$AC$15</formula>
    </cfRule>
  </conditionalFormatting>
  <conditionalFormatting sqref="AD20:AD533">
    <cfRule type="expression" dxfId="32" priority="16">
      <formula>AD20&lt;=$AC$15</formula>
    </cfRule>
  </conditionalFormatting>
  <conditionalFormatting sqref="AK20:AK533">
    <cfRule type="cellIs" dxfId="31" priority="1" operator="greaterThan">
      <formula>$AK$16</formula>
    </cfRule>
  </conditionalFormatting>
  <conditionalFormatting sqref="AP20:AP410">
    <cfRule type="expression" dxfId="30" priority="17">
      <formula>($AR$13-AB20)/$AR$13%&gt;$AR$16</formula>
    </cfRule>
  </conditionalFormatting>
  <conditionalFormatting sqref="CI4 CO20:CO532">
    <cfRule type="top10" priority="9" percent="1" rank="10"/>
  </conditionalFormatting>
  <conditionalFormatting sqref="CI4:CI28">
    <cfRule type="expression" dxfId="29" priority="14">
      <formula>$A$20:$A$533="ICARDA"</formula>
    </cfRule>
  </conditionalFormatting>
  <hyperlinks>
    <hyperlink ref="G419" r:id="rId1" tooltip="Papaveraceae" display="https://en.wikipedia.org/wiki/Papaveraceae" xr:uid="{B8C3748F-CFC0-4E01-8B66-837EA35BDA84}"/>
    <hyperlink ref="H419" r:id="rId2" display="https://en.wikipedia.org/wiki/Ranunculales" xr:uid="{F2DF5B4D-FBAA-4BC4-AFBD-96E01E8CBD73}"/>
    <hyperlink ref="G306" r:id="rId3" tooltip="Boraginaceae" display="https://en.wikipedia.org/wiki/Boraginaceae" xr:uid="{61E062E8-033F-4087-A096-EC7D659B8FBB}"/>
    <hyperlink ref="H306" r:id="rId4" tooltip="Boraginaceae" display="https://en.wikipedia.org/wiki/Boraginaceae" xr:uid="{E0B3787C-6EE2-44F7-AB72-C2C8655DB7C1}"/>
    <hyperlink ref="G454" r:id="rId5" tooltip="Geraniaceae" display="https://en.wikipedia.org/wiki/Geraniaceae" xr:uid="{F4B491C8-6DA6-49E6-AC41-091490D5A373}"/>
    <hyperlink ref="H454" r:id="rId6" tooltip="Geraniales" display="https://en.wikipedia.org/wiki/Geraniales" xr:uid="{B2293887-6FBC-4354-B2F4-962C0A512D47}"/>
    <hyperlink ref="G232" r:id="rId7" tooltip="Polygonaceae" display="https://en.wikipedia.org/wiki/Polygonaceae" xr:uid="{830D77B4-4FDF-47FA-B2E1-0765577D8675}"/>
    <hyperlink ref="H232" r:id="rId8" tooltip="Caryophyllales" display="https://en.wikipedia.org/wiki/Caryophyllales" xr:uid="{DE77C161-4381-488A-8874-7A69EB0267C4}"/>
    <hyperlink ref="G520" r:id="rId9" tooltip="Amaranthaceae" display="https://en.wikipedia.org/wiki/Amaranthaceae" xr:uid="{33AB4AA2-59AE-4B04-A9FE-BBB4116B390A}"/>
    <hyperlink ref="H520" r:id="rId10" tooltip="Caryophyllales" display="https://en.wikipedia.org/wiki/Caryophyllales" xr:uid="{74C5B92C-DCA6-4EE8-913C-B3D1DF2EBF9D}"/>
    <hyperlink ref="G360" r:id="rId11" tooltip="Boraginaceae" display="https://en.wikipedia.org/wiki/Boraginaceae" xr:uid="{39F288B1-C7B7-440D-84A3-801C5C075BA8}"/>
    <hyperlink ref="G380" r:id="rId12" tooltip="Boraginaceae" display="https://en.wikipedia.org/wiki/Boraginaceae" xr:uid="{399583DA-E169-4574-A095-7232D784D372}"/>
    <hyperlink ref="H360" r:id="rId13" tooltip="Boraginaceae" display="https://en.wikipedia.org/wiki/Boraginaceae" xr:uid="{2893A478-46A2-4D16-9DA7-42BBBFEDD182}"/>
    <hyperlink ref="H380" r:id="rId14" tooltip="Boraginaceae" display="https://en.wikipedia.org/wiki/Boraginaceae" xr:uid="{D41E2411-B802-4256-AD31-17133B35340F}"/>
    <hyperlink ref="G528" r:id="rId15" tooltip="Amaranthaceae" display="https://en.wikipedia.org/wiki/Amaranthaceae" xr:uid="{1347062A-EE95-4498-BEB4-E9A050BC6D9E}"/>
    <hyperlink ref="G526" r:id="rId16" tooltip="Amaranthaceae" display="https://en.wikipedia.org/wiki/Amaranthaceae" xr:uid="{B6829F8C-6ACE-42DC-9481-59D17177AEF9}"/>
    <hyperlink ref="H528" r:id="rId17" tooltip="Caryophyllales" display="https://en.wikipedia.org/wiki/Caryophyllales" xr:uid="{362C5421-460B-4AF3-90BF-9C726A4B55D6}"/>
    <hyperlink ref="H526" r:id="rId18" tooltip="Caryophyllales" display="https://en.wikipedia.org/wiki/Caryophyllales" xr:uid="{729B1055-0A1D-49F7-9FCE-6CBC10ABAF75}"/>
    <hyperlink ref="G257" r:id="rId19" tooltip="Polygonaceae" display="https://en.wikipedia.org/wiki/Polygonaceae" xr:uid="{776DDF56-5EA1-43B4-9CD5-189A85D8FEF0}"/>
    <hyperlink ref="G322" r:id="rId20" tooltip="Polygonaceae" display="https://en.wikipedia.org/wiki/Polygonaceae" xr:uid="{B8FDCB8B-82F5-43EC-8E32-824A10E66C78}"/>
    <hyperlink ref="H257" r:id="rId21" tooltip="Caryophyllales" display="https://en.wikipedia.org/wiki/Caryophyllales" xr:uid="{FB222578-3061-4A43-8A0C-8F8791C1A39B}"/>
    <hyperlink ref="H322" r:id="rId22" tooltip="Caryophyllales" display="https://en.wikipedia.org/wiki/Caryophyllales" xr:uid="{DBF678E8-75E3-48B9-AC39-5C4DEB91C0AA}"/>
    <hyperlink ref="G430" r:id="rId23" tooltip="Geraniaceae" display="https://en.wikipedia.org/wiki/Geraniaceae" xr:uid="{FA17FED2-064A-4737-A8DD-425D52A34F42}"/>
    <hyperlink ref="G468" r:id="rId24" tooltip="Geraniaceae" display="https://en.wikipedia.org/wiki/Geraniaceae" xr:uid="{D9DA668F-E419-48BA-BF68-C9ADE2684455}"/>
    <hyperlink ref="H430" r:id="rId25" tooltip="Geraniales" display="https://en.wikipedia.org/wiki/Geraniales" xr:uid="{E5BB766D-2E9B-4D14-A824-F1CF23306996}"/>
    <hyperlink ref="H468" r:id="rId26" tooltip="Geraniales" display="https://en.wikipedia.org/wiki/Geraniales" xr:uid="{61C6304F-4D4F-4515-B5CE-F59C831919FF}"/>
    <hyperlink ref="G415" r:id="rId27" tooltip="Papaveraceae" display="https://en.wikipedia.org/wiki/Papaveraceae" xr:uid="{8778A60B-A1E4-46D0-AB43-8EA42889E4FC}"/>
    <hyperlink ref="G396" r:id="rId28" tooltip="Papaveraceae" display="https://en.wikipedia.org/wiki/Papaveraceae" xr:uid="{F4E76648-8989-4F38-9458-42984A1C85B1}"/>
    <hyperlink ref="H415" r:id="rId29" display="https://en.wikipedia.org/wiki/Ranunculales" xr:uid="{65EF6E96-9AB9-4C01-AD72-7F25AA4E1128}"/>
    <hyperlink ref="H396" r:id="rId30" display="https://en.wikipedia.org/wiki/Ranunculales" xr:uid="{EC40AD44-7DCB-451F-8444-992DA382D907}"/>
    <hyperlink ref="G256" r:id="rId31" tooltip="Lamiaceae" display="https://en.wikipedia.org/wiki/Lamiaceae" xr:uid="{B55C14B8-1C5C-4427-B020-1D914D204054}"/>
    <hyperlink ref="H256" r:id="rId32" tooltip="Lamiales" display="https://en.wikipedia.org/wiki/Lamiales" xr:uid="{D0CFB97D-8C22-4FD7-803D-40B743736038}"/>
    <hyperlink ref="G273" r:id="rId33" tooltip="Lamiaceae" display="https://en.wikipedia.org/wiki/Lamiaceae" xr:uid="{3C91BE64-F29C-4C74-AC1B-BB54FAC71920}"/>
    <hyperlink ref="G264" r:id="rId34" tooltip="Lamiaceae" display="https://en.wikipedia.org/wiki/Lamiaceae" xr:uid="{F51F273A-0E4B-437B-9045-95EBF23637EE}"/>
    <hyperlink ref="H273" r:id="rId35" tooltip="Lamiales" display="https://en.wikipedia.org/wiki/Lamiales" xr:uid="{4342A6FE-FB98-4CCC-AC65-9A25F9F1610B}"/>
    <hyperlink ref="H264" r:id="rId36" tooltip="Lamiales" display="https://en.wikipedia.org/wiki/Lamiales" xr:uid="{A0313B8E-A903-48F4-8B08-C7FB2A8D01BA}"/>
  </hyperlinks>
  <pageMargins left="0.7" right="0.7" top="0.75" bottom="0.75" header="0.3" footer="0.3"/>
  <drawing r:id="rId37"/>
  <legacyDrawing r:id="rId38"/>
  <tableParts count="4">
    <tablePart r:id="rId39"/>
    <tablePart r:id="rId40"/>
    <tablePart r:id="rId41"/>
    <tablePart r:id="rId4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3FDA1ED-62E5-4AFC-9F4A-94722F4939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J20:L533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2839-01AF-4707-894A-542C1BBC1F4A}">
  <dimension ref="A1:CV593"/>
  <sheetViews>
    <sheetView zoomScale="85" zoomScaleNormal="85" workbookViewId="0">
      <pane xSplit="3" ySplit="19" topLeftCell="H34" activePane="bottomRight" state="frozen"/>
      <selection pane="topRight" activeCell="D1" sqref="D1"/>
      <selection pane="bottomLeft" activeCell="A20" sqref="A20"/>
      <selection pane="bottomRight" activeCell="L55" sqref="L55"/>
    </sheetView>
  </sheetViews>
  <sheetFormatPr defaultColWidth="8.85546875" defaultRowHeight="15" x14ac:dyDescent="0.25"/>
  <cols>
    <col min="2" max="2" width="13.28515625" bestFit="1" customWidth="1"/>
    <col min="3" max="3" width="16.42578125" customWidth="1"/>
    <col min="4" max="4" width="9.7109375" customWidth="1"/>
    <col min="5" max="5" width="10.42578125" customWidth="1"/>
    <col min="6" max="6" width="30.28515625" customWidth="1"/>
    <col min="7" max="7" width="14.140625" customWidth="1"/>
    <col min="8" max="8" width="16" customWidth="1"/>
    <col min="9" max="9" width="14.85546875" customWidth="1"/>
    <col min="10" max="10" width="6.85546875" hidden="1" customWidth="1"/>
    <col min="11" max="11" width="15.28515625" hidden="1" customWidth="1"/>
    <col min="12" max="12" width="9.42578125" customWidth="1"/>
    <col min="13" max="13" width="23.42578125" customWidth="1"/>
    <col min="14" max="14" width="11.140625" hidden="1" customWidth="1"/>
    <col min="15" max="23" width="14.28515625" hidden="1" customWidth="1"/>
    <col min="24" max="24" width="11.140625" hidden="1" customWidth="1"/>
    <col min="25" max="25" width="12.140625" bestFit="1" customWidth="1"/>
    <col min="26" max="26" width="15.42578125" customWidth="1"/>
    <col min="27" max="27" width="13.42578125" customWidth="1"/>
    <col min="28" max="28" width="14.42578125" bestFit="1" customWidth="1"/>
    <col min="29" max="30" width="9.85546875" customWidth="1"/>
    <col min="31" max="32" width="9.85546875" hidden="1" customWidth="1"/>
    <col min="33" max="34" width="10.140625" hidden="1" customWidth="1"/>
    <col min="40" max="40" width="11.85546875" bestFit="1" customWidth="1"/>
    <col min="42" max="42" width="18.28515625" hidden="1" customWidth="1"/>
    <col min="43" max="43" width="12.7109375" hidden="1" customWidth="1"/>
    <col min="44" max="52" width="9.140625" hidden="1" customWidth="1"/>
    <col min="53" max="53" width="8" hidden="1" customWidth="1"/>
    <col min="54" max="57" width="13.28515625" hidden="1" customWidth="1"/>
    <col min="58" max="68" width="9.140625" hidden="1" customWidth="1"/>
    <col min="69" max="69" width="12.140625" hidden="1" customWidth="1"/>
    <col min="70" max="70" width="11.7109375" hidden="1" customWidth="1"/>
    <col min="71" max="71" width="12.140625" hidden="1" customWidth="1"/>
    <col min="72" max="72" width="14.42578125" hidden="1" customWidth="1"/>
    <col min="73" max="73" width="9.140625" hidden="1" customWidth="1"/>
    <col min="74" max="86" width="0" hidden="1" customWidth="1"/>
    <col min="87" max="87" width="26.42578125" hidden="1" customWidth="1"/>
    <col min="88" max="88" width="21.42578125" hidden="1" customWidth="1"/>
    <col min="89" max="89" width="20.42578125" hidden="1" customWidth="1"/>
    <col min="90" max="90" width="17" hidden="1" customWidth="1"/>
    <col min="91" max="92" width="0" hidden="1" customWidth="1"/>
    <col min="93" max="93" width="19.42578125" hidden="1" customWidth="1"/>
    <col min="94" max="94" width="10.42578125" hidden="1" customWidth="1"/>
    <col min="95" max="95" width="13" hidden="1" customWidth="1"/>
    <col min="96" max="96" width="10" hidden="1" customWidth="1"/>
    <col min="97" max="97" width="12.7109375" hidden="1" customWidth="1"/>
    <col min="98" max="100" width="0" hidden="1" customWidth="1"/>
  </cols>
  <sheetData>
    <row r="1" spans="3:100" ht="9.9499999999999993" customHeight="1" x14ac:dyDescent="0.25"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</row>
    <row r="2" spans="3:100" ht="9.9499999999999993" customHeight="1" x14ac:dyDescent="0.25">
      <c r="C2" s="45" t="s">
        <v>20</v>
      </c>
      <c r="M2" s="45" t="s">
        <v>20</v>
      </c>
      <c r="O2" s="46" t="e">
        <f>_xlfn.STDEV.S(Table29128[GP '[ml/g']])</f>
        <v>#DIV/0!</v>
      </c>
      <c r="P2" s="46" t="e">
        <f>_xlfn.STDEV.S(Table29128[SCFA '[mmol/g']])</f>
        <v>#DIV/0!</v>
      </c>
      <c r="Q2" s="46" t="e">
        <f>_xlfn.STDEV.S(Table29128[Acetate '[%']])</f>
        <v>#DIV/0!</v>
      </c>
      <c r="R2" s="46" t="e">
        <f>_xlfn.STDEV.S(Table29128[Propionate '[%']])</f>
        <v>#DIV/0!</v>
      </c>
      <c r="S2" s="46" t="e">
        <f>_xlfn.STDEV.S(Table29128[Butyrate '[%']])</f>
        <v>#DIV/0!</v>
      </c>
      <c r="T2" s="46" t="e">
        <f>_xlfn.STDEV.S(Table29128[Valerate '[%']])</f>
        <v>#DIV/0!</v>
      </c>
      <c r="U2" s="46" t="e">
        <f>_xlfn.STDEV.S(Table29128[Caproate '[%']])</f>
        <v>#DIV/0!</v>
      </c>
      <c r="V2" s="46" t="e">
        <f>_xlfn.STDEV.S(Table29128[Isobutyrate '[%']])</f>
        <v>#DIV/0!</v>
      </c>
      <c r="W2" s="46" t="e">
        <f>_xlfn.STDEV.S(Table29128[Isovalerate '[%']])</f>
        <v>#DIV/0!</v>
      </c>
      <c r="X2" s="46" t="e">
        <f>_xlfn.STDEV.S(Table29128[CH4 '[g/mmol SCFA']])</f>
        <v>#DIV/0!</v>
      </c>
      <c r="Y2" s="46" t="e">
        <f>_xlfn.STDEV.S(Table29128[DMD '[mg/g']])</f>
        <v>#REF!</v>
      </c>
      <c r="Z2" s="46" t="e">
        <f>_xlfn.STDEV.S(Table29128[CH4 '[ml/g']])</f>
        <v>#REF!</v>
      </c>
      <c r="AA2" s="46" t="e">
        <f>_xlfn.STDEV.S(Table29128[CH4 '[% GP']])</f>
        <v>#REF!</v>
      </c>
      <c r="AB2" s="46" t="e">
        <f>_xlfn.STDEV.S(Table29128[CH4 '[g/g DDM']])</f>
        <v>#REF!</v>
      </c>
      <c r="AC2" s="46"/>
      <c r="AD2" s="46"/>
      <c r="AE2" s="46">
        <f>_xlfn.STDEV.S(Table29128[APB])</f>
        <v>0</v>
      </c>
      <c r="AF2" s="46" t="e">
        <f>_xlfn.STDEV.S(Table29128[ch4/APB])</f>
        <v>#REF!</v>
      </c>
      <c r="AG2" s="46" t="e">
        <f>_xlfn.STDEV.S(Table29128[P/A])</f>
        <v>#DIV/0!</v>
      </c>
      <c r="AH2" s="46"/>
      <c r="AK2" t="s">
        <v>621</v>
      </c>
      <c r="CI2" t="s">
        <v>21</v>
      </c>
      <c r="CO2" s="47" t="s">
        <v>22</v>
      </c>
      <c r="CP2" s="48" t="s">
        <v>10</v>
      </c>
      <c r="CQ2" s="49" t="s">
        <v>11</v>
      </c>
      <c r="CR2" s="48" t="s">
        <v>12</v>
      </c>
      <c r="CS2" s="48" t="s">
        <v>13</v>
      </c>
    </row>
    <row r="3" spans="3:100" ht="9.9499999999999993" customHeight="1" x14ac:dyDescent="0.25">
      <c r="C3" s="45" t="s">
        <v>23</v>
      </c>
      <c r="M3" s="45" t="s">
        <v>23</v>
      </c>
      <c r="O3" s="46">
        <f>MIN(Table29128[GP '[ml/g']])</f>
        <v>0</v>
      </c>
      <c r="P3" s="46">
        <f>MIN(Table29128[SCFA '[mmol/g']])</f>
        <v>0</v>
      </c>
      <c r="Q3" s="46">
        <f>MIN(Table29128[Acetate '[%']])</f>
        <v>0</v>
      </c>
      <c r="R3" s="46">
        <f>MIN(Table29128[Propionate '[%']])</f>
        <v>0</v>
      </c>
      <c r="S3" s="46">
        <f>MIN(Table29128[Butyrate '[%']])</f>
        <v>0</v>
      </c>
      <c r="T3" s="46">
        <f>MIN(Table29128[Valerate '[%']])</f>
        <v>0</v>
      </c>
      <c r="U3" s="46">
        <f>MIN(Table29128[Caproate '[%']])</f>
        <v>0</v>
      </c>
      <c r="V3" s="46">
        <f>MIN(Table29128[Isobutyrate '[%']])</f>
        <v>0</v>
      </c>
      <c r="W3" s="46">
        <f>MIN(Table29128[Isovalerate '[%']])</f>
        <v>0</v>
      </c>
      <c r="X3" s="46">
        <f>MIN(Table29128[CH4 '[g/mmol SCFA']])</f>
        <v>0</v>
      </c>
      <c r="Y3" s="46" t="e">
        <f>MIN(Table29128[DMD '[mg/g']])</f>
        <v>#REF!</v>
      </c>
      <c r="Z3" s="46" t="e">
        <f>MIN(Table29128[CH4 '[ml/g']])</f>
        <v>#REF!</v>
      </c>
      <c r="AA3" s="46" t="e">
        <f>MIN(Table29128[CH4 '[% GP']])</f>
        <v>#REF!</v>
      </c>
      <c r="AB3" s="46" t="e">
        <f>MIN(Table29128[CH4 '[g/g DDM']])</f>
        <v>#REF!</v>
      </c>
      <c r="AC3" s="46"/>
      <c r="AD3" s="46"/>
      <c r="AE3" s="46">
        <f>MIN(Table29128[APB])</f>
        <v>0</v>
      </c>
      <c r="AF3" s="46" t="e">
        <f>MIN(Table29128[ch4/APB])</f>
        <v>#REF!</v>
      </c>
      <c r="AG3" s="46" t="e">
        <f>MIN(Table29128[P/A])</f>
        <v>#DIV/0!</v>
      </c>
      <c r="AH3" s="46"/>
      <c r="AK3" t="s">
        <v>622</v>
      </c>
      <c r="AX3" t="s">
        <v>24</v>
      </c>
      <c r="BA3" t="s">
        <v>25</v>
      </c>
      <c r="CI3" s="50" t="s">
        <v>26</v>
      </c>
      <c r="CJ3" s="48" t="s">
        <v>12</v>
      </c>
      <c r="CK3" s="49" t="s">
        <v>13</v>
      </c>
      <c r="CL3" s="48" t="s">
        <v>10</v>
      </c>
      <c r="CM3" s="48" t="s">
        <v>1</v>
      </c>
      <c r="CO3" s="48" t="s">
        <v>10</v>
      </c>
      <c r="CP3" s="51" t="e">
        <f>CORREL(INDEX(Table29128[[DMD '[mg/g']]:[CH4 '[g/g DDM']]],,MATCH(CP$2,Table29128[[#Headers],[DMD '[mg/g']]:[CH4 '[g/g DDM']]],0)),INDEX(Table29128[[DMD '[mg/g']]:[CH4 '[g/g DDM']]],,MATCH($CO3,Table29128[[#Headers],[DMD '[mg/g']]:[CH4 '[g/g DDM']]],0)))</f>
        <v>#REF!</v>
      </c>
      <c r="CQ3" s="51" t="e">
        <f>CORREL(INDEX(Table29128[[DMD '[mg/g']]:[CH4 '[g/g DDM']]],,MATCH(CQ$2,Table29128[[#Headers],[DMD '[mg/g']]:[CH4 '[g/g DDM']]],0)),INDEX(Table29128[[DMD '[mg/g']]:[CH4 '[g/g DDM']]],,MATCH($CO3,Table29128[[#Headers],[DMD '[mg/g']]:[CH4 '[g/g DDM']]],0)))</f>
        <v>#REF!</v>
      </c>
      <c r="CR3" s="51" t="e">
        <f>CORREL(INDEX(Table29128[[DMD '[mg/g']]:[CH4 '[g/g DDM']]],,MATCH(CR$2,Table29128[[#Headers],[DMD '[mg/g']]:[CH4 '[g/g DDM']]],0)),INDEX(Table29128[[DMD '[mg/g']]:[CH4 '[g/g DDM']]],,MATCH($CO3,Table29128[[#Headers],[DMD '[mg/g']]:[CH4 '[g/g DDM']]],0)))</f>
        <v>#REF!</v>
      </c>
      <c r="CS3" s="51" t="e">
        <f>CORREL(INDEX(Table29128[[DMD '[mg/g']]:[CH4 '[g/g DDM']]],,MATCH(CS$2,Table29128[[#Headers],[DMD '[mg/g']]:[CH4 '[g/g DDM']]],0)),INDEX(Table29128[[DMD '[mg/g']]:[CH4 '[g/g DDM']]],,MATCH($CO3,Table29128[[#Headers],[DMD '[mg/g']]:[CH4 '[g/g DDM']]],0)))</f>
        <v>#REF!</v>
      </c>
    </row>
    <row r="4" spans="3:100" ht="9.9499999999999993" customHeight="1" x14ac:dyDescent="0.25">
      <c r="C4" s="45" t="s">
        <v>27</v>
      </c>
      <c r="M4" s="45" t="s">
        <v>27</v>
      </c>
      <c r="O4" s="46">
        <f>MAX(Table29128[GP '[ml/g']])</f>
        <v>0</v>
      </c>
      <c r="P4" s="46">
        <f>MAX(Table29128[SCFA '[mmol/g']])</f>
        <v>0</v>
      </c>
      <c r="Q4" s="46">
        <f>MAX(Table29128[Acetate '[%']])</f>
        <v>0</v>
      </c>
      <c r="R4" s="46">
        <f>MAX(Table29128[Propionate '[%']])</f>
        <v>0</v>
      </c>
      <c r="S4" s="46">
        <f>MAX(Table29128[Butyrate '[%']])</f>
        <v>0</v>
      </c>
      <c r="T4" s="46">
        <f>MAX(Table29128[Valerate '[%']])</f>
        <v>0</v>
      </c>
      <c r="U4" s="46">
        <f>MAX(Table29128[Caproate '[%']])</f>
        <v>0</v>
      </c>
      <c r="V4" s="46">
        <f>MAX(Table29128[Isobutyrate '[%']])</f>
        <v>0</v>
      </c>
      <c r="W4" s="46">
        <f>MAX(Table29128[Isovalerate '[%']])</f>
        <v>0</v>
      </c>
      <c r="X4" s="46">
        <f>MAX(Table29128[CH4 '[g/mmol SCFA']])</f>
        <v>0</v>
      </c>
      <c r="Y4" s="46" t="e">
        <f>MAX(Table29128[DMD '[mg/g']])</f>
        <v>#REF!</v>
      </c>
      <c r="Z4" s="46" t="e">
        <f>MAX(Table29128[CH4 '[ml/g']])</f>
        <v>#REF!</v>
      </c>
      <c r="AA4" s="46" t="e">
        <f>MAX(Table29128[CH4 '[% GP']])</f>
        <v>#REF!</v>
      </c>
      <c r="AB4" s="46" t="e">
        <f>MAX(Table29128[CH4 '[g/g DDM']])</f>
        <v>#REF!</v>
      </c>
      <c r="AC4" s="46"/>
      <c r="AD4" s="46"/>
      <c r="AE4" s="46">
        <f>MAX(Table29128[APB])</f>
        <v>0</v>
      </c>
      <c r="AF4" s="46" t="e">
        <f>MAX(Table29128[ch4/APB])</f>
        <v>#REF!</v>
      </c>
      <c r="AG4" s="46" t="e">
        <f>MAX(Table29128[P/A])</f>
        <v>#DIV/0!</v>
      </c>
      <c r="AH4" s="46"/>
      <c r="AK4" t="s">
        <v>623</v>
      </c>
      <c r="AX4" t="s">
        <v>28</v>
      </c>
      <c r="AY4" s="199" t="s">
        <v>29</v>
      </c>
      <c r="AZ4" s="199"/>
      <c r="BA4" t="s">
        <v>30</v>
      </c>
      <c r="CI4" t="e" cm="1">
        <f t="array" ref="CI4">_xlfn._xlws.SORT(_xlfn.UNIQUE(_xlfn._xlws.FILTER(Table29128[Substrate],Table29128[Rank]&lt;AC15)))</f>
        <v>#REF!</v>
      </c>
      <c r="CJ4" t="e" cm="1">
        <f t="array" ref="CJ4">_xlfn.UNIQUE(_xlfn._xlws.FILTER(Table29128[Substrate],(Table29128[CH4 '[% GP']]&gt;0)*(Table29128[CH4 '[% GP']]&lt;Z10)))</f>
        <v>#REF!</v>
      </c>
      <c r="CK4" t="e" cm="1">
        <f t="array" ref="CK4">_xlfn.UNIQUE(_xlfn._xlws.FILTER(Table29128[Substrate],(Table29128[CH4 '[g/g DDM']]&gt;0)*(Table29128[CH4 '[g/g DDM']]&lt;AB10)))</f>
        <v>#REF!</v>
      </c>
      <c r="CL4" t="e" cm="1">
        <f t="array" ref="CL4">_xlfn.UNIQUE(_xlfn._xlws.FILTER(Table29128[Substrate],Table29128[DMD '[mg/g']]&gt;O10))</f>
        <v>#REF!</v>
      </c>
      <c r="CO4" s="49" t="s">
        <v>11</v>
      </c>
      <c r="CP4" s="51" t="e">
        <f>CORREL(INDEX(Table29128[[DMD '[mg/g']]:[CH4 '[g/g DDM']]],,MATCH(CP$2,Table29128[[#Headers],[DMD '[mg/g']]:[CH4 '[g/g DDM']]],0)),INDEX(Table29128[[DMD '[mg/g']]:[CH4 '[g/g DDM']]],,MATCH($CO4,Table29128[[#Headers],[DMD '[mg/g']]:[CH4 '[g/g DDM']]],0)))</f>
        <v>#REF!</v>
      </c>
      <c r="CQ4" s="51" t="e">
        <f>CORREL(INDEX(Table29128[[DMD '[mg/g']]:[CH4 '[g/g DDM']]],,MATCH(CQ$2,Table29128[[#Headers],[DMD '[mg/g']]:[CH4 '[g/g DDM']]],0)),INDEX(Table29128[[DMD '[mg/g']]:[CH4 '[g/g DDM']]],,MATCH($CO4,Table29128[[#Headers],[DMD '[mg/g']]:[CH4 '[g/g DDM']]],0)))</f>
        <v>#REF!</v>
      </c>
      <c r="CR4" s="51" t="e">
        <f>CORREL(INDEX(Table29128[[DMD '[mg/g']]:[CH4 '[g/g DDM']]],,MATCH(CR$2,Table29128[[#Headers],[DMD '[mg/g']]:[CH4 '[g/g DDM']]],0)),INDEX(Table29128[[DMD '[mg/g']]:[CH4 '[g/g DDM']]],,MATCH($CO4,Table29128[[#Headers],[DMD '[mg/g']]:[CH4 '[g/g DDM']]],0)))</f>
        <v>#REF!</v>
      </c>
      <c r="CS4" s="51" t="e">
        <f>CORREL(INDEX(Table29128[[DMD '[mg/g']]:[CH4 '[g/g DDM']]],,MATCH(CS$2,Table29128[[#Headers],[DMD '[mg/g']]:[CH4 '[g/g DDM']]],0)),INDEX(Table29128[[DMD '[mg/g']]:[CH4 '[g/g DDM']]],,MATCH($CO4,Table29128[[#Headers],[DMD '[mg/g']]:[CH4 '[g/g DDM']]],0)))</f>
        <v>#REF!</v>
      </c>
      <c r="CT4" s="51"/>
    </row>
    <row r="5" spans="3:100" ht="9.9499999999999993" customHeight="1" x14ac:dyDescent="0.25">
      <c r="C5" s="45" t="s">
        <v>31</v>
      </c>
      <c r="M5" s="45" t="s">
        <v>31</v>
      </c>
      <c r="O5" s="46" t="e">
        <f>MEDIAN(Table29128[GP '[ml/g']])</f>
        <v>#NUM!</v>
      </c>
      <c r="P5" s="46" t="e">
        <f>MEDIAN(Table29128[SCFA '[mmol/g']])</f>
        <v>#NUM!</v>
      </c>
      <c r="Q5" s="46" t="e">
        <f>MEDIAN(Table29128[Acetate '[%']])</f>
        <v>#NUM!</v>
      </c>
      <c r="R5" s="46" t="e">
        <f>MEDIAN(Table29128[Propionate '[%']])</f>
        <v>#NUM!</v>
      </c>
      <c r="S5" s="46" t="e">
        <f>MEDIAN(Table29128[Butyrate '[%']])</f>
        <v>#NUM!</v>
      </c>
      <c r="T5" s="46" t="e">
        <f>MEDIAN(Table29128[Valerate '[%']])</f>
        <v>#NUM!</v>
      </c>
      <c r="U5" s="46" t="e">
        <f>MEDIAN(Table29128[Caproate '[%']])</f>
        <v>#NUM!</v>
      </c>
      <c r="V5" s="46" t="e">
        <f>MEDIAN(Table29128[Isobutyrate '[%']])</f>
        <v>#NUM!</v>
      </c>
      <c r="W5" s="46" t="e">
        <f>MEDIAN(Table29128[Isovalerate '[%']])</f>
        <v>#NUM!</v>
      </c>
      <c r="X5" s="46" t="e">
        <f>MEDIAN(Table29128[CH4 '[g/mmol SCFA']])</f>
        <v>#NUM!</v>
      </c>
      <c r="Y5" s="46" t="e">
        <f>MEDIAN(Table29128[DMD '[mg/g']])</f>
        <v>#REF!</v>
      </c>
      <c r="Z5" s="46" t="e">
        <f>MEDIAN(Table29128[CH4 '[ml/g']])</f>
        <v>#REF!</v>
      </c>
      <c r="AA5" s="46" t="e">
        <f>MEDIAN(Table29128[CH4 '[% GP']])</f>
        <v>#REF!</v>
      </c>
      <c r="AB5" s="46" t="e">
        <f>MEDIAN(Table29128[CH4 '[g/g DDM']])</f>
        <v>#REF!</v>
      </c>
      <c r="AC5" s="46"/>
      <c r="AD5" s="46"/>
      <c r="AE5" s="46">
        <f>MEDIAN(Table29128[APB])</f>
        <v>0</v>
      </c>
      <c r="AF5" s="46" t="e">
        <f>MEDIAN(Table29128[ch4/APB])</f>
        <v>#REF!</v>
      </c>
      <c r="AG5" s="46" t="e">
        <f>MEDIAN(Table29128[P/A])</f>
        <v>#DIV/0!</v>
      </c>
      <c r="AH5" s="46"/>
      <c r="AW5" s="52" t="s">
        <v>32</v>
      </c>
      <c r="AX5">
        <v>20</v>
      </c>
      <c r="AY5">
        <v>0</v>
      </c>
      <c r="AZ5" s="16">
        <v>15</v>
      </c>
      <c r="BA5">
        <v>900</v>
      </c>
      <c r="BD5" s="53"/>
      <c r="CO5" s="48" t="s">
        <v>12</v>
      </c>
      <c r="CP5" s="51" t="e">
        <f>CORREL(INDEX(Table29128[[DMD '[mg/g']]:[CH4 '[g/g DDM']]],,MATCH(CP$2,Table29128[[#Headers],[DMD '[mg/g']]:[CH4 '[g/g DDM']]],0)),INDEX(Table29128[[DMD '[mg/g']]:[CH4 '[g/g DDM']]],,MATCH($CO5,Table29128[[#Headers],[DMD '[mg/g']]:[CH4 '[g/g DDM']]],0)))</f>
        <v>#REF!</v>
      </c>
      <c r="CQ5" s="51" t="e">
        <f>CORREL(INDEX(Table29128[[DMD '[mg/g']]:[CH4 '[g/g DDM']]],,MATCH(CQ$2,Table29128[[#Headers],[DMD '[mg/g']]:[CH4 '[g/g DDM']]],0)),INDEX(Table29128[[DMD '[mg/g']]:[CH4 '[g/g DDM']]],,MATCH($CO5,Table29128[[#Headers],[DMD '[mg/g']]:[CH4 '[g/g DDM']]],0)))</f>
        <v>#REF!</v>
      </c>
      <c r="CR5" s="51" t="e">
        <f>CORREL(INDEX(Table29128[[DMD '[mg/g']]:[CH4 '[g/g DDM']]],,MATCH(CR$2,Table29128[[#Headers],[DMD '[mg/g']]:[CH4 '[g/g DDM']]],0)),INDEX(Table29128[[DMD '[mg/g']]:[CH4 '[g/g DDM']]],,MATCH($CO5,Table29128[[#Headers],[DMD '[mg/g']]:[CH4 '[g/g DDM']]],0)))</f>
        <v>#REF!</v>
      </c>
      <c r="CS5" s="51" t="e">
        <f>CORREL(INDEX(Table29128[[DMD '[mg/g']]:[CH4 '[g/g DDM']]],,MATCH(CS$2,Table29128[[#Headers],[DMD '[mg/g']]:[CH4 '[g/g DDM']]],0)),INDEX(Table29128[[DMD '[mg/g']]:[CH4 '[g/g DDM']]],,MATCH($CO5,Table29128[[#Headers],[DMD '[mg/g']]:[CH4 '[g/g DDM']]],0)))</f>
        <v>#REF!</v>
      </c>
      <c r="CT5" s="51"/>
    </row>
    <row r="6" spans="3:100" ht="9.9499999999999993" customHeight="1" x14ac:dyDescent="0.25">
      <c r="C6" s="45" t="s">
        <v>33</v>
      </c>
      <c r="M6" s="45" t="s">
        <v>33</v>
      </c>
      <c r="O6" s="54" t="e">
        <f>AVERAGE(Table29128[GP '[ml/g']])</f>
        <v>#DIV/0!</v>
      </c>
      <c r="P6" s="54" t="e">
        <f>AVERAGE(Table29128[SCFA '[mmol/g']])</f>
        <v>#DIV/0!</v>
      </c>
      <c r="Q6" s="54" t="e">
        <f>AVERAGE(Table29128[Acetate '[%']])</f>
        <v>#DIV/0!</v>
      </c>
      <c r="R6" s="54" t="e">
        <f>AVERAGE(Table29128[Propionate '[%']])</f>
        <v>#DIV/0!</v>
      </c>
      <c r="S6" s="54" t="e">
        <f>AVERAGE(Table29128[Butyrate '[%']])</f>
        <v>#DIV/0!</v>
      </c>
      <c r="T6" s="54" t="e">
        <f>AVERAGE(Table29128[Valerate '[%']])</f>
        <v>#DIV/0!</v>
      </c>
      <c r="U6" s="54" t="e">
        <f>AVERAGE(Table29128[Caproate '[%']])</f>
        <v>#DIV/0!</v>
      </c>
      <c r="V6" s="54" t="e">
        <f>AVERAGE(Table29128[Isobutyrate '[%']])</f>
        <v>#DIV/0!</v>
      </c>
      <c r="W6" s="54" t="e">
        <f>AVERAGE(Table29128[Isovalerate '[%']])</f>
        <v>#DIV/0!</v>
      </c>
      <c r="X6" s="54" t="e">
        <f>AVERAGE(Table29128[CH4 '[g/mmol SCFA']])</f>
        <v>#DIV/0!</v>
      </c>
      <c r="Y6" s="54" t="e">
        <f>AVERAGE(Table29128[DMD '[mg/g']])</f>
        <v>#REF!</v>
      </c>
      <c r="Z6" s="54" t="e">
        <f>AVERAGE(Table29128[CH4 '[ml/g']])</f>
        <v>#REF!</v>
      </c>
      <c r="AA6" s="54" t="e">
        <f>AVERAGE(Table29128[CH4 '[% GP']])</f>
        <v>#REF!</v>
      </c>
      <c r="AB6" s="54" t="e">
        <f>AVERAGE(Table29128[CH4 '[g/g DDM']])</f>
        <v>#REF!</v>
      </c>
      <c r="AC6" s="54"/>
      <c r="AD6" s="54"/>
      <c r="AE6" s="54">
        <f>AVERAGE(Table29128[APB])</f>
        <v>0</v>
      </c>
      <c r="AF6" s="54" t="e">
        <f>AVERAGE(Table29128[ch4/APB])</f>
        <v>#REF!</v>
      </c>
      <c r="AG6" s="54" t="e">
        <f>AVERAGE(Table29128[P/A])</f>
        <v>#DIV/0!</v>
      </c>
      <c r="AH6" s="54"/>
      <c r="AW6" t="s">
        <v>34</v>
      </c>
      <c r="AX6">
        <v>20</v>
      </c>
      <c r="AY6">
        <v>15</v>
      </c>
      <c r="AZ6" s="16">
        <v>20</v>
      </c>
      <c r="BA6">
        <v>750</v>
      </c>
      <c r="CO6" s="48" t="s">
        <v>13</v>
      </c>
      <c r="CP6" s="51" t="e">
        <f>CORREL(INDEX(Table29128[[DMD '[mg/g']]:[CH4 '[g/g DDM']]],,MATCH(CP$2,Table29128[[#Headers],[DMD '[mg/g']]:[CH4 '[g/g DDM']]],0)),INDEX(Table29128[[DMD '[mg/g']]:[CH4 '[g/g DDM']]],,MATCH($CO6,Table29128[[#Headers],[DMD '[mg/g']]:[CH4 '[g/g DDM']]],0)))</f>
        <v>#REF!</v>
      </c>
      <c r="CQ6" s="51" t="e">
        <f>CORREL(INDEX(Table29128[[DMD '[mg/g']]:[CH4 '[g/g DDM']]],,MATCH(CQ$2,Table29128[[#Headers],[DMD '[mg/g']]:[CH4 '[g/g DDM']]],0)),INDEX(Table29128[[DMD '[mg/g']]:[CH4 '[g/g DDM']]],,MATCH($CO6,Table29128[[#Headers],[DMD '[mg/g']]:[CH4 '[g/g DDM']]],0)))</f>
        <v>#REF!</v>
      </c>
      <c r="CR6" s="51" t="e">
        <f>CORREL(INDEX(Table29128[[DMD '[mg/g']]:[CH4 '[g/g DDM']]],,MATCH(CR$2,Table29128[[#Headers],[DMD '[mg/g']]:[CH4 '[g/g DDM']]],0)),INDEX(Table29128[[DMD '[mg/g']]:[CH4 '[g/g DDM']]],,MATCH($CO6,Table29128[[#Headers],[DMD '[mg/g']]:[CH4 '[g/g DDM']]],0)))</f>
        <v>#REF!</v>
      </c>
      <c r="CS6" s="51" t="e">
        <f>CORREL(INDEX(Table29128[[DMD '[mg/g']]:[CH4 '[g/g DDM']]],,MATCH(CS$2,Table29128[[#Headers],[DMD '[mg/g']]:[CH4 '[g/g DDM']]],0)),INDEX(Table29128[[DMD '[mg/g']]:[CH4 '[g/g DDM']]],,MATCH($CO6,Table29128[[#Headers],[DMD '[mg/g']]:[CH4 '[g/g DDM']]],0)))</f>
        <v>#REF!</v>
      </c>
      <c r="CT6" s="51"/>
    </row>
    <row r="7" spans="3:100" ht="9.9499999999999993" customHeight="1" x14ac:dyDescent="0.25">
      <c r="C7" s="45" t="s">
        <v>35</v>
      </c>
      <c r="M7" s="45" t="s">
        <v>35</v>
      </c>
      <c r="O7" s="55">
        <f>COUNT(Table29128[GP '[ml/g']])</f>
        <v>0</v>
      </c>
      <c r="P7" s="55">
        <f>COUNT(Table29128[SCFA '[mmol/g']])</f>
        <v>0</v>
      </c>
      <c r="Q7" s="55">
        <f>COUNT(Table29128[Acetate '[%']])</f>
        <v>0</v>
      </c>
      <c r="R7" s="55">
        <f>COUNT(Table29128[Propionate '[%']])</f>
        <v>0</v>
      </c>
      <c r="S7" s="55">
        <f>COUNT(Table29128[Butyrate '[%']])</f>
        <v>0</v>
      </c>
      <c r="T7" s="55">
        <f>COUNT(Table29128[Valerate '[%']])</f>
        <v>0</v>
      </c>
      <c r="U7" s="55">
        <f>COUNT(Table29128[Caproate '[%']])</f>
        <v>0</v>
      </c>
      <c r="V7" s="55">
        <f>COUNT(Table29128[Isobutyrate '[%']])</f>
        <v>0</v>
      </c>
      <c r="W7" s="55">
        <f>COUNT(Table29128[Isovalerate '[%']])</f>
        <v>0</v>
      </c>
      <c r="X7" s="55">
        <f>COUNT(Table29128[CH4 '[g/mmol SCFA']])</f>
        <v>0</v>
      </c>
      <c r="Y7" s="55">
        <f>COUNT(Table29128[DMD '[mg/g']])</f>
        <v>0</v>
      </c>
      <c r="Z7" s="55">
        <f>COUNT(Table29128[CH4 '[ml/g']])</f>
        <v>0</v>
      </c>
      <c r="AA7" s="55">
        <f>COUNT(Table29128[CH4 '[% GP']])</f>
        <v>0</v>
      </c>
      <c r="AB7" s="55">
        <f>COUNT(Table29128[CH4 '[g/g DDM']])</f>
        <v>0</v>
      </c>
      <c r="AC7" s="55"/>
      <c r="AD7" s="55"/>
      <c r="AE7" s="55">
        <f>COUNT(Table29128[APB])</f>
        <v>172</v>
      </c>
      <c r="AF7" s="55">
        <f>COUNT(Table29128[ch4/APB])</f>
        <v>0</v>
      </c>
      <c r="AG7" s="55">
        <f>COUNT(Table29128[P/A])</f>
        <v>0</v>
      </c>
      <c r="AH7" s="55"/>
    </row>
    <row r="8" spans="3:100" ht="9.9499999999999993" customHeight="1" thickBot="1" x14ac:dyDescent="0.3">
      <c r="C8" s="45" t="s">
        <v>36</v>
      </c>
      <c r="M8" s="45" t="s">
        <v>36</v>
      </c>
      <c r="O8" s="46" t="e">
        <f>_xlfn.VAR.S(Table29128[GP '[ml/g']])</f>
        <v>#DIV/0!</v>
      </c>
      <c r="P8" s="46" t="e">
        <f>_xlfn.VAR.S(Table29128[SCFA '[mmol/g']])</f>
        <v>#DIV/0!</v>
      </c>
      <c r="Q8" s="46" t="e">
        <f>_xlfn.VAR.S(Table29128[Acetate '[%']])</f>
        <v>#DIV/0!</v>
      </c>
      <c r="R8" s="46" t="e">
        <f>_xlfn.VAR.S(Table29128[Propionate '[%']])</f>
        <v>#DIV/0!</v>
      </c>
      <c r="S8" s="46" t="e">
        <f>_xlfn.VAR.S(Table29128[Butyrate '[%']])</f>
        <v>#DIV/0!</v>
      </c>
      <c r="T8" s="46" t="e">
        <f>_xlfn.VAR.S(Table29128[Valerate '[%']])</f>
        <v>#DIV/0!</v>
      </c>
      <c r="U8" s="46" t="e">
        <f>_xlfn.VAR.S(Table29128[Caproate '[%']])</f>
        <v>#DIV/0!</v>
      </c>
      <c r="V8" s="46" t="e">
        <f>_xlfn.VAR.S(Table29128[Isobutyrate '[%']])</f>
        <v>#DIV/0!</v>
      </c>
      <c r="W8" s="46" t="e">
        <f>_xlfn.VAR.S(Table29128[Isovalerate '[%']])</f>
        <v>#DIV/0!</v>
      </c>
      <c r="X8" s="46" t="e">
        <f>_xlfn.VAR.S(Table29128[CH4 '[g/mmol SCFA']])</f>
        <v>#DIV/0!</v>
      </c>
      <c r="Y8" s="46" t="e">
        <f>_xlfn.VAR.S(Table29128[DMD '[mg/g']])</f>
        <v>#REF!</v>
      </c>
      <c r="Z8" s="46" t="e">
        <f>_xlfn.VAR.S(Table29128[CH4 '[ml/g']])</f>
        <v>#REF!</v>
      </c>
      <c r="AA8" s="46" t="e">
        <f>_xlfn.VAR.S(Table29128[CH4 '[% GP']])</f>
        <v>#REF!</v>
      </c>
      <c r="AB8" s="46" t="e">
        <f>_xlfn.VAR.S(Table29128[CH4 '[g/g DDM']])</f>
        <v>#REF!</v>
      </c>
      <c r="AC8" s="46"/>
      <c r="AD8" s="46"/>
      <c r="AE8" s="46">
        <f>_xlfn.VAR.S(Table29128[APB])</f>
        <v>0</v>
      </c>
      <c r="AF8" s="46" t="e">
        <f>_xlfn.VAR.S(Table29128[ch4/APB])</f>
        <v>#REF!</v>
      </c>
      <c r="AG8" s="46" t="e">
        <f>_xlfn.VAR.S(Table29128[P/A])</f>
        <v>#DIV/0!</v>
      </c>
      <c r="AH8" s="46"/>
      <c r="CO8" s="56" t="s">
        <v>37</v>
      </c>
      <c r="CP8" s="48" t="s">
        <v>10</v>
      </c>
      <c r="CQ8" s="48" t="s">
        <v>13</v>
      </c>
      <c r="CR8" s="48" t="s">
        <v>12</v>
      </c>
      <c r="CS8" s="49" t="s">
        <v>11</v>
      </c>
    </row>
    <row r="9" spans="3:100" ht="9.9499999999999993" customHeight="1" x14ac:dyDescent="0.25">
      <c r="C9" s="12"/>
      <c r="M9" s="12"/>
      <c r="AK9" s="57" t="s">
        <v>10</v>
      </c>
      <c r="AL9" s="58" t="s">
        <v>11</v>
      </c>
      <c r="AM9" s="58" t="s">
        <v>12</v>
      </c>
      <c r="AN9" s="58" t="s">
        <v>13</v>
      </c>
      <c r="BD9" s="53"/>
      <c r="CO9" s="48" t="s">
        <v>10</v>
      </c>
      <c r="CP9" s="51" t="e">
        <f>_xlfn.COVARIANCE.S(INDEX(Table29128[[DMD '[mg/g']]:[CH4 '[g/g DDM']]],,MATCH(CP$8,Table29128[[#Headers],[DMD '[mg/g']]:[CH4 '[g/g DDM']]],0)),INDEX(Table29128[[DMD '[mg/g']]:[CH4 '[g/g DDM']]],,MATCH($CO9,Table29128[[#Headers],[DMD '[mg/g']]:[CH4 '[g/g DDM']]],0)))</f>
        <v>#REF!</v>
      </c>
      <c r="CQ9" s="51" t="e">
        <f>_xlfn.COVARIANCE.S(INDEX(Table29128[[DMD '[mg/g']]:[CH4 '[g/g DDM']]],,MATCH(CQ$8,Table29128[[#Headers],[DMD '[mg/g']]:[CH4 '[g/g DDM']]],0)),INDEX(Table29128[[DMD '[mg/g']]:[CH4 '[g/g DDM']]],,MATCH($CO9,Table29128[[#Headers],[DMD '[mg/g']]:[CH4 '[g/g DDM']]],0)))</f>
        <v>#REF!</v>
      </c>
      <c r="CR9" s="51" t="e">
        <f>_xlfn.COVARIANCE.S(INDEX(Table29128[[DMD '[mg/g']]:[CH4 '[g/g DDM']]],,MATCH(CR$8,Table29128[[#Headers],[DMD '[mg/g']]:[CH4 '[g/g DDM']]],0)),INDEX(Table29128[[DMD '[mg/g']]:[CH4 '[g/g DDM']]],,MATCH($CO9,Table29128[[#Headers],[DMD '[mg/g']]:[CH4 '[g/g DDM']]],0)))</f>
        <v>#REF!</v>
      </c>
      <c r="CS9" s="51" t="e">
        <f>_xlfn.COVARIANCE.S(INDEX(Table29128[[DMD '[mg/g']]:[CH4 '[g/g DDM']]],,MATCH(CS$8,Table29128[[#Headers],[DMD '[mg/g']]:[CH4 '[g/g DDM']]],0)),INDEX(Table29128[[DMD '[mg/g']]:[CH4 '[g/g DDM']]],,MATCH($CO9,Table29128[[#Headers],[DMD '[mg/g']]:[CH4 '[g/g DDM']]],0)))</f>
        <v>#REF!</v>
      </c>
    </row>
    <row r="10" spans="3:100" ht="9.9499999999999993" customHeight="1" x14ac:dyDescent="0.25">
      <c r="C10" s="45" t="s">
        <v>38</v>
      </c>
      <c r="M10" s="45" t="s">
        <v>38</v>
      </c>
      <c r="O10" s="46" t="str">
        <f t="shared" ref="O10:AB10" si="0">IFERROR(O6+O11,"")</f>
        <v/>
      </c>
      <c r="P10" s="46" t="str">
        <f t="shared" si="0"/>
        <v/>
      </c>
      <c r="Q10" s="46" t="str">
        <f t="shared" si="0"/>
        <v/>
      </c>
      <c r="R10" s="46" t="str">
        <f t="shared" si="0"/>
        <v/>
      </c>
      <c r="S10" s="46" t="str">
        <f t="shared" si="0"/>
        <v/>
      </c>
      <c r="T10" s="46" t="str">
        <f t="shared" si="0"/>
        <v/>
      </c>
      <c r="U10" s="46" t="str">
        <f t="shared" si="0"/>
        <v/>
      </c>
      <c r="V10" s="46" t="str">
        <f t="shared" si="0"/>
        <v/>
      </c>
      <c r="W10" s="46" t="str">
        <f t="shared" si="0"/>
        <v/>
      </c>
      <c r="X10" s="46" t="str">
        <f t="shared" si="0"/>
        <v/>
      </c>
      <c r="Y10" s="46" t="str">
        <f t="shared" si="0"/>
        <v/>
      </c>
      <c r="Z10" s="46" t="str">
        <f t="shared" si="0"/>
        <v/>
      </c>
      <c r="AA10" s="46" t="str">
        <f t="shared" si="0"/>
        <v/>
      </c>
      <c r="AB10" s="46" t="str">
        <f t="shared" si="0"/>
        <v/>
      </c>
      <c r="AC10" s="46"/>
      <c r="AD10" s="46" t="str">
        <f t="shared" ref="AD10:AG10" si="1">IFERROR(AD6+AD11,"")</f>
        <v/>
      </c>
      <c r="AE10" s="46">
        <f t="shared" si="1"/>
        <v>0</v>
      </c>
      <c r="AF10" s="46" t="str">
        <f t="shared" si="1"/>
        <v/>
      </c>
      <c r="AG10" s="46" t="str">
        <f t="shared" si="1"/>
        <v/>
      </c>
      <c r="AH10" s="46"/>
      <c r="AI10" s="51"/>
      <c r="AJ10" s="51"/>
      <c r="AK10" s="59" t="e">
        <f>Y6</f>
        <v>#REF!</v>
      </c>
      <c r="AL10" s="59" t="e">
        <f>Z6</f>
        <v>#REF!</v>
      </c>
      <c r="AM10" s="59" t="e">
        <f t="shared" ref="AM10:AN10" si="2">AA6</f>
        <v>#REF!</v>
      </c>
      <c r="AN10" s="59" t="e">
        <f t="shared" si="2"/>
        <v>#REF!</v>
      </c>
      <c r="CO10" s="48" t="s">
        <v>13</v>
      </c>
      <c r="CP10" s="51" t="e">
        <f>_xlfn.COVARIANCE.S(INDEX(Table29128[[DMD '[mg/g']]:[CH4 '[g/g DDM']]],,MATCH(CP$8,Table29128[[#Headers],[DMD '[mg/g']]:[CH4 '[g/g DDM']]],0)),INDEX(Table29128[[DMD '[mg/g']]:[CH4 '[g/g DDM']]],,MATCH($CO10,Table29128[[#Headers],[DMD '[mg/g']]:[CH4 '[g/g DDM']]],0)))</f>
        <v>#REF!</v>
      </c>
      <c r="CQ10" s="51" t="e">
        <f>_xlfn.COVARIANCE.S(INDEX(Table29128[[DMD '[mg/g']]:[CH4 '[g/g DDM']]],,MATCH(CQ$8,Table29128[[#Headers],[DMD '[mg/g']]:[CH4 '[g/g DDM']]],0)),INDEX(Table29128[[DMD '[mg/g']]:[CH4 '[g/g DDM']]],,MATCH($CO10,Table29128[[#Headers],[DMD '[mg/g']]:[CH4 '[g/g DDM']]],0)))</f>
        <v>#REF!</v>
      </c>
      <c r="CR10" s="51" t="e">
        <f>_xlfn.COVARIANCE.S(INDEX(Table29128[[DMD '[mg/g']]:[CH4 '[g/g DDM']]],,MATCH(CR$8,Table29128[[#Headers],[DMD '[mg/g']]:[CH4 '[g/g DDM']]],0)),INDEX(Table29128[[DMD '[mg/g']]:[CH4 '[g/g DDM']]],,MATCH($CO10,Table29128[[#Headers],[DMD '[mg/g']]:[CH4 '[g/g DDM']]],0)))</f>
        <v>#REF!</v>
      </c>
      <c r="CS10" s="51" t="e">
        <f>_xlfn.COVARIANCE.S(INDEX(Table29128[[DMD '[mg/g']]:[CH4 '[g/g DDM']]],,MATCH(CS$8,Table29128[[#Headers],[DMD '[mg/g']]:[CH4 '[g/g DDM']]],0)),INDEX(Table29128[[DMD '[mg/g']]:[CH4 '[g/g DDM']]],,MATCH($CO10,Table29128[[#Headers],[DMD '[mg/g']]:[CH4 '[g/g DDM']]],0)))</f>
        <v>#REF!</v>
      </c>
    </row>
    <row r="11" spans="3:100" ht="9.9499999999999993" customHeight="1" x14ac:dyDescent="0.25">
      <c r="C11" s="45" t="s">
        <v>39</v>
      </c>
      <c r="M11" s="45" t="s">
        <v>39</v>
      </c>
      <c r="N11" s="51" t="str">
        <f t="shared" ref="N11:AB11" si="3">IFERROR(N13*N2*IF(N14="&lt;",-1,IF(N14="&gt;",1,"")),"")</f>
        <v/>
      </c>
      <c r="O11" s="46" t="str">
        <f t="shared" si="3"/>
        <v/>
      </c>
      <c r="P11" s="46" t="str">
        <f t="shared" si="3"/>
        <v/>
      </c>
      <c r="Q11" s="46" t="str">
        <f t="shared" si="3"/>
        <v/>
      </c>
      <c r="R11" s="46" t="str">
        <f t="shared" si="3"/>
        <v/>
      </c>
      <c r="S11" s="46" t="str">
        <f t="shared" si="3"/>
        <v/>
      </c>
      <c r="T11" s="46" t="str">
        <f t="shared" si="3"/>
        <v/>
      </c>
      <c r="U11" s="46" t="str">
        <f t="shared" si="3"/>
        <v/>
      </c>
      <c r="V11" s="46" t="str">
        <f t="shared" si="3"/>
        <v/>
      </c>
      <c r="W11" s="46" t="str">
        <f t="shared" si="3"/>
        <v/>
      </c>
      <c r="X11" s="46" t="str">
        <f t="shared" si="3"/>
        <v/>
      </c>
      <c r="Y11" s="46" t="str">
        <f t="shared" si="3"/>
        <v/>
      </c>
      <c r="Z11" s="46" t="str">
        <f t="shared" si="3"/>
        <v/>
      </c>
      <c r="AA11" s="46" t="str">
        <f t="shared" si="3"/>
        <v/>
      </c>
      <c r="AB11" s="46" t="str">
        <f t="shared" si="3"/>
        <v/>
      </c>
      <c r="AC11" s="46"/>
      <c r="AD11" s="46" t="str">
        <f>IFERROR(AD13*AD2*IF(AD14="&lt;",-1,IF(AD14="&gt;",1,"")),"")</f>
        <v/>
      </c>
      <c r="AE11" s="46">
        <f>IFERROR(AE13*AE2*IF(AE14="&lt;",-1,IF(AE14="&gt;",1,"")),"")</f>
        <v>0</v>
      </c>
      <c r="AF11" s="46" t="str">
        <f>IFERROR(AF13*AF2*IF(AF14="&lt;",-1,IF(AF14="&gt;",1,"")),"")</f>
        <v/>
      </c>
      <c r="AG11" s="46" t="str">
        <f>IFERROR(AG13*AG2*IF(AG14="&lt;",-1,IF(AG14="&gt;",1,"")),"")</f>
        <v/>
      </c>
      <c r="AH11" s="46"/>
      <c r="AI11" s="51"/>
      <c r="AJ11" s="60" t="s">
        <v>624</v>
      </c>
      <c r="AK11" s="61">
        <v>0.1</v>
      </c>
      <c r="AL11" s="61">
        <v>0.1</v>
      </c>
      <c r="AM11" s="61">
        <v>0.1</v>
      </c>
      <c r="AN11" s="61">
        <v>0.1</v>
      </c>
      <c r="CO11" s="48" t="s">
        <v>12</v>
      </c>
      <c r="CP11" s="51" t="e">
        <f>_xlfn.COVARIANCE.S(INDEX(Table29128[[DMD '[mg/g']]:[CH4 '[g/g DDM']]],,MATCH(CP$8,Table29128[[#Headers],[DMD '[mg/g']]:[CH4 '[g/g DDM']]],0)),INDEX(Table29128[[DMD '[mg/g']]:[CH4 '[g/g DDM']]],,MATCH($CO11,Table29128[[#Headers],[DMD '[mg/g']]:[CH4 '[g/g DDM']]],0)))</f>
        <v>#REF!</v>
      </c>
      <c r="CQ11" s="51" t="e">
        <f>_xlfn.COVARIANCE.S(INDEX(Table29128[[DMD '[mg/g']]:[CH4 '[g/g DDM']]],,MATCH(CQ$8,Table29128[[#Headers],[DMD '[mg/g']]:[CH4 '[g/g DDM']]],0)),INDEX(Table29128[[DMD '[mg/g']]:[CH4 '[g/g DDM']]],,MATCH($CO11,Table29128[[#Headers],[DMD '[mg/g']]:[CH4 '[g/g DDM']]],0)))</f>
        <v>#REF!</v>
      </c>
      <c r="CR11" s="51" t="e">
        <f>_xlfn.COVARIANCE.S(INDEX(Table29128[[DMD '[mg/g']]:[CH4 '[g/g DDM']]],,MATCH(CR$8,Table29128[[#Headers],[DMD '[mg/g']]:[CH4 '[g/g DDM']]],0)),INDEX(Table29128[[DMD '[mg/g']]:[CH4 '[g/g DDM']]],,MATCH($CO11,Table29128[[#Headers],[DMD '[mg/g']]:[CH4 '[g/g DDM']]],0)))</f>
        <v>#REF!</v>
      </c>
      <c r="CS11" s="51" t="e">
        <f>_xlfn.COVARIANCE.S(INDEX(Table29128[[DMD '[mg/g']]:[CH4 '[g/g DDM']]],,MATCH(CS$8,Table29128[[#Headers],[DMD '[mg/g']]:[CH4 '[g/g DDM']]],0)),INDEX(Table29128[[DMD '[mg/g']]:[CH4 '[g/g DDM']]],,MATCH($CO11,Table29128[[#Headers],[DMD '[mg/g']]:[CH4 '[g/g DDM']]],0)))</f>
        <v>#REF!</v>
      </c>
    </row>
    <row r="12" spans="3:100" ht="9.9499999999999993" customHeight="1" x14ac:dyDescent="0.25">
      <c r="AB12" s="51"/>
      <c r="AJ12" s="62" t="s">
        <v>41</v>
      </c>
      <c r="AK12" s="63">
        <f>COUNT(Y20:Y191)*AK11</f>
        <v>0</v>
      </c>
      <c r="AL12" s="62">
        <f>COUNT(Z20:Z191)*AL11</f>
        <v>0</v>
      </c>
      <c r="AM12" s="62">
        <f>COUNT(AA20:AA533)*AM11</f>
        <v>0</v>
      </c>
      <c r="AN12" s="63">
        <f>COUNT(AB20:AB533)*AN11</f>
        <v>0</v>
      </c>
      <c r="CO12" s="48" t="s">
        <v>13</v>
      </c>
      <c r="CP12" s="51" t="e">
        <f>_xlfn.COVARIANCE.S(INDEX(Table29128[[DMD '[mg/g']]:[CH4 '[g/g DDM']]],,MATCH(CP$8,Table29128[[#Headers],[DMD '[mg/g']]:[CH4 '[g/g DDM']]],0)),INDEX(Table29128[[DMD '[mg/g']]:[CH4 '[g/g DDM']]],,MATCH($CO12,Table29128[[#Headers],[DMD '[mg/g']]:[CH4 '[g/g DDM']]],0)))</f>
        <v>#REF!</v>
      </c>
      <c r="CQ12" s="51" t="e">
        <f>_xlfn.COVARIANCE.S(INDEX(Table29128[[DMD '[mg/g']]:[CH4 '[g/g DDM']]],,MATCH(CQ$8,Table29128[[#Headers],[DMD '[mg/g']]:[CH4 '[g/g DDM']]],0)),INDEX(Table29128[[DMD '[mg/g']]:[CH4 '[g/g DDM']]],,MATCH($CO12,Table29128[[#Headers],[DMD '[mg/g']]:[CH4 '[g/g DDM']]],0)))</f>
        <v>#REF!</v>
      </c>
      <c r="CR12" s="51" t="e">
        <f>_xlfn.COVARIANCE.S(INDEX(Table29128[[DMD '[mg/g']]:[CH4 '[g/g DDM']]],,MATCH(CR$8,Table29128[[#Headers],[DMD '[mg/g']]:[CH4 '[g/g DDM']]],0)),INDEX(Table29128[[DMD '[mg/g']]:[CH4 '[g/g DDM']]],,MATCH($CO12,Table29128[[#Headers],[DMD '[mg/g']]:[CH4 '[g/g DDM']]],0)))</f>
        <v>#REF!</v>
      </c>
      <c r="CS12" s="51" t="e">
        <f>_xlfn.COVARIANCE.S(INDEX(Table29128[[DMD '[mg/g']]:[CH4 '[g/g DDM']]],,MATCH(CS$8,Table29128[[#Headers],[DMD '[mg/g']]:[CH4 '[g/g DDM']]],0)),INDEX(Table29128[[DMD '[mg/g']]:[CH4 '[g/g DDM']]],,MATCH($CO12,Table29128[[#Headers],[DMD '[mg/g']]:[CH4 '[g/g DDM']]],0)))</f>
        <v>#REF!</v>
      </c>
    </row>
    <row r="13" spans="3:100" ht="9.9499999999999993" customHeight="1" x14ac:dyDescent="0.25">
      <c r="C13" s="64" t="s">
        <v>42</v>
      </c>
      <c r="M13" s="64" t="s">
        <v>42</v>
      </c>
      <c r="O13" s="65">
        <v>1</v>
      </c>
      <c r="P13" s="65">
        <v>1</v>
      </c>
      <c r="Q13" s="65">
        <v>1</v>
      </c>
      <c r="R13" s="65">
        <v>1</v>
      </c>
      <c r="S13" s="65">
        <v>1</v>
      </c>
      <c r="T13" s="65">
        <v>1</v>
      </c>
      <c r="U13" s="65">
        <v>1</v>
      </c>
      <c r="V13" s="65">
        <v>1</v>
      </c>
      <c r="W13" s="65">
        <v>1</v>
      </c>
      <c r="X13" s="65">
        <v>1</v>
      </c>
      <c r="Y13" s="65">
        <v>1</v>
      </c>
      <c r="Z13" s="65">
        <v>1</v>
      </c>
      <c r="AA13" s="65">
        <v>1</v>
      </c>
      <c r="AB13" s="66">
        <v>1</v>
      </c>
      <c r="AC13" s="67">
        <v>0.05</v>
      </c>
      <c r="AE13" s="66">
        <v>4</v>
      </c>
      <c r="AF13" s="66">
        <v>4</v>
      </c>
      <c r="AG13" s="66">
        <v>4</v>
      </c>
      <c r="AH13" s="66"/>
      <c r="AJ13" s="68" t="s">
        <v>33</v>
      </c>
      <c r="AK13" s="69" t="e" cm="1">
        <f t="array" ref="AK13">AVERAGE(_xlfn._xlws.FILTER(Y$20:Y$534,Y$20:Y$534&gt;SMALL(Y$20:Y$534,COUNT(Y$20:Y$534)*AK$11)))</f>
        <v>#REF!</v>
      </c>
      <c r="AL13" s="69" t="e" cm="1">
        <f t="array" ref="AL13">AVERAGE(_xlfn._xlws.FILTER(Z$20:Z$534,Z$20:Z$534&lt;=LARGE(Z$20:Z$534,COUNT(Z$20:Z$534)*AL$11)))</f>
        <v>#REF!</v>
      </c>
      <c r="AM13" s="69" t="e" cm="1">
        <f t="array" ref="AM13">AVERAGE(_xlfn._xlws.FILTER(AA$20:AA$534,AA$20:AA$534&lt;=LARGE(AA$20:AA$534,COUNT(AA$20:AA$534)*AM$11)))</f>
        <v>#REF!</v>
      </c>
      <c r="AN13" s="69" t="e" cm="1">
        <f t="array" ref="AN13">AVERAGE(_xlfn._xlws.FILTER(AB$20:AB$534,AB$20:AB$534&lt;=LARGE(AB$20:AB$534,COUNT(AB$20:AB$534)*AN$11)))</f>
        <v>#REF!</v>
      </c>
      <c r="BD13" s="70"/>
    </row>
    <row r="14" spans="3:100" ht="9.9499999999999993" customHeight="1" x14ac:dyDescent="0.25">
      <c r="C14" s="64" t="s">
        <v>43</v>
      </c>
      <c r="I14" t="s">
        <v>44</v>
      </c>
      <c r="M14" s="64" t="s">
        <v>43</v>
      </c>
      <c r="O14" s="66" t="s">
        <v>24</v>
      </c>
      <c r="P14" s="66" t="s">
        <v>24</v>
      </c>
      <c r="Q14" s="66" t="s">
        <v>24</v>
      </c>
      <c r="R14" s="66" t="s">
        <v>24</v>
      </c>
      <c r="S14" s="66" t="s">
        <v>24</v>
      </c>
      <c r="T14" s="66" t="s">
        <v>24</v>
      </c>
      <c r="U14" s="66" t="s">
        <v>24</v>
      </c>
      <c r="V14" s="66" t="s">
        <v>24</v>
      </c>
      <c r="W14" s="66" t="s">
        <v>24</v>
      </c>
      <c r="X14" s="66" t="s">
        <v>24</v>
      </c>
      <c r="Y14" s="66" t="s">
        <v>25</v>
      </c>
      <c r="Z14" s="66" t="s">
        <v>24</v>
      </c>
      <c r="AA14" s="66" t="s">
        <v>24</v>
      </c>
      <c r="AB14" s="66" t="s">
        <v>24</v>
      </c>
      <c r="AC14" s="71"/>
      <c r="AE14" s="66" t="s">
        <v>24</v>
      </c>
      <c r="AF14" s="66" t="s">
        <v>24</v>
      </c>
      <c r="AG14" s="66" t="s">
        <v>24</v>
      </c>
      <c r="AH14" s="66"/>
      <c r="AJ14" s="62" t="s">
        <v>45</v>
      </c>
      <c r="AK14" s="72" t="e" cm="1">
        <f t="array" ref="AK14">AVERAGE(_xlfn._xlws.FILTER(Y$20:Y$191,Y$20:Y$191=SMALL(Y$20:Y$191,COUNT(Y$20:Y$191)*AK$11)))</f>
        <v>#REF!</v>
      </c>
      <c r="AL14" s="72" t="e" cm="1">
        <f t="array" ref="AL14">AVERAGE(_xlfn._xlws.FILTER(Z$20:Z$191,Z$20:Z$191=LARGE(Z$20:Z$191,COUNT(Z$20:Z$191)*AL$11)))</f>
        <v>#REF!</v>
      </c>
      <c r="AM14" s="72" t="e" cm="1">
        <f t="array" ref="AM14">AVERAGE(_xlfn._xlws.FILTER(AA$20:AA$191,AA$20:AA$191=LARGE(AA$20:AA$191,COUNT(AA$20:AA$191)*AM$11)))</f>
        <v>#REF!</v>
      </c>
      <c r="AN14" s="72" t="e" cm="1">
        <f t="array" ref="AN14">AVERAGE(_xlfn._xlws.FILTER(AB$20:AB$191,AB$20:AB$191=LARGE(AB$20:AB$191,COUNT(AB$20:AB$191)*AN$11)))</f>
        <v>#REF!</v>
      </c>
      <c r="AP14" t="e">
        <f>SMALL(AN$20:AN$191,COUNT(AN$20:AN$191)*AN$16)</f>
        <v>#REF!</v>
      </c>
      <c r="AQ14" t="e">
        <f>SMALL(AK$20:AK$191,$AK$12)</f>
        <v>#REF!</v>
      </c>
      <c r="AR14" t="e">
        <f>LARGE($Y$20:$Y$191,$AK$17)</f>
        <v>#REF!</v>
      </c>
      <c r="CO14" s="73" t="s">
        <v>46</v>
      </c>
      <c r="CP14" s="74" t="str">
        <f>INDEX(O11:AC19,1,MATCH(CP8,Table29128[[#Headers],[GP '[ml/g']]:[CH4 '[g/g DDM']]],0))</f>
        <v/>
      </c>
      <c r="CQ14" s="74" t="str">
        <f>INDEX($O$11:$AB$16,1,MATCH(CQ8,Table29128[[#Headers],[GP '[ml/g']]:[CH4 '[g/g DDM']]],0))</f>
        <v/>
      </c>
      <c r="CR14" s="74" t="str">
        <f>INDEX($O$11:$AB$16,1,MATCH(CR8,Table29128[[#Headers],[GP '[ml/g']]:[CH4 '[g/g DDM']]],0))</f>
        <v/>
      </c>
      <c r="CS14" s="74" t="str">
        <f>INDEX($O$11:$AB$16,1,MATCH(CS8,Table29128[[#Headers],[GP '[ml/g']]:[CH4 '[g/g DDM']]],0))</f>
        <v/>
      </c>
      <c r="CU14">
        <f>MATCH(CP8,Table29128[[#Headers],[DMD '[mg/g']]:[Index]],0)</f>
        <v>1</v>
      </c>
      <c r="CV14">
        <f>MATCH(CQ8,Table29128[[#Headers],[DMD '[mg/g']]:[Index]],0)</f>
        <v>4</v>
      </c>
    </row>
    <row r="15" spans="3:100" ht="9.9499999999999993" customHeight="1" x14ac:dyDescent="0.25">
      <c r="C15" s="64" t="s">
        <v>47</v>
      </c>
      <c r="I15" t="s">
        <v>48</v>
      </c>
      <c r="M15" s="64" t="s">
        <v>47</v>
      </c>
      <c r="O15" s="75">
        <f>COUNTIF(Table29128[GP '[ml/g']],O14&amp;O10)</f>
        <v>0</v>
      </c>
      <c r="P15" s="75">
        <f>COUNTIF(Table29128[SCFA '[mmol/g']],P14&amp;P10)</f>
        <v>0</v>
      </c>
      <c r="Q15" s="75">
        <f>COUNTIF(Table29128[Acetate '[%']],Q14&amp;Q10)</f>
        <v>0</v>
      </c>
      <c r="R15" s="75">
        <f>COUNTIF(Table29128[Propionate '[%']],R14&amp;R10)</f>
        <v>0</v>
      </c>
      <c r="S15" s="75">
        <f>COUNTIF(Table29128[Butyrate '[%']],S14&amp;S10)</f>
        <v>0</v>
      </c>
      <c r="T15" s="75">
        <f>COUNTIF(Table29128[Valerate '[%']],T14&amp;T10)</f>
        <v>0</v>
      </c>
      <c r="U15" s="75">
        <f>COUNTIF(Table29128[Caproate '[%']],U14&amp;U10)</f>
        <v>0</v>
      </c>
      <c r="V15" s="75">
        <f>COUNTIF(Table29128[Isobutyrate '[%']],V14&amp;V10)</f>
        <v>0</v>
      </c>
      <c r="W15" s="75">
        <f>COUNTIF(Table29128[Isovalerate '[%']],W14&amp;W10)</f>
        <v>0</v>
      </c>
      <c r="X15" s="75">
        <f>COUNTIF(Table29128[CH4 '[g/mmol SCFA']],X14&amp;X10)</f>
        <v>0</v>
      </c>
      <c r="Y15" s="75">
        <f>COUNTIF(Table29128[DMD '[mg/g']],Y14&amp;Y10)</f>
        <v>0</v>
      </c>
      <c r="Z15" s="75">
        <f>COUNTIF(Table29128[CH4 '[ml/g']],Z14&amp;Z10)</f>
        <v>0</v>
      </c>
      <c r="AA15" s="75">
        <f>COUNTIF(Table29128[CH4 '[% GP']],AA14&amp;AA10)</f>
        <v>0</v>
      </c>
      <c r="AB15" s="75">
        <f>COUNTIF(Table29128[CH4 '[g/g DDM']],AB14&amp;AB10)</f>
        <v>0</v>
      </c>
      <c r="AC15" s="75">
        <f>COUNTIF(Table29128[Index],AC14&amp;AC10)</f>
        <v>0</v>
      </c>
      <c r="AD15" s="75">
        <f>COUNTIF(Table29128[Rank],AD14&amp;AD10)</f>
        <v>0</v>
      </c>
      <c r="AE15" s="75">
        <f>COUNTIF(Table29128[APB],AE14&amp;AE10)</f>
        <v>0</v>
      </c>
      <c r="AF15" s="75">
        <f>COUNTIF(Table29128[ch4/APB],AF14&amp;AF10)</f>
        <v>0</v>
      </c>
      <c r="AG15" s="75">
        <f>COUNTIF(Table29128[P/A],AG14&amp;AG10)</f>
        <v>0</v>
      </c>
      <c r="AH15" s="75"/>
      <c r="AJ15" s="62" t="s">
        <v>49</v>
      </c>
      <c r="AK15" s="76" t="e" cm="1">
        <f t="array" ref="AK15">AVERAGE(_xlfn._xlws.FILTER(Y20:Y191,Y20:Y191&lt;=SMALL(Y20:Y191,COUNT(Y20:Y191)*AK11)))</f>
        <v>#REF!</v>
      </c>
      <c r="AL15" s="76" t="e" cm="1">
        <f t="array" ref="AL15">AVERAGE(_xlfn._xlws.FILTER(Z20:Z191,Z20:Z191&gt;LARGE(Z20:Z191,COUNT(Z20:Z191)*AL11)))</f>
        <v>#REF!</v>
      </c>
      <c r="AM15" s="76" t="e" cm="1">
        <f t="array" ref="AM15">AVERAGE(_xlfn._xlws.FILTER(AA20:AA191,AA20:AA191&gt;LARGE(AA20:AA191,COUNT(AA20:AA191)*AM11)))</f>
        <v>#REF!</v>
      </c>
      <c r="AN15" s="76" t="e" cm="1">
        <f t="array" ref="AN15">AVERAGE(_xlfn._xlws.FILTER(AB20:AB191,AB20:AB191&gt;LARGE(AB20:AB191,COUNT(AB20:AB191)*AN11)))</f>
        <v>#REF!</v>
      </c>
      <c r="CO15" s="50" t="s">
        <v>26</v>
      </c>
      <c r="CP15" s="77" t="e" cm="1">
        <f t="array" ref="CP15">MMULT(CP14:CS14,MINVERSE(CP9:CS12))</f>
        <v>#REF!</v>
      </c>
      <c r="CQ15" s="77"/>
      <c r="CR15" s="77"/>
      <c r="CS15" s="77"/>
    </row>
    <row r="16" spans="3:100" ht="9.9499999999999993" customHeight="1" x14ac:dyDescent="0.25">
      <c r="C16" s="64" t="s">
        <v>50</v>
      </c>
      <c r="I16" t="s">
        <v>51</v>
      </c>
      <c r="M16" s="64" t="s">
        <v>50</v>
      </c>
      <c r="O16" s="54" t="e">
        <f>AVERAGEIF(Table29128[GP '[ml/g']],O14&amp;O10)</f>
        <v>#DIV/0!</v>
      </c>
      <c r="P16" s="54" t="e">
        <f>AVERAGEIF(Table29128[SCFA '[mmol/g']],P14&amp;P10)</f>
        <v>#DIV/0!</v>
      </c>
      <c r="Q16" s="54" t="e">
        <f>AVERAGEIF(Table29128[Acetate '[%']],Q14&amp;Q10)</f>
        <v>#DIV/0!</v>
      </c>
      <c r="R16" s="54" t="e">
        <f>AVERAGEIF(Table29128[Propionate '[%']],R14&amp;R10)</f>
        <v>#DIV/0!</v>
      </c>
      <c r="S16" s="54" t="e">
        <f>AVERAGEIF(Table29128[Butyrate '[%']],S14&amp;S10)</f>
        <v>#DIV/0!</v>
      </c>
      <c r="T16" s="54" t="e">
        <f>AVERAGEIF(Table29128[Valerate '[%']],T14&amp;T10)</f>
        <v>#DIV/0!</v>
      </c>
      <c r="U16" s="54" t="e">
        <f>AVERAGEIF(Table29128[Caproate '[%']],U14&amp;U10)</f>
        <v>#DIV/0!</v>
      </c>
      <c r="V16" s="54" t="e">
        <f>AVERAGEIF(Table29128[Isobutyrate '[%']],V14&amp;V10)</f>
        <v>#DIV/0!</v>
      </c>
      <c r="W16" s="54" t="e">
        <f>AVERAGEIF(Table29128[Isovalerate '[%']],W14&amp;W10)</f>
        <v>#DIV/0!</v>
      </c>
      <c r="X16" s="54" t="e">
        <f>AVERAGEIF(Table29128[CH4 '[g/mmol SCFA']],X14&amp;X10)</f>
        <v>#DIV/0!</v>
      </c>
      <c r="Y16" s="54" t="e">
        <f>AVERAGEIF(Table29128[DMD '[mg/g']],Y14&amp;Y10)</f>
        <v>#DIV/0!</v>
      </c>
      <c r="Z16" s="54" t="e">
        <f>AVERAGEIF(Table29128[CH4 '[ml/g']],Z14&amp;Z10)</f>
        <v>#DIV/0!</v>
      </c>
      <c r="AA16" s="54" t="e">
        <f>AVERAGEIF(Table29128[CH4 '[% GP']],AA14&amp;AA10)</f>
        <v>#DIV/0!</v>
      </c>
      <c r="AB16" s="54" t="e">
        <f>AVERAGEIF(Table29128[CH4 '[g/g DDM']],AB14&amp;AB10)</f>
        <v>#DIV/0!</v>
      </c>
      <c r="AC16" s="78"/>
      <c r="AD16" s="78"/>
      <c r="AE16" s="78"/>
      <c r="AF16" s="78"/>
      <c r="AG16" s="78"/>
      <c r="AH16" s="78"/>
      <c r="AK16" s="133"/>
      <c r="AL16" s="79"/>
      <c r="AM16" s="79"/>
      <c r="AN16" s="134">
        <v>0.1</v>
      </c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CO16" s="81"/>
      <c r="CP16" s="80" t="e" cm="1">
        <f t="array" ref="CP16">MMULT(CP14:CR14,MINVERSE(CP9:CR11))</f>
        <v>#REF!</v>
      </c>
      <c r="CQ16" s="80"/>
      <c r="CR16" s="80"/>
      <c r="CS16" s="51"/>
    </row>
    <row r="17" spans="1:97" ht="9.9499999999999993" customHeight="1" x14ac:dyDescent="0.25">
      <c r="I17" t="s">
        <v>52</v>
      </c>
      <c r="AK17">
        <v>10</v>
      </c>
      <c r="AL17">
        <v>10</v>
      </c>
      <c r="AM17">
        <v>10</v>
      </c>
      <c r="AN17">
        <v>10</v>
      </c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CO17" s="81"/>
      <c r="CP17" s="80" t="e" cm="1">
        <f t="array" ref="CP17">MMULT(CP14:CQ14,MINVERSE(CP9:CQ10))</f>
        <v>#REF!</v>
      </c>
      <c r="CQ17" s="80"/>
      <c r="CR17" s="51"/>
      <c r="CS17" s="51"/>
    </row>
    <row r="18" spans="1:97" ht="17.25" customHeight="1" x14ac:dyDescent="0.25">
      <c r="Y18" s="151"/>
      <c r="AA18" s="151"/>
      <c r="AB18" s="151"/>
      <c r="BG18" s="80"/>
      <c r="BH18" s="80"/>
      <c r="BI18" s="80"/>
      <c r="BJ18" s="80"/>
      <c r="BK18" s="80"/>
      <c r="BL18" s="80"/>
      <c r="BM18" s="80"/>
      <c r="BN18" s="80"/>
      <c r="BO18" s="80"/>
      <c r="BP18" s="80"/>
      <c r="BQ18" s="80"/>
      <c r="BR18" s="80"/>
      <c r="BS18" s="80"/>
      <c r="BT18" s="80"/>
      <c r="CR18" s="51"/>
      <c r="CS18" s="51"/>
    </row>
    <row r="19" spans="1:97" x14ac:dyDescent="0.25">
      <c r="A19" s="82" t="s">
        <v>53</v>
      </c>
      <c r="B19" s="82" t="s">
        <v>54</v>
      </c>
      <c r="C19" s="82" t="s">
        <v>55</v>
      </c>
      <c r="D19" s="82" t="s">
        <v>56</v>
      </c>
      <c r="E19" s="82" t="s">
        <v>57</v>
      </c>
      <c r="F19" s="82" t="s">
        <v>58</v>
      </c>
      <c r="G19" s="83" t="s">
        <v>59</v>
      </c>
      <c r="H19" s="83" t="s">
        <v>60</v>
      </c>
      <c r="I19" s="84" t="s">
        <v>61</v>
      </c>
      <c r="J19" s="84" t="s">
        <v>62</v>
      </c>
      <c r="K19" s="84" t="s">
        <v>625</v>
      </c>
      <c r="L19" s="84" t="s">
        <v>626</v>
      </c>
      <c r="M19" s="82" t="s">
        <v>63</v>
      </c>
      <c r="N19" s="82" t="s">
        <v>64</v>
      </c>
      <c r="O19" s="82" t="s">
        <v>0</v>
      </c>
      <c r="P19" s="85" t="s">
        <v>1</v>
      </c>
      <c r="Q19" s="82" t="s">
        <v>2</v>
      </c>
      <c r="R19" s="82" t="s">
        <v>3</v>
      </c>
      <c r="S19" s="82" t="s">
        <v>4</v>
      </c>
      <c r="T19" s="82" t="s">
        <v>5</v>
      </c>
      <c r="U19" s="82" t="s">
        <v>6</v>
      </c>
      <c r="V19" s="82" t="s">
        <v>7</v>
      </c>
      <c r="W19" s="82" t="s">
        <v>8</v>
      </c>
      <c r="X19" s="82" t="s">
        <v>9</v>
      </c>
      <c r="Y19" s="86" t="s">
        <v>10</v>
      </c>
      <c r="Z19" s="82" t="s">
        <v>11</v>
      </c>
      <c r="AA19" s="86" t="s">
        <v>12</v>
      </c>
      <c r="AB19" s="86" t="s">
        <v>13</v>
      </c>
      <c r="AC19" s="87" t="s">
        <v>65</v>
      </c>
      <c r="AD19" s="87" t="s">
        <v>66</v>
      </c>
      <c r="AE19" s="87" t="s">
        <v>67</v>
      </c>
      <c r="AF19" s="87" t="s">
        <v>68</v>
      </c>
      <c r="AG19" s="87" t="s">
        <v>69</v>
      </c>
      <c r="AH19" s="87" t="s">
        <v>17</v>
      </c>
      <c r="AI19" s="12"/>
      <c r="AJ19" s="12"/>
      <c r="AK19" s="12"/>
      <c r="AL19" s="12"/>
      <c r="AM19" s="12"/>
      <c r="AN19" s="12"/>
      <c r="AO19" s="12"/>
      <c r="AP19" s="12"/>
      <c r="AR19" s="88" t="s">
        <v>0</v>
      </c>
      <c r="AS19" s="88" t="s">
        <v>1</v>
      </c>
      <c r="AT19" s="88" t="s">
        <v>2</v>
      </c>
      <c r="AU19" s="88" t="s">
        <v>3</v>
      </c>
      <c r="AV19" s="88" t="s">
        <v>4</v>
      </c>
      <c r="AW19" s="88" t="s">
        <v>5</v>
      </c>
      <c r="AX19" s="88" t="s">
        <v>6</v>
      </c>
      <c r="AY19" s="88" t="s">
        <v>7</v>
      </c>
      <c r="AZ19" s="88" t="s">
        <v>8</v>
      </c>
      <c r="BA19" s="88" t="s">
        <v>9</v>
      </c>
      <c r="BB19" s="89" t="s">
        <v>10</v>
      </c>
      <c r="BC19" s="89" t="s">
        <v>11</v>
      </c>
      <c r="BD19" s="89" t="s">
        <v>12</v>
      </c>
      <c r="BE19" s="90" t="s">
        <v>13</v>
      </c>
      <c r="BG19" s="91" t="s">
        <v>0</v>
      </c>
      <c r="BH19" s="92" t="s">
        <v>1</v>
      </c>
      <c r="BI19" s="92" t="s">
        <v>2</v>
      </c>
      <c r="BJ19" s="92" t="s">
        <v>3</v>
      </c>
      <c r="BK19" s="92" t="s">
        <v>4</v>
      </c>
      <c r="BL19" s="92" t="s">
        <v>5</v>
      </c>
      <c r="BM19" s="92" t="s">
        <v>6</v>
      </c>
      <c r="BN19" s="92" t="s">
        <v>7</v>
      </c>
      <c r="BO19" s="92" t="s">
        <v>8</v>
      </c>
      <c r="BP19" s="92" t="s">
        <v>9</v>
      </c>
      <c r="BQ19" s="93" t="s">
        <v>10</v>
      </c>
      <c r="BR19" s="93" t="s">
        <v>11</v>
      </c>
      <c r="BS19" s="94" t="s">
        <v>12</v>
      </c>
      <c r="BT19" s="95" t="s">
        <v>13</v>
      </c>
      <c r="CR19" s="51"/>
    </row>
    <row r="20" spans="1:97" x14ac:dyDescent="0.25">
      <c r="A20" s="12" t="s">
        <v>86</v>
      </c>
      <c r="B20" s="13">
        <v>1044</v>
      </c>
      <c r="C20" s="104" t="s">
        <v>284</v>
      </c>
      <c r="D20" s="104" t="s">
        <v>285</v>
      </c>
      <c r="E20" s="104" t="s">
        <v>286</v>
      </c>
      <c r="F20" s="104" t="s">
        <v>287</v>
      </c>
      <c r="G20" s="23" t="s">
        <v>73</v>
      </c>
      <c r="H20" s="23" t="s">
        <v>74</v>
      </c>
      <c r="I20" s="99" t="s">
        <v>75</v>
      </c>
      <c r="J20" s="100">
        <v>1</v>
      </c>
      <c r="K20" s="100"/>
      <c r="L20" s="100"/>
      <c r="M20" t="s">
        <v>287</v>
      </c>
      <c r="N20" t="s">
        <v>84</v>
      </c>
      <c r="O20" s="18"/>
      <c r="P20" s="18"/>
      <c r="Q20" s="97"/>
      <c r="R20" s="97"/>
      <c r="S20" s="97"/>
      <c r="T20" s="97"/>
      <c r="U20" s="97"/>
      <c r="V20" s="97"/>
      <c r="W20" s="97"/>
      <c r="X20" s="51"/>
      <c r="Y20" s="18" t="e">
        <f>AVERAGEIFS([1]!Table2912[DMD '[mg/g']],[1]!Table2912[Substrate ID],Table29128[[#This Row],[Substrate ID]])</f>
        <v>#REF!</v>
      </c>
      <c r="Z20" s="18" t="e">
        <f>AVERAGEIFS([1]!Table2912[CH4 '[ml/g']],[1]!Table2912[Substrate ID],Table29128[[#This Row],[Substrate ID]])</f>
        <v>#REF!</v>
      </c>
      <c r="AA20" s="18" t="e">
        <f>AVERAGEIFS([1]!Table2912[CH4 '[% GP']],[1]!Table2912[Substrate ID],Table29128[[#This Row],[Substrate ID]])</f>
        <v>#REF!</v>
      </c>
      <c r="AB20" s="18" t="e">
        <f>AVERAGEIFS([1]!Table2912[CH4 '[g/g DDM']],[1]!Table2912[Substrate ID],Table29128[[#This Row],[Substrate ID]])</f>
        <v>#REF!</v>
      </c>
      <c r="AC20" s="18" t="e">
        <f>$CP$17*Table29128[[#This Row],[DMD '[mg/g']]]+$CQ$17*Table29128[[#This Row],[CH4 '[g/g DDM']]]</f>
        <v>#REF!</v>
      </c>
      <c r="AD20" s="18" t="e">
        <f>_xlfn.RANK.AVG(Table29128[[#This Row],[Index]],Table29128[Index])</f>
        <v>#REF!</v>
      </c>
      <c r="AE20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20" s="18" t="e">
        <f>Table29128[[#This Row],[CH4 '[ml/g']]]/Table29128[[#This Row],[APB]]</f>
        <v>#REF!</v>
      </c>
      <c r="AG20" s="18" t="e">
        <f>Table29128[[#This Row],[Propionate '[%']]]/Table29128[[#This Row],[Acetate '[%']]]</f>
        <v>#DIV/0!</v>
      </c>
      <c r="AH20" s="51"/>
      <c r="AI20" s="18"/>
      <c r="AJ20" s="18"/>
      <c r="AK20" s="135" t="e">
        <f>(Y20-AK$15)/AK$15%</f>
        <v>#REF!</v>
      </c>
      <c r="AL20" s="135"/>
      <c r="AM20" s="135" t="e">
        <f>(AA20-AM$15)/AM$15%</f>
        <v>#REF!</v>
      </c>
      <c r="AN20" s="135" t="e">
        <f>(AB20-AN$15)/AN$15%</f>
        <v>#REF!</v>
      </c>
      <c r="AR20" t="e">
        <f>_xlfn.NORM.DIST(Table29128[[#This Row],[GP '[ml/g']]],O$6,O$2,FALSE)</f>
        <v>#DIV/0!</v>
      </c>
      <c r="AS20" t="e">
        <f>_xlfn.NORM.DIST(Table29128[[#This Row],[SCFA '[mmol/g']]],P$6,P$2,FALSE)</f>
        <v>#DIV/0!</v>
      </c>
      <c r="AT20" t="e">
        <f>_xlfn.NORM.DIST(Table29128[[#This Row],[Acetate '[%']]],Q$6,Q$2,FALSE)</f>
        <v>#DIV/0!</v>
      </c>
      <c r="AU20" t="e">
        <f>_xlfn.NORM.DIST(Table29128[[#This Row],[Propionate '[%']]],R$6,R$2,FALSE)</f>
        <v>#DIV/0!</v>
      </c>
      <c r="AV20" t="e">
        <f>_xlfn.NORM.DIST(Table29128[[#This Row],[Butyrate '[%']]],S$6,S$2,FALSE)</f>
        <v>#DIV/0!</v>
      </c>
      <c r="AW20" t="e">
        <f>_xlfn.NORM.DIST(Table29128[[#This Row],[Valerate '[%']]],T$6,T$2,FALSE)</f>
        <v>#DIV/0!</v>
      </c>
      <c r="AX20" t="e">
        <f>_xlfn.NORM.DIST(Table29128[[#This Row],[Caproate '[%']]],U$6,U$2,FALSE)</f>
        <v>#DIV/0!</v>
      </c>
      <c r="AY20" t="e">
        <f>_xlfn.NORM.DIST(Table29128[[#This Row],[Isobutyrate '[%']]],V$6,V$2,FALSE)</f>
        <v>#DIV/0!</v>
      </c>
      <c r="AZ20" t="e">
        <f>_xlfn.NORM.DIST(Table29128[[#This Row],[Isovalerate '[%']]],W$6,W$2,FALSE)</f>
        <v>#DIV/0!</v>
      </c>
      <c r="BA20" t="e">
        <f>_xlfn.NORM.DIST(Table29128[[#This Row],[CH4 '[g/mmol SCFA']]],X$6,X$2,FALSE)</f>
        <v>#DIV/0!</v>
      </c>
      <c r="BB20" t="e">
        <f>_xlfn.NORM.DIST(Table29128[[#This Row],[DMD '[mg/g']]],Y$6,Y$2,FALSE)</f>
        <v>#REF!</v>
      </c>
      <c r="BC20" t="e">
        <f>_xlfn.NORM.DIST(Table29128[[#This Row],[CH4 '[ml/g']]],Z$6,Z$2,FALSE)</f>
        <v>#REF!</v>
      </c>
      <c r="BD20" t="e">
        <f>_xlfn.NORM.DIST(Table29128[[#This Row],[CH4 '[% GP']]],AA$6,AA$2,FALSE)</f>
        <v>#REF!</v>
      </c>
      <c r="BE20" t="e">
        <f>_xlfn.NORM.DIST(Table29128[[#This Row],[CH4 '[g/g DDM']]],AB$6,AB$2,FALSE)</f>
        <v>#REF!</v>
      </c>
      <c r="BG20">
        <f>IF(Table29128[[#This Row],[GP '[ml/g']]]&lt;O$10,_xlfn.NORM.DIST(Table29128[[#This Row],[GP '[ml/g']]],O$6,O$2,FALSE),-100)</f>
        <v>-100</v>
      </c>
      <c r="BH20">
        <f>IF(Table29128[[#This Row],[SCFA '[mmol/g']]]&lt;P$10,_xlfn.NORM.DIST(Table29128[[#This Row],[SCFA '[mmol/g']]],P$6,P$2,FALSE),-100)</f>
        <v>-100</v>
      </c>
      <c r="BI20">
        <f>IF(Table29128[[#This Row],[Acetate '[%']]]&lt;Q$10,_xlfn.NORM.DIST(Table29128[[#This Row],[Acetate '[%']]],Q$6,Q$2,FALSE),-100)</f>
        <v>-100</v>
      </c>
      <c r="BJ20">
        <f>IF(Table29128[[#This Row],[Propionate '[%']]]&lt;R$10,_xlfn.NORM.DIST(Table29128[[#This Row],[Propionate '[%']]],R$6,R$2,FALSE),-100)</f>
        <v>-100</v>
      </c>
      <c r="BK20">
        <f>IF(Table29128[[#This Row],[Butyrate '[%']]]&lt;S$10,_xlfn.NORM.DIST(Table29128[[#This Row],[Butyrate '[%']]],S$6,S$2,FALSE),-100)</f>
        <v>-100</v>
      </c>
      <c r="BL20">
        <f>IF(Table29128[[#This Row],[Valerate '[%']]]&lt;T$10,_xlfn.NORM.DIST(Table29128[[#This Row],[Valerate '[%']]],T$6,T$2,FALSE),-100)</f>
        <v>-100</v>
      </c>
      <c r="BM20">
        <f>IF(Table29128[[#This Row],[Caproate '[%']]]&lt;U$10,_xlfn.NORM.DIST(Table29128[[#This Row],[Caproate '[%']]],U$6,U$2,FALSE),-100)</f>
        <v>-100</v>
      </c>
      <c r="BN20">
        <f>IF(Table29128[[#This Row],[Isobutyrate '[%']]]&lt;V$10,_xlfn.NORM.DIST(Table29128[[#This Row],[Isobutyrate '[%']]],V$6,V$2,FALSE),-100)</f>
        <v>-100</v>
      </c>
      <c r="BO20">
        <f>IF(Table29128[[#This Row],[Isovalerate '[%']]]&lt;W$10,_xlfn.NORM.DIST(Table29128[[#This Row],[Isovalerate '[%']]],W$6,W$2,FALSE),-100)</f>
        <v>-100</v>
      </c>
      <c r="BP20">
        <f>IF(Table29128[[#This Row],[CH4 '[g/mmol SCFA']]]&lt;X$10,_xlfn.NORM.DIST(Table29128[[#This Row],[CH4 '[g/mmol SCFA']]],X$6,X$2,FALSE),-100)</f>
        <v>-100</v>
      </c>
      <c r="BQ20" t="e">
        <f>IF(Table29128[[#This Row],[DMD '[mg/g']]]&gt;Y$10,_xlfn.NORM.DIST(Table29128[[#This Row],[DMD '[mg/g']]],Y$6,Y$2,FALSE),-100)</f>
        <v>#REF!</v>
      </c>
      <c r="BR20" t="e">
        <f>IF(Table29128[[#This Row],[CH4 '[ml/g']]]&lt;Z$10,_xlfn.NORM.DIST(Table29128[[#This Row],[CH4 '[ml/g']]],Z$6,Z$2,FALSE),-100)</f>
        <v>#REF!</v>
      </c>
      <c r="BS20" t="e">
        <f>IF(Table29128[[#This Row],[CH4 '[% GP']]]&lt;AA$10,_xlfn.NORM.DIST(Table29128[[#This Row],[CH4 '[% GP']]],AA$6,AA$2,FALSE),-100)</f>
        <v>#REF!</v>
      </c>
      <c r="BT20" t="e">
        <f>IF(Table29128[[#This Row],[CH4 '[g/g DDM']]]&lt;AB$10,_xlfn.NORM.DIST(Table29128[[#This Row],[CH4 '[g/g DDM']]],AB$6,AB$2,FALSE),-100)</f>
        <v>#REF!</v>
      </c>
      <c r="CP20" s="136">
        <v>17703.362162464684</v>
      </c>
      <c r="CQ20" s="136">
        <v>133.83192302647447</v>
      </c>
      <c r="CR20" s="136">
        <v>89.878691537874957</v>
      </c>
      <c r="CS20" s="136">
        <v>990.02043305824668</v>
      </c>
    </row>
    <row r="21" spans="1:97" x14ac:dyDescent="0.25">
      <c r="A21" s="12" t="s">
        <v>86</v>
      </c>
      <c r="B21" s="13">
        <v>1045</v>
      </c>
      <c r="C21" s="104" t="s">
        <v>109</v>
      </c>
      <c r="D21" s="104" t="s">
        <v>110</v>
      </c>
      <c r="E21" s="104" t="s">
        <v>111</v>
      </c>
      <c r="F21" s="106" t="s">
        <v>112</v>
      </c>
      <c r="G21" s="23" t="s">
        <v>73</v>
      </c>
      <c r="H21" s="23" t="s">
        <v>74</v>
      </c>
      <c r="I21" s="104" t="s">
        <v>44</v>
      </c>
      <c r="J21" s="100">
        <v>1</v>
      </c>
      <c r="K21" s="100"/>
      <c r="L21" s="137"/>
      <c r="M21" t="s">
        <v>112</v>
      </c>
      <c r="N21" t="s">
        <v>84</v>
      </c>
      <c r="O21" s="18"/>
      <c r="P21" s="18"/>
      <c r="Q21" s="97"/>
      <c r="R21" s="97"/>
      <c r="S21" s="97"/>
      <c r="T21" s="97"/>
      <c r="U21" s="97"/>
      <c r="V21" s="97"/>
      <c r="W21" s="97"/>
      <c r="X21" s="51"/>
      <c r="Y21" s="18" t="e">
        <f>AVERAGEIFS([1]!Table2912[DMD '[mg/g']],[1]!Table2912[Substrate ID],Table29128[[#This Row],[Substrate ID]])</f>
        <v>#REF!</v>
      </c>
      <c r="Z21" s="18" t="e">
        <f>AVERAGEIFS([1]!Table2912[CH4 '[ml/g']],[1]!Table2912[Substrate ID],Table29128[[#This Row],[Substrate ID]])</f>
        <v>#REF!</v>
      </c>
      <c r="AA21" s="18" t="e">
        <f>AVERAGEIFS([1]!Table2912[CH4 '[% GP']],[1]!Table2912[Substrate ID],Table29128[[#This Row],[Substrate ID]])</f>
        <v>#REF!</v>
      </c>
      <c r="AB21" s="18" t="e">
        <f>AVERAGEIFS([1]!Table2912[CH4 '[g/g DDM']],[1]!Table2912[Substrate ID],Table29128[[#This Row],[Substrate ID]])</f>
        <v>#REF!</v>
      </c>
      <c r="AC21" s="18" t="e">
        <f>$CP$17*Table29128[[#This Row],[DMD '[mg/g']]]+$CQ$17*Table29128[[#This Row],[CH4 '[g/g DDM']]]</f>
        <v>#REF!</v>
      </c>
      <c r="AD21" s="18" t="e">
        <f>_xlfn.RANK.AVG(Table29128[[#This Row],[Index]],Table29128[Index])</f>
        <v>#REF!</v>
      </c>
      <c r="AE21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21" s="18" t="e">
        <f>Table29128[[#This Row],[CH4 '[ml/g']]]/Table29128[[#This Row],[APB]]</f>
        <v>#REF!</v>
      </c>
      <c r="AG21" s="18" t="e">
        <f>Table29128[[#This Row],[Propionate '[%']]]/Table29128[[#This Row],[Acetate '[%']]]</f>
        <v>#DIV/0!</v>
      </c>
      <c r="AH21" s="51"/>
      <c r="AI21" s="18"/>
      <c r="AJ21" s="18"/>
      <c r="AK21" s="135" t="e">
        <f t="shared" ref="AK21:AK84" si="4">(Y21-AK$15)/AK$15%</f>
        <v>#REF!</v>
      </c>
      <c r="AL21" s="18"/>
      <c r="AM21" s="135" t="e">
        <f t="shared" ref="AM21:AM84" si="5">(AA21-AM$15)/AM$15%</f>
        <v>#REF!</v>
      </c>
      <c r="AN21" s="135" t="e">
        <f>(Table29128[[#This Row],[CH4 '[g/g DDM']]]-AN$15)/AN$15%</f>
        <v>#REF!</v>
      </c>
      <c r="AO21" s="18"/>
      <c r="AP21" s="18"/>
      <c r="AR21" t="e">
        <f>_xlfn.NORM.DIST(Table29128[[#This Row],[GP '[ml/g']]],O$6,O$2,FALSE)</f>
        <v>#DIV/0!</v>
      </c>
      <c r="AS21" t="e">
        <f>_xlfn.NORM.DIST(Table29128[[#This Row],[SCFA '[mmol/g']]],P$6,P$2,FALSE)</f>
        <v>#DIV/0!</v>
      </c>
      <c r="AT21" t="e">
        <f>_xlfn.NORM.DIST(Table29128[[#This Row],[Acetate '[%']]],Q$6,Q$2,FALSE)</f>
        <v>#DIV/0!</v>
      </c>
      <c r="AU21" t="e">
        <f>_xlfn.NORM.DIST(Table29128[[#This Row],[Propionate '[%']]],R$6,R$2,FALSE)</f>
        <v>#DIV/0!</v>
      </c>
      <c r="AV21" t="e">
        <f>_xlfn.NORM.DIST(Table29128[[#This Row],[Butyrate '[%']]],S$6,S$2,FALSE)</f>
        <v>#DIV/0!</v>
      </c>
      <c r="AW21" t="e">
        <f>_xlfn.NORM.DIST(Table29128[[#This Row],[Valerate '[%']]],T$6,T$2,FALSE)</f>
        <v>#DIV/0!</v>
      </c>
      <c r="AX21" t="e">
        <f>_xlfn.NORM.DIST(Table29128[[#This Row],[Caproate '[%']]],U$6,U$2,FALSE)</f>
        <v>#DIV/0!</v>
      </c>
      <c r="AY21" t="e">
        <f>_xlfn.NORM.DIST(Table29128[[#This Row],[Isobutyrate '[%']]],V$6,V$2,FALSE)</f>
        <v>#DIV/0!</v>
      </c>
      <c r="AZ21" t="e">
        <f>_xlfn.NORM.DIST(Table29128[[#This Row],[Isovalerate '[%']]],W$6,W$2,FALSE)</f>
        <v>#DIV/0!</v>
      </c>
      <c r="BA21" t="e">
        <f>_xlfn.NORM.DIST(Table29128[[#This Row],[CH4 '[g/mmol SCFA']]],X$6,X$2,FALSE)</f>
        <v>#DIV/0!</v>
      </c>
      <c r="BB21" t="e">
        <f>_xlfn.NORM.DIST(Table29128[[#This Row],[DMD '[mg/g']]],Y$6,Y$2,FALSE)</f>
        <v>#REF!</v>
      </c>
      <c r="BC21" t="e">
        <f>_xlfn.NORM.DIST(Table29128[[#This Row],[CH4 '[ml/g']]],Z$6,Z$2,FALSE)</f>
        <v>#REF!</v>
      </c>
      <c r="BD21" t="e">
        <f>_xlfn.NORM.DIST(Table29128[[#This Row],[CH4 '[% GP']]],AA$6,AA$2,FALSE)</f>
        <v>#REF!</v>
      </c>
      <c r="BE21" t="e">
        <f>_xlfn.NORM.DIST(Table29128[[#This Row],[CH4 '[g/g DDM']]],AB$6,AB$2,FALSE)</f>
        <v>#REF!</v>
      </c>
      <c r="BG21">
        <f>IF(Table29128[[#This Row],[GP '[ml/g']]]&lt;O$10,_xlfn.NORM.DIST(Table29128[[#This Row],[GP '[ml/g']]],O$6,O$2,FALSE),-100)</f>
        <v>-100</v>
      </c>
      <c r="BH21">
        <f>IF(Table29128[[#This Row],[SCFA '[mmol/g']]]&lt;P$10,_xlfn.NORM.DIST(Table29128[[#This Row],[SCFA '[mmol/g']]],P$6,P$2,FALSE),-100)</f>
        <v>-100</v>
      </c>
      <c r="BI21">
        <f>IF(Table29128[[#This Row],[Acetate '[%']]]&lt;Q$10,_xlfn.NORM.DIST(Table29128[[#This Row],[Acetate '[%']]],Q$6,Q$2,FALSE),-100)</f>
        <v>-100</v>
      </c>
      <c r="BJ21">
        <f>IF(Table29128[[#This Row],[Propionate '[%']]]&lt;R$10,_xlfn.NORM.DIST(Table29128[[#This Row],[Propionate '[%']]],R$6,R$2,FALSE),-100)</f>
        <v>-100</v>
      </c>
      <c r="BK21">
        <f>IF(Table29128[[#This Row],[Butyrate '[%']]]&lt;S$10,_xlfn.NORM.DIST(Table29128[[#This Row],[Butyrate '[%']]],S$6,S$2,FALSE),-100)</f>
        <v>-100</v>
      </c>
      <c r="BL21">
        <f>IF(Table29128[[#This Row],[Valerate '[%']]]&lt;T$10,_xlfn.NORM.DIST(Table29128[[#This Row],[Valerate '[%']]],T$6,T$2,FALSE),-100)</f>
        <v>-100</v>
      </c>
      <c r="BM21">
        <f>IF(Table29128[[#This Row],[Caproate '[%']]]&lt;U$10,_xlfn.NORM.DIST(Table29128[[#This Row],[Caproate '[%']]],U$6,U$2,FALSE),-100)</f>
        <v>-100</v>
      </c>
      <c r="BN21">
        <f>IF(Table29128[[#This Row],[Isobutyrate '[%']]]&lt;V$10,_xlfn.NORM.DIST(Table29128[[#This Row],[Isobutyrate '[%']]],V$6,V$2,FALSE),-100)</f>
        <v>-100</v>
      </c>
      <c r="BO21">
        <f>IF(Table29128[[#This Row],[Isovalerate '[%']]]&lt;W$10,_xlfn.NORM.DIST(Table29128[[#This Row],[Isovalerate '[%']]],W$6,W$2,FALSE),-100)</f>
        <v>-100</v>
      </c>
      <c r="BP21">
        <f>IF(Table29128[[#This Row],[CH4 '[g/mmol SCFA']]]&lt;X$10,_xlfn.NORM.DIST(Table29128[[#This Row],[CH4 '[g/mmol SCFA']]],X$6,X$2,FALSE),-100)</f>
        <v>-100</v>
      </c>
      <c r="BQ21" t="e">
        <f>IF(Table29128[[#This Row],[DMD '[mg/g']]]&gt;Y$10,_xlfn.NORM.DIST(Table29128[[#This Row],[DMD '[mg/g']]],Y$6,Y$2,FALSE),-100)</f>
        <v>#REF!</v>
      </c>
      <c r="BR21" t="e">
        <f>IF(Table29128[[#This Row],[CH4 '[ml/g']]]&lt;Z$10,_xlfn.NORM.DIST(Table29128[[#This Row],[CH4 '[ml/g']]],Z$6,Z$2,FALSE),-100)</f>
        <v>#REF!</v>
      </c>
      <c r="BS21" t="e">
        <f>IF(Table29128[[#This Row],[CH4 '[% GP']]]&lt;AA$10,_xlfn.NORM.DIST(Table29128[[#This Row],[CH4 '[% GP']]],AA$6,AA$2,FALSE),-100)</f>
        <v>#REF!</v>
      </c>
      <c r="BT21" t="e">
        <f>IF(Table29128[[#This Row],[CH4 '[g/g DDM']]]&lt;AB$10,_xlfn.NORM.DIST(Table29128[[#This Row],[CH4 '[g/g DDM']]],AB$6,AB$2,FALSE),-100)</f>
        <v>#REF!</v>
      </c>
      <c r="CP21" s="136">
        <v>990.02043305824668</v>
      </c>
      <c r="CQ21" s="136">
        <v>89.003282235387744</v>
      </c>
      <c r="CR21" s="136">
        <v>17.621484128778704</v>
      </c>
      <c r="CS21" s="136">
        <v>119.73170535627818</v>
      </c>
    </row>
    <row r="22" spans="1:97" x14ac:dyDescent="0.25">
      <c r="A22" s="12" t="s">
        <v>86</v>
      </c>
      <c r="B22" s="13">
        <v>1080</v>
      </c>
      <c r="C22" s="104" t="s">
        <v>386</v>
      </c>
      <c r="D22" s="104" t="s">
        <v>387</v>
      </c>
      <c r="E22" s="104" t="s">
        <v>388</v>
      </c>
      <c r="F22" s="104" t="s">
        <v>389</v>
      </c>
      <c r="G22" s="23" t="s">
        <v>143</v>
      </c>
      <c r="H22" s="23" t="s">
        <v>144</v>
      </c>
      <c r="I22" s="32" t="s">
        <v>52</v>
      </c>
      <c r="J22" s="100">
        <v>1</v>
      </c>
      <c r="K22" s="100"/>
      <c r="L22" s="100"/>
      <c r="M22" t="s">
        <v>389</v>
      </c>
      <c r="N22" t="s">
        <v>145</v>
      </c>
      <c r="O22" s="18"/>
      <c r="P22" s="18"/>
      <c r="Q22" s="97"/>
      <c r="R22" s="97"/>
      <c r="S22" s="97"/>
      <c r="T22" s="97"/>
      <c r="U22" s="97"/>
      <c r="V22" s="97"/>
      <c r="W22" s="97"/>
      <c r="X22" s="51"/>
      <c r="Y22" s="18" t="e">
        <f>AVERAGEIFS([1]!Table2912[DMD '[mg/g']],[1]!Table2912[Substrate ID],Table29128[[#This Row],[Substrate ID]])</f>
        <v>#REF!</v>
      </c>
      <c r="Z22" s="18" t="e">
        <f>AVERAGEIFS([1]!Table2912[CH4 '[ml/g']],[1]!Table2912[Substrate ID],Table29128[[#This Row],[Substrate ID]])</f>
        <v>#REF!</v>
      </c>
      <c r="AA22" s="18" t="e">
        <f>AVERAGEIFS([1]!Table2912[CH4 '[% GP']],[1]!Table2912[Substrate ID],Table29128[[#This Row],[Substrate ID]])</f>
        <v>#REF!</v>
      </c>
      <c r="AB22" s="18" t="e">
        <f>AVERAGEIFS([1]!Table2912[CH4 '[g/g DDM']],[1]!Table2912[Substrate ID],Table29128[[#This Row],[Substrate ID]])</f>
        <v>#REF!</v>
      </c>
      <c r="AC22" s="18" t="e">
        <f>$CP$17*Table29128[[#This Row],[DMD '[mg/g']]]+$CQ$17*Table29128[[#This Row],[CH4 '[g/g DDM']]]</f>
        <v>#REF!</v>
      </c>
      <c r="AD22" s="18" t="e">
        <f>_xlfn.RANK.AVG(Table29128[[#This Row],[Index]],Table29128[Index])</f>
        <v>#REF!</v>
      </c>
      <c r="AE22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22" s="18" t="e">
        <f>Table29128[[#This Row],[CH4 '[ml/g']]]/Table29128[[#This Row],[APB]]</f>
        <v>#REF!</v>
      </c>
      <c r="AG22" s="18" t="e">
        <f>Table29128[[#This Row],[Propionate '[%']]]/Table29128[[#This Row],[Acetate '[%']]]</f>
        <v>#DIV/0!</v>
      </c>
      <c r="AH22" s="51"/>
      <c r="AI22" s="18"/>
      <c r="AJ22" s="18"/>
      <c r="AK22" s="135" t="e">
        <f t="shared" si="4"/>
        <v>#REF!</v>
      </c>
      <c r="AL22" s="18"/>
      <c r="AM22" s="135" t="e">
        <f t="shared" si="5"/>
        <v>#REF!</v>
      </c>
      <c r="AN22" s="135" t="e">
        <f>(Table29128[[#This Row],[CH4 '[g/g DDM']]]-AN$15)/AN$15%</f>
        <v>#REF!</v>
      </c>
      <c r="AO22" s="18"/>
      <c r="AP22" s="18"/>
      <c r="AR22" t="e">
        <f>_xlfn.NORM.DIST(Table29128[[#This Row],[GP '[ml/g']]],O$6,O$2,FALSE)</f>
        <v>#DIV/0!</v>
      </c>
      <c r="AS22" t="e">
        <f>_xlfn.NORM.DIST(Table29128[[#This Row],[SCFA '[mmol/g']]],P$6,P$2,FALSE)</f>
        <v>#DIV/0!</v>
      </c>
      <c r="AT22" t="e">
        <f>_xlfn.NORM.DIST(Table29128[[#This Row],[Acetate '[%']]],Q$6,Q$2,FALSE)</f>
        <v>#DIV/0!</v>
      </c>
      <c r="AU22" t="e">
        <f>_xlfn.NORM.DIST(Table29128[[#This Row],[Propionate '[%']]],R$6,R$2,FALSE)</f>
        <v>#DIV/0!</v>
      </c>
      <c r="AV22" t="e">
        <f>_xlfn.NORM.DIST(Table29128[[#This Row],[Butyrate '[%']]],S$6,S$2,FALSE)</f>
        <v>#DIV/0!</v>
      </c>
      <c r="AW22" t="e">
        <f>_xlfn.NORM.DIST(Table29128[[#This Row],[Valerate '[%']]],T$6,T$2,FALSE)</f>
        <v>#DIV/0!</v>
      </c>
      <c r="AX22" t="e">
        <f>_xlfn.NORM.DIST(Table29128[[#This Row],[Caproate '[%']]],U$6,U$2,FALSE)</f>
        <v>#DIV/0!</v>
      </c>
      <c r="AY22" t="e">
        <f>_xlfn.NORM.DIST(Table29128[[#This Row],[Isobutyrate '[%']]],V$6,V$2,FALSE)</f>
        <v>#DIV/0!</v>
      </c>
      <c r="AZ22" t="e">
        <f>_xlfn.NORM.DIST(Table29128[[#This Row],[Isovalerate '[%']]],W$6,W$2,FALSE)</f>
        <v>#DIV/0!</v>
      </c>
      <c r="BA22" t="e">
        <f>_xlfn.NORM.DIST(Table29128[[#This Row],[CH4 '[g/mmol SCFA']]],X$6,X$2,FALSE)</f>
        <v>#DIV/0!</v>
      </c>
      <c r="BB22" t="e">
        <f>_xlfn.NORM.DIST(Table29128[[#This Row],[DMD '[mg/g']]],Y$6,Y$2,FALSE)</f>
        <v>#REF!</v>
      </c>
      <c r="BC22" t="e">
        <f>_xlfn.NORM.DIST(Table29128[[#This Row],[CH4 '[ml/g']]],Z$6,Z$2,FALSE)</f>
        <v>#REF!</v>
      </c>
      <c r="BD22" t="e">
        <f>_xlfn.NORM.DIST(Table29128[[#This Row],[CH4 '[% GP']]],AA$6,AA$2,FALSE)</f>
        <v>#REF!</v>
      </c>
      <c r="BE22" t="e">
        <f>_xlfn.NORM.DIST(Table29128[[#This Row],[CH4 '[g/g DDM']]],AB$6,AB$2,FALSE)</f>
        <v>#REF!</v>
      </c>
      <c r="BG22">
        <f>IF(Table29128[[#This Row],[GP '[ml/g']]]&lt;O$10,_xlfn.NORM.DIST(Table29128[[#This Row],[GP '[ml/g']]],O$6,O$2,FALSE),-100)</f>
        <v>-100</v>
      </c>
      <c r="BH22">
        <f>IF(Table29128[[#This Row],[SCFA '[mmol/g']]]&lt;P$10,_xlfn.NORM.DIST(Table29128[[#This Row],[SCFA '[mmol/g']]],P$6,P$2,FALSE),-100)</f>
        <v>-100</v>
      </c>
      <c r="BI22">
        <f>IF(Table29128[[#This Row],[Acetate '[%']]]&lt;Q$10,_xlfn.NORM.DIST(Table29128[[#This Row],[Acetate '[%']]],Q$6,Q$2,FALSE),-100)</f>
        <v>-100</v>
      </c>
      <c r="BJ22">
        <f>IF(Table29128[[#This Row],[Propionate '[%']]]&lt;R$10,_xlfn.NORM.DIST(Table29128[[#This Row],[Propionate '[%']]],R$6,R$2,FALSE),-100)</f>
        <v>-100</v>
      </c>
      <c r="BK22">
        <f>IF(Table29128[[#This Row],[Butyrate '[%']]]&lt;S$10,_xlfn.NORM.DIST(Table29128[[#This Row],[Butyrate '[%']]],S$6,S$2,FALSE),-100)</f>
        <v>-100</v>
      </c>
      <c r="BL22">
        <f>IF(Table29128[[#This Row],[Valerate '[%']]]&lt;T$10,_xlfn.NORM.DIST(Table29128[[#This Row],[Valerate '[%']]],T$6,T$2,FALSE),-100)</f>
        <v>-100</v>
      </c>
      <c r="BM22">
        <f>IF(Table29128[[#This Row],[Caproate '[%']]]&lt;U$10,_xlfn.NORM.DIST(Table29128[[#This Row],[Caproate '[%']]],U$6,U$2,FALSE),-100)</f>
        <v>-100</v>
      </c>
      <c r="BN22">
        <f>IF(Table29128[[#This Row],[Isobutyrate '[%']]]&lt;V$10,_xlfn.NORM.DIST(Table29128[[#This Row],[Isobutyrate '[%']]],V$6,V$2,FALSE),-100)</f>
        <v>-100</v>
      </c>
      <c r="BO22">
        <f>IF(Table29128[[#This Row],[Isovalerate '[%']]]&lt;W$10,_xlfn.NORM.DIST(Table29128[[#This Row],[Isovalerate '[%']]],W$6,W$2,FALSE),-100)</f>
        <v>-100</v>
      </c>
      <c r="BP22">
        <f>IF(Table29128[[#This Row],[CH4 '[g/mmol SCFA']]]&lt;X$10,_xlfn.NORM.DIST(Table29128[[#This Row],[CH4 '[g/mmol SCFA']]],X$6,X$2,FALSE),-100)</f>
        <v>-100</v>
      </c>
      <c r="BQ22" t="e">
        <f>IF(Table29128[[#This Row],[DMD '[mg/g']]]&gt;Y$10,_xlfn.NORM.DIST(Table29128[[#This Row],[DMD '[mg/g']]],Y$6,Y$2,FALSE),-100)</f>
        <v>#REF!</v>
      </c>
      <c r="BR22" t="e">
        <f>IF(Table29128[[#This Row],[CH4 '[ml/g']]]&lt;Z$10,_xlfn.NORM.DIST(Table29128[[#This Row],[CH4 '[ml/g']]],Z$6,Z$2,FALSE),-100)</f>
        <v>#REF!</v>
      </c>
      <c r="BS22" t="e">
        <f>IF(Table29128[[#This Row],[CH4 '[% GP']]]&lt;AA$10,_xlfn.NORM.DIST(Table29128[[#This Row],[CH4 '[% GP']]],AA$6,AA$2,FALSE),-100)</f>
        <v>#REF!</v>
      </c>
      <c r="BT22" t="e">
        <f>IF(Table29128[[#This Row],[CH4 '[g/g DDM']]]&lt;AB$10,_xlfn.NORM.DIST(Table29128[[#This Row],[CH4 '[g/g DDM']]],AB$6,AB$2,FALSE),-100)</f>
        <v>#REF!</v>
      </c>
      <c r="CP22" s="136">
        <v>89.878691537874957</v>
      </c>
      <c r="CQ22" s="136">
        <v>17.227991833338844</v>
      </c>
      <c r="CR22" s="136">
        <v>5.7086506823380541</v>
      </c>
      <c r="CS22" s="136">
        <v>17.621484128778704</v>
      </c>
    </row>
    <row r="23" spans="1:97" x14ac:dyDescent="0.25">
      <c r="A23" s="12" t="s">
        <v>70</v>
      </c>
      <c r="B23" s="13">
        <v>989</v>
      </c>
      <c r="C23" s="96" t="s">
        <v>447</v>
      </c>
      <c r="D23" s="96"/>
      <c r="E23" s="96"/>
      <c r="F23" s="96" t="s">
        <v>448</v>
      </c>
      <c r="G23" s="15" t="s">
        <v>73</v>
      </c>
      <c r="H23" s="15" t="s">
        <v>74</v>
      </c>
      <c r="I23" t="s">
        <v>75</v>
      </c>
      <c r="J23" s="100">
        <v>1</v>
      </c>
      <c r="K23" s="100" t="s">
        <v>627</v>
      </c>
      <c r="L23" s="100"/>
      <c r="M23" t="s">
        <v>448</v>
      </c>
      <c r="N23" t="s">
        <v>180</v>
      </c>
      <c r="O23" s="18"/>
      <c r="P23" s="18"/>
      <c r="Q23" s="97"/>
      <c r="R23" s="97"/>
      <c r="S23" s="97"/>
      <c r="T23" s="97"/>
      <c r="U23" s="97"/>
      <c r="V23" s="97"/>
      <c r="W23" s="97"/>
      <c r="X23" s="51"/>
      <c r="Y23" s="18" t="e">
        <f>AVERAGEIFS([1]!Table2912[DMD '[mg/g']],[1]!Table2912[Substrate ID],Table29128[[#This Row],[Substrate ID]])</f>
        <v>#REF!</v>
      </c>
      <c r="Z23" s="18" t="e">
        <f>AVERAGEIFS([1]!Table2912[CH4 '[ml/g']],[1]!Table2912[Substrate ID],Table29128[[#This Row],[Substrate ID]])</f>
        <v>#REF!</v>
      </c>
      <c r="AA23" s="18" t="e">
        <f>AVERAGEIFS([1]!Table2912[CH4 '[% GP']],[1]!Table2912[Substrate ID],Table29128[[#This Row],[Substrate ID]])</f>
        <v>#REF!</v>
      </c>
      <c r="AB23" s="18" t="e">
        <f>AVERAGEIFS([1]!Table2912[CH4 '[g/g DDM']],[1]!Table2912[Substrate ID],Table29128[[#This Row],[Substrate ID]])</f>
        <v>#REF!</v>
      </c>
      <c r="AC23" s="18" t="e">
        <f>$CP$17*Table29128[[#This Row],[DMD '[mg/g']]]+$CQ$17*Table29128[[#This Row],[CH4 '[g/g DDM']]]</f>
        <v>#REF!</v>
      </c>
      <c r="AD23" s="18" t="e">
        <f>_xlfn.RANK.AVG(Table29128[[#This Row],[Index]],Table29128[Index])</f>
        <v>#REF!</v>
      </c>
      <c r="AE23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23" s="18" t="e">
        <f>Table29128[[#This Row],[CH4 '[ml/g']]]/Table29128[[#This Row],[APB]]</f>
        <v>#REF!</v>
      </c>
      <c r="AG23" s="18" t="e">
        <f>Table29128[[#This Row],[Propionate '[%']]]/Table29128[[#This Row],[Acetate '[%']]]</f>
        <v>#DIV/0!</v>
      </c>
      <c r="AH23" s="51"/>
      <c r="AI23" s="18"/>
      <c r="AJ23" s="18"/>
      <c r="AK23" s="135" t="e">
        <f t="shared" si="4"/>
        <v>#REF!</v>
      </c>
      <c r="AL23" s="18"/>
      <c r="AM23" s="135" t="e">
        <f t="shared" si="5"/>
        <v>#REF!</v>
      </c>
      <c r="AN23" s="135" t="e">
        <f>(Table29128[[#This Row],[CH4 '[g/g DDM']]]-AN$15)/AN$15%</f>
        <v>#REF!</v>
      </c>
      <c r="AO23" s="18"/>
      <c r="AP23" s="18"/>
      <c r="AR23" t="e">
        <f>_xlfn.NORM.DIST(Table29128[[#This Row],[GP '[ml/g']]],O$6,O$2,FALSE)</f>
        <v>#DIV/0!</v>
      </c>
      <c r="AS23" t="e">
        <f>_xlfn.NORM.DIST(Table29128[[#This Row],[SCFA '[mmol/g']]],P$6,P$2,FALSE)</f>
        <v>#DIV/0!</v>
      </c>
      <c r="AT23" t="e">
        <f>_xlfn.NORM.DIST(Table29128[[#This Row],[Acetate '[%']]],Q$6,Q$2,FALSE)</f>
        <v>#DIV/0!</v>
      </c>
      <c r="AU23" t="e">
        <f>_xlfn.NORM.DIST(Table29128[[#This Row],[Propionate '[%']]],R$6,R$2,FALSE)</f>
        <v>#DIV/0!</v>
      </c>
      <c r="AV23" t="e">
        <f>_xlfn.NORM.DIST(Table29128[[#This Row],[Butyrate '[%']]],S$6,S$2,FALSE)</f>
        <v>#DIV/0!</v>
      </c>
      <c r="AW23" t="e">
        <f>_xlfn.NORM.DIST(Table29128[[#This Row],[Valerate '[%']]],T$6,T$2,FALSE)</f>
        <v>#DIV/0!</v>
      </c>
      <c r="AX23" t="e">
        <f>_xlfn.NORM.DIST(Table29128[[#This Row],[Caproate '[%']]],U$6,U$2,FALSE)</f>
        <v>#DIV/0!</v>
      </c>
      <c r="AY23" t="e">
        <f>_xlfn.NORM.DIST(Table29128[[#This Row],[Isobutyrate '[%']]],V$6,V$2,FALSE)</f>
        <v>#DIV/0!</v>
      </c>
      <c r="AZ23" t="e">
        <f>_xlfn.NORM.DIST(Table29128[[#This Row],[Isovalerate '[%']]],W$6,W$2,FALSE)</f>
        <v>#DIV/0!</v>
      </c>
      <c r="BA23" t="e">
        <f>_xlfn.NORM.DIST(Table29128[[#This Row],[CH4 '[g/mmol SCFA']]],X$6,X$2,FALSE)</f>
        <v>#DIV/0!</v>
      </c>
      <c r="BB23" t="e">
        <f>_xlfn.NORM.DIST(Table29128[[#This Row],[DMD '[mg/g']]],Y$6,Y$2,FALSE)</f>
        <v>#REF!</v>
      </c>
      <c r="BC23" t="e">
        <f>_xlfn.NORM.DIST(Table29128[[#This Row],[CH4 '[ml/g']]],Z$6,Z$2,FALSE)</f>
        <v>#REF!</v>
      </c>
      <c r="BD23" t="e">
        <f>_xlfn.NORM.DIST(Table29128[[#This Row],[CH4 '[% GP']]],AA$6,AA$2,FALSE)</f>
        <v>#REF!</v>
      </c>
      <c r="BE23" t="e">
        <f>_xlfn.NORM.DIST(Table29128[[#This Row],[CH4 '[g/g DDM']]],AB$6,AB$2,FALSE)</f>
        <v>#REF!</v>
      </c>
      <c r="BG23">
        <f>IF(Table29128[[#This Row],[GP '[ml/g']]]&lt;O$10,_xlfn.NORM.DIST(Table29128[[#This Row],[GP '[ml/g']]],O$6,O$2,FALSE),-100)</f>
        <v>-100</v>
      </c>
      <c r="BH23">
        <f>IF(Table29128[[#This Row],[SCFA '[mmol/g']]]&lt;P$10,_xlfn.NORM.DIST(Table29128[[#This Row],[SCFA '[mmol/g']]],P$6,P$2,FALSE),-100)</f>
        <v>-100</v>
      </c>
      <c r="BI23">
        <f>IF(Table29128[[#This Row],[Acetate '[%']]]&lt;Q$10,_xlfn.NORM.DIST(Table29128[[#This Row],[Acetate '[%']]],Q$6,Q$2,FALSE),-100)</f>
        <v>-100</v>
      </c>
      <c r="BJ23">
        <f>IF(Table29128[[#This Row],[Propionate '[%']]]&lt;R$10,_xlfn.NORM.DIST(Table29128[[#This Row],[Propionate '[%']]],R$6,R$2,FALSE),-100)</f>
        <v>-100</v>
      </c>
      <c r="BK23">
        <f>IF(Table29128[[#This Row],[Butyrate '[%']]]&lt;S$10,_xlfn.NORM.DIST(Table29128[[#This Row],[Butyrate '[%']]],S$6,S$2,FALSE),-100)</f>
        <v>-100</v>
      </c>
      <c r="BL23">
        <f>IF(Table29128[[#This Row],[Valerate '[%']]]&lt;T$10,_xlfn.NORM.DIST(Table29128[[#This Row],[Valerate '[%']]],T$6,T$2,FALSE),-100)</f>
        <v>-100</v>
      </c>
      <c r="BM23">
        <f>IF(Table29128[[#This Row],[Caproate '[%']]]&lt;U$10,_xlfn.NORM.DIST(Table29128[[#This Row],[Caproate '[%']]],U$6,U$2,FALSE),-100)</f>
        <v>-100</v>
      </c>
      <c r="BN23">
        <f>IF(Table29128[[#This Row],[Isobutyrate '[%']]]&lt;V$10,_xlfn.NORM.DIST(Table29128[[#This Row],[Isobutyrate '[%']]],V$6,V$2,FALSE),-100)</f>
        <v>-100</v>
      </c>
      <c r="BO23">
        <f>IF(Table29128[[#This Row],[Isovalerate '[%']]]&lt;W$10,_xlfn.NORM.DIST(Table29128[[#This Row],[Isovalerate '[%']]],W$6,W$2,FALSE),-100)</f>
        <v>-100</v>
      </c>
      <c r="BP23">
        <f>IF(Table29128[[#This Row],[CH4 '[g/mmol SCFA']]]&lt;X$10,_xlfn.NORM.DIST(Table29128[[#This Row],[CH4 '[g/mmol SCFA']]],X$6,X$2,FALSE),-100)</f>
        <v>-100</v>
      </c>
      <c r="BQ23" t="e">
        <f>IF(Table29128[[#This Row],[DMD '[mg/g']]]&gt;Y$10,_xlfn.NORM.DIST(Table29128[[#This Row],[DMD '[mg/g']]],Y$6,Y$2,FALSE),-100)</f>
        <v>#REF!</v>
      </c>
      <c r="BR23" t="e">
        <f>IF(Table29128[[#This Row],[CH4 '[ml/g']]]&lt;Z$10,_xlfn.NORM.DIST(Table29128[[#This Row],[CH4 '[ml/g']]],Z$6,Z$2,FALSE),-100)</f>
        <v>#REF!</v>
      </c>
      <c r="BS23" t="e">
        <f>IF(Table29128[[#This Row],[CH4 '[% GP']]]&lt;AA$10,_xlfn.NORM.DIST(Table29128[[#This Row],[CH4 '[% GP']]],AA$6,AA$2,FALSE),-100)</f>
        <v>#REF!</v>
      </c>
      <c r="BT23" t="e">
        <f>IF(Table29128[[#This Row],[CH4 '[g/g DDM']]]&lt;AB$10,_xlfn.NORM.DIST(Table29128[[#This Row],[CH4 '[g/g DDM']]],AB$6,AB$2,FALSE),-100)</f>
        <v>#REF!</v>
      </c>
      <c r="CP23" s="136">
        <v>133.83192302647447</v>
      </c>
      <c r="CQ23" s="136">
        <v>107.53971798230565</v>
      </c>
      <c r="CR23" s="136">
        <v>17.227991833338844</v>
      </c>
      <c r="CS23" s="136">
        <v>89.003282235387744</v>
      </c>
    </row>
    <row r="24" spans="1:97" x14ac:dyDescent="0.25">
      <c r="A24" s="12" t="s">
        <v>86</v>
      </c>
      <c r="B24" s="13">
        <v>1046</v>
      </c>
      <c r="C24" s="104" t="s">
        <v>416</v>
      </c>
      <c r="D24" s="104" t="s">
        <v>417</v>
      </c>
      <c r="E24" s="104" t="s">
        <v>418</v>
      </c>
      <c r="F24" s="106" t="s">
        <v>419</v>
      </c>
      <c r="G24" s="23" t="s">
        <v>73</v>
      </c>
      <c r="H24" s="23" t="s">
        <v>74</v>
      </c>
      <c r="I24" s="104" t="s">
        <v>75</v>
      </c>
      <c r="J24" s="100">
        <v>1</v>
      </c>
      <c r="K24" s="100"/>
      <c r="L24" s="100"/>
      <c r="M24" s="103" t="s">
        <v>419</v>
      </c>
      <c r="N24" t="s">
        <v>84</v>
      </c>
      <c r="O24" s="18"/>
      <c r="P24" s="18"/>
      <c r="Q24" s="97"/>
      <c r="R24" s="97"/>
      <c r="S24" s="97"/>
      <c r="T24" s="97"/>
      <c r="U24" s="97"/>
      <c r="V24" s="97"/>
      <c r="W24" s="97"/>
      <c r="X24" s="51"/>
      <c r="Y24" s="18" t="e">
        <f>AVERAGEIFS([1]!Table2912[DMD '[mg/g']],[1]!Table2912[Substrate ID],Table29128[[#This Row],[Substrate ID]])</f>
        <v>#REF!</v>
      </c>
      <c r="Z24" s="18" t="e">
        <f>AVERAGEIFS([1]!Table2912[CH4 '[ml/g']],[1]!Table2912[Substrate ID],Table29128[[#This Row],[Substrate ID]])</f>
        <v>#REF!</v>
      </c>
      <c r="AA24" s="18" t="e">
        <f>AVERAGEIFS([1]!Table2912[CH4 '[% GP']],[1]!Table2912[Substrate ID],Table29128[[#This Row],[Substrate ID]])</f>
        <v>#REF!</v>
      </c>
      <c r="AB24" s="18" t="e">
        <f>AVERAGEIFS([1]!Table2912[CH4 '[g/g DDM']],[1]!Table2912[Substrate ID],Table29128[[#This Row],[Substrate ID]])</f>
        <v>#REF!</v>
      </c>
      <c r="AC24" s="18" t="e">
        <f>$CP$17*Table29128[[#This Row],[DMD '[mg/g']]]+$CQ$17*Table29128[[#This Row],[CH4 '[g/g DDM']]]</f>
        <v>#REF!</v>
      </c>
      <c r="AD24" s="18" t="e">
        <f>_xlfn.RANK.AVG(Table29128[[#This Row],[Index]],Table29128[Index])</f>
        <v>#REF!</v>
      </c>
      <c r="AE24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24" s="18" t="e">
        <f>Table29128[[#This Row],[CH4 '[ml/g']]]/Table29128[[#This Row],[APB]]</f>
        <v>#REF!</v>
      </c>
      <c r="AG24" s="18" t="e">
        <f>Table29128[[#This Row],[Propionate '[%']]]/Table29128[[#This Row],[Acetate '[%']]]</f>
        <v>#DIV/0!</v>
      </c>
      <c r="AH24" s="51"/>
      <c r="AI24" s="18"/>
      <c r="AJ24" s="18"/>
      <c r="AK24" s="135" t="e">
        <f t="shared" si="4"/>
        <v>#REF!</v>
      </c>
      <c r="AL24" s="18"/>
      <c r="AM24" s="135" t="e">
        <f t="shared" si="5"/>
        <v>#REF!</v>
      </c>
      <c r="AN24" s="135" t="e">
        <f>(Table29128[[#This Row],[CH4 '[g/g DDM']]]-AN$15)/AN$15%</f>
        <v>#REF!</v>
      </c>
      <c r="AO24" s="18"/>
      <c r="AP24" s="18"/>
      <c r="AR24" t="e">
        <f>_xlfn.NORM.DIST(Table29128[[#This Row],[GP '[ml/g']]],O$6,O$2,FALSE)</f>
        <v>#DIV/0!</v>
      </c>
      <c r="AS24" t="e">
        <f>_xlfn.NORM.DIST(Table29128[[#This Row],[SCFA '[mmol/g']]],P$6,P$2,FALSE)</f>
        <v>#DIV/0!</v>
      </c>
      <c r="AT24" t="e">
        <f>_xlfn.NORM.DIST(Table29128[[#This Row],[Acetate '[%']]],Q$6,Q$2,FALSE)</f>
        <v>#DIV/0!</v>
      </c>
      <c r="AU24" t="e">
        <f>_xlfn.NORM.DIST(Table29128[[#This Row],[Propionate '[%']]],R$6,R$2,FALSE)</f>
        <v>#DIV/0!</v>
      </c>
      <c r="AV24" t="e">
        <f>_xlfn.NORM.DIST(Table29128[[#This Row],[Butyrate '[%']]],S$6,S$2,FALSE)</f>
        <v>#DIV/0!</v>
      </c>
      <c r="AW24" t="e">
        <f>_xlfn.NORM.DIST(Table29128[[#This Row],[Valerate '[%']]],T$6,T$2,FALSE)</f>
        <v>#DIV/0!</v>
      </c>
      <c r="AX24" t="e">
        <f>_xlfn.NORM.DIST(Table29128[[#This Row],[Caproate '[%']]],U$6,U$2,FALSE)</f>
        <v>#DIV/0!</v>
      </c>
      <c r="AY24" t="e">
        <f>_xlfn.NORM.DIST(Table29128[[#This Row],[Isobutyrate '[%']]],V$6,V$2,FALSE)</f>
        <v>#DIV/0!</v>
      </c>
      <c r="AZ24" t="e">
        <f>_xlfn.NORM.DIST(Table29128[[#This Row],[Isovalerate '[%']]],W$6,W$2,FALSE)</f>
        <v>#DIV/0!</v>
      </c>
      <c r="BA24" t="e">
        <f>_xlfn.NORM.DIST(Table29128[[#This Row],[CH4 '[g/mmol SCFA']]],X$6,X$2,FALSE)</f>
        <v>#DIV/0!</v>
      </c>
      <c r="BB24" t="e">
        <f>_xlfn.NORM.DIST(Table29128[[#This Row],[DMD '[mg/g']]],Y$6,Y$2,FALSE)</f>
        <v>#REF!</v>
      </c>
      <c r="BC24" t="e">
        <f>_xlfn.NORM.DIST(Table29128[[#This Row],[CH4 '[ml/g']]],Z$6,Z$2,FALSE)</f>
        <v>#REF!</v>
      </c>
      <c r="BD24" t="e">
        <f>_xlfn.NORM.DIST(Table29128[[#This Row],[CH4 '[% GP']]],AA$6,AA$2,FALSE)</f>
        <v>#REF!</v>
      </c>
      <c r="BE24" t="e">
        <f>_xlfn.NORM.DIST(Table29128[[#This Row],[CH4 '[g/g DDM']]],AB$6,AB$2,FALSE)</f>
        <v>#REF!</v>
      </c>
      <c r="BG24">
        <f>IF(Table29128[[#This Row],[GP '[ml/g']]]&lt;O$10,_xlfn.NORM.DIST(Table29128[[#This Row],[GP '[ml/g']]],O$6,O$2,FALSE),-100)</f>
        <v>-100</v>
      </c>
      <c r="BH24">
        <f>IF(Table29128[[#This Row],[SCFA '[mmol/g']]]&lt;P$10,_xlfn.NORM.DIST(Table29128[[#This Row],[SCFA '[mmol/g']]],P$6,P$2,FALSE),-100)</f>
        <v>-100</v>
      </c>
      <c r="BI24">
        <f>IF(Table29128[[#This Row],[Acetate '[%']]]&lt;Q$10,_xlfn.NORM.DIST(Table29128[[#This Row],[Acetate '[%']]],Q$6,Q$2,FALSE),-100)</f>
        <v>-100</v>
      </c>
      <c r="BJ24">
        <f>IF(Table29128[[#This Row],[Propionate '[%']]]&lt;R$10,_xlfn.NORM.DIST(Table29128[[#This Row],[Propionate '[%']]],R$6,R$2,FALSE),-100)</f>
        <v>-100</v>
      </c>
      <c r="BK24">
        <f>IF(Table29128[[#This Row],[Butyrate '[%']]]&lt;S$10,_xlfn.NORM.DIST(Table29128[[#This Row],[Butyrate '[%']]],S$6,S$2,FALSE),-100)</f>
        <v>-100</v>
      </c>
      <c r="BL24">
        <f>IF(Table29128[[#This Row],[Valerate '[%']]]&lt;T$10,_xlfn.NORM.DIST(Table29128[[#This Row],[Valerate '[%']]],T$6,T$2,FALSE),-100)</f>
        <v>-100</v>
      </c>
      <c r="BM24">
        <f>IF(Table29128[[#This Row],[Caproate '[%']]]&lt;U$10,_xlfn.NORM.DIST(Table29128[[#This Row],[Caproate '[%']]],U$6,U$2,FALSE),-100)</f>
        <v>-100</v>
      </c>
      <c r="BN24">
        <f>IF(Table29128[[#This Row],[Isobutyrate '[%']]]&lt;V$10,_xlfn.NORM.DIST(Table29128[[#This Row],[Isobutyrate '[%']]],V$6,V$2,FALSE),-100)</f>
        <v>-100</v>
      </c>
      <c r="BO24">
        <f>IF(Table29128[[#This Row],[Isovalerate '[%']]]&lt;W$10,_xlfn.NORM.DIST(Table29128[[#This Row],[Isovalerate '[%']]],W$6,W$2,FALSE),-100)</f>
        <v>-100</v>
      </c>
      <c r="BP24">
        <f>IF(Table29128[[#This Row],[CH4 '[g/mmol SCFA']]]&lt;X$10,_xlfn.NORM.DIST(Table29128[[#This Row],[CH4 '[g/mmol SCFA']]],X$6,X$2,FALSE),-100)</f>
        <v>-100</v>
      </c>
      <c r="BQ24" t="e">
        <f>IF(Table29128[[#This Row],[DMD '[mg/g']]]&gt;Y$10,_xlfn.NORM.DIST(Table29128[[#This Row],[DMD '[mg/g']]],Y$6,Y$2,FALSE),-100)</f>
        <v>#REF!</v>
      </c>
      <c r="BR24" t="e">
        <f>IF(Table29128[[#This Row],[CH4 '[ml/g']]]&lt;Z$10,_xlfn.NORM.DIST(Table29128[[#This Row],[CH4 '[ml/g']]],Z$6,Z$2,FALSE),-100)</f>
        <v>#REF!</v>
      </c>
      <c r="BS24" t="e">
        <f>IF(Table29128[[#This Row],[CH4 '[% GP']]]&lt;AA$10,_xlfn.NORM.DIST(Table29128[[#This Row],[CH4 '[% GP']]],AA$6,AA$2,FALSE),-100)</f>
        <v>#REF!</v>
      </c>
      <c r="BT24" t="e">
        <f>IF(Table29128[[#This Row],[CH4 '[g/g DDM']]]&lt;AB$10,_xlfn.NORM.DIST(Table29128[[#This Row],[CH4 '[g/g DDM']]],AB$6,AB$2,FALSE),-100)</f>
        <v>#REF!</v>
      </c>
    </row>
    <row r="25" spans="1:97" x14ac:dyDescent="0.25">
      <c r="A25" s="12" t="s">
        <v>70</v>
      </c>
      <c r="B25" s="13">
        <v>1002</v>
      </c>
      <c r="C25" s="96" t="s">
        <v>382</v>
      </c>
      <c r="D25" s="96"/>
      <c r="E25" s="96"/>
      <c r="F25" s="96" t="s">
        <v>383</v>
      </c>
      <c r="G25" s="15" t="s">
        <v>73</v>
      </c>
      <c r="H25" s="15" t="s">
        <v>74</v>
      </c>
      <c r="I25" t="s">
        <v>75</v>
      </c>
      <c r="J25" s="100">
        <v>1</v>
      </c>
      <c r="K25" s="138" t="s">
        <v>627</v>
      </c>
      <c r="L25" s="100"/>
      <c r="M25" t="s">
        <v>383</v>
      </c>
      <c r="N25" t="s">
        <v>76</v>
      </c>
      <c r="O25" s="18"/>
      <c r="P25" s="18"/>
      <c r="Q25" s="97"/>
      <c r="R25" s="97"/>
      <c r="S25" s="97"/>
      <c r="T25" s="97"/>
      <c r="U25" s="97"/>
      <c r="V25" s="97"/>
      <c r="W25" s="97"/>
      <c r="X25" s="51"/>
      <c r="Y25" s="18" t="e">
        <f>AVERAGEIFS([1]!Table2912[DMD '[mg/g']],[1]!Table2912[Substrate ID],Table29128[[#This Row],[Substrate ID]])</f>
        <v>#REF!</v>
      </c>
      <c r="Z25" s="18" t="e">
        <f>AVERAGEIFS([1]!Table2912[CH4 '[ml/g']],[1]!Table2912[Substrate ID],Table29128[[#This Row],[Substrate ID]])</f>
        <v>#REF!</v>
      </c>
      <c r="AA25" s="18" t="e">
        <f>AVERAGEIFS([1]!Table2912[CH4 '[% GP']],[1]!Table2912[Substrate ID],Table29128[[#This Row],[Substrate ID]])</f>
        <v>#REF!</v>
      </c>
      <c r="AB25" s="18" t="e">
        <f>AVERAGEIFS([1]!Table2912[CH4 '[g/g DDM']],[1]!Table2912[Substrate ID],Table29128[[#This Row],[Substrate ID]])</f>
        <v>#REF!</v>
      </c>
      <c r="AC25" s="18" t="e">
        <f>$CP$17*Table29128[[#This Row],[DMD '[mg/g']]]+$CQ$17*Table29128[[#This Row],[CH4 '[g/g DDM']]]</f>
        <v>#REF!</v>
      </c>
      <c r="AD25" s="18" t="e">
        <f>_xlfn.RANK.AVG(Table29128[[#This Row],[Index]],Table29128[Index])</f>
        <v>#REF!</v>
      </c>
      <c r="AE25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25" s="18" t="e">
        <f>Table29128[[#This Row],[CH4 '[ml/g']]]/Table29128[[#This Row],[APB]]</f>
        <v>#REF!</v>
      </c>
      <c r="AG25" s="18" t="e">
        <f>Table29128[[#This Row],[Propionate '[%']]]/Table29128[[#This Row],[Acetate '[%']]]</f>
        <v>#DIV/0!</v>
      </c>
      <c r="AH25" s="51"/>
      <c r="AI25" s="18"/>
      <c r="AJ25" s="18"/>
      <c r="AK25" s="135" t="e">
        <f t="shared" si="4"/>
        <v>#REF!</v>
      </c>
      <c r="AL25" s="18"/>
      <c r="AM25" s="135" t="e">
        <f t="shared" si="5"/>
        <v>#REF!</v>
      </c>
      <c r="AN25" s="135" t="e">
        <f>(Table29128[[#This Row],[CH4 '[g/g DDM']]]-AN$15)/AN$15%</f>
        <v>#REF!</v>
      </c>
      <c r="AO25" s="18"/>
      <c r="AP25" s="18"/>
      <c r="AR25" t="e">
        <f>_xlfn.NORM.DIST(Table29128[[#This Row],[GP '[ml/g']]],O$6,O$2,FALSE)</f>
        <v>#DIV/0!</v>
      </c>
      <c r="AS25" t="e">
        <f>_xlfn.NORM.DIST(Table29128[[#This Row],[SCFA '[mmol/g']]],P$6,P$2,FALSE)</f>
        <v>#DIV/0!</v>
      </c>
      <c r="AT25" t="e">
        <f>_xlfn.NORM.DIST(Table29128[[#This Row],[Acetate '[%']]],Q$6,Q$2,FALSE)</f>
        <v>#DIV/0!</v>
      </c>
      <c r="AU25" t="e">
        <f>_xlfn.NORM.DIST(Table29128[[#This Row],[Propionate '[%']]],R$6,R$2,FALSE)</f>
        <v>#DIV/0!</v>
      </c>
      <c r="AV25" t="e">
        <f>_xlfn.NORM.DIST(Table29128[[#This Row],[Butyrate '[%']]],S$6,S$2,FALSE)</f>
        <v>#DIV/0!</v>
      </c>
      <c r="AW25" t="e">
        <f>_xlfn.NORM.DIST(Table29128[[#This Row],[Valerate '[%']]],T$6,T$2,FALSE)</f>
        <v>#DIV/0!</v>
      </c>
      <c r="AX25" t="e">
        <f>_xlfn.NORM.DIST(Table29128[[#This Row],[Caproate '[%']]],U$6,U$2,FALSE)</f>
        <v>#DIV/0!</v>
      </c>
      <c r="AY25" t="e">
        <f>_xlfn.NORM.DIST(Table29128[[#This Row],[Isobutyrate '[%']]],V$6,V$2,FALSE)</f>
        <v>#DIV/0!</v>
      </c>
      <c r="AZ25" t="e">
        <f>_xlfn.NORM.DIST(Table29128[[#This Row],[Isovalerate '[%']]],W$6,W$2,FALSE)</f>
        <v>#DIV/0!</v>
      </c>
      <c r="BA25" t="e">
        <f>_xlfn.NORM.DIST(Table29128[[#This Row],[CH4 '[g/mmol SCFA']]],X$6,X$2,FALSE)</f>
        <v>#DIV/0!</v>
      </c>
      <c r="BB25" t="e">
        <f>_xlfn.NORM.DIST(Table29128[[#This Row],[DMD '[mg/g']]],Y$6,Y$2,FALSE)</f>
        <v>#REF!</v>
      </c>
      <c r="BC25" t="e">
        <f>_xlfn.NORM.DIST(Table29128[[#This Row],[CH4 '[ml/g']]],Z$6,Z$2,FALSE)</f>
        <v>#REF!</v>
      </c>
      <c r="BD25" t="e">
        <f>_xlfn.NORM.DIST(Table29128[[#This Row],[CH4 '[% GP']]],AA$6,AA$2,FALSE)</f>
        <v>#REF!</v>
      </c>
      <c r="BE25" t="e">
        <f>_xlfn.NORM.DIST(Table29128[[#This Row],[CH4 '[g/g DDM']]],AB$6,AB$2,FALSE)</f>
        <v>#REF!</v>
      </c>
      <c r="BG25">
        <f>IF(Table29128[[#This Row],[GP '[ml/g']]]&lt;O$10,_xlfn.NORM.DIST(Table29128[[#This Row],[GP '[ml/g']]],O$6,O$2,FALSE),-100)</f>
        <v>-100</v>
      </c>
      <c r="BH25">
        <f>IF(Table29128[[#This Row],[SCFA '[mmol/g']]]&lt;P$10,_xlfn.NORM.DIST(Table29128[[#This Row],[SCFA '[mmol/g']]],P$6,P$2,FALSE),-100)</f>
        <v>-100</v>
      </c>
      <c r="BI25">
        <f>IF(Table29128[[#This Row],[Acetate '[%']]]&lt;Q$10,_xlfn.NORM.DIST(Table29128[[#This Row],[Acetate '[%']]],Q$6,Q$2,FALSE),-100)</f>
        <v>-100</v>
      </c>
      <c r="BJ25">
        <f>IF(Table29128[[#This Row],[Propionate '[%']]]&lt;R$10,_xlfn.NORM.DIST(Table29128[[#This Row],[Propionate '[%']]],R$6,R$2,FALSE),-100)</f>
        <v>-100</v>
      </c>
      <c r="BK25">
        <f>IF(Table29128[[#This Row],[Butyrate '[%']]]&lt;S$10,_xlfn.NORM.DIST(Table29128[[#This Row],[Butyrate '[%']]],S$6,S$2,FALSE),-100)</f>
        <v>-100</v>
      </c>
      <c r="BL25">
        <f>IF(Table29128[[#This Row],[Valerate '[%']]]&lt;T$10,_xlfn.NORM.DIST(Table29128[[#This Row],[Valerate '[%']]],T$6,T$2,FALSE),-100)</f>
        <v>-100</v>
      </c>
      <c r="BM25">
        <f>IF(Table29128[[#This Row],[Caproate '[%']]]&lt;U$10,_xlfn.NORM.DIST(Table29128[[#This Row],[Caproate '[%']]],U$6,U$2,FALSE),-100)</f>
        <v>-100</v>
      </c>
      <c r="BN25">
        <f>IF(Table29128[[#This Row],[Isobutyrate '[%']]]&lt;V$10,_xlfn.NORM.DIST(Table29128[[#This Row],[Isobutyrate '[%']]],V$6,V$2,FALSE),-100)</f>
        <v>-100</v>
      </c>
      <c r="BO25">
        <f>IF(Table29128[[#This Row],[Isovalerate '[%']]]&lt;W$10,_xlfn.NORM.DIST(Table29128[[#This Row],[Isovalerate '[%']]],W$6,W$2,FALSE),-100)</f>
        <v>-100</v>
      </c>
      <c r="BP25">
        <f>IF(Table29128[[#This Row],[CH4 '[g/mmol SCFA']]]&lt;X$10,_xlfn.NORM.DIST(Table29128[[#This Row],[CH4 '[g/mmol SCFA']]],X$6,X$2,FALSE),-100)</f>
        <v>-100</v>
      </c>
      <c r="BQ25" t="e">
        <f>IF(Table29128[[#This Row],[DMD '[mg/g']]]&gt;Y$10,_xlfn.NORM.DIST(Table29128[[#This Row],[DMD '[mg/g']]],Y$6,Y$2,FALSE),-100)</f>
        <v>#REF!</v>
      </c>
      <c r="BR25" t="e">
        <f>IF(Table29128[[#This Row],[CH4 '[ml/g']]]&lt;Z$10,_xlfn.NORM.DIST(Table29128[[#This Row],[CH4 '[ml/g']]],Z$6,Z$2,FALSE),-100)</f>
        <v>#REF!</v>
      </c>
      <c r="BS25" t="e">
        <f>IF(Table29128[[#This Row],[CH4 '[% GP']]]&lt;AA$10,_xlfn.NORM.DIST(Table29128[[#This Row],[CH4 '[% GP']]],AA$6,AA$2,FALSE),-100)</f>
        <v>#REF!</v>
      </c>
      <c r="BT25" t="e">
        <f>IF(Table29128[[#This Row],[CH4 '[g/g DDM']]]&lt;AB$10,_xlfn.NORM.DIST(Table29128[[#This Row],[CH4 '[g/g DDM']]],AB$6,AB$2,FALSE),-100)</f>
        <v>#REF!</v>
      </c>
    </row>
    <row r="26" spans="1:97" ht="15" customHeight="1" x14ac:dyDescent="0.25">
      <c r="A26" s="12" t="s">
        <v>200</v>
      </c>
      <c r="B26" s="13">
        <v>1191</v>
      </c>
      <c r="C26" s="113" t="s">
        <v>401</v>
      </c>
      <c r="D26" s="113" t="s">
        <v>402</v>
      </c>
      <c r="E26" s="113" t="s">
        <v>403</v>
      </c>
      <c r="F26" s="113" t="s">
        <v>404</v>
      </c>
      <c r="G26" s="139" t="s">
        <v>405</v>
      </c>
      <c r="H26" s="139" t="s">
        <v>405</v>
      </c>
      <c r="I26" s="53" t="s">
        <v>48</v>
      </c>
      <c r="J26" s="100">
        <v>1</v>
      </c>
      <c r="K26" s="100"/>
      <c r="L26" s="100"/>
      <c r="M26" t="s">
        <v>406</v>
      </c>
      <c r="N26" t="s">
        <v>363</v>
      </c>
      <c r="O26" s="18"/>
      <c r="P26" s="18"/>
      <c r="Q26" s="97"/>
      <c r="R26" s="97"/>
      <c r="S26" s="97"/>
      <c r="T26" s="97"/>
      <c r="U26" s="97"/>
      <c r="V26" s="97"/>
      <c r="W26" s="97"/>
      <c r="X26" s="51"/>
      <c r="Y26" s="18" t="e">
        <f>AVERAGEIFS([1]!Table2912[DMD '[mg/g']],[1]!Table2912[Substrate ID],Table29128[[#This Row],[Substrate ID]])</f>
        <v>#REF!</v>
      </c>
      <c r="Z26" s="18" t="e">
        <f>AVERAGEIFS([1]!Table2912[CH4 '[ml/g']],[1]!Table2912[Substrate ID],Table29128[[#This Row],[Substrate ID]])</f>
        <v>#REF!</v>
      </c>
      <c r="AA26" s="18" t="e">
        <f>AVERAGEIFS([1]!Table2912[CH4 '[% GP']],[1]!Table2912[Substrate ID],Table29128[[#This Row],[Substrate ID]])</f>
        <v>#REF!</v>
      </c>
      <c r="AB26" s="18" t="e">
        <f>AVERAGEIFS([1]!Table2912[CH4 '[g/g DDM']],[1]!Table2912[Substrate ID],Table29128[[#This Row],[Substrate ID]])</f>
        <v>#REF!</v>
      </c>
      <c r="AC26" s="18" t="e">
        <f>$CP$17*Table29128[[#This Row],[DMD '[mg/g']]]+$CQ$17*Table29128[[#This Row],[CH4 '[g/g DDM']]]</f>
        <v>#REF!</v>
      </c>
      <c r="AD26" s="18" t="e">
        <f>_xlfn.RANK.AVG(Table29128[[#This Row],[Index]],Table29128[Index])</f>
        <v>#REF!</v>
      </c>
      <c r="AE26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26" s="18" t="e">
        <f>Table29128[[#This Row],[CH4 '[ml/g']]]/Table29128[[#This Row],[APB]]</f>
        <v>#REF!</v>
      </c>
      <c r="AG26" s="18" t="e">
        <f>Table29128[[#This Row],[Propionate '[%']]]/Table29128[[#This Row],[Acetate '[%']]]</f>
        <v>#DIV/0!</v>
      </c>
      <c r="AH26" s="51"/>
      <c r="AI26" s="18"/>
      <c r="AJ26" s="18"/>
      <c r="AK26" s="135" t="e">
        <f t="shared" si="4"/>
        <v>#REF!</v>
      </c>
      <c r="AL26" s="18"/>
      <c r="AM26" s="135" t="e">
        <f t="shared" si="5"/>
        <v>#REF!</v>
      </c>
      <c r="AN26" s="135" t="e">
        <f>(Table29128[[#This Row],[CH4 '[g/g DDM']]]-AN$15)/AN$15%</f>
        <v>#REF!</v>
      </c>
      <c r="AO26" s="18"/>
      <c r="AP26" s="18"/>
      <c r="AR26" t="e">
        <f>_xlfn.NORM.DIST(Table29128[[#This Row],[GP '[ml/g']]],O$6,O$2,FALSE)</f>
        <v>#DIV/0!</v>
      </c>
      <c r="AS26" t="e">
        <f>_xlfn.NORM.DIST(Table29128[[#This Row],[SCFA '[mmol/g']]],P$6,P$2,FALSE)</f>
        <v>#DIV/0!</v>
      </c>
      <c r="AT26" t="e">
        <f>_xlfn.NORM.DIST(Table29128[[#This Row],[Acetate '[%']]],Q$6,Q$2,FALSE)</f>
        <v>#DIV/0!</v>
      </c>
      <c r="AU26" t="e">
        <f>_xlfn.NORM.DIST(Table29128[[#This Row],[Propionate '[%']]],R$6,R$2,FALSE)</f>
        <v>#DIV/0!</v>
      </c>
      <c r="AV26" t="e">
        <f>_xlfn.NORM.DIST(Table29128[[#This Row],[Butyrate '[%']]],S$6,S$2,FALSE)</f>
        <v>#DIV/0!</v>
      </c>
      <c r="AW26" t="e">
        <f>_xlfn.NORM.DIST(Table29128[[#This Row],[Valerate '[%']]],T$6,T$2,FALSE)</f>
        <v>#DIV/0!</v>
      </c>
      <c r="AX26" t="e">
        <f>_xlfn.NORM.DIST(Table29128[[#This Row],[Caproate '[%']]],U$6,U$2,FALSE)</f>
        <v>#DIV/0!</v>
      </c>
      <c r="AY26" t="e">
        <f>_xlfn.NORM.DIST(Table29128[[#This Row],[Isobutyrate '[%']]],V$6,V$2,FALSE)</f>
        <v>#DIV/0!</v>
      </c>
      <c r="AZ26" t="e">
        <f>_xlfn.NORM.DIST(Table29128[[#This Row],[Isovalerate '[%']]],W$6,W$2,FALSE)</f>
        <v>#DIV/0!</v>
      </c>
      <c r="BA26" t="e">
        <f>_xlfn.NORM.DIST(Table29128[[#This Row],[CH4 '[g/mmol SCFA']]],X$6,X$2,FALSE)</f>
        <v>#DIV/0!</v>
      </c>
      <c r="BB26" t="e">
        <f>_xlfn.NORM.DIST(Table29128[[#This Row],[DMD '[mg/g']]],Y$6,Y$2,FALSE)</f>
        <v>#REF!</v>
      </c>
      <c r="BC26" t="e">
        <f>_xlfn.NORM.DIST(Table29128[[#This Row],[CH4 '[ml/g']]],Z$6,Z$2,FALSE)</f>
        <v>#REF!</v>
      </c>
      <c r="BD26" t="e">
        <f>_xlfn.NORM.DIST(Table29128[[#This Row],[CH4 '[% GP']]],AA$6,AA$2,FALSE)</f>
        <v>#REF!</v>
      </c>
      <c r="BE26" t="e">
        <f>_xlfn.NORM.DIST(Table29128[[#This Row],[CH4 '[g/g DDM']]],AB$6,AB$2,FALSE)</f>
        <v>#REF!</v>
      </c>
      <c r="BG26">
        <f>IF(Table29128[[#This Row],[GP '[ml/g']]]&lt;O$10,_xlfn.NORM.DIST(Table29128[[#This Row],[GP '[ml/g']]],O$6,O$2,FALSE),-100)</f>
        <v>-100</v>
      </c>
      <c r="BH26">
        <f>IF(Table29128[[#This Row],[SCFA '[mmol/g']]]&lt;P$10,_xlfn.NORM.DIST(Table29128[[#This Row],[SCFA '[mmol/g']]],P$6,P$2,FALSE),-100)</f>
        <v>-100</v>
      </c>
      <c r="BI26">
        <f>IF(Table29128[[#This Row],[Acetate '[%']]]&lt;Q$10,_xlfn.NORM.DIST(Table29128[[#This Row],[Acetate '[%']]],Q$6,Q$2,FALSE),-100)</f>
        <v>-100</v>
      </c>
      <c r="BJ26">
        <f>IF(Table29128[[#This Row],[Propionate '[%']]]&lt;R$10,_xlfn.NORM.DIST(Table29128[[#This Row],[Propionate '[%']]],R$6,R$2,FALSE),-100)</f>
        <v>-100</v>
      </c>
      <c r="BK26">
        <f>IF(Table29128[[#This Row],[Butyrate '[%']]]&lt;S$10,_xlfn.NORM.DIST(Table29128[[#This Row],[Butyrate '[%']]],S$6,S$2,FALSE),-100)</f>
        <v>-100</v>
      </c>
      <c r="BL26">
        <f>IF(Table29128[[#This Row],[Valerate '[%']]]&lt;T$10,_xlfn.NORM.DIST(Table29128[[#This Row],[Valerate '[%']]],T$6,T$2,FALSE),-100)</f>
        <v>-100</v>
      </c>
      <c r="BM26">
        <f>IF(Table29128[[#This Row],[Caproate '[%']]]&lt;U$10,_xlfn.NORM.DIST(Table29128[[#This Row],[Caproate '[%']]],U$6,U$2,FALSE),-100)</f>
        <v>-100</v>
      </c>
      <c r="BN26">
        <f>IF(Table29128[[#This Row],[Isobutyrate '[%']]]&lt;V$10,_xlfn.NORM.DIST(Table29128[[#This Row],[Isobutyrate '[%']]],V$6,V$2,FALSE),-100)</f>
        <v>-100</v>
      </c>
      <c r="BO26">
        <f>IF(Table29128[[#This Row],[Isovalerate '[%']]]&lt;W$10,_xlfn.NORM.DIST(Table29128[[#This Row],[Isovalerate '[%']]],W$6,W$2,FALSE),-100)</f>
        <v>-100</v>
      </c>
      <c r="BP26">
        <f>IF(Table29128[[#This Row],[CH4 '[g/mmol SCFA']]]&lt;X$10,_xlfn.NORM.DIST(Table29128[[#This Row],[CH4 '[g/mmol SCFA']]],X$6,X$2,FALSE),-100)</f>
        <v>-100</v>
      </c>
      <c r="BQ26" t="e">
        <f>IF(Table29128[[#This Row],[DMD '[mg/g']]]&gt;Y$10,_xlfn.NORM.DIST(Table29128[[#This Row],[DMD '[mg/g']]],Y$6,Y$2,FALSE),-100)</f>
        <v>#REF!</v>
      </c>
      <c r="BR26" t="e">
        <f>IF(Table29128[[#This Row],[CH4 '[ml/g']]]&lt;Z$10,_xlfn.NORM.DIST(Table29128[[#This Row],[CH4 '[ml/g']]],Z$6,Z$2,FALSE),-100)</f>
        <v>#REF!</v>
      </c>
      <c r="BS26" t="e">
        <f>IF(Table29128[[#This Row],[CH4 '[% GP']]]&lt;AA$10,_xlfn.NORM.DIST(Table29128[[#This Row],[CH4 '[% GP']]],AA$6,AA$2,FALSE),-100)</f>
        <v>#REF!</v>
      </c>
      <c r="BT26" t="e">
        <f>IF(Table29128[[#This Row],[CH4 '[g/g DDM']]]&lt;AB$10,_xlfn.NORM.DIST(Table29128[[#This Row],[CH4 '[g/g DDM']]],AB$6,AB$2,FALSE),-100)</f>
        <v>#REF!</v>
      </c>
      <c r="CP26" s="136">
        <v>133.05398213681681</v>
      </c>
      <c r="CQ26" s="136">
        <v>-20.740271741933018</v>
      </c>
      <c r="CR26" s="136">
        <v>-4.7785565529093486</v>
      </c>
      <c r="CS26" s="136">
        <v>-21.884396757167082</v>
      </c>
    </row>
    <row r="27" spans="1:97" x14ac:dyDescent="0.25">
      <c r="A27" s="12" t="s">
        <v>86</v>
      </c>
      <c r="B27" s="13">
        <v>1081</v>
      </c>
      <c r="C27" s="104" t="s">
        <v>292</v>
      </c>
      <c r="D27" s="104" t="s">
        <v>293</v>
      </c>
      <c r="E27" s="104" t="s">
        <v>294</v>
      </c>
      <c r="F27" s="104" t="s">
        <v>295</v>
      </c>
      <c r="G27" s="23" t="s">
        <v>143</v>
      </c>
      <c r="H27" s="23" t="s">
        <v>144</v>
      </c>
      <c r="I27" s="32" t="s">
        <v>52</v>
      </c>
      <c r="J27" s="100">
        <v>1</v>
      </c>
      <c r="K27" s="100"/>
      <c r="L27" s="100"/>
      <c r="M27" t="s">
        <v>295</v>
      </c>
      <c r="N27" t="s">
        <v>124</v>
      </c>
      <c r="O27" s="18"/>
      <c r="P27" s="18"/>
      <c r="Q27" s="97"/>
      <c r="R27" s="97"/>
      <c r="S27" s="97"/>
      <c r="T27" s="97"/>
      <c r="U27" s="97"/>
      <c r="V27" s="97"/>
      <c r="W27" s="97"/>
      <c r="X27" s="51"/>
      <c r="Y27" s="18" t="e">
        <f>AVERAGEIFS([1]!Table2912[DMD '[mg/g']],[1]!Table2912[Substrate ID],Table29128[[#This Row],[Substrate ID]])</f>
        <v>#REF!</v>
      </c>
      <c r="Z27" s="18" t="e">
        <f>AVERAGEIFS([1]!Table2912[CH4 '[ml/g']],[1]!Table2912[Substrate ID],Table29128[[#This Row],[Substrate ID]])</f>
        <v>#REF!</v>
      </c>
      <c r="AA27" s="18" t="e">
        <f>AVERAGEIFS([1]!Table2912[CH4 '[% GP']],[1]!Table2912[Substrate ID],Table29128[[#This Row],[Substrate ID]])</f>
        <v>#REF!</v>
      </c>
      <c r="AB27" s="18" t="e">
        <f>AVERAGEIFS([1]!Table2912[CH4 '[g/g DDM']],[1]!Table2912[Substrate ID],Table29128[[#This Row],[Substrate ID]])</f>
        <v>#REF!</v>
      </c>
      <c r="AC27" s="18" t="e">
        <f>$CP$17*Table29128[[#This Row],[DMD '[mg/g']]]+$CQ$17*Table29128[[#This Row],[CH4 '[g/g DDM']]]</f>
        <v>#REF!</v>
      </c>
      <c r="AD27" s="18" t="e">
        <f>_xlfn.RANK.AVG(Table29128[[#This Row],[Index]],Table29128[Index])</f>
        <v>#REF!</v>
      </c>
      <c r="AE27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27" s="18" t="e">
        <f>Table29128[[#This Row],[CH4 '[ml/g']]]/Table29128[[#This Row],[APB]]</f>
        <v>#REF!</v>
      </c>
      <c r="AG27" s="18" t="e">
        <f>Table29128[[#This Row],[Propionate '[%']]]/Table29128[[#This Row],[Acetate '[%']]]</f>
        <v>#DIV/0!</v>
      </c>
      <c r="AH27" s="51"/>
      <c r="AI27" s="18"/>
      <c r="AJ27" s="18"/>
      <c r="AK27" s="135" t="e">
        <f t="shared" si="4"/>
        <v>#REF!</v>
      </c>
      <c r="AL27" s="18"/>
      <c r="AM27" s="135" t="e">
        <f t="shared" si="5"/>
        <v>#REF!</v>
      </c>
      <c r="AN27" s="135" t="e">
        <f>(Table29128[[#This Row],[CH4 '[g/g DDM']]]-AN$15)/AN$15%</f>
        <v>#REF!</v>
      </c>
      <c r="AO27" s="18"/>
      <c r="AP27" s="18"/>
      <c r="AR27" t="e">
        <f>_xlfn.NORM.DIST(Table29128[[#This Row],[GP '[ml/g']]],O$6,O$2,FALSE)</f>
        <v>#DIV/0!</v>
      </c>
      <c r="AS27" t="e">
        <f>_xlfn.NORM.DIST(Table29128[[#This Row],[SCFA '[mmol/g']]],P$6,P$2,FALSE)</f>
        <v>#DIV/0!</v>
      </c>
      <c r="AT27" t="e">
        <f>_xlfn.NORM.DIST(Table29128[[#This Row],[Acetate '[%']]],Q$6,Q$2,FALSE)</f>
        <v>#DIV/0!</v>
      </c>
      <c r="AU27" t="e">
        <f>_xlfn.NORM.DIST(Table29128[[#This Row],[Propionate '[%']]],R$6,R$2,FALSE)</f>
        <v>#DIV/0!</v>
      </c>
      <c r="AV27" t="e">
        <f>_xlfn.NORM.DIST(Table29128[[#This Row],[Butyrate '[%']]],S$6,S$2,FALSE)</f>
        <v>#DIV/0!</v>
      </c>
      <c r="AW27" t="e">
        <f>_xlfn.NORM.DIST(Table29128[[#This Row],[Valerate '[%']]],T$6,T$2,FALSE)</f>
        <v>#DIV/0!</v>
      </c>
      <c r="AX27" t="e">
        <f>_xlfn.NORM.DIST(Table29128[[#This Row],[Caproate '[%']]],U$6,U$2,FALSE)</f>
        <v>#DIV/0!</v>
      </c>
      <c r="AY27" t="e">
        <f>_xlfn.NORM.DIST(Table29128[[#This Row],[Isobutyrate '[%']]],V$6,V$2,FALSE)</f>
        <v>#DIV/0!</v>
      </c>
      <c r="AZ27" t="e">
        <f>_xlfn.NORM.DIST(Table29128[[#This Row],[Isovalerate '[%']]],W$6,W$2,FALSE)</f>
        <v>#DIV/0!</v>
      </c>
      <c r="BA27" t="e">
        <f>_xlfn.NORM.DIST(Table29128[[#This Row],[CH4 '[g/mmol SCFA']]],X$6,X$2,FALSE)</f>
        <v>#DIV/0!</v>
      </c>
      <c r="BB27" t="e">
        <f>_xlfn.NORM.DIST(Table29128[[#This Row],[DMD '[mg/g']]],Y$6,Y$2,FALSE)</f>
        <v>#REF!</v>
      </c>
      <c r="BC27" t="e">
        <f>_xlfn.NORM.DIST(Table29128[[#This Row],[CH4 '[ml/g']]],Z$6,Z$2,FALSE)</f>
        <v>#REF!</v>
      </c>
      <c r="BD27" t="e">
        <f>_xlfn.NORM.DIST(Table29128[[#This Row],[CH4 '[% GP']]],AA$6,AA$2,FALSE)</f>
        <v>#REF!</v>
      </c>
      <c r="BE27" t="e">
        <f>_xlfn.NORM.DIST(Table29128[[#This Row],[CH4 '[g/g DDM']]],AB$6,AB$2,FALSE)</f>
        <v>#REF!</v>
      </c>
      <c r="BG27">
        <f>IF(Table29128[[#This Row],[GP '[ml/g']]]&lt;O$10,_xlfn.NORM.DIST(Table29128[[#This Row],[GP '[ml/g']]],O$6,O$2,FALSE),-100)</f>
        <v>-100</v>
      </c>
      <c r="BH27">
        <f>IF(Table29128[[#This Row],[SCFA '[mmol/g']]]&lt;P$10,_xlfn.NORM.DIST(Table29128[[#This Row],[SCFA '[mmol/g']]],P$6,P$2,FALSE),-100)</f>
        <v>-100</v>
      </c>
      <c r="BI27">
        <f>IF(Table29128[[#This Row],[Acetate '[%']]]&lt;Q$10,_xlfn.NORM.DIST(Table29128[[#This Row],[Acetate '[%']]],Q$6,Q$2,FALSE),-100)</f>
        <v>-100</v>
      </c>
      <c r="BJ27">
        <f>IF(Table29128[[#This Row],[Propionate '[%']]]&lt;R$10,_xlfn.NORM.DIST(Table29128[[#This Row],[Propionate '[%']]],R$6,R$2,FALSE),-100)</f>
        <v>-100</v>
      </c>
      <c r="BK27">
        <f>IF(Table29128[[#This Row],[Butyrate '[%']]]&lt;S$10,_xlfn.NORM.DIST(Table29128[[#This Row],[Butyrate '[%']]],S$6,S$2,FALSE),-100)</f>
        <v>-100</v>
      </c>
      <c r="BL27">
        <f>IF(Table29128[[#This Row],[Valerate '[%']]]&lt;T$10,_xlfn.NORM.DIST(Table29128[[#This Row],[Valerate '[%']]],T$6,T$2,FALSE),-100)</f>
        <v>-100</v>
      </c>
      <c r="BM27">
        <f>IF(Table29128[[#This Row],[Caproate '[%']]]&lt;U$10,_xlfn.NORM.DIST(Table29128[[#This Row],[Caproate '[%']]],U$6,U$2,FALSE),-100)</f>
        <v>-100</v>
      </c>
      <c r="BN27">
        <f>IF(Table29128[[#This Row],[Isobutyrate '[%']]]&lt;V$10,_xlfn.NORM.DIST(Table29128[[#This Row],[Isobutyrate '[%']]],V$6,V$2,FALSE),-100)</f>
        <v>-100</v>
      </c>
      <c r="BO27">
        <f>IF(Table29128[[#This Row],[Isovalerate '[%']]]&lt;W$10,_xlfn.NORM.DIST(Table29128[[#This Row],[Isovalerate '[%']]],W$6,W$2,FALSE),-100)</f>
        <v>-100</v>
      </c>
      <c r="BP27">
        <f>IF(Table29128[[#This Row],[CH4 '[g/mmol SCFA']]]&lt;X$10,_xlfn.NORM.DIST(Table29128[[#This Row],[CH4 '[g/mmol SCFA']]],X$6,X$2,FALSE),-100)</f>
        <v>-100</v>
      </c>
      <c r="BQ27" t="e">
        <f>IF(Table29128[[#This Row],[DMD '[mg/g']]]&gt;Y$10,_xlfn.NORM.DIST(Table29128[[#This Row],[DMD '[mg/g']]],Y$6,Y$2,FALSE),-100)</f>
        <v>#REF!</v>
      </c>
      <c r="BR27" t="e">
        <f>IF(Table29128[[#This Row],[CH4 '[ml/g']]]&lt;Z$10,_xlfn.NORM.DIST(Table29128[[#This Row],[CH4 '[ml/g']]],Z$6,Z$2,FALSE),-100)</f>
        <v>#REF!</v>
      </c>
      <c r="BS27" t="e">
        <f>IF(Table29128[[#This Row],[CH4 '[% GP']]]&lt;AA$10,_xlfn.NORM.DIST(Table29128[[#This Row],[CH4 '[% GP']]],AA$6,AA$2,FALSE),-100)</f>
        <v>#REF!</v>
      </c>
      <c r="BT27" t="e">
        <f>IF(Table29128[[#This Row],[CH4 '[g/g DDM']]]&lt;AB$10,_xlfn.NORM.DIST(Table29128[[#This Row],[CH4 '[g/g DDM']]],AB$6,AB$2,FALSE),-100)</f>
        <v>#REF!</v>
      </c>
      <c r="CP27" s="136">
        <v>0.334594052263821</v>
      </c>
      <c r="CQ27" s="136">
        <v>-6.4198240381911216</v>
      </c>
      <c r="CR27" s="136">
        <v>-0.93766853328921573</v>
      </c>
      <c r="CS27" s="136">
        <v>4.8542057689123546</v>
      </c>
    </row>
    <row r="28" spans="1:97" x14ac:dyDescent="0.25">
      <c r="A28" s="12" t="s">
        <v>86</v>
      </c>
      <c r="B28" s="13">
        <v>1047</v>
      </c>
      <c r="C28" s="104" t="s">
        <v>183</v>
      </c>
      <c r="D28" s="104" t="s">
        <v>184</v>
      </c>
      <c r="E28" s="104" t="s">
        <v>185</v>
      </c>
      <c r="F28" s="104" t="s">
        <v>186</v>
      </c>
      <c r="G28" s="23" t="s">
        <v>73</v>
      </c>
      <c r="H28" s="23" t="s">
        <v>74</v>
      </c>
      <c r="I28" s="104" t="s">
        <v>44</v>
      </c>
      <c r="J28" s="100">
        <v>1</v>
      </c>
      <c r="K28" s="100"/>
      <c r="L28" s="100"/>
      <c r="M28" t="s">
        <v>186</v>
      </c>
      <c r="N28" t="s">
        <v>84</v>
      </c>
      <c r="O28" s="18"/>
      <c r="P28" s="18"/>
      <c r="Q28" s="97"/>
      <c r="R28" s="97"/>
      <c r="S28" s="97"/>
      <c r="T28" s="97"/>
      <c r="U28" s="97"/>
      <c r="V28" s="97"/>
      <c r="W28" s="97"/>
      <c r="X28" s="51"/>
      <c r="Y28" s="18" t="e">
        <f>AVERAGEIFS([1]!Table2912[DMD '[mg/g']],[1]!Table2912[Substrate ID],Table29128[[#This Row],[Substrate ID]])</f>
        <v>#REF!</v>
      </c>
      <c r="Z28" s="18" t="e">
        <f>AVERAGEIFS([1]!Table2912[CH4 '[ml/g']],[1]!Table2912[Substrate ID],Table29128[[#This Row],[Substrate ID]])</f>
        <v>#REF!</v>
      </c>
      <c r="AA28" s="18" t="e">
        <f>AVERAGEIFS([1]!Table2912[CH4 '[% GP']],[1]!Table2912[Substrate ID],Table29128[[#This Row],[Substrate ID]])</f>
        <v>#REF!</v>
      </c>
      <c r="AB28" s="18" t="e">
        <f>AVERAGEIFS([1]!Table2912[CH4 '[g/g DDM']],[1]!Table2912[Substrate ID],Table29128[[#This Row],[Substrate ID]])</f>
        <v>#REF!</v>
      </c>
      <c r="AC28" s="18" t="e">
        <f>$CP$17*Table29128[[#This Row],[DMD '[mg/g']]]+$CQ$17*Table29128[[#This Row],[CH4 '[g/g DDM']]]</f>
        <v>#REF!</v>
      </c>
      <c r="AD28" s="18" t="e">
        <f>_xlfn.RANK.AVG(Table29128[[#This Row],[Index]],Table29128[Index])</f>
        <v>#REF!</v>
      </c>
      <c r="AE28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28" s="18" t="e">
        <f>Table29128[[#This Row],[CH4 '[ml/g']]]/Table29128[[#This Row],[APB]]</f>
        <v>#REF!</v>
      </c>
      <c r="AG28" s="18" t="e">
        <f>Table29128[[#This Row],[Propionate '[%']]]/Table29128[[#This Row],[Acetate '[%']]]</f>
        <v>#DIV/0!</v>
      </c>
      <c r="AH28" s="51"/>
      <c r="AI28" s="18"/>
      <c r="AJ28" s="18"/>
      <c r="AK28" s="135" t="e">
        <f t="shared" si="4"/>
        <v>#REF!</v>
      </c>
      <c r="AL28" s="18"/>
      <c r="AM28" s="135" t="e">
        <f t="shared" si="5"/>
        <v>#REF!</v>
      </c>
      <c r="AN28" s="135" t="e">
        <f>(Table29128[[#This Row],[CH4 '[g/g DDM']]]-AN$15)/AN$15%</f>
        <v>#REF!</v>
      </c>
      <c r="AO28" s="18"/>
      <c r="AP28" s="18"/>
      <c r="AR28" t="e">
        <f>_xlfn.NORM.DIST(Table29128[[#This Row],[GP '[ml/g']]],O$6,O$2,FALSE)</f>
        <v>#DIV/0!</v>
      </c>
      <c r="AS28" t="e">
        <f>_xlfn.NORM.DIST(Table29128[[#This Row],[SCFA '[mmol/g']]],P$6,P$2,FALSE)</f>
        <v>#DIV/0!</v>
      </c>
      <c r="AT28" t="e">
        <f>_xlfn.NORM.DIST(Table29128[[#This Row],[Acetate '[%']]],Q$6,Q$2,FALSE)</f>
        <v>#DIV/0!</v>
      </c>
      <c r="AU28" t="e">
        <f>_xlfn.NORM.DIST(Table29128[[#This Row],[Propionate '[%']]],R$6,R$2,FALSE)</f>
        <v>#DIV/0!</v>
      </c>
      <c r="AV28" t="e">
        <f>_xlfn.NORM.DIST(Table29128[[#This Row],[Butyrate '[%']]],S$6,S$2,FALSE)</f>
        <v>#DIV/0!</v>
      </c>
      <c r="AW28" t="e">
        <f>_xlfn.NORM.DIST(Table29128[[#This Row],[Valerate '[%']]],T$6,T$2,FALSE)</f>
        <v>#DIV/0!</v>
      </c>
      <c r="AX28" t="e">
        <f>_xlfn.NORM.DIST(Table29128[[#This Row],[Caproate '[%']]],U$6,U$2,FALSE)</f>
        <v>#DIV/0!</v>
      </c>
      <c r="AY28" t="e">
        <f>_xlfn.NORM.DIST(Table29128[[#This Row],[Isobutyrate '[%']]],V$6,V$2,FALSE)</f>
        <v>#DIV/0!</v>
      </c>
      <c r="AZ28" t="e">
        <f>_xlfn.NORM.DIST(Table29128[[#This Row],[Isovalerate '[%']]],W$6,W$2,FALSE)</f>
        <v>#DIV/0!</v>
      </c>
      <c r="BA28" t="e">
        <f>_xlfn.NORM.DIST(Table29128[[#This Row],[CH4 '[g/mmol SCFA']]],X$6,X$2,FALSE)</f>
        <v>#DIV/0!</v>
      </c>
      <c r="BB28" t="e">
        <f>_xlfn.NORM.DIST(Table29128[[#This Row],[DMD '[mg/g']]],Y$6,Y$2,FALSE)</f>
        <v>#REF!</v>
      </c>
      <c r="BC28" t="e">
        <f>_xlfn.NORM.DIST(Table29128[[#This Row],[CH4 '[ml/g']]],Z$6,Z$2,FALSE)</f>
        <v>#REF!</v>
      </c>
      <c r="BD28" t="e">
        <f>_xlfn.NORM.DIST(Table29128[[#This Row],[CH4 '[% GP']]],AA$6,AA$2,FALSE)</f>
        <v>#REF!</v>
      </c>
      <c r="BE28" t="e">
        <f>_xlfn.NORM.DIST(Table29128[[#This Row],[CH4 '[g/g DDM']]],AB$6,AB$2,FALSE)</f>
        <v>#REF!</v>
      </c>
      <c r="BG28">
        <f>IF(Table29128[[#This Row],[GP '[ml/g']]]&lt;O$10,_xlfn.NORM.DIST(Table29128[[#This Row],[GP '[ml/g']]],O$6,O$2,FALSE),-100)</f>
        <v>-100</v>
      </c>
      <c r="BH28">
        <f>IF(Table29128[[#This Row],[SCFA '[mmol/g']]]&lt;P$10,_xlfn.NORM.DIST(Table29128[[#This Row],[SCFA '[mmol/g']]],P$6,P$2,FALSE),-100)</f>
        <v>-100</v>
      </c>
      <c r="BI28">
        <f>IF(Table29128[[#This Row],[Acetate '[%']]]&lt;Q$10,_xlfn.NORM.DIST(Table29128[[#This Row],[Acetate '[%']]],Q$6,Q$2,FALSE),-100)</f>
        <v>-100</v>
      </c>
      <c r="BJ28">
        <f>IF(Table29128[[#This Row],[Propionate '[%']]]&lt;R$10,_xlfn.NORM.DIST(Table29128[[#This Row],[Propionate '[%']]],R$6,R$2,FALSE),-100)</f>
        <v>-100</v>
      </c>
      <c r="BK28">
        <f>IF(Table29128[[#This Row],[Butyrate '[%']]]&lt;S$10,_xlfn.NORM.DIST(Table29128[[#This Row],[Butyrate '[%']]],S$6,S$2,FALSE),-100)</f>
        <v>-100</v>
      </c>
      <c r="BL28">
        <f>IF(Table29128[[#This Row],[Valerate '[%']]]&lt;T$10,_xlfn.NORM.DIST(Table29128[[#This Row],[Valerate '[%']]],T$6,T$2,FALSE),-100)</f>
        <v>-100</v>
      </c>
      <c r="BM28">
        <f>IF(Table29128[[#This Row],[Caproate '[%']]]&lt;U$10,_xlfn.NORM.DIST(Table29128[[#This Row],[Caproate '[%']]],U$6,U$2,FALSE),-100)</f>
        <v>-100</v>
      </c>
      <c r="BN28">
        <f>IF(Table29128[[#This Row],[Isobutyrate '[%']]]&lt;V$10,_xlfn.NORM.DIST(Table29128[[#This Row],[Isobutyrate '[%']]],V$6,V$2,FALSE),-100)</f>
        <v>-100</v>
      </c>
      <c r="BO28">
        <f>IF(Table29128[[#This Row],[Isovalerate '[%']]]&lt;W$10,_xlfn.NORM.DIST(Table29128[[#This Row],[Isovalerate '[%']]],W$6,W$2,FALSE),-100)</f>
        <v>-100</v>
      </c>
      <c r="BP28">
        <f>IF(Table29128[[#This Row],[CH4 '[g/mmol SCFA']]]&lt;X$10,_xlfn.NORM.DIST(Table29128[[#This Row],[CH4 '[g/mmol SCFA']]],X$6,X$2,FALSE),-100)</f>
        <v>-100</v>
      </c>
      <c r="BQ28" t="e">
        <f>IF(Table29128[[#This Row],[DMD '[mg/g']]]&gt;Y$10,_xlfn.NORM.DIST(Table29128[[#This Row],[DMD '[mg/g']]],Y$6,Y$2,FALSE),-100)</f>
        <v>#REF!</v>
      </c>
      <c r="BR28" t="e">
        <f>IF(Table29128[[#This Row],[CH4 '[ml/g']]]&lt;Z$10,_xlfn.NORM.DIST(Table29128[[#This Row],[CH4 '[ml/g']]],Z$6,Z$2,FALSE),-100)</f>
        <v>#REF!</v>
      </c>
      <c r="BS28" t="e">
        <f>IF(Table29128[[#This Row],[CH4 '[% GP']]]&lt;AA$10,_xlfn.NORM.DIST(Table29128[[#This Row],[CH4 '[% GP']]],AA$6,AA$2,FALSE),-100)</f>
        <v>#REF!</v>
      </c>
      <c r="BT28" t="e">
        <f>IF(Table29128[[#This Row],[CH4 '[g/g DDM']]]&lt;AB$10,_xlfn.NORM.DIST(Table29128[[#This Row],[CH4 '[g/g DDM']]],AB$6,AB$2,FALSE),-100)</f>
        <v>#REF!</v>
      </c>
      <c r="CP28" s="136">
        <v>1.7558273308142913E-2</v>
      </c>
      <c r="CQ28" s="136">
        <v>-0.1090472535251848</v>
      </c>
      <c r="CR28" s="136">
        <v>-0.77690806164587856</v>
      </c>
      <c r="CS28" s="136"/>
    </row>
    <row r="29" spans="1:97" ht="30" x14ac:dyDescent="0.25">
      <c r="A29" s="12" t="s">
        <v>200</v>
      </c>
      <c r="B29" s="13">
        <v>1185</v>
      </c>
      <c r="C29" s="113" t="s">
        <v>609</v>
      </c>
      <c r="D29" s="113" t="s">
        <v>610</v>
      </c>
      <c r="E29" s="113" t="s">
        <v>611</v>
      </c>
      <c r="F29" s="113" t="s">
        <v>612</v>
      </c>
      <c r="G29" s="139" t="s">
        <v>613</v>
      </c>
      <c r="H29" s="140" t="s">
        <v>317</v>
      </c>
      <c r="I29" s="53" t="s">
        <v>48</v>
      </c>
      <c r="J29" s="100">
        <v>1</v>
      </c>
      <c r="K29" s="100"/>
      <c r="L29" s="100"/>
      <c r="M29" t="s">
        <v>614</v>
      </c>
      <c r="N29" t="s">
        <v>363</v>
      </c>
      <c r="O29" s="18"/>
      <c r="P29" s="18"/>
      <c r="Q29" s="97"/>
      <c r="R29" s="97"/>
      <c r="S29" s="97"/>
      <c r="T29" s="97"/>
      <c r="U29" s="97"/>
      <c r="V29" s="97"/>
      <c r="W29" s="97"/>
      <c r="X29" s="51"/>
      <c r="Y29" s="18" t="e">
        <f>AVERAGEIFS([1]!Table2912[DMD '[mg/g']],[1]!Table2912[Substrate ID],Table29128[[#This Row],[Substrate ID]])</f>
        <v>#REF!</v>
      </c>
      <c r="Z29" s="18" t="e">
        <f>AVERAGEIFS([1]!Table2912[CH4 '[ml/g']],[1]!Table2912[Substrate ID],Table29128[[#This Row],[Substrate ID]])</f>
        <v>#REF!</v>
      </c>
      <c r="AA29" s="18" t="e">
        <f>AVERAGEIFS([1]!Table2912[CH4 '[% GP']],[1]!Table2912[Substrate ID],Table29128[[#This Row],[Substrate ID]])</f>
        <v>#REF!</v>
      </c>
      <c r="AB29" s="18" t="e">
        <f>AVERAGEIFS([1]!Table2912[CH4 '[g/g DDM']],[1]!Table2912[Substrate ID],Table29128[[#This Row],[Substrate ID]])</f>
        <v>#REF!</v>
      </c>
      <c r="AC29" s="18" t="e">
        <f>$CP$17*Table29128[[#This Row],[DMD '[mg/g']]]+$CQ$17*Table29128[[#This Row],[CH4 '[g/g DDM']]]</f>
        <v>#REF!</v>
      </c>
      <c r="AD29" s="18" t="e">
        <f>_xlfn.RANK.AVG(Table29128[[#This Row],[Index]],Table29128[Index])</f>
        <v>#REF!</v>
      </c>
      <c r="AE29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29" s="18" t="e">
        <f>Table29128[[#This Row],[CH4 '[ml/g']]]/Table29128[[#This Row],[APB]]</f>
        <v>#REF!</v>
      </c>
      <c r="AG29" s="18" t="e">
        <f>Table29128[[#This Row],[Propionate '[%']]]/Table29128[[#This Row],[Acetate '[%']]]</f>
        <v>#DIV/0!</v>
      </c>
      <c r="AH29" s="51"/>
      <c r="AI29" s="18"/>
      <c r="AJ29" s="18"/>
      <c r="AK29" s="135" t="e">
        <f t="shared" si="4"/>
        <v>#REF!</v>
      </c>
      <c r="AL29" s="18"/>
      <c r="AM29" s="135" t="e">
        <f t="shared" si="5"/>
        <v>#REF!</v>
      </c>
      <c r="AN29" s="135" t="e">
        <f>(Table29128[[#This Row],[CH4 '[g/g DDM']]]-AN$15)/AN$15%</f>
        <v>#REF!</v>
      </c>
      <c r="AO29" s="18"/>
      <c r="AP29" s="18"/>
      <c r="AR29" t="e">
        <f>_xlfn.NORM.DIST(Table29128[[#This Row],[GP '[ml/g']]],O$6,O$2,FALSE)</f>
        <v>#DIV/0!</v>
      </c>
      <c r="AS29" t="e">
        <f>_xlfn.NORM.DIST(Table29128[[#This Row],[SCFA '[mmol/g']]],P$6,P$2,FALSE)</f>
        <v>#DIV/0!</v>
      </c>
      <c r="AT29" t="e">
        <f>_xlfn.NORM.DIST(Table29128[[#This Row],[Acetate '[%']]],Q$6,Q$2,FALSE)</f>
        <v>#DIV/0!</v>
      </c>
      <c r="AU29" t="e">
        <f>_xlfn.NORM.DIST(Table29128[[#This Row],[Propionate '[%']]],R$6,R$2,FALSE)</f>
        <v>#DIV/0!</v>
      </c>
      <c r="AV29" t="e">
        <f>_xlfn.NORM.DIST(Table29128[[#This Row],[Butyrate '[%']]],S$6,S$2,FALSE)</f>
        <v>#DIV/0!</v>
      </c>
      <c r="AW29" t="e">
        <f>_xlfn.NORM.DIST(Table29128[[#This Row],[Valerate '[%']]],T$6,T$2,FALSE)</f>
        <v>#DIV/0!</v>
      </c>
      <c r="AX29" t="e">
        <f>_xlfn.NORM.DIST(Table29128[[#This Row],[Caproate '[%']]],U$6,U$2,FALSE)</f>
        <v>#DIV/0!</v>
      </c>
      <c r="AY29" t="e">
        <f>_xlfn.NORM.DIST(Table29128[[#This Row],[Isobutyrate '[%']]],V$6,V$2,FALSE)</f>
        <v>#DIV/0!</v>
      </c>
      <c r="AZ29" t="e">
        <f>_xlfn.NORM.DIST(Table29128[[#This Row],[Isovalerate '[%']]],W$6,W$2,FALSE)</f>
        <v>#DIV/0!</v>
      </c>
      <c r="BA29" t="e">
        <f>_xlfn.NORM.DIST(Table29128[[#This Row],[CH4 '[g/mmol SCFA']]],X$6,X$2,FALSE)</f>
        <v>#DIV/0!</v>
      </c>
      <c r="BB29" t="e">
        <f>_xlfn.NORM.DIST(Table29128[[#This Row],[DMD '[mg/g']]],Y$6,Y$2,FALSE)</f>
        <v>#REF!</v>
      </c>
      <c r="BC29" t="e">
        <f>_xlfn.NORM.DIST(Table29128[[#This Row],[CH4 '[ml/g']]],Z$6,Z$2,FALSE)</f>
        <v>#REF!</v>
      </c>
      <c r="BD29" t="e">
        <f>_xlfn.NORM.DIST(Table29128[[#This Row],[CH4 '[% GP']]],AA$6,AA$2,FALSE)</f>
        <v>#REF!</v>
      </c>
      <c r="BE29" t="e">
        <f>_xlfn.NORM.DIST(Table29128[[#This Row],[CH4 '[g/g DDM']]],AB$6,AB$2,FALSE)</f>
        <v>#REF!</v>
      </c>
      <c r="BG29">
        <f>IF(Table29128[[#This Row],[GP '[ml/g']]]&lt;O$10,_xlfn.NORM.DIST(Table29128[[#This Row],[GP '[ml/g']]],O$6,O$2,FALSE),-100)</f>
        <v>-100</v>
      </c>
      <c r="BH29">
        <f>IF(Table29128[[#This Row],[SCFA '[mmol/g']]]&lt;P$10,_xlfn.NORM.DIST(Table29128[[#This Row],[SCFA '[mmol/g']]],P$6,P$2,FALSE),-100)</f>
        <v>-100</v>
      </c>
      <c r="BI29">
        <f>IF(Table29128[[#This Row],[Acetate '[%']]]&lt;Q$10,_xlfn.NORM.DIST(Table29128[[#This Row],[Acetate '[%']]],Q$6,Q$2,FALSE),-100)</f>
        <v>-100</v>
      </c>
      <c r="BJ29">
        <f>IF(Table29128[[#This Row],[Propionate '[%']]]&lt;R$10,_xlfn.NORM.DIST(Table29128[[#This Row],[Propionate '[%']]],R$6,R$2,FALSE),-100)</f>
        <v>-100</v>
      </c>
      <c r="BK29">
        <f>IF(Table29128[[#This Row],[Butyrate '[%']]]&lt;S$10,_xlfn.NORM.DIST(Table29128[[#This Row],[Butyrate '[%']]],S$6,S$2,FALSE),-100)</f>
        <v>-100</v>
      </c>
      <c r="BL29">
        <f>IF(Table29128[[#This Row],[Valerate '[%']]]&lt;T$10,_xlfn.NORM.DIST(Table29128[[#This Row],[Valerate '[%']]],T$6,T$2,FALSE),-100)</f>
        <v>-100</v>
      </c>
      <c r="BM29">
        <f>IF(Table29128[[#This Row],[Caproate '[%']]]&lt;U$10,_xlfn.NORM.DIST(Table29128[[#This Row],[Caproate '[%']]],U$6,U$2,FALSE),-100)</f>
        <v>-100</v>
      </c>
      <c r="BN29">
        <f>IF(Table29128[[#This Row],[Isobutyrate '[%']]]&lt;V$10,_xlfn.NORM.DIST(Table29128[[#This Row],[Isobutyrate '[%']]],V$6,V$2,FALSE),-100)</f>
        <v>-100</v>
      </c>
      <c r="BO29">
        <f>IF(Table29128[[#This Row],[Isovalerate '[%']]]&lt;W$10,_xlfn.NORM.DIST(Table29128[[#This Row],[Isovalerate '[%']]],W$6,W$2,FALSE),-100)</f>
        <v>-100</v>
      </c>
      <c r="BP29">
        <f>IF(Table29128[[#This Row],[CH4 '[g/mmol SCFA']]]&lt;X$10,_xlfn.NORM.DIST(Table29128[[#This Row],[CH4 '[g/mmol SCFA']]],X$6,X$2,FALSE),-100)</f>
        <v>-100</v>
      </c>
      <c r="BQ29" t="e">
        <f>IF(Table29128[[#This Row],[DMD '[mg/g']]]&gt;Y$10,_xlfn.NORM.DIST(Table29128[[#This Row],[DMD '[mg/g']]],Y$6,Y$2,FALSE),-100)</f>
        <v>#REF!</v>
      </c>
      <c r="BR29" t="e">
        <f>IF(Table29128[[#This Row],[CH4 '[ml/g']]]&lt;Z$10,_xlfn.NORM.DIST(Table29128[[#This Row],[CH4 '[ml/g']]],Z$6,Z$2,FALSE),-100)</f>
        <v>#REF!</v>
      </c>
      <c r="BS29" t="e">
        <f>IF(Table29128[[#This Row],[CH4 '[% GP']]]&lt;AA$10,_xlfn.NORM.DIST(Table29128[[#This Row],[CH4 '[% GP']]],AA$6,AA$2,FALSE),-100)</f>
        <v>#REF!</v>
      </c>
      <c r="BT29" t="e">
        <f>IF(Table29128[[#This Row],[CH4 '[g/g DDM']]]&lt;AB$10,_xlfn.NORM.DIST(Table29128[[#This Row],[CH4 '[g/g DDM']]],AB$6,AB$2,FALSE),-100)</f>
        <v>#REF!</v>
      </c>
      <c r="CP29" s="136">
        <v>2.2433764438854378E-2</v>
      </c>
      <c r="CQ29" s="136">
        <v>-0.26676123600380836</v>
      </c>
      <c r="CR29" s="136"/>
      <c r="CS29" s="136"/>
    </row>
    <row r="30" spans="1:97" ht="15" customHeight="1" x14ac:dyDescent="0.25">
      <c r="A30" s="12" t="s">
        <v>70</v>
      </c>
      <c r="B30" s="13">
        <v>1014</v>
      </c>
      <c r="C30" s="96" t="s">
        <v>137</v>
      </c>
      <c r="D30" s="96"/>
      <c r="E30" s="96"/>
      <c r="F30" s="96" t="s">
        <v>138</v>
      </c>
      <c r="G30" s="111" t="s">
        <v>73</v>
      </c>
      <c r="H30" s="111" t="s">
        <v>74</v>
      </c>
      <c r="I30" s="109" t="s">
        <v>44</v>
      </c>
      <c r="J30" s="100">
        <v>1</v>
      </c>
      <c r="K30" s="100"/>
      <c r="L30" s="100"/>
      <c r="M30" t="s">
        <v>138</v>
      </c>
      <c r="N30" t="s">
        <v>80</v>
      </c>
      <c r="O30" s="18"/>
      <c r="P30" s="18"/>
      <c r="Q30" s="97"/>
      <c r="R30" s="97"/>
      <c r="S30" s="97"/>
      <c r="T30" s="97"/>
      <c r="U30" s="97"/>
      <c r="V30" s="97"/>
      <c r="W30" s="97"/>
      <c r="X30" s="51"/>
      <c r="Y30" s="18" t="e">
        <f>AVERAGEIFS([1]!Table2912[DMD '[mg/g']],[1]!Table2912[Substrate ID],Table29128[[#This Row],[Substrate ID]])</f>
        <v>#REF!</v>
      </c>
      <c r="Z30" s="18" t="e">
        <f>AVERAGEIFS([1]!Table2912[CH4 '[ml/g']],[1]!Table2912[Substrate ID],Table29128[[#This Row],[Substrate ID]])</f>
        <v>#REF!</v>
      </c>
      <c r="AA30" s="18" t="e">
        <f>AVERAGEIFS([1]!Table2912[CH4 '[% GP']],[1]!Table2912[Substrate ID],Table29128[[#This Row],[Substrate ID]])</f>
        <v>#REF!</v>
      </c>
      <c r="AB30" s="18" t="e">
        <f>AVERAGEIFS([1]!Table2912[CH4 '[g/g DDM']],[1]!Table2912[Substrate ID],Table29128[[#This Row],[Substrate ID]])</f>
        <v>#REF!</v>
      </c>
      <c r="AC30" s="18" t="e">
        <f>$CP$17*Table29128[[#This Row],[DMD '[mg/g']]]+$CQ$17*Table29128[[#This Row],[CH4 '[g/g DDM']]]</f>
        <v>#REF!</v>
      </c>
      <c r="AD30" s="18" t="e">
        <f>_xlfn.RANK.AVG(Table29128[[#This Row],[Index]],Table29128[Index])</f>
        <v>#REF!</v>
      </c>
      <c r="AE30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30" s="18" t="e">
        <f>Table29128[[#This Row],[CH4 '[ml/g']]]/Table29128[[#This Row],[APB]]</f>
        <v>#REF!</v>
      </c>
      <c r="AG30" s="18" t="e">
        <f>Table29128[[#This Row],[Propionate '[%']]]/Table29128[[#This Row],[Acetate '[%']]]</f>
        <v>#DIV/0!</v>
      </c>
      <c r="AH30" s="51"/>
      <c r="AI30" s="18"/>
      <c r="AJ30" s="18"/>
      <c r="AK30" s="135" t="e">
        <f t="shared" si="4"/>
        <v>#REF!</v>
      </c>
      <c r="AL30" s="18"/>
      <c r="AM30" s="135" t="e">
        <f t="shared" si="5"/>
        <v>#REF!</v>
      </c>
      <c r="AN30" s="135" t="e">
        <f>(Table29128[[#This Row],[CH4 '[g/g DDM']]]-AN$15)/AN$15%</f>
        <v>#REF!</v>
      </c>
      <c r="AO30" s="18"/>
      <c r="AP30" s="18"/>
      <c r="AR30" t="e">
        <f>_xlfn.NORM.DIST(Table29128[[#This Row],[GP '[ml/g']]],O$6,O$2,FALSE)</f>
        <v>#DIV/0!</v>
      </c>
      <c r="AS30" t="e">
        <f>_xlfn.NORM.DIST(Table29128[[#This Row],[SCFA '[mmol/g']]],P$6,P$2,FALSE)</f>
        <v>#DIV/0!</v>
      </c>
      <c r="AT30" t="e">
        <f>_xlfn.NORM.DIST(Table29128[[#This Row],[Acetate '[%']]],Q$6,Q$2,FALSE)</f>
        <v>#DIV/0!</v>
      </c>
      <c r="AU30" t="e">
        <f>_xlfn.NORM.DIST(Table29128[[#This Row],[Propionate '[%']]],R$6,R$2,FALSE)</f>
        <v>#DIV/0!</v>
      </c>
      <c r="AV30" t="e">
        <f>_xlfn.NORM.DIST(Table29128[[#This Row],[Butyrate '[%']]],S$6,S$2,FALSE)</f>
        <v>#DIV/0!</v>
      </c>
      <c r="AW30" t="e">
        <f>_xlfn.NORM.DIST(Table29128[[#This Row],[Valerate '[%']]],T$6,T$2,FALSE)</f>
        <v>#DIV/0!</v>
      </c>
      <c r="AX30" t="e">
        <f>_xlfn.NORM.DIST(Table29128[[#This Row],[Caproate '[%']]],U$6,U$2,FALSE)</f>
        <v>#DIV/0!</v>
      </c>
      <c r="AY30" t="e">
        <f>_xlfn.NORM.DIST(Table29128[[#This Row],[Isobutyrate '[%']]],V$6,V$2,FALSE)</f>
        <v>#DIV/0!</v>
      </c>
      <c r="AZ30" t="e">
        <f>_xlfn.NORM.DIST(Table29128[[#This Row],[Isovalerate '[%']]],W$6,W$2,FALSE)</f>
        <v>#DIV/0!</v>
      </c>
      <c r="BA30" t="e">
        <f>_xlfn.NORM.DIST(Table29128[[#This Row],[CH4 '[g/mmol SCFA']]],X$6,X$2,FALSE)</f>
        <v>#DIV/0!</v>
      </c>
      <c r="BB30" t="e">
        <f>_xlfn.NORM.DIST(Table29128[[#This Row],[DMD '[mg/g']]],Y$6,Y$2,FALSE)</f>
        <v>#REF!</v>
      </c>
      <c r="BC30" t="e">
        <f>_xlfn.NORM.DIST(Table29128[[#This Row],[CH4 '[ml/g']]],Z$6,Z$2,FALSE)</f>
        <v>#REF!</v>
      </c>
      <c r="BD30" t="e">
        <f>_xlfn.NORM.DIST(Table29128[[#This Row],[CH4 '[% GP']]],AA$6,AA$2,FALSE)</f>
        <v>#REF!</v>
      </c>
      <c r="BE30" t="e">
        <f>_xlfn.NORM.DIST(Table29128[[#This Row],[CH4 '[g/g DDM']]],AB$6,AB$2,FALSE)</f>
        <v>#REF!</v>
      </c>
      <c r="BG30">
        <f>IF(Table29128[[#This Row],[GP '[ml/g']]]&lt;O$10,_xlfn.NORM.DIST(Table29128[[#This Row],[GP '[ml/g']]],O$6,O$2,FALSE),-100)</f>
        <v>-100</v>
      </c>
      <c r="BH30">
        <f>IF(Table29128[[#This Row],[SCFA '[mmol/g']]]&lt;P$10,_xlfn.NORM.DIST(Table29128[[#This Row],[SCFA '[mmol/g']]],P$6,P$2,FALSE),-100)</f>
        <v>-100</v>
      </c>
      <c r="BI30">
        <f>IF(Table29128[[#This Row],[Acetate '[%']]]&lt;Q$10,_xlfn.NORM.DIST(Table29128[[#This Row],[Acetate '[%']]],Q$6,Q$2,FALSE),-100)</f>
        <v>-100</v>
      </c>
      <c r="BJ30">
        <f>IF(Table29128[[#This Row],[Propionate '[%']]]&lt;R$10,_xlfn.NORM.DIST(Table29128[[#This Row],[Propionate '[%']]],R$6,R$2,FALSE),-100)</f>
        <v>-100</v>
      </c>
      <c r="BK30">
        <f>IF(Table29128[[#This Row],[Butyrate '[%']]]&lt;S$10,_xlfn.NORM.DIST(Table29128[[#This Row],[Butyrate '[%']]],S$6,S$2,FALSE),-100)</f>
        <v>-100</v>
      </c>
      <c r="BL30">
        <f>IF(Table29128[[#This Row],[Valerate '[%']]]&lt;T$10,_xlfn.NORM.DIST(Table29128[[#This Row],[Valerate '[%']]],T$6,T$2,FALSE),-100)</f>
        <v>-100</v>
      </c>
      <c r="BM30">
        <f>IF(Table29128[[#This Row],[Caproate '[%']]]&lt;U$10,_xlfn.NORM.DIST(Table29128[[#This Row],[Caproate '[%']]],U$6,U$2,FALSE),-100)</f>
        <v>-100</v>
      </c>
      <c r="BN30">
        <f>IF(Table29128[[#This Row],[Isobutyrate '[%']]]&lt;V$10,_xlfn.NORM.DIST(Table29128[[#This Row],[Isobutyrate '[%']]],V$6,V$2,FALSE),-100)</f>
        <v>-100</v>
      </c>
      <c r="BO30">
        <f>IF(Table29128[[#This Row],[Isovalerate '[%']]]&lt;W$10,_xlfn.NORM.DIST(Table29128[[#This Row],[Isovalerate '[%']]],W$6,W$2,FALSE),-100)</f>
        <v>-100</v>
      </c>
      <c r="BP30">
        <f>IF(Table29128[[#This Row],[CH4 '[g/mmol SCFA']]]&lt;X$10,_xlfn.NORM.DIST(Table29128[[#This Row],[CH4 '[g/mmol SCFA']]],X$6,X$2,FALSE),-100)</f>
        <v>-100</v>
      </c>
      <c r="BQ30" t="e">
        <f>IF(Table29128[[#This Row],[DMD '[mg/g']]]&gt;Y$10,_xlfn.NORM.DIST(Table29128[[#This Row],[DMD '[mg/g']]],Y$6,Y$2,FALSE),-100)</f>
        <v>#REF!</v>
      </c>
      <c r="BR30" t="e">
        <f>IF(Table29128[[#This Row],[CH4 '[ml/g']]]&lt;Z$10,_xlfn.NORM.DIST(Table29128[[#This Row],[CH4 '[ml/g']]],Z$6,Z$2,FALSE),-100)</f>
        <v>#REF!</v>
      </c>
      <c r="BS30" t="e">
        <f>IF(Table29128[[#This Row],[CH4 '[% GP']]]&lt;AA$10,_xlfn.NORM.DIST(Table29128[[#This Row],[CH4 '[% GP']]],AA$6,AA$2,FALSE),-100)</f>
        <v>#REF!</v>
      </c>
      <c r="BT30" t="e">
        <f>IF(Table29128[[#This Row],[CH4 '[g/g DDM']]]&lt;AB$10,_xlfn.NORM.DIST(Table29128[[#This Row],[CH4 '[g/g DDM']]],AB$6,AB$2,FALSE),-100)</f>
        <v>#REF!</v>
      </c>
    </row>
    <row r="31" spans="1:97" ht="15" customHeight="1" x14ac:dyDescent="0.25">
      <c r="A31" s="12" t="s">
        <v>86</v>
      </c>
      <c r="B31" s="13">
        <v>1084</v>
      </c>
      <c r="C31" s="32">
        <v>6294</v>
      </c>
      <c r="D31" s="104" t="s">
        <v>164</v>
      </c>
      <c r="E31" t="s">
        <v>165</v>
      </c>
      <c r="F31" t="s">
        <v>166</v>
      </c>
      <c r="G31" s="23" t="s">
        <v>143</v>
      </c>
      <c r="H31" s="23" t="s">
        <v>144</v>
      </c>
      <c r="I31" s="32" t="s">
        <v>52</v>
      </c>
      <c r="J31" s="100">
        <v>1</v>
      </c>
      <c r="K31" s="70"/>
      <c r="L31" s="70"/>
      <c r="M31" s="118" t="s">
        <v>166</v>
      </c>
      <c r="N31" t="s">
        <v>99</v>
      </c>
      <c r="O31" s="18"/>
      <c r="P31" s="18"/>
      <c r="Q31" s="97"/>
      <c r="R31" s="97"/>
      <c r="S31" s="97"/>
      <c r="T31" s="97"/>
      <c r="U31" s="97"/>
      <c r="V31" s="97"/>
      <c r="W31" s="97"/>
      <c r="X31" s="51"/>
      <c r="Y31" s="18" t="e">
        <f>AVERAGEIFS([1]!Table2912[DMD '[mg/g']],[1]!Table2912[Substrate ID],Table29128[[#This Row],[Substrate ID]])</f>
        <v>#REF!</v>
      </c>
      <c r="Z31" s="18" t="e">
        <f>AVERAGEIFS([1]!Table2912[CH4 '[ml/g']],[1]!Table2912[Substrate ID],Table29128[[#This Row],[Substrate ID]])</f>
        <v>#REF!</v>
      </c>
      <c r="AA31" s="18" t="e">
        <f>AVERAGEIFS([1]!Table2912[CH4 '[% GP']],[1]!Table2912[Substrate ID],Table29128[[#This Row],[Substrate ID]])</f>
        <v>#REF!</v>
      </c>
      <c r="AB31" s="18" t="e">
        <f>AVERAGEIFS([1]!Table2912[CH4 '[g/g DDM']],[1]!Table2912[Substrate ID],Table29128[[#This Row],[Substrate ID]])</f>
        <v>#REF!</v>
      </c>
      <c r="AC31" s="18" t="e">
        <f>$CP$17*Table29128[[#This Row],[DMD '[mg/g']]]+$CQ$17*Table29128[[#This Row],[CH4 '[g/g DDM']]]</f>
        <v>#REF!</v>
      </c>
      <c r="AD31" s="18" t="e">
        <f>_xlfn.RANK.AVG(Table29128[[#This Row],[Index]],Table29128[Index])</f>
        <v>#REF!</v>
      </c>
      <c r="AE31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31" s="18" t="e">
        <f>Table29128[[#This Row],[CH4 '[ml/g']]]/Table29128[[#This Row],[APB]]</f>
        <v>#REF!</v>
      </c>
      <c r="AG31" s="18" t="e">
        <f>Table29128[[#This Row],[Propionate '[%']]]/Table29128[[#This Row],[Acetate '[%']]]</f>
        <v>#DIV/0!</v>
      </c>
      <c r="AH31" s="51"/>
      <c r="AI31" s="18"/>
      <c r="AJ31" s="18"/>
      <c r="AK31" s="135" t="e">
        <f t="shared" si="4"/>
        <v>#REF!</v>
      </c>
      <c r="AL31" s="18"/>
      <c r="AM31" s="135" t="e">
        <f t="shared" si="5"/>
        <v>#REF!</v>
      </c>
      <c r="AN31" s="135" t="e">
        <f>(Table29128[[#This Row],[CH4 '[g/g DDM']]]-AN$15)/AN$15%</f>
        <v>#REF!</v>
      </c>
      <c r="AO31" s="18"/>
      <c r="AP31" s="18"/>
      <c r="AR31" t="e">
        <f>_xlfn.NORM.DIST(Table29128[[#This Row],[GP '[ml/g']]],O$6,O$2,FALSE)</f>
        <v>#DIV/0!</v>
      </c>
      <c r="AS31" t="e">
        <f>_xlfn.NORM.DIST(Table29128[[#This Row],[SCFA '[mmol/g']]],P$6,P$2,FALSE)</f>
        <v>#DIV/0!</v>
      </c>
      <c r="AT31" t="e">
        <f>_xlfn.NORM.DIST(Table29128[[#This Row],[Acetate '[%']]],Q$6,Q$2,FALSE)</f>
        <v>#DIV/0!</v>
      </c>
      <c r="AU31" t="e">
        <f>_xlfn.NORM.DIST(Table29128[[#This Row],[Propionate '[%']]],R$6,R$2,FALSE)</f>
        <v>#DIV/0!</v>
      </c>
      <c r="AV31" t="e">
        <f>_xlfn.NORM.DIST(Table29128[[#This Row],[Butyrate '[%']]],S$6,S$2,FALSE)</f>
        <v>#DIV/0!</v>
      </c>
      <c r="AW31" t="e">
        <f>_xlfn.NORM.DIST(Table29128[[#This Row],[Valerate '[%']]],T$6,T$2,FALSE)</f>
        <v>#DIV/0!</v>
      </c>
      <c r="AX31" t="e">
        <f>_xlfn.NORM.DIST(Table29128[[#This Row],[Caproate '[%']]],U$6,U$2,FALSE)</f>
        <v>#DIV/0!</v>
      </c>
      <c r="AY31" t="e">
        <f>_xlfn.NORM.DIST(Table29128[[#This Row],[Isobutyrate '[%']]],V$6,V$2,FALSE)</f>
        <v>#DIV/0!</v>
      </c>
      <c r="AZ31" t="e">
        <f>_xlfn.NORM.DIST(Table29128[[#This Row],[Isovalerate '[%']]],W$6,W$2,FALSE)</f>
        <v>#DIV/0!</v>
      </c>
      <c r="BA31" t="e">
        <f>_xlfn.NORM.DIST(Table29128[[#This Row],[CH4 '[g/mmol SCFA']]],X$6,X$2,FALSE)</f>
        <v>#DIV/0!</v>
      </c>
      <c r="BB31" t="e">
        <f>_xlfn.NORM.DIST(Table29128[[#This Row],[DMD '[mg/g']]],Y$6,Y$2,FALSE)</f>
        <v>#REF!</v>
      </c>
      <c r="BC31" t="e">
        <f>_xlfn.NORM.DIST(Table29128[[#This Row],[CH4 '[ml/g']]],Z$6,Z$2,FALSE)</f>
        <v>#REF!</v>
      </c>
      <c r="BD31" t="e">
        <f>_xlfn.NORM.DIST(Table29128[[#This Row],[CH4 '[% GP']]],AA$6,AA$2,FALSE)</f>
        <v>#REF!</v>
      </c>
      <c r="BE31" t="e">
        <f>_xlfn.NORM.DIST(Table29128[[#This Row],[CH4 '[g/g DDM']]],AB$6,AB$2,FALSE)</f>
        <v>#REF!</v>
      </c>
      <c r="BG31">
        <f>IF(Table29128[[#This Row],[GP '[ml/g']]]&lt;O$10,_xlfn.NORM.DIST(Table29128[[#This Row],[GP '[ml/g']]],O$6,O$2,FALSE),-100)</f>
        <v>-100</v>
      </c>
      <c r="BH31">
        <f>IF(Table29128[[#This Row],[SCFA '[mmol/g']]]&lt;P$10,_xlfn.NORM.DIST(Table29128[[#This Row],[SCFA '[mmol/g']]],P$6,P$2,FALSE),-100)</f>
        <v>-100</v>
      </c>
      <c r="BI31">
        <f>IF(Table29128[[#This Row],[Acetate '[%']]]&lt;Q$10,_xlfn.NORM.DIST(Table29128[[#This Row],[Acetate '[%']]],Q$6,Q$2,FALSE),-100)</f>
        <v>-100</v>
      </c>
      <c r="BJ31">
        <f>IF(Table29128[[#This Row],[Propionate '[%']]]&lt;R$10,_xlfn.NORM.DIST(Table29128[[#This Row],[Propionate '[%']]],R$6,R$2,FALSE),-100)</f>
        <v>-100</v>
      </c>
      <c r="BK31">
        <f>IF(Table29128[[#This Row],[Butyrate '[%']]]&lt;S$10,_xlfn.NORM.DIST(Table29128[[#This Row],[Butyrate '[%']]],S$6,S$2,FALSE),-100)</f>
        <v>-100</v>
      </c>
      <c r="BL31">
        <f>IF(Table29128[[#This Row],[Valerate '[%']]]&lt;T$10,_xlfn.NORM.DIST(Table29128[[#This Row],[Valerate '[%']]],T$6,T$2,FALSE),-100)</f>
        <v>-100</v>
      </c>
      <c r="BM31">
        <f>IF(Table29128[[#This Row],[Caproate '[%']]]&lt;U$10,_xlfn.NORM.DIST(Table29128[[#This Row],[Caproate '[%']]],U$6,U$2,FALSE),-100)</f>
        <v>-100</v>
      </c>
      <c r="BN31">
        <f>IF(Table29128[[#This Row],[Isobutyrate '[%']]]&lt;V$10,_xlfn.NORM.DIST(Table29128[[#This Row],[Isobutyrate '[%']]],V$6,V$2,FALSE),-100)</f>
        <v>-100</v>
      </c>
      <c r="BO31">
        <f>IF(Table29128[[#This Row],[Isovalerate '[%']]]&lt;W$10,_xlfn.NORM.DIST(Table29128[[#This Row],[Isovalerate '[%']]],W$6,W$2,FALSE),-100)</f>
        <v>-100</v>
      </c>
      <c r="BP31">
        <f>IF(Table29128[[#This Row],[CH4 '[g/mmol SCFA']]]&lt;X$10,_xlfn.NORM.DIST(Table29128[[#This Row],[CH4 '[g/mmol SCFA']]],X$6,X$2,FALSE),-100)</f>
        <v>-100</v>
      </c>
      <c r="BQ31" t="e">
        <f>IF(Table29128[[#This Row],[DMD '[mg/g']]]&gt;Y$10,_xlfn.NORM.DIST(Table29128[[#This Row],[DMD '[mg/g']]],Y$6,Y$2,FALSE),-100)</f>
        <v>#REF!</v>
      </c>
      <c r="BR31" t="e">
        <f>IF(Table29128[[#This Row],[CH4 '[ml/g']]]&lt;Z$10,_xlfn.NORM.DIST(Table29128[[#This Row],[CH4 '[ml/g']]],Z$6,Z$2,FALSE),-100)</f>
        <v>#REF!</v>
      </c>
      <c r="BS31" t="e">
        <f>IF(Table29128[[#This Row],[CH4 '[% GP']]]&lt;AA$10,_xlfn.NORM.DIST(Table29128[[#This Row],[CH4 '[% GP']]],AA$6,AA$2,FALSE),-100)</f>
        <v>#REF!</v>
      </c>
      <c r="BT31" t="e">
        <f>IF(Table29128[[#This Row],[CH4 '[g/g DDM']]]&lt;AB$10,_xlfn.NORM.DIST(Table29128[[#This Row],[CH4 '[g/g DDM']]],AB$6,AB$2,FALSE),-100)</f>
        <v>#REF!</v>
      </c>
    </row>
    <row r="32" spans="1:97" x14ac:dyDescent="0.25">
      <c r="A32" s="12" t="s">
        <v>86</v>
      </c>
      <c r="B32" s="13">
        <v>1086</v>
      </c>
      <c r="C32" s="32">
        <v>16320</v>
      </c>
      <c r="D32" s="104" t="s">
        <v>164</v>
      </c>
      <c r="E32" t="s">
        <v>165</v>
      </c>
      <c r="F32" t="s">
        <v>166</v>
      </c>
      <c r="G32" s="23" t="s">
        <v>143</v>
      </c>
      <c r="H32" s="23" t="s">
        <v>144</v>
      </c>
      <c r="I32" s="32" t="s">
        <v>52</v>
      </c>
      <c r="J32" s="100">
        <v>1</v>
      </c>
      <c r="K32" s="70"/>
      <c r="L32" s="70"/>
      <c r="M32" t="s">
        <v>166</v>
      </c>
      <c r="N32" t="s">
        <v>145</v>
      </c>
      <c r="O32" s="18"/>
      <c r="P32" s="18"/>
      <c r="Q32" s="97"/>
      <c r="R32" s="97"/>
      <c r="S32" s="97"/>
      <c r="T32" s="97"/>
      <c r="U32" s="97"/>
      <c r="V32" s="97"/>
      <c r="W32" s="97"/>
      <c r="X32" s="51"/>
      <c r="Y32" s="18" t="e">
        <f>AVERAGEIFS([1]!Table2912[DMD '[mg/g']],[1]!Table2912[Substrate ID],Table29128[[#This Row],[Substrate ID]])</f>
        <v>#REF!</v>
      </c>
      <c r="Z32" s="18" t="e">
        <f>AVERAGEIFS([1]!Table2912[CH4 '[ml/g']],[1]!Table2912[Substrate ID],Table29128[[#This Row],[Substrate ID]])</f>
        <v>#REF!</v>
      </c>
      <c r="AA32" s="18" t="e">
        <f>AVERAGEIFS([1]!Table2912[CH4 '[% GP']],[1]!Table2912[Substrate ID],Table29128[[#This Row],[Substrate ID]])</f>
        <v>#REF!</v>
      </c>
      <c r="AB32" s="18" t="e">
        <f>AVERAGEIFS([1]!Table2912[CH4 '[g/g DDM']],[1]!Table2912[Substrate ID],Table29128[[#This Row],[Substrate ID]])</f>
        <v>#REF!</v>
      </c>
      <c r="AC32" s="18" t="e">
        <f>$CP$17*Table29128[[#This Row],[DMD '[mg/g']]]+$CQ$17*Table29128[[#This Row],[CH4 '[g/g DDM']]]</f>
        <v>#REF!</v>
      </c>
      <c r="AD32" s="18" t="e">
        <f>_xlfn.RANK.AVG(Table29128[[#This Row],[Index]],Table29128[Index])</f>
        <v>#REF!</v>
      </c>
      <c r="AE32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32" s="18" t="e">
        <f>Table29128[[#This Row],[CH4 '[ml/g']]]/Table29128[[#This Row],[APB]]</f>
        <v>#REF!</v>
      </c>
      <c r="AG32" s="18" t="e">
        <f>Table29128[[#This Row],[Propionate '[%']]]/Table29128[[#This Row],[Acetate '[%']]]</f>
        <v>#DIV/0!</v>
      </c>
      <c r="AH32" s="51"/>
      <c r="AI32" s="18"/>
      <c r="AJ32" s="18"/>
      <c r="AK32" s="135" t="e">
        <f t="shared" si="4"/>
        <v>#REF!</v>
      </c>
      <c r="AL32" s="18"/>
      <c r="AM32" s="135" t="e">
        <f t="shared" si="5"/>
        <v>#REF!</v>
      </c>
      <c r="AN32" s="135" t="e">
        <f>(Table29128[[#This Row],[CH4 '[g/g DDM']]]-AN$15)/AN$15%</f>
        <v>#REF!</v>
      </c>
      <c r="AO32" s="18"/>
      <c r="AP32" s="18"/>
      <c r="AR32" t="e">
        <f>_xlfn.NORM.DIST(Table29128[[#This Row],[GP '[ml/g']]],O$6,O$2,FALSE)</f>
        <v>#DIV/0!</v>
      </c>
      <c r="AS32" t="e">
        <f>_xlfn.NORM.DIST(Table29128[[#This Row],[SCFA '[mmol/g']]],P$6,P$2,FALSE)</f>
        <v>#DIV/0!</v>
      </c>
      <c r="AT32" t="e">
        <f>_xlfn.NORM.DIST(Table29128[[#This Row],[Acetate '[%']]],Q$6,Q$2,FALSE)</f>
        <v>#DIV/0!</v>
      </c>
      <c r="AU32" t="e">
        <f>_xlfn.NORM.DIST(Table29128[[#This Row],[Propionate '[%']]],R$6,R$2,FALSE)</f>
        <v>#DIV/0!</v>
      </c>
      <c r="AV32" t="e">
        <f>_xlfn.NORM.DIST(Table29128[[#This Row],[Butyrate '[%']]],S$6,S$2,FALSE)</f>
        <v>#DIV/0!</v>
      </c>
      <c r="AW32" t="e">
        <f>_xlfn.NORM.DIST(Table29128[[#This Row],[Valerate '[%']]],T$6,T$2,FALSE)</f>
        <v>#DIV/0!</v>
      </c>
      <c r="AX32" t="e">
        <f>_xlfn.NORM.DIST(Table29128[[#This Row],[Caproate '[%']]],U$6,U$2,FALSE)</f>
        <v>#DIV/0!</v>
      </c>
      <c r="AY32" t="e">
        <f>_xlfn.NORM.DIST(Table29128[[#This Row],[Isobutyrate '[%']]],V$6,V$2,FALSE)</f>
        <v>#DIV/0!</v>
      </c>
      <c r="AZ32" t="e">
        <f>_xlfn.NORM.DIST(Table29128[[#This Row],[Isovalerate '[%']]],W$6,W$2,FALSE)</f>
        <v>#DIV/0!</v>
      </c>
      <c r="BA32" t="e">
        <f>_xlfn.NORM.DIST(Table29128[[#This Row],[CH4 '[g/mmol SCFA']]],X$6,X$2,FALSE)</f>
        <v>#DIV/0!</v>
      </c>
      <c r="BB32" t="e">
        <f>_xlfn.NORM.DIST(Table29128[[#This Row],[DMD '[mg/g']]],Y$6,Y$2,FALSE)</f>
        <v>#REF!</v>
      </c>
      <c r="BC32" t="e">
        <f>_xlfn.NORM.DIST(Table29128[[#This Row],[CH4 '[ml/g']]],Z$6,Z$2,FALSE)</f>
        <v>#REF!</v>
      </c>
      <c r="BD32" t="e">
        <f>_xlfn.NORM.DIST(Table29128[[#This Row],[CH4 '[% GP']]],AA$6,AA$2,FALSE)</f>
        <v>#REF!</v>
      </c>
      <c r="BE32" t="e">
        <f>_xlfn.NORM.DIST(Table29128[[#This Row],[CH4 '[g/g DDM']]],AB$6,AB$2,FALSE)</f>
        <v>#REF!</v>
      </c>
      <c r="BG32">
        <f>IF(Table29128[[#This Row],[GP '[ml/g']]]&lt;O$10,_xlfn.NORM.DIST(Table29128[[#This Row],[GP '[ml/g']]],O$6,O$2,FALSE),-100)</f>
        <v>-100</v>
      </c>
      <c r="BH32">
        <f>IF(Table29128[[#This Row],[SCFA '[mmol/g']]]&lt;P$10,_xlfn.NORM.DIST(Table29128[[#This Row],[SCFA '[mmol/g']]],P$6,P$2,FALSE),-100)</f>
        <v>-100</v>
      </c>
      <c r="BI32">
        <f>IF(Table29128[[#This Row],[Acetate '[%']]]&lt;Q$10,_xlfn.NORM.DIST(Table29128[[#This Row],[Acetate '[%']]],Q$6,Q$2,FALSE),-100)</f>
        <v>-100</v>
      </c>
      <c r="BJ32">
        <f>IF(Table29128[[#This Row],[Propionate '[%']]]&lt;R$10,_xlfn.NORM.DIST(Table29128[[#This Row],[Propionate '[%']]],R$6,R$2,FALSE),-100)</f>
        <v>-100</v>
      </c>
      <c r="BK32">
        <f>IF(Table29128[[#This Row],[Butyrate '[%']]]&lt;S$10,_xlfn.NORM.DIST(Table29128[[#This Row],[Butyrate '[%']]],S$6,S$2,FALSE),-100)</f>
        <v>-100</v>
      </c>
      <c r="BL32">
        <f>IF(Table29128[[#This Row],[Valerate '[%']]]&lt;T$10,_xlfn.NORM.DIST(Table29128[[#This Row],[Valerate '[%']]],T$6,T$2,FALSE),-100)</f>
        <v>-100</v>
      </c>
      <c r="BM32">
        <f>IF(Table29128[[#This Row],[Caproate '[%']]]&lt;U$10,_xlfn.NORM.DIST(Table29128[[#This Row],[Caproate '[%']]],U$6,U$2,FALSE),-100)</f>
        <v>-100</v>
      </c>
      <c r="BN32">
        <f>IF(Table29128[[#This Row],[Isobutyrate '[%']]]&lt;V$10,_xlfn.NORM.DIST(Table29128[[#This Row],[Isobutyrate '[%']]],V$6,V$2,FALSE),-100)</f>
        <v>-100</v>
      </c>
      <c r="BO32">
        <f>IF(Table29128[[#This Row],[Isovalerate '[%']]]&lt;W$10,_xlfn.NORM.DIST(Table29128[[#This Row],[Isovalerate '[%']]],W$6,W$2,FALSE),-100)</f>
        <v>-100</v>
      </c>
      <c r="BP32">
        <f>IF(Table29128[[#This Row],[CH4 '[g/mmol SCFA']]]&lt;X$10,_xlfn.NORM.DIST(Table29128[[#This Row],[CH4 '[g/mmol SCFA']]],X$6,X$2,FALSE),-100)</f>
        <v>-100</v>
      </c>
      <c r="BQ32" t="e">
        <f>IF(Table29128[[#This Row],[DMD '[mg/g']]]&gt;Y$10,_xlfn.NORM.DIST(Table29128[[#This Row],[DMD '[mg/g']]],Y$6,Y$2,FALSE),-100)</f>
        <v>#REF!</v>
      </c>
      <c r="BR32" t="e">
        <f>IF(Table29128[[#This Row],[CH4 '[ml/g']]]&lt;Z$10,_xlfn.NORM.DIST(Table29128[[#This Row],[CH4 '[ml/g']]],Z$6,Z$2,FALSE),-100)</f>
        <v>#REF!</v>
      </c>
      <c r="BS32" t="e">
        <f>IF(Table29128[[#This Row],[CH4 '[% GP']]]&lt;AA$10,_xlfn.NORM.DIST(Table29128[[#This Row],[CH4 '[% GP']]],AA$6,AA$2,FALSE),-100)</f>
        <v>#REF!</v>
      </c>
      <c r="BT32" t="e">
        <f>IF(Table29128[[#This Row],[CH4 '[g/g DDM']]]&lt;AB$10,_xlfn.NORM.DIST(Table29128[[#This Row],[CH4 '[g/g DDM']]],AB$6,AB$2,FALSE),-100)</f>
        <v>#REF!</v>
      </c>
    </row>
    <row r="33" spans="1:72" ht="15" customHeight="1" x14ac:dyDescent="0.25">
      <c r="A33" s="12" t="s">
        <v>86</v>
      </c>
      <c r="B33" s="13">
        <v>1082</v>
      </c>
      <c r="C33" s="104" t="s">
        <v>331</v>
      </c>
      <c r="D33" s="104" t="s">
        <v>164</v>
      </c>
      <c r="E33" s="104" t="s">
        <v>332</v>
      </c>
      <c r="F33" s="104" t="s">
        <v>333</v>
      </c>
      <c r="G33" s="23" t="s">
        <v>143</v>
      </c>
      <c r="H33" s="23" t="s">
        <v>144</v>
      </c>
      <c r="I33" s="32" t="s">
        <v>52</v>
      </c>
      <c r="J33" s="100">
        <v>1</v>
      </c>
      <c r="K33" s="100"/>
      <c r="L33" s="100"/>
      <c r="M33" s="118" t="s">
        <v>333</v>
      </c>
      <c r="N33" t="s">
        <v>145</v>
      </c>
      <c r="O33" s="18"/>
      <c r="P33" s="18"/>
      <c r="Q33" s="97"/>
      <c r="R33" s="97"/>
      <c r="S33" s="97"/>
      <c r="T33" s="97"/>
      <c r="U33" s="97"/>
      <c r="V33" s="97"/>
      <c r="W33" s="97"/>
      <c r="X33" s="51"/>
      <c r="Y33" s="18" t="e">
        <f>AVERAGEIFS([1]!Table2912[DMD '[mg/g']],[1]!Table2912[Substrate ID],Table29128[[#This Row],[Substrate ID]])</f>
        <v>#REF!</v>
      </c>
      <c r="Z33" s="18" t="e">
        <f>AVERAGEIFS([1]!Table2912[CH4 '[ml/g']],[1]!Table2912[Substrate ID],Table29128[[#This Row],[Substrate ID]])</f>
        <v>#REF!</v>
      </c>
      <c r="AA33" s="18" t="e">
        <f>AVERAGEIFS([1]!Table2912[CH4 '[% GP']],[1]!Table2912[Substrate ID],Table29128[[#This Row],[Substrate ID]])</f>
        <v>#REF!</v>
      </c>
      <c r="AB33" s="18" t="e">
        <f>AVERAGEIFS([1]!Table2912[CH4 '[g/g DDM']],[1]!Table2912[Substrate ID],Table29128[[#This Row],[Substrate ID]])</f>
        <v>#REF!</v>
      </c>
      <c r="AC33" s="18" t="e">
        <f>$CP$17*Table29128[[#This Row],[DMD '[mg/g']]]+$CQ$17*Table29128[[#This Row],[CH4 '[g/g DDM']]]</f>
        <v>#REF!</v>
      </c>
      <c r="AD33" s="18" t="e">
        <f>_xlfn.RANK.AVG(Table29128[[#This Row],[Index]],Table29128[Index])</f>
        <v>#REF!</v>
      </c>
      <c r="AE33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33" s="18" t="e">
        <f>Table29128[[#This Row],[CH4 '[ml/g']]]/Table29128[[#This Row],[APB]]</f>
        <v>#REF!</v>
      </c>
      <c r="AG33" s="18" t="e">
        <f>Table29128[[#This Row],[Propionate '[%']]]/Table29128[[#This Row],[Acetate '[%']]]</f>
        <v>#DIV/0!</v>
      </c>
      <c r="AH33" s="51"/>
      <c r="AI33" s="18"/>
      <c r="AJ33" s="18"/>
      <c r="AK33" s="135" t="e">
        <f t="shared" si="4"/>
        <v>#REF!</v>
      </c>
      <c r="AL33" s="18"/>
      <c r="AM33" s="135" t="e">
        <f t="shared" si="5"/>
        <v>#REF!</v>
      </c>
      <c r="AN33" s="135" t="e">
        <f>(Table29128[[#This Row],[CH4 '[g/g DDM']]]-AN$15)/AN$15%</f>
        <v>#REF!</v>
      </c>
      <c r="AO33" s="18"/>
      <c r="AP33" s="18"/>
      <c r="AR33" t="e">
        <f>_xlfn.NORM.DIST(Table29128[[#This Row],[GP '[ml/g']]],O$6,O$2,FALSE)</f>
        <v>#DIV/0!</v>
      </c>
      <c r="AS33" t="e">
        <f>_xlfn.NORM.DIST(Table29128[[#This Row],[SCFA '[mmol/g']]],P$6,P$2,FALSE)</f>
        <v>#DIV/0!</v>
      </c>
      <c r="AT33" t="e">
        <f>_xlfn.NORM.DIST(Table29128[[#This Row],[Acetate '[%']]],Q$6,Q$2,FALSE)</f>
        <v>#DIV/0!</v>
      </c>
      <c r="AU33" t="e">
        <f>_xlfn.NORM.DIST(Table29128[[#This Row],[Propionate '[%']]],R$6,R$2,FALSE)</f>
        <v>#DIV/0!</v>
      </c>
      <c r="AV33" t="e">
        <f>_xlfn.NORM.DIST(Table29128[[#This Row],[Butyrate '[%']]],S$6,S$2,FALSE)</f>
        <v>#DIV/0!</v>
      </c>
      <c r="AW33" t="e">
        <f>_xlfn.NORM.DIST(Table29128[[#This Row],[Valerate '[%']]],T$6,T$2,FALSE)</f>
        <v>#DIV/0!</v>
      </c>
      <c r="AX33" t="e">
        <f>_xlfn.NORM.DIST(Table29128[[#This Row],[Caproate '[%']]],U$6,U$2,FALSE)</f>
        <v>#DIV/0!</v>
      </c>
      <c r="AY33" t="e">
        <f>_xlfn.NORM.DIST(Table29128[[#This Row],[Isobutyrate '[%']]],V$6,V$2,FALSE)</f>
        <v>#DIV/0!</v>
      </c>
      <c r="AZ33" t="e">
        <f>_xlfn.NORM.DIST(Table29128[[#This Row],[Isovalerate '[%']]],W$6,W$2,FALSE)</f>
        <v>#DIV/0!</v>
      </c>
      <c r="BA33" t="e">
        <f>_xlfn.NORM.DIST(Table29128[[#This Row],[CH4 '[g/mmol SCFA']]],X$6,X$2,FALSE)</f>
        <v>#DIV/0!</v>
      </c>
      <c r="BB33" t="e">
        <f>_xlfn.NORM.DIST(Table29128[[#This Row],[DMD '[mg/g']]],Y$6,Y$2,FALSE)</f>
        <v>#REF!</v>
      </c>
      <c r="BC33" t="e">
        <f>_xlfn.NORM.DIST(Table29128[[#This Row],[CH4 '[ml/g']]],Z$6,Z$2,FALSE)</f>
        <v>#REF!</v>
      </c>
      <c r="BD33" t="e">
        <f>_xlfn.NORM.DIST(Table29128[[#This Row],[CH4 '[% GP']]],AA$6,AA$2,FALSE)</f>
        <v>#REF!</v>
      </c>
      <c r="BE33" t="e">
        <f>_xlfn.NORM.DIST(Table29128[[#This Row],[CH4 '[g/g DDM']]],AB$6,AB$2,FALSE)</f>
        <v>#REF!</v>
      </c>
      <c r="BG33">
        <f>IF(Table29128[[#This Row],[GP '[ml/g']]]&lt;O$10,_xlfn.NORM.DIST(Table29128[[#This Row],[GP '[ml/g']]],O$6,O$2,FALSE),-100)</f>
        <v>-100</v>
      </c>
      <c r="BH33">
        <f>IF(Table29128[[#This Row],[SCFA '[mmol/g']]]&lt;P$10,_xlfn.NORM.DIST(Table29128[[#This Row],[SCFA '[mmol/g']]],P$6,P$2,FALSE),-100)</f>
        <v>-100</v>
      </c>
      <c r="BI33">
        <f>IF(Table29128[[#This Row],[Acetate '[%']]]&lt;Q$10,_xlfn.NORM.DIST(Table29128[[#This Row],[Acetate '[%']]],Q$6,Q$2,FALSE),-100)</f>
        <v>-100</v>
      </c>
      <c r="BJ33">
        <f>IF(Table29128[[#This Row],[Propionate '[%']]]&lt;R$10,_xlfn.NORM.DIST(Table29128[[#This Row],[Propionate '[%']]],R$6,R$2,FALSE),-100)</f>
        <v>-100</v>
      </c>
      <c r="BK33">
        <f>IF(Table29128[[#This Row],[Butyrate '[%']]]&lt;S$10,_xlfn.NORM.DIST(Table29128[[#This Row],[Butyrate '[%']]],S$6,S$2,FALSE),-100)</f>
        <v>-100</v>
      </c>
      <c r="BL33">
        <f>IF(Table29128[[#This Row],[Valerate '[%']]]&lt;T$10,_xlfn.NORM.DIST(Table29128[[#This Row],[Valerate '[%']]],T$6,T$2,FALSE),-100)</f>
        <v>-100</v>
      </c>
      <c r="BM33">
        <f>IF(Table29128[[#This Row],[Caproate '[%']]]&lt;U$10,_xlfn.NORM.DIST(Table29128[[#This Row],[Caproate '[%']]],U$6,U$2,FALSE),-100)</f>
        <v>-100</v>
      </c>
      <c r="BN33">
        <f>IF(Table29128[[#This Row],[Isobutyrate '[%']]]&lt;V$10,_xlfn.NORM.DIST(Table29128[[#This Row],[Isobutyrate '[%']]],V$6,V$2,FALSE),-100)</f>
        <v>-100</v>
      </c>
      <c r="BO33">
        <f>IF(Table29128[[#This Row],[Isovalerate '[%']]]&lt;W$10,_xlfn.NORM.DIST(Table29128[[#This Row],[Isovalerate '[%']]],W$6,W$2,FALSE),-100)</f>
        <v>-100</v>
      </c>
      <c r="BP33">
        <f>IF(Table29128[[#This Row],[CH4 '[g/mmol SCFA']]]&lt;X$10,_xlfn.NORM.DIST(Table29128[[#This Row],[CH4 '[g/mmol SCFA']]],X$6,X$2,FALSE),-100)</f>
        <v>-100</v>
      </c>
      <c r="BQ33" t="e">
        <f>IF(Table29128[[#This Row],[DMD '[mg/g']]]&gt;Y$10,_xlfn.NORM.DIST(Table29128[[#This Row],[DMD '[mg/g']]],Y$6,Y$2,FALSE),-100)</f>
        <v>#REF!</v>
      </c>
      <c r="BR33" t="e">
        <f>IF(Table29128[[#This Row],[CH4 '[ml/g']]]&lt;Z$10,_xlfn.NORM.DIST(Table29128[[#This Row],[CH4 '[ml/g']]],Z$6,Z$2,FALSE),-100)</f>
        <v>#REF!</v>
      </c>
      <c r="BS33" t="e">
        <f>IF(Table29128[[#This Row],[CH4 '[% GP']]]&lt;AA$10,_xlfn.NORM.DIST(Table29128[[#This Row],[CH4 '[% GP']]],AA$6,AA$2,FALSE),-100)</f>
        <v>#REF!</v>
      </c>
      <c r="BT33" t="e">
        <f>IF(Table29128[[#This Row],[CH4 '[g/g DDM']]]&lt;AB$10,_xlfn.NORM.DIST(Table29128[[#This Row],[CH4 '[g/g DDM']]],AB$6,AB$2,FALSE),-100)</f>
        <v>#REF!</v>
      </c>
    </row>
    <row r="34" spans="1:72" ht="15" customHeight="1" x14ac:dyDescent="0.25">
      <c r="A34" s="12" t="s">
        <v>86</v>
      </c>
      <c r="B34" s="13">
        <v>1085</v>
      </c>
      <c r="C34" s="104" t="s">
        <v>246</v>
      </c>
      <c r="D34" s="104" t="s">
        <v>164</v>
      </c>
      <c r="E34" s="104" t="s">
        <v>247</v>
      </c>
      <c r="F34" s="104" t="s">
        <v>248</v>
      </c>
      <c r="G34" s="23" t="s">
        <v>143</v>
      </c>
      <c r="H34" s="23" t="s">
        <v>144</v>
      </c>
      <c r="I34" s="32" t="s">
        <v>52</v>
      </c>
      <c r="J34" s="100">
        <v>1</v>
      </c>
      <c r="K34" s="100"/>
      <c r="L34" s="100"/>
      <c r="M34" t="s">
        <v>248</v>
      </c>
      <c r="N34" t="s">
        <v>145</v>
      </c>
      <c r="O34" s="18"/>
      <c r="P34" s="18"/>
      <c r="Q34" s="97"/>
      <c r="R34" s="97"/>
      <c r="S34" s="97"/>
      <c r="T34" s="97"/>
      <c r="U34" s="97"/>
      <c r="V34" s="97"/>
      <c r="W34" s="97"/>
      <c r="X34" s="51"/>
      <c r="Y34" s="18" t="e">
        <f>AVERAGEIFS([1]!Table2912[DMD '[mg/g']],[1]!Table2912[Substrate ID],Table29128[[#This Row],[Substrate ID]])</f>
        <v>#REF!</v>
      </c>
      <c r="Z34" s="18" t="e">
        <f>AVERAGEIFS([1]!Table2912[CH4 '[ml/g']],[1]!Table2912[Substrate ID],Table29128[[#This Row],[Substrate ID]])</f>
        <v>#REF!</v>
      </c>
      <c r="AA34" s="18" t="e">
        <f>AVERAGEIFS([1]!Table2912[CH4 '[% GP']],[1]!Table2912[Substrate ID],Table29128[[#This Row],[Substrate ID]])</f>
        <v>#REF!</v>
      </c>
      <c r="AB34" s="18" t="e">
        <f>AVERAGEIFS([1]!Table2912[CH4 '[g/g DDM']],[1]!Table2912[Substrate ID],Table29128[[#This Row],[Substrate ID]])</f>
        <v>#REF!</v>
      </c>
      <c r="AC34" s="18" t="e">
        <f>$CP$17*Table29128[[#This Row],[DMD '[mg/g']]]+$CQ$17*Table29128[[#This Row],[CH4 '[g/g DDM']]]</f>
        <v>#REF!</v>
      </c>
      <c r="AD34" s="18" t="e">
        <f>_xlfn.RANK.AVG(Table29128[[#This Row],[Index]],Table29128[Index])</f>
        <v>#REF!</v>
      </c>
      <c r="AE34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34" s="18" t="e">
        <f>Table29128[[#This Row],[CH4 '[ml/g']]]/Table29128[[#This Row],[APB]]</f>
        <v>#REF!</v>
      </c>
      <c r="AG34" s="18" t="e">
        <f>Table29128[[#This Row],[Propionate '[%']]]/Table29128[[#This Row],[Acetate '[%']]]</f>
        <v>#DIV/0!</v>
      </c>
      <c r="AH34" s="51"/>
      <c r="AI34" s="18"/>
      <c r="AJ34" s="18"/>
      <c r="AK34" s="135" t="e">
        <f t="shared" si="4"/>
        <v>#REF!</v>
      </c>
      <c r="AL34" s="18"/>
      <c r="AM34" s="135" t="e">
        <f t="shared" si="5"/>
        <v>#REF!</v>
      </c>
      <c r="AN34" s="135" t="e">
        <f>(Table29128[[#This Row],[CH4 '[g/g DDM']]]-AN$15)/AN$15%</f>
        <v>#REF!</v>
      </c>
      <c r="AO34" s="18"/>
      <c r="AP34" s="18"/>
      <c r="AR34" t="e">
        <f>_xlfn.NORM.DIST(Table29128[[#This Row],[GP '[ml/g']]],O$6,O$2,FALSE)</f>
        <v>#DIV/0!</v>
      </c>
      <c r="AS34" t="e">
        <f>_xlfn.NORM.DIST(Table29128[[#This Row],[SCFA '[mmol/g']]],P$6,P$2,FALSE)</f>
        <v>#DIV/0!</v>
      </c>
      <c r="AT34" t="e">
        <f>_xlfn.NORM.DIST(Table29128[[#This Row],[Acetate '[%']]],Q$6,Q$2,FALSE)</f>
        <v>#DIV/0!</v>
      </c>
      <c r="AU34" t="e">
        <f>_xlfn.NORM.DIST(Table29128[[#This Row],[Propionate '[%']]],R$6,R$2,FALSE)</f>
        <v>#DIV/0!</v>
      </c>
      <c r="AV34" t="e">
        <f>_xlfn.NORM.DIST(Table29128[[#This Row],[Butyrate '[%']]],S$6,S$2,FALSE)</f>
        <v>#DIV/0!</v>
      </c>
      <c r="AW34" t="e">
        <f>_xlfn.NORM.DIST(Table29128[[#This Row],[Valerate '[%']]],T$6,T$2,FALSE)</f>
        <v>#DIV/0!</v>
      </c>
      <c r="AX34" t="e">
        <f>_xlfn.NORM.DIST(Table29128[[#This Row],[Caproate '[%']]],U$6,U$2,FALSE)</f>
        <v>#DIV/0!</v>
      </c>
      <c r="AY34" t="e">
        <f>_xlfn.NORM.DIST(Table29128[[#This Row],[Isobutyrate '[%']]],V$6,V$2,FALSE)</f>
        <v>#DIV/0!</v>
      </c>
      <c r="AZ34" t="e">
        <f>_xlfn.NORM.DIST(Table29128[[#This Row],[Isovalerate '[%']]],W$6,W$2,FALSE)</f>
        <v>#DIV/0!</v>
      </c>
      <c r="BA34" t="e">
        <f>_xlfn.NORM.DIST(Table29128[[#This Row],[CH4 '[g/mmol SCFA']]],X$6,X$2,FALSE)</f>
        <v>#DIV/0!</v>
      </c>
      <c r="BB34" t="e">
        <f>_xlfn.NORM.DIST(Table29128[[#This Row],[DMD '[mg/g']]],Y$6,Y$2,FALSE)</f>
        <v>#REF!</v>
      </c>
      <c r="BC34" t="e">
        <f>_xlfn.NORM.DIST(Table29128[[#This Row],[CH4 '[ml/g']]],Z$6,Z$2,FALSE)</f>
        <v>#REF!</v>
      </c>
      <c r="BD34" t="e">
        <f>_xlfn.NORM.DIST(Table29128[[#This Row],[CH4 '[% GP']]],AA$6,AA$2,FALSE)</f>
        <v>#REF!</v>
      </c>
      <c r="BE34" t="e">
        <f>_xlfn.NORM.DIST(Table29128[[#This Row],[CH4 '[g/g DDM']]],AB$6,AB$2,FALSE)</f>
        <v>#REF!</v>
      </c>
      <c r="BG34">
        <f>IF(Table29128[[#This Row],[GP '[ml/g']]]&lt;O$10,_xlfn.NORM.DIST(Table29128[[#This Row],[GP '[ml/g']]],O$6,O$2,FALSE),-100)</f>
        <v>-100</v>
      </c>
      <c r="BH34">
        <f>IF(Table29128[[#This Row],[SCFA '[mmol/g']]]&lt;P$10,_xlfn.NORM.DIST(Table29128[[#This Row],[SCFA '[mmol/g']]],P$6,P$2,FALSE),-100)</f>
        <v>-100</v>
      </c>
      <c r="BI34">
        <f>IF(Table29128[[#This Row],[Acetate '[%']]]&lt;Q$10,_xlfn.NORM.DIST(Table29128[[#This Row],[Acetate '[%']]],Q$6,Q$2,FALSE),-100)</f>
        <v>-100</v>
      </c>
      <c r="BJ34">
        <f>IF(Table29128[[#This Row],[Propionate '[%']]]&lt;R$10,_xlfn.NORM.DIST(Table29128[[#This Row],[Propionate '[%']]],R$6,R$2,FALSE),-100)</f>
        <v>-100</v>
      </c>
      <c r="BK34">
        <f>IF(Table29128[[#This Row],[Butyrate '[%']]]&lt;S$10,_xlfn.NORM.DIST(Table29128[[#This Row],[Butyrate '[%']]],S$6,S$2,FALSE),-100)</f>
        <v>-100</v>
      </c>
      <c r="BL34">
        <f>IF(Table29128[[#This Row],[Valerate '[%']]]&lt;T$10,_xlfn.NORM.DIST(Table29128[[#This Row],[Valerate '[%']]],T$6,T$2,FALSE),-100)</f>
        <v>-100</v>
      </c>
      <c r="BM34">
        <f>IF(Table29128[[#This Row],[Caproate '[%']]]&lt;U$10,_xlfn.NORM.DIST(Table29128[[#This Row],[Caproate '[%']]],U$6,U$2,FALSE),-100)</f>
        <v>-100</v>
      </c>
      <c r="BN34">
        <f>IF(Table29128[[#This Row],[Isobutyrate '[%']]]&lt;V$10,_xlfn.NORM.DIST(Table29128[[#This Row],[Isobutyrate '[%']]],V$6,V$2,FALSE),-100)</f>
        <v>-100</v>
      </c>
      <c r="BO34">
        <f>IF(Table29128[[#This Row],[Isovalerate '[%']]]&lt;W$10,_xlfn.NORM.DIST(Table29128[[#This Row],[Isovalerate '[%']]],W$6,W$2,FALSE),-100)</f>
        <v>-100</v>
      </c>
      <c r="BP34">
        <f>IF(Table29128[[#This Row],[CH4 '[g/mmol SCFA']]]&lt;X$10,_xlfn.NORM.DIST(Table29128[[#This Row],[CH4 '[g/mmol SCFA']]],X$6,X$2,FALSE),-100)</f>
        <v>-100</v>
      </c>
      <c r="BQ34" t="e">
        <f>IF(Table29128[[#This Row],[DMD '[mg/g']]]&gt;Y$10,_xlfn.NORM.DIST(Table29128[[#This Row],[DMD '[mg/g']]],Y$6,Y$2,FALSE),-100)</f>
        <v>#REF!</v>
      </c>
      <c r="BR34" t="e">
        <f>IF(Table29128[[#This Row],[CH4 '[ml/g']]]&lt;Z$10,_xlfn.NORM.DIST(Table29128[[#This Row],[CH4 '[ml/g']]],Z$6,Z$2,FALSE),-100)</f>
        <v>#REF!</v>
      </c>
      <c r="BS34" t="e">
        <f>IF(Table29128[[#This Row],[CH4 '[% GP']]]&lt;AA$10,_xlfn.NORM.DIST(Table29128[[#This Row],[CH4 '[% GP']]],AA$6,AA$2,FALSE),-100)</f>
        <v>#REF!</v>
      </c>
      <c r="BT34" t="e">
        <f>IF(Table29128[[#This Row],[CH4 '[g/g DDM']]]&lt;AB$10,_xlfn.NORM.DIST(Table29128[[#This Row],[CH4 '[g/g DDM']]],AB$6,AB$2,FALSE),-100)</f>
        <v>#REF!</v>
      </c>
    </row>
    <row r="35" spans="1:72" x14ac:dyDescent="0.25">
      <c r="A35" s="12" t="s">
        <v>86</v>
      </c>
      <c r="B35" s="13">
        <v>1083</v>
      </c>
      <c r="C35" s="104" t="s">
        <v>422</v>
      </c>
      <c r="D35" s="104" t="s">
        <v>164</v>
      </c>
      <c r="E35" s="104" t="s">
        <v>423</v>
      </c>
      <c r="F35" s="104" t="s">
        <v>424</v>
      </c>
      <c r="G35" s="32" t="s">
        <v>143</v>
      </c>
      <c r="H35" s="32" t="s">
        <v>144</v>
      </c>
      <c r="I35" s="32" t="s">
        <v>52</v>
      </c>
      <c r="J35" s="100">
        <v>1</v>
      </c>
      <c r="K35" s="100"/>
      <c r="L35" s="100"/>
      <c r="M35" t="s">
        <v>424</v>
      </c>
      <c r="N35" t="s">
        <v>99</v>
      </c>
      <c r="O35" s="18"/>
      <c r="P35" s="18"/>
      <c r="Q35" s="97"/>
      <c r="R35" s="97"/>
      <c r="S35" s="97"/>
      <c r="T35" s="97"/>
      <c r="U35" s="97"/>
      <c r="V35" s="97"/>
      <c r="W35" s="97"/>
      <c r="X35" s="51"/>
      <c r="Y35" s="18" t="e">
        <f>AVERAGEIFS([1]!Table2912[DMD '[mg/g']],[1]!Table2912[Substrate ID],Table29128[[#This Row],[Substrate ID]])</f>
        <v>#REF!</v>
      </c>
      <c r="Z35" s="18" t="e">
        <f>AVERAGEIFS([1]!Table2912[CH4 '[ml/g']],[1]!Table2912[Substrate ID],Table29128[[#This Row],[Substrate ID]])</f>
        <v>#REF!</v>
      </c>
      <c r="AA35" s="18" t="e">
        <f>AVERAGEIFS([1]!Table2912[CH4 '[% GP']],[1]!Table2912[Substrate ID],Table29128[[#This Row],[Substrate ID]])</f>
        <v>#REF!</v>
      </c>
      <c r="AB35" s="18" t="e">
        <f>AVERAGEIFS([1]!Table2912[CH4 '[g/g DDM']],[1]!Table2912[Substrate ID],Table29128[[#This Row],[Substrate ID]])</f>
        <v>#REF!</v>
      </c>
      <c r="AC35" s="18" t="e">
        <f>$CP$17*Table29128[[#This Row],[DMD '[mg/g']]]+$CQ$17*Table29128[[#This Row],[CH4 '[g/g DDM']]]</f>
        <v>#REF!</v>
      </c>
      <c r="AD35" s="18" t="e">
        <f>_xlfn.RANK.AVG(Table29128[[#This Row],[Index]],Table29128[Index])</f>
        <v>#REF!</v>
      </c>
      <c r="AE35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35" s="18" t="e">
        <f>Table29128[[#This Row],[CH4 '[ml/g']]]/Table29128[[#This Row],[APB]]</f>
        <v>#REF!</v>
      </c>
      <c r="AG35" s="18" t="e">
        <f>Table29128[[#This Row],[Propionate '[%']]]/Table29128[[#This Row],[Acetate '[%']]]</f>
        <v>#DIV/0!</v>
      </c>
      <c r="AH35" s="51"/>
      <c r="AI35" s="18"/>
      <c r="AJ35" s="18"/>
      <c r="AK35" s="135" t="e">
        <f t="shared" si="4"/>
        <v>#REF!</v>
      </c>
      <c r="AL35" s="18"/>
      <c r="AM35" s="135" t="e">
        <f t="shared" si="5"/>
        <v>#REF!</v>
      </c>
      <c r="AN35" s="135" t="e">
        <f>(Table29128[[#This Row],[CH4 '[g/g DDM']]]-AN$15)/AN$15%</f>
        <v>#REF!</v>
      </c>
      <c r="AO35" s="18"/>
      <c r="AP35" s="18"/>
      <c r="AR35" t="e">
        <f>_xlfn.NORM.DIST(Table29128[[#This Row],[GP '[ml/g']]],O$6,O$2,FALSE)</f>
        <v>#DIV/0!</v>
      </c>
      <c r="AS35" t="e">
        <f>_xlfn.NORM.DIST(Table29128[[#This Row],[SCFA '[mmol/g']]],P$6,P$2,FALSE)</f>
        <v>#DIV/0!</v>
      </c>
      <c r="AT35" t="e">
        <f>_xlfn.NORM.DIST(Table29128[[#This Row],[Acetate '[%']]],Q$6,Q$2,FALSE)</f>
        <v>#DIV/0!</v>
      </c>
      <c r="AU35" t="e">
        <f>_xlfn.NORM.DIST(Table29128[[#This Row],[Propionate '[%']]],R$6,R$2,FALSE)</f>
        <v>#DIV/0!</v>
      </c>
      <c r="AV35" t="e">
        <f>_xlfn.NORM.DIST(Table29128[[#This Row],[Butyrate '[%']]],S$6,S$2,FALSE)</f>
        <v>#DIV/0!</v>
      </c>
      <c r="AW35" t="e">
        <f>_xlfn.NORM.DIST(Table29128[[#This Row],[Valerate '[%']]],T$6,T$2,FALSE)</f>
        <v>#DIV/0!</v>
      </c>
      <c r="AX35" t="e">
        <f>_xlfn.NORM.DIST(Table29128[[#This Row],[Caproate '[%']]],U$6,U$2,FALSE)</f>
        <v>#DIV/0!</v>
      </c>
      <c r="AY35" t="e">
        <f>_xlfn.NORM.DIST(Table29128[[#This Row],[Isobutyrate '[%']]],V$6,V$2,FALSE)</f>
        <v>#DIV/0!</v>
      </c>
      <c r="AZ35" t="e">
        <f>_xlfn.NORM.DIST(Table29128[[#This Row],[Isovalerate '[%']]],W$6,W$2,FALSE)</f>
        <v>#DIV/0!</v>
      </c>
      <c r="BA35" t="e">
        <f>_xlfn.NORM.DIST(Table29128[[#This Row],[CH4 '[g/mmol SCFA']]],X$6,X$2,FALSE)</f>
        <v>#DIV/0!</v>
      </c>
      <c r="BB35" t="e">
        <f>_xlfn.NORM.DIST(Table29128[[#This Row],[DMD '[mg/g']]],Y$6,Y$2,FALSE)</f>
        <v>#REF!</v>
      </c>
      <c r="BC35" t="e">
        <f>_xlfn.NORM.DIST(Table29128[[#This Row],[CH4 '[ml/g']]],Z$6,Z$2,FALSE)</f>
        <v>#REF!</v>
      </c>
      <c r="BD35" t="e">
        <f>_xlfn.NORM.DIST(Table29128[[#This Row],[CH4 '[% GP']]],AA$6,AA$2,FALSE)</f>
        <v>#REF!</v>
      </c>
      <c r="BE35" t="e">
        <f>_xlfn.NORM.DIST(Table29128[[#This Row],[CH4 '[g/g DDM']]],AB$6,AB$2,FALSE)</f>
        <v>#REF!</v>
      </c>
      <c r="BG35">
        <f>IF(Table29128[[#This Row],[GP '[ml/g']]]&lt;O$10,_xlfn.NORM.DIST(Table29128[[#This Row],[GP '[ml/g']]],O$6,O$2,FALSE),-100)</f>
        <v>-100</v>
      </c>
      <c r="BH35">
        <f>IF(Table29128[[#This Row],[SCFA '[mmol/g']]]&lt;P$10,_xlfn.NORM.DIST(Table29128[[#This Row],[SCFA '[mmol/g']]],P$6,P$2,FALSE),-100)</f>
        <v>-100</v>
      </c>
      <c r="BI35">
        <f>IF(Table29128[[#This Row],[Acetate '[%']]]&lt;Q$10,_xlfn.NORM.DIST(Table29128[[#This Row],[Acetate '[%']]],Q$6,Q$2,FALSE),-100)</f>
        <v>-100</v>
      </c>
      <c r="BJ35">
        <f>IF(Table29128[[#This Row],[Propionate '[%']]]&lt;R$10,_xlfn.NORM.DIST(Table29128[[#This Row],[Propionate '[%']]],R$6,R$2,FALSE),-100)</f>
        <v>-100</v>
      </c>
      <c r="BK35">
        <f>IF(Table29128[[#This Row],[Butyrate '[%']]]&lt;S$10,_xlfn.NORM.DIST(Table29128[[#This Row],[Butyrate '[%']]],S$6,S$2,FALSE),-100)</f>
        <v>-100</v>
      </c>
      <c r="BL35">
        <f>IF(Table29128[[#This Row],[Valerate '[%']]]&lt;T$10,_xlfn.NORM.DIST(Table29128[[#This Row],[Valerate '[%']]],T$6,T$2,FALSE),-100)</f>
        <v>-100</v>
      </c>
      <c r="BM35">
        <f>IF(Table29128[[#This Row],[Caproate '[%']]]&lt;U$10,_xlfn.NORM.DIST(Table29128[[#This Row],[Caproate '[%']]],U$6,U$2,FALSE),-100)</f>
        <v>-100</v>
      </c>
      <c r="BN35">
        <f>IF(Table29128[[#This Row],[Isobutyrate '[%']]]&lt;V$10,_xlfn.NORM.DIST(Table29128[[#This Row],[Isobutyrate '[%']]],V$6,V$2,FALSE),-100)</f>
        <v>-100</v>
      </c>
      <c r="BO35">
        <f>IF(Table29128[[#This Row],[Isovalerate '[%']]]&lt;W$10,_xlfn.NORM.DIST(Table29128[[#This Row],[Isovalerate '[%']]],W$6,W$2,FALSE),-100)</f>
        <v>-100</v>
      </c>
      <c r="BP35">
        <f>IF(Table29128[[#This Row],[CH4 '[g/mmol SCFA']]]&lt;X$10,_xlfn.NORM.DIST(Table29128[[#This Row],[CH4 '[g/mmol SCFA']]],X$6,X$2,FALSE),-100)</f>
        <v>-100</v>
      </c>
      <c r="BQ35" t="e">
        <f>IF(Table29128[[#This Row],[DMD '[mg/g']]]&gt;Y$10,_xlfn.NORM.DIST(Table29128[[#This Row],[DMD '[mg/g']]],Y$6,Y$2,FALSE),-100)</f>
        <v>#REF!</v>
      </c>
      <c r="BR35" t="e">
        <f>IF(Table29128[[#This Row],[CH4 '[ml/g']]]&lt;Z$10,_xlfn.NORM.DIST(Table29128[[#This Row],[CH4 '[ml/g']]],Z$6,Z$2,FALSE),-100)</f>
        <v>#REF!</v>
      </c>
      <c r="BS35" t="e">
        <f>IF(Table29128[[#This Row],[CH4 '[% GP']]]&lt;AA$10,_xlfn.NORM.DIST(Table29128[[#This Row],[CH4 '[% GP']]],AA$6,AA$2,FALSE),-100)</f>
        <v>#REF!</v>
      </c>
      <c r="BT35" t="e">
        <f>IF(Table29128[[#This Row],[CH4 '[g/g DDM']]]&lt;AB$10,_xlfn.NORM.DIST(Table29128[[#This Row],[CH4 '[g/g DDM']]],AB$6,AB$2,FALSE),-100)</f>
        <v>#REF!</v>
      </c>
    </row>
    <row r="36" spans="1:72" x14ac:dyDescent="0.25">
      <c r="A36" s="12" t="s">
        <v>86</v>
      </c>
      <c r="B36" s="13">
        <v>1087</v>
      </c>
      <c r="C36" s="104" t="s">
        <v>338</v>
      </c>
      <c r="D36" s="104" t="s">
        <v>164</v>
      </c>
      <c r="E36" s="104" t="s">
        <v>339</v>
      </c>
      <c r="F36" s="104" t="s">
        <v>340</v>
      </c>
      <c r="G36" s="23" t="s">
        <v>143</v>
      </c>
      <c r="H36" s="23" t="s">
        <v>144</v>
      </c>
      <c r="I36" s="32" t="s">
        <v>52</v>
      </c>
      <c r="J36" s="100">
        <v>1</v>
      </c>
      <c r="K36" s="100"/>
      <c r="L36" s="100"/>
      <c r="M36" t="s">
        <v>341</v>
      </c>
      <c r="N36" t="s">
        <v>99</v>
      </c>
      <c r="O36" s="18"/>
      <c r="P36" s="18"/>
      <c r="Q36" s="97"/>
      <c r="R36" s="97"/>
      <c r="S36" s="97"/>
      <c r="T36" s="97"/>
      <c r="U36" s="97"/>
      <c r="V36" s="97"/>
      <c r="W36" s="97"/>
      <c r="X36" s="51"/>
      <c r="Y36" s="18" t="e">
        <f>AVERAGEIFS([1]!Table2912[DMD '[mg/g']],[1]!Table2912[Substrate ID],Table29128[[#This Row],[Substrate ID]])</f>
        <v>#REF!</v>
      </c>
      <c r="Z36" s="18" t="e">
        <f>AVERAGEIFS([1]!Table2912[CH4 '[ml/g']],[1]!Table2912[Substrate ID],Table29128[[#This Row],[Substrate ID]])</f>
        <v>#REF!</v>
      </c>
      <c r="AA36" s="18" t="e">
        <f>AVERAGEIFS([1]!Table2912[CH4 '[% GP']],[1]!Table2912[Substrate ID],Table29128[[#This Row],[Substrate ID]])</f>
        <v>#REF!</v>
      </c>
      <c r="AB36" s="18" t="e">
        <f>AVERAGEIFS([1]!Table2912[CH4 '[g/g DDM']],[1]!Table2912[Substrate ID],Table29128[[#This Row],[Substrate ID]])</f>
        <v>#REF!</v>
      </c>
      <c r="AC36" s="18" t="e">
        <f>$CP$17*Table29128[[#This Row],[DMD '[mg/g']]]+$CQ$17*Table29128[[#This Row],[CH4 '[g/g DDM']]]</f>
        <v>#REF!</v>
      </c>
      <c r="AD36" s="18" t="e">
        <f>_xlfn.RANK.AVG(Table29128[[#This Row],[Index]],Table29128[Index])</f>
        <v>#REF!</v>
      </c>
      <c r="AE36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36" s="18" t="e">
        <f>Table29128[[#This Row],[CH4 '[ml/g']]]/Table29128[[#This Row],[APB]]</f>
        <v>#REF!</v>
      </c>
      <c r="AG36" s="18" t="e">
        <f>Table29128[[#This Row],[Propionate '[%']]]/Table29128[[#This Row],[Acetate '[%']]]</f>
        <v>#DIV/0!</v>
      </c>
      <c r="AH36" s="51"/>
      <c r="AI36" s="18"/>
      <c r="AJ36" s="18"/>
      <c r="AK36" s="135" t="e">
        <f t="shared" si="4"/>
        <v>#REF!</v>
      </c>
      <c r="AL36" s="18"/>
      <c r="AM36" s="135" t="e">
        <f t="shared" si="5"/>
        <v>#REF!</v>
      </c>
      <c r="AN36" s="135" t="e">
        <f>(Table29128[[#This Row],[CH4 '[g/g DDM']]]-AN$15)/AN$15%</f>
        <v>#REF!</v>
      </c>
      <c r="AO36" s="18"/>
      <c r="AP36" s="18"/>
      <c r="AR36" t="e">
        <f>_xlfn.NORM.DIST(Table29128[[#This Row],[GP '[ml/g']]],O$6,O$2,FALSE)</f>
        <v>#DIV/0!</v>
      </c>
      <c r="AS36" t="e">
        <f>_xlfn.NORM.DIST(Table29128[[#This Row],[SCFA '[mmol/g']]],P$6,P$2,FALSE)</f>
        <v>#DIV/0!</v>
      </c>
      <c r="AT36" t="e">
        <f>_xlfn.NORM.DIST(Table29128[[#This Row],[Acetate '[%']]],Q$6,Q$2,FALSE)</f>
        <v>#DIV/0!</v>
      </c>
      <c r="AU36" t="e">
        <f>_xlfn.NORM.DIST(Table29128[[#This Row],[Propionate '[%']]],R$6,R$2,FALSE)</f>
        <v>#DIV/0!</v>
      </c>
      <c r="AV36" t="e">
        <f>_xlfn.NORM.DIST(Table29128[[#This Row],[Butyrate '[%']]],S$6,S$2,FALSE)</f>
        <v>#DIV/0!</v>
      </c>
      <c r="AW36" t="e">
        <f>_xlfn.NORM.DIST(Table29128[[#This Row],[Valerate '[%']]],T$6,T$2,FALSE)</f>
        <v>#DIV/0!</v>
      </c>
      <c r="AX36" t="e">
        <f>_xlfn.NORM.DIST(Table29128[[#This Row],[Caproate '[%']]],U$6,U$2,FALSE)</f>
        <v>#DIV/0!</v>
      </c>
      <c r="AY36" t="e">
        <f>_xlfn.NORM.DIST(Table29128[[#This Row],[Isobutyrate '[%']]],V$6,V$2,FALSE)</f>
        <v>#DIV/0!</v>
      </c>
      <c r="AZ36" t="e">
        <f>_xlfn.NORM.DIST(Table29128[[#This Row],[Isovalerate '[%']]],W$6,W$2,FALSE)</f>
        <v>#DIV/0!</v>
      </c>
      <c r="BA36" t="e">
        <f>_xlfn.NORM.DIST(Table29128[[#This Row],[CH4 '[g/mmol SCFA']]],X$6,X$2,FALSE)</f>
        <v>#DIV/0!</v>
      </c>
      <c r="BB36" t="e">
        <f>_xlfn.NORM.DIST(Table29128[[#This Row],[DMD '[mg/g']]],Y$6,Y$2,FALSE)</f>
        <v>#REF!</v>
      </c>
      <c r="BC36" t="e">
        <f>_xlfn.NORM.DIST(Table29128[[#This Row],[CH4 '[ml/g']]],Z$6,Z$2,FALSE)</f>
        <v>#REF!</v>
      </c>
      <c r="BD36" t="e">
        <f>_xlfn.NORM.DIST(Table29128[[#This Row],[CH4 '[% GP']]],AA$6,AA$2,FALSE)</f>
        <v>#REF!</v>
      </c>
      <c r="BE36" t="e">
        <f>_xlfn.NORM.DIST(Table29128[[#This Row],[CH4 '[g/g DDM']]],AB$6,AB$2,FALSE)</f>
        <v>#REF!</v>
      </c>
      <c r="BG36">
        <f>IF(Table29128[[#This Row],[GP '[ml/g']]]&lt;O$10,_xlfn.NORM.DIST(Table29128[[#This Row],[GP '[ml/g']]],O$6,O$2,FALSE),-100)</f>
        <v>-100</v>
      </c>
      <c r="BH36">
        <f>IF(Table29128[[#This Row],[SCFA '[mmol/g']]]&lt;P$10,_xlfn.NORM.DIST(Table29128[[#This Row],[SCFA '[mmol/g']]],P$6,P$2,FALSE),-100)</f>
        <v>-100</v>
      </c>
      <c r="BI36">
        <f>IF(Table29128[[#This Row],[Acetate '[%']]]&lt;Q$10,_xlfn.NORM.DIST(Table29128[[#This Row],[Acetate '[%']]],Q$6,Q$2,FALSE),-100)</f>
        <v>-100</v>
      </c>
      <c r="BJ36">
        <f>IF(Table29128[[#This Row],[Propionate '[%']]]&lt;R$10,_xlfn.NORM.DIST(Table29128[[#This Row],[Propionate '[%']]],R$6,R$2,FALSE),-100)</f>
        <v>-100</v>
      </c>
      <c r="BK36">
        <f>IF(Table29128[[#This Row],[Butyrate '[%']]]&lt;S$10,_xlfn.NORM.DIST(Table29128[[#This Row],[Butyrate '[%']]],S$6,S$2,FALSE),-100)</f>
        <v>-100</v>
      </c>
      <c r="BL36">
        <f>IF(Table29128[[#This Row],[Valerate '[%']]]&lt;T$10,_xlfn.NORM.DIST(Table29128[[#This Row],[Valerate '[%']]],T$6,T$2,FALSE),-100)</f>
        <v>-100</v>
      </c>
      <c r="BM36">
        <f>IF(Table29128[[#This Row],[Caproate '[%']]]&lt;U$10,_xlfn.NORM.DIST(Table29128[[#This Row],[Caproate '[%']]],U$6,U$2,FALSE),-100)</f>
        <v>-100</v>
      </c>
      <c r="BN36">
        <f>IF(Table29128[[#This Row],[Isobutyrate '[%']]]&lt;V$10,_xlfn.NORM.DIST(Table29128[[#This Row],[Isobutyrate '[%']]],V$6,V$2,FALSE),-100)</f>
        <v>-100</v>
      </c>
      <c r="BO36">
        <f>IF(Table29128[[#This Row],[Isovalerate '[%']]]&lt;W$10,_xlfn.NORM.DIST(Table29128[[#This Row],[Isovalerate '[%']]],W$6,W$2,FALSE),-100)</f>
        <v>-100</v>
      </c>
      <c r="BP36">
        <f>IF(Table29128[[#This Row],[CH4 '[g/mmol SCFA']]]&lt;X$10,_xlfn.NORM.DIST(Table29128[[#This Row],[CH4 '[g/mmol SCFA']]],X$6,X$2,FALSE),-100)</f>
        <v>-100</v>
      </c>
      <c r="BQ36" t="e">
        <f>IF(Table29128[[#This Row],[DMD '[mg/g']]]&gt;Y$10,_xlfn.NORM.DIST(Table29128[[#This Row],[DMD '[mg/g']]],Y$6,Y$2,FALSE),-100)</f>
        <v>#REF!</v>
      </c>
      <c r="BR36" t="e">
        <f>IF(Table29128[[#This Row],[CH4 '[ml/g']]]&lt;Z$10,_xlfn.NORM.DIST(Table29128[[#This Row],[CH4 '[ml/g']]],Z$6,Z$2,FALSE),-100)</f>
        <v>#REF!</v>
      </c>
      <c r="BS36" t="e">
        <f>IF(Table29128[[#This Row],[CH4 '[% GP']]]&lt;AA$10,_xlfn.NORM.DIST(Table29128[[#This Row],[CH4 '[% GP']]],AA$6,AA$2,FALSE),-100)</f>
        <v>#REF!</v>
      </c>
      <c r="BT36" t="e">
        <f>IF(Table29128[[#This Row],[CH4 '[g/g DDM']]]&lt;AB$10,_xlfn.NORM.DIST(Table29128[[#This Row],[CH4 '[g/g DDM']]],AB$6,AB$2,FALSE),-100)</f>
        <v>#REF!</v>
      </c>
    </row>
    <row r="37" spans="1:72" ht="15" customHeight="1" x14ac:dyDescent="0.25">
      <c r="A37" s="12" t="s">
        <v>86</v>
      </c>
      <c r="B37" s="13">
        <v>1048</v>
      </c>
      <c r="C37" s="104" t="s">
        <v>87</v>
      </c>
      <c r="D37" s="104" t="s">
        <v>88</v>
      </c>
      <c r="E37" s="104" t="s">
        <v>89</v>
      </c>
      <c r="F37" s="104" t="s">
        <v>90</v>
      </c>
      <c r="G37" s="32" t="s">
        <v>73</v>
      </c>
      <c r="H37" s="32" t="s">
        <v>74</v>
      </c>
      <c r="I37" s="104" t="s">
        <v>48</v>
      </c>
      <c r="J37" s="100">
        <v>1</v>
      </c>
      <c r="K37" s="100"/>
      <c r="L37" s="137" t="s">
        <v>627</v>
      </c>
      <c r="M37" t="s">
        <v>91</v>
      </c>
      <c r="N37" t="s">
        <v>98</v>
      </c>
      <c r="O37" s="18"/>
      <c r="P37" s="18"/>
      <c r="Q37" s="97"/>
      <c r="R37" s="97"/>
      <c r="S37" s="97"/>
      <c r="T37" s="97"/>
      <c r="U37" s="97"/>
      <c r="V37" s="97"/>
      <c r="W37" s="97"/>
      <c r="X37" s="51"/>
      <c r="Y37" s="18" t="e">
        <f>AVERAGEIFS([1]!Table2912[DMD '[mg/g']],[1]!Table2912[Substrate ID],Table29128[[#This Row],[Substrate ID]])</f>
        <v>#REF!</v>
      </c>
      <c r="Z37" s="18" t="e">
        <f>AVERAGEIFS([1]!Table2912[CH4 '[ml/g']],[1]!Table2912[Substrate ID],Table29128[[#This Row],[Substrate ID]])</f>
        <v>#REF!</v>
      </c>
      <c r="AA37" s="18" t="e">
        <f>AVERAGEIFS([1]!Table2912[CH4 '[% GP']],[1]!Table2912[Substrate ID],Table29128[[#This Row],[Substrate ID]])</f>
        <v>#REF!</v>
      </c>
      <c r="AB37" s="18" t="e">
        <f>AVERAGEIFS([1]!Table2912[CH4 '[g/g DDM']],[1]!Table2912[Substrate ID],Table29128[[#This Row],[Substrate ID]])</f>
        <v>#REF!</v>
      </c>
      <c r="AC37" s="18" t="e">
        <f>$CP$17*Table29128[[#This Row],[DMD '[mg/g']]]+$CQ$17*Table29128[[#This Row],[CH4 '[g/g DDM']]]</f>
        <v>#REF!</v>
      </c>
      <c r="AD37" s="18" t="e">
        <f>_xlfn.RANK.AVG(Table29128[[#This Row],[Index]],Table29128[Index])</f>
        <v>#REF!</v>
      </c>
      <c r="AE37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37" s="18" t="e">
        <f>Table29128[[#This Row],[CH4 '[ml/g']]]/Table29128[[#This Row],[APB]]</f>
        <v>#REF!</v>
      </c>
      <c r="AG37" s="18" t="e">
        <f>Table29128[[#This Row],[Propionate '[%']]]/Table29128[[#This Row],[Acetate '[%']]]</f>
        <v>#DIV/0!</v>
      </c>
      <c r="AH37" s="51"/>
      <c r="AI37" s="18"/>
      <c r="AJ37" s="18"/>
      <c r="AK37" s="135" t="e">
        <f t="shared" si="4"/>
        <v>#REF!</v>
      </c>
      <c r="AL37" s="18"/>
      <c r="AM37" s="135" t="e">
        <f t="shared" si="5"/>
        <v>#REF!</v>
      </c>
      <c r="AN37" s="135" t="e">
        <f>(Table29128[[#This Row],[CH4 '[g/g DDM']]]-AN$15)/AN$15%</f>
        <v>#REF!</v>
      </c>
      <c r="AO37" s="18"/>
      <c r="AP37" s="18"/>
      <c r="AR37" t="e">
        <f>_xlfn.NORM.DIST(Table29128[[#This Row],[GP '[ml/g']]],O$6,O$2,FALSE)</f>
        <v>#DIV/0!</v>
      </c>
      <c r="AS37" t="e">
        <f>_xlfn.NORM.DIST(Table29128[[#This Row],[SCFA '[mmol/g']]],P$6,P$2,FALSE)</f>
        <v>#DIV/0!</v>
      </c>
      <c r="AT37" t="e">
        <f>_xlfn.NORM.DIST(Table29128[[#This Row],[Acetate '[%']]],Q$6,Q$2,FALSE)</f>
        <v>#DIV/0!</v>
      </c>
      <c r="AU37" t="e">
        <f>_xlfn.NORM.DIST(Table29128[[#This Row],[Propionate '[%']]],R$6,R$2,FALSE)</f>
        <v>#DIV/0!</v>
      </c>
      <c r="AV37" t="e">
        <f>_xlfn.NORM.DIST(Table29128[[#This Row],[Butyrate '[%']]],S$6,S$2,FALSE)</f>
        <v>#DIV/0!</v>
      </c>
      <c r="AW37" t="e">
        <f>_xlfn.NORM.DIST(Table29128[[#This Row],[Valerate '[%']]],T$6,T$2,FALSE)</f>
        <v>#DIV/0!</v>
      </c>
      <c r="AX37" t="e">
        <f>_xlfn.NORM.DIST(Table29128[[#This Row],[Caproate '[%']]],U$6,U$2,FALSE)</f>
        <v>#DIV/0!</v>
      </c>
      <c r="AY37" t="e">
        <f>_xlfn.NORM.DIST(Table29128[[#This Row],[Isobutyrate '[%']]],V$6,V$2,FALSE)</f>
        <v>#DIV/0!</v>
      </c>
      <c r="AZ37" t="e">
        <f>_xlfn.NORM.DIST(Table29128[[#This Row],[Isovalerate '[%']]],W$6,W$2,FALSE)</f>
        <v>#DIV/0!</v>
      </c>
      <c r="BA37" t="e">
        <f>_xlfn.NORM.DIST(Table29128[[#This Row],[CH4 '[g/mmol SCFA']]],X$6,X$2,FALSE)</f>
        <v>#DIV/0!</v>
      </c>
      <c r="BB37" t="e">
        <f>_xlfn.NORM.DIST(Table29128[[#This Row],[DMD '[mg/g']]],Y$6,Y$2,FALSE)</f>
        <v>#REF!</v>
      </c>
      <c r="BC37" t="e">
        <f>_xlfn.NORM.DIST(Table29128[[#This Row],[CH4 '[ml/g']]],Z$6,Z$2,FALSE)</f>
        <v>#REF!</v>
      </c>
      <c r="BD37" t="e">
        <f>_xlfn.NORM.DIST(Table29128[[#This Row],[CH4 '[% GP']]],AA$6,AA$2,FALSE)</f>
        <v>#REF!</v>
      </c>
      <c r="BE37" t="e">
        <f>_xlfn.NORM.DIST(Table29128[[#This Row],[CH4 '[g/g DDM']]],AB$6,AB$2,FALSE)</f>
        <v>#REF!</v>
      </c>
      <c r="BG37">
        <f>IF(Table29128[[#This Row],[GP '[ml/g']]]&lt;O$10,_xlfn.NORM.DIST(Table29128[[#This Row],[GP '[ml/g']]],O$6,O$2,FALSE),-100)</f>
        <v>-100</v>
      </c>
      <c r="BH37">
        <f>IF(Table29128[[#This Row],[SCFA '[mmol/g']]]&lt;P$10,_xlfn.NORM.DIST(Table29128[[#This Row],[SCFA '[mmol/g']]],P$6,P$2,FALSE),-100)</f>
        <v>-100</v>
      </c>
      <c r="BI37">
        <f>IF(Table29128[[#This Row],[Acetate '[%']]]&lt;Q$10,_xlfn.NORM.DIST(Table29128[[#This Row],[Acetate '[%']]],Q$6,Q$2,FALSE),-100)</f>
        <v>-100</v>
      </c>
      <c r="BJ37">
        <f>IF(Table29128[[#This Row],[Propionate '[%']]]&lt;R$10,_xlfn.NORM.DIST(Table29128[[#This Row],[Propionate '[%']]],R$6,R$2,FALSE),-100)</f>
        <v>-100</v>
      </c>
      <c r="BK37">
        <f>IF(Table29128[[#This Row],[Butyrate '[%']]]&lt;S$10,_xlfn.NORM.DIST(Table29128[[#This Row],[Butyrate '[%']]],S$6,S$2,FALSE),-100)</f>
        <v>-100</v>
      </c>
      <c r="BL37">
        <f>IF(Table29128[[#This Row],[Valerate '[%']]]&lt;T$10,_xlfn.NORM.DIST(Table29128[[#This Row],[Valerate '[%']]],T$6,T$2,FALSE),-100)</f>
        <v>-100</v>
      </c>
      <c r="BM37">
        <f>IF(Table29128[[#This Row],[Caproate '[%']]]&lt;U$10,_xlfn.NORM.DIST(Table29128[[#This Row],[Caproate '[%']]],U$6,U$2,FALSE),-100)</f>
        <v>-100</v>
      </c>
      <c r="BN37">
        <f>IF(Table29128[[#This Row],[Isobutyrate '[%']]]&lt;V$10,_xlfn.NORM.DIST(Table29128[[#This Row],[Isobutyrate '[%']]],V$6,V$2,FALSE),-100)</f>
        <v>-100</v>
      </c>
      <c r="BO37">
        <f>IF(Table29128[[#This Row],[Isovalerate '[%']]]&lt;W$10,_xlfn.NORM.DIST(Table29128[[#This Row],[Isovalerate '[%']]],W$6,W$2,FALSE),-100)</f>
        <v>-100</v>
      </c>
      <c r="BP37">
        <f>IF(Table29128[[#This Row],[CH4 '[g/mmol SCFA']]]&lt;X$10,_xlfn.NORM.DIST(Table29128[[#This Row],[CH4 '[g/mmol SCFA']]],X$6,X$2,FALSE),-100)</f>
        <v>-100</v>
      </c>
      <c r="BQ37" t="e">
        <f>IF(Table29128[[#This Row],[DMD '[mg/g']]]&gt;Y$10,_xlfn.NORM.DIST(Table29128[[#This Row],[DMD '[mg/g']]],Y$6,Y$2,FALSE),-100)</f>
        <v>#REF!</v>
      </c>
      <c r="BR37" t="e">
        <f>IF(Table29128[[#This Row],[CH4 '[ml/g']]]&lt;Z$10,_xlfn.NORM.DIST(Table29128[[#This Row],[CH4 '[ml/g']]],Z$6,Z$2,FALSE),-100)</f>
        <v>#REF!</v>
      </c>
      <c r="BS37" t="e">
        <f>IF(Table29128[[#This Row],[CH4 '[% GP']]]&lt;AA$10,_xlfn.NORM.DIST(Table29128[[#This Row],[CH4 '[% GP']]],AA$6,AA$2,FALSE),-100)</f>
        <v>#REF!</v>
      </c>
      <c r="BT37" t="e">
        <f>IF(Table29128[[#This Row],[CH4 '[g/g DDM']]]&lt;AB$10,_xlfn.NORM.DIST(Table29128[[#This Row],[CH4 '[g/g DDM']]],AB$6,AB$2,FALSE),-100)</f>
        <v>#REF!</v>
      </c>
    </row>
    <row r="38" spans="1:72" x14ac:dyDescent="0.25">
      <c r="A38" s="12" t="s">
        <v>70</v>
      </c>
      <c r="B38" s="13">
        <v>1034</v>
      </c>
      <c r="C38" s="96" t="s">
        <v>107</v>
      </c>
      <c r="D38" s="96"/>
      <c r="E38" s="96"/>
      <c r="F38" s="96" t="s">
        <v>108</v>
      </c>
      <c r="G38" s="15" t="s">
        <v>73</v>
      </c>
      <c r="H38" s="15" t="s">
        <v>74</v>
      </c>
      <c r="I38" t="s">
        <v>75</v>
      </c>
      <c r="J38" s="100">
        <v>1</v>
      </c>
      <c r="K38" s="100"/>
      <c r="L38" s="100" t="s">
        <v>627</v>
      </c>
      <c r="M38" t="s">
        <v>108</v>
      </c>
      <c r="N38" t="s">
        <v>80</v>
      </c>
      <c r="O38" s="18"/>
      <c r="P38" s="18"/>
      <c r="Q38" s="97"/>
      <c r="R38" s="97"/>
      <c r="S38" s="97"/>
      <c r="T38" s="97"/>
      <c r="U38" s="97"/>
      <c r="V38" s="97"/>
      <c r="W38" s="97"/>
      <c r="X38" s="51"/>
      <c r="Y38" s="18" t="e">
        <f>AVERAGEIFS([1]!Table2912[DMD '[mg/g']],[1]!Table2912[Substrate ID],Table29128[[#This Row],[Substrate ID]])</f>
        <v>#REF!</v>
      </c>
      <c r="Z38" s="18" t="e">
        <f>AVERAGEIFS([1]!Table2912[CH4 '[ml/g']],[1]!Table2912[Substrate ID],Table29128[[#This Row],[Substrate ID]])</f>
        <v>#REF!</v>
      </c>
      <c r="AA38" s="18" t="e">
        <f>AVERAGEIFS([1]!Table2912[CH4 '[% GP']],[1]!Table2912[Substrate ID],Table29128[[#This Row],[Substrate ID]])</f>
        <v>#REF!</v>
      </c>
      <c r="AB38" s="18" t="e">
        <f>AVERAGEIFS([1]!Table2912[CH4 '[g/g DDM']],[1]!Table2912[Substrate ID],Table29128[[#This Row],[Substrate ID]])</f>
        <v>#REF!</v>
      </c>
      <c r="AC38" s="18" t="e">
        <f>$CP$17*Table29128[[#This Row],[DMD '[mg/g']]]+$CQ$17*Table29128[[#This Row],[CH4 '[g/g DDM']]]</f>
        <v>#REF!</v>
      </c>
      <c r="AD38" s="18" t="e">
        <f>_xlfn.RANK.AVG(Table29128[[#This Row],[Index]],Table29128[Index])</f>
        <v>#REF!</v>
      </c>
      <c r="AE38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38" s="18" t="e">
        <f>Table29128[[#This Row],[CH4 '[ml/g']]]/Table29128[[#This Row],[APB]]</f>
        <v>#REF!</v>
      </c>
      <c r="AG38" s="18" t="e">
        <f>Table29128[[#This Row],[Propionate '[%']]]/Table29128[[#This Row],[Acetate '[%']]]</f>
        <v>#DIV/0!</v>
      </c>
      <c r="AH38" s="51"/>
      <c r="AI38" s="18"/>
      <c r="AJ38" s="18"/>
      <c r="AK38" s="135" t="e">
        <f t="shared" si="4"/>
        <v>#REF!</v>
      </c>
      <c r="AL38" s="18"/>
      <c r="AM38" s="135" t="e">
        <f t="shared" si="5"/>
        <v>#REF!</v>
      </c>
      <c r="AN38" s="18" t="e">
        <f>(Table29128[[#This Row],[CH4 '[g/g DDM']]]-AN$15)/AN$15%</f>
        <v>#REF!</v>
      </c>
      <c r="AO38" s="18"/>
      <c r="AP38" s="18"/>
      <c r="AR38" t="e">
        <f>_xlfn.NORM.DIST(Table29128[[#This Row],[GP '[ml/g']]],O$6,O$2,FALSE)</f>
        <v>#DIV/0!</v>
      </c>
      <c r="AS38" t="e">
        <f>_xlfn.NORM.DIST(Table29128[[#This Row],[SCFA '[mmol/g']]],P$6,P$2,FALSE)</f>
        <v>#DIV/0!</v>
      </c>
      <c r="AT38" t="e">
        <f>_xlfn.NORM.DIST(Table29128[[#This Row],[Acetate '[%']]],Q$6,Q$2,FALSE)</f>
        <v>#DIV/0!</v>
      </c>
      <c r="AU38" t="e">
        <f>_xlfn.NORM.DIST(Table29128[[#This Row],[Propionate '[%']]],R$6,R$2,FALSE)</f>
        <v>#DIV/0!</v>
      </c>
      <c r="AV38" t="e">
        <f>_xlfn.NORM.DIST(Table29128[[#This Row],[Butyrate '[%']]],S$6,S$2,FALSE)</f>
        <v>#DIV/0!</v>
      </c>
      <c r="AW38" t="e">
        <f>_xlfn.NORM.DIST(Table29128[[#This Row],[Valerate '[%']]],T$6,T$2,FALSE)</f>
        <v>#DIV/0!</v>
      </c>
      <c r="AX38" t="e">
        <f>_xlfn.NORM.DIST(Table29128[[#This Row],[Caproate '[%']]],U$6,U$2,FALSE)</f>
        <v>#DIV/0!</v>
      </c>
      <c r="AY38" t="e">
        <f>_xlfn.NORM.DIST(Table29128[[#This Row],[Isobutyrate '[%']]],V$6,V$2,FALSE)</f>
        <v>#DIV/0!</v>
      </c>
      <c r="AZ38" t="e">
        <f>_xlfn.NORM.DIST(Table29128[[#This Row],[Isovalerate '[%']]],W$6,W$2,FALSE)</f>
        <v>#DIV/0!</v>
      </c>
      <c r="BA38" t="e">
        <f>_xlfn.NORM.DIST(Table29128[[#This Row],[CH4 '[g/mmol SCFA']]],X$6,X$2,FALSE)</f>
        <v>#DIV/0!</v>
      </c>
      <c r="BB38" t="e">
        <f>_xlfn.NORM.DIST(Table29128[[#This Row],[DMD '[mg/g']]],Y$6,Y$2,FALSE)</f>
        <v>#REF!</v>
      </c>
      <c r="BC38" t="e">
        <f>_xlfn.NORM.DIST(Table29128[[#This Row],[CH4 '[ml/g']]],Z$6,Z$2,FALSE)</f>
        <v>#REF!</v>
      </c>
      <c r="BD38" t="e">
        <f>_xlfn.NORM.DIST(Table29128[[#This Row],[CH4 '[% GP']]],AA$6,AA$2,FALSE)</f>
        <v>#REF!</v>
      </c>
      <c r="BE38" t="e">
        <f>_xlfn.NORM.DIST(Table29128[[#This Row],[CH4 '[g/g DDM']]],AB$6,AB$2,FALSE)</f>
        <v>#REF!</v>
      </c>
      <c r="BG38">
        <f>IF(Table29128[[#This Row],[GP '[ml/g']]]&lt;O$10,_xlfn.NORM.DIST(Table29128[[#This Row],[GP '[ml/g']]],O$6,O$2,FALSE),-100)</f>
        <v>-100</v>
      </c>
      <c r="BH38">
        <f>IF(Table29128[[#This Row],[SCFA '[mmol/g']]]&lt;P$10,_xlfn.NORM.DIST(Table29128[[#This Row],[SCFA '[mmol/g']]],P$6,P$2,FALSE),-100)</f>
        <v>-100</v>
      </c>
      <c r="BI38">
        <f>IF(Table29128[[#This Row],[Acetate '[%']]]&lt;Q$10,_xlfn.NORM.DIST(Table29128[[#This Row],[Acetate '[%']]],Q$6,Q$2,FALSE),-100)</f>
        <v>-100</v>
      </c>
      <c r="BJ38">
        <f>IF(Table29128[[#This Row],[Propionate '[%']]]&lt;R$10,_xlfn.NORM.DIST(Table29128[[#This Row],[Propionate '[%']]],R$6,R$2,FALSE),-100)</f>
        <v>-100</v>
      </c>
      <c r="BK38">
        <f>IF(Table29128[[#This Row],[Butyrate '[%']]]&lt;S$10,_xlfn.NORM.DIST(Table29128[[#This Row],[Butyrate '[%']]],S$6,S$2,FALSE),-100)</f>
        <v>-100</v>
      </c>
      <c r="BL38">
        <f>IF(Table29128[[#This Row],[Valerate '[%']]]&lt;T$10,_xlfn.NORM.DIST(Table29128[[#This Row],[Valerate '[%']]],T$6,T$2,FALSE),-100)</f>
        <v>-100</v>
      </c>
      <c r="BM38">
        <f>IF(Table29128[[#This Row],[Caproate '[%']]]&lt;U$10,_xlfn.NORM.DIST(Table29128[[#This Row],[Caproate '[%']]],U$6,U$2,FALSE),-100)</f>
        <v>-100</v>
      </c>
      <c r="BN38">
        <f>IF(Table29128[[#This Row],[Isobutyrate '[%']]]&lt;V$10,_xlfn.NORM.DIST(Table29128[[#This Row],[Isobutyrate '[%']]],V$6,V$2,FALSE),-100)</f>
        <v>-100</v>
      </c>
      <c r="BO38">
        <f>IF(Table29128[[#This Row],[Isovalerate '[%']]]&lt;W$10,_xlfn.NORM.DIST(Table29128[[#This Row],[Isovalerate '[%']]],W$6,W$2,FALSE),-100)</f>
        <v>-100</v>
      </c>
      <c r="BP38">
        <f>IF(Table29128[[#This Row],[CH4 '[g/mmol SCFA']]]&lt;X$10,_xlfn.NORM.DIST(Table29128[[#This Row],[CH4 '[g/mmol SCFA']]],X$6,X$2,FALSE),-100)</f>
        <v>-100</v>
      </c>
      <c r="BQ38" t="e">
        <f>IF(Table29128[[#This Row],[DMD '[mg/g']]]&gt;Y$10,_xlfn.NORM.DIST(Table29128[[#This Row],[DMD '[mg/g']]],Y$6,Y$2,FALSE),-100)</f>
        <v>#REF!</v>
      </c>
      <c r="BR38" t="e">
        <f>IF(Table29128[[#This Row],[CH4 '[ml/g']]]&lt;Z$10,_xlfn.NORM.DIST(Table29128[[#This Row],[CH4 '[ml/g']]],Z$6,Z$2,FALSE),-100)</f>
        <v>#REF!</v>
      </c>
      <c r="BS38" t="e">
        <f>IF(Table29128[[#This Row],[CH4 '[% GP']]]&lt;AA$10,_xlfn.NORM.DIST(Table29128[[#This Row],[CH4 '[% GP']]],AA$6,AA$2,FALSE),-100)</f>
        <v>#REF!</v>
      </c>
      <c r="BT38" t="e">
        <f>IF(Table29128[[#This Row],[CH4 '[g/g DDM']]]&lt;AB$10,_xlfn.NORM.DIST(Table29128[[#This Row],[CH4 '[g/g DDM']]],AB$6,AB$2,FALSE),-100)</f>
        <v>#REF!</v>
      </c>
    </row>
    <row r="39" spans="1:72" ht="15" customHeight="1" x14ac:dyDescent="0.25">
      <c r="A39" s="12" t="s">
        <v>200</v>
      </c>
      <c r="B39" s="13">
        <v>1199</v>
      </c>
      <c r="C39" s="119" t="s">
        <v>453</v>
      </c>
      <c r="D39" s="119" t="s">
        <v>454</v>
      </c>
      <c r="E39" s="119" t="s">
        <v>455</v>
      </c>
      <c r="F39" s="119" t="s">
        <v>456</v>
      </c>
      <c r="G39" t="s">
        <v>457</v>
      </c>
      <c r="H39" t="s">
        <v>458</v>
      </c>
      <c r="I39" s="53" t="s">
        <v>48</v>
      </c>
      <c r="J39" s="100">
        <v>1</v>
      </c>
      <c r="K39" s="100"/>
      <c r="L39" s="100"/>
      <c r="M39" t="s">
        <v>459</v>
      </c>
      <c r="N39" t="s">
        <v>363</v>
      </c>
      <c r="O39" s="18"/>
      <c r="P39" s="18"/>
      <c r="Q39" s="97"/>
      <c r="R39" s="97"/>
      <c r="S39" s="97"/>
      <c r="T39" s="97"/>
      <c r="U39" s="97"/>
      <c r="V39" s="97"/>
      <c r="W39" s="97"/>
      <c r="X39" s="51"/>
      <c r="Y39" s="18" t="e">
        <f>AVERAGEIFS([1]!Table2912[DMD '[mg/g']],[1]!Table2912[Substrate ID],Table29128[[#This Row],[Substrate ID]])</f>
        <v>#REF!</v>
      </c>
      <c r="Z39" s="18" t="e">
        <f>AVERAGEIFS([1]!Table2912[CH4 '[ml/g']],[1]!Table2912[Substrate ID],Table29128[[#This Row],[Substrate ID]])</f>
        <v>#REF!</v>
      </c>
      <c r="AA39" s="18" t="e">
        <f>AVERAGEIFS([1]!Table2912[CH4 '[% GP']],[1]!Table2912[Substrate ID],Table29128[[#This Row],[Substrate ID]])</f>
        <v>#REF!</v>
      </c>
      <c r="AB39" s="18" t="e">
        <f>AVERAGEIFS([1]!Table2912[CH4 '[g/g DDM']],[1]!Table2912[Substrate ID],Table29128[[#This Row],[Substrate ID]])</f>
        <v>#REF!</v>
      </c>
      <c r="AC39" s="18" t="e">
        <f>$CP$17*Table29128[[#This Row],[DMD '[mg/g']]]+$CQ$17*Table29128[[#This Row],[CH4 '[g/g DDM']]]</f>
        <v>#REF!</v>
      </c>
      <c r="AD39" s="18" t="e">
        <f>_xlfn.RANK.AVG(Table29128[[#This Row],[Index]],Table29128[Index])</f>
        <v>#REF!</v>
      </c>
      <c r="AE39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39" s="18" t="e">
        <f>Table29128[[#This Row],[CH4 '[ml/g']]]/Table29128[[#This Row],[APB]]</f>
        <v>#REF!</v>
      </c>
      <c r="AG39" s="18" t="e">
        <f>Table29128[[#This Row],[Propionate '[%']]]/Table29128[[#This Row],[Acetate '[%']]]</f>
        <v>#DIV/0!</v>
      </c>
      <c r="AH39" s="51"/>
      <c r="AI39" s="18"/>
      <c r="AJ39" s="18"/>
      <c r="AK39" s="135" t="e">
        <f t="shared" si="4"/>
        <v>#REF!</v>
      </c>
      <c r="AL39" s="18"/>
      <c r="AM39" s="135" t="e">
        <f t="shared" si="5"/>
        <v>#REF!</v>
      </c>
      <c r="AN39" s="18" t="e">
        <f>(Table29128[[#This Row],[CH4 '[g/g DDM']]]-AN$15)/AN$15%</f>
        <v>#REF!</v>
      </c>
      <c r="AO39" s="18"/>
      <c r="AP39" s="18"/>
      <c r="AR39" t="e">
        <f>_xlfn.NORM.DIST(Table29128[[#This Row],[GP '[ml/g']]],O$6,O$2,FALSE)</f>
        <v>#DIV/0!</v>
      </c>
      <c r="AS39" t="e">
        <f>_xlfn.NORM.DIST(Table29128[[#This Row],[SCFA '[mmol/g']]],P$6,P$2,FALSE)</f>
        <v>#DIV/0!</v>
      </c>
      <c r="AT39" t="e">
        <f>_xlfn.NORM.DIST(Table29128[[#This Row],[Acetate '[%']]],Q$6,Q$2,FALSE)</f>
        <v>#DIV/0!</v>
      </c>
      <c r="AU39" t="e">
        <f>_xlfn.NORM.DIST(Table29128[[#This Row],[Propionate '[%']]],R$6,R$2,FALSE)</f>
        <v>#DIV/0!</v>
      </c>
      <c r="AV39" t="e">
        <f>_xlfn.NORM.DIST(Table29128[[#This Row],[Butyrate '[%']]],S$6,S$2,FALSE)</f>
        <v>#DIV/0!</v>
      </c>
      <c r="AW39" t="e">
        <f>_xlfn.NORM.DIST(Table29128[[#This Row],[Valerate '[%']]],T$6,T$2,FALSE)</f>
        <v>#DIV/0!</v>
      </c>
      <c r="AX39" t="e">
        <f>_xlfn.NORM.DIST(Table29128[[#This Row],[Caproate '[%']]],U$6,U$2,FALSE)</f>
        <v>#DIV/0!</v>
      </c>
      <c r="AY39" t="e">
        <f>_xlfn.NORM.DIST(Table29128[[#This Row],[Isobutyrate '[%']]],V$6,V$2,FALSE)</f>
        <v>#DIV/0!</v>
      </c>
      <c r="AZ39" t="e">
        <f>_xlfn.NORM.DIST(Table29128[[#This Row],[Isovalerate '[%']]],W$6,W$2,FALSE)</f>
        <v>#DIV/0!</v>
      </c>
      <c r="BA39" t="e">
        <f>_xlfn.NORM.DIST(Table29128[[#This Row],[CH4 '[g/mmol SCFA']]],X$6,X$2,FALSE)</f>
        <v>#DIV/0!</v>
      </c>
      <c r="BB39" t="e">
        <f>_xlfn.NORM.DIST(Table29128[[#This Row],[DMD '[mg/g']]],Y$6,Y$2,FALSE)</f>
        <v>#REF!</v>
      </c>
      <c r="BC39" t="e">
        <f>_xlfn.NORM.DIST(Table29128[[#This Row],[CH4 '[ml/g']]],Z$6,Z$2,FALSE)</f>
        <v>#REF!</v>
      </c>
      <c r="BD39" t="e">
        <f>_xlfn.NORM.DIST(Table29128[[#This Row],[CH4 '[% GP']]],AA$6,AA$2,FALSE)</f>
        <v>#REF!</v>
      </c>
      <c r="BE39" t="e">
        <f>_xlfn.NORM.DIST(Table29128[[#This Row],[CH4 '[g/g DDM']]],AB$6,AB$2,FALSE)</f>
        <v>#REF!</v>
      </c>
      <c r="BG39">
        <f>IF(Table29128[[#This Row],[GP '[ml/g']]]&lt;O$10,_xlfn.NORM.DIST(Table29128[[#This Row],[GP '[ml/g']]],O$6,O$2,FALSE),-100)</f>
        <v>-100</v>
      </c>
      <c r="BH39">
        <f>IF(Table29128[[#This Row],[SCFA '[mmol/g']]]&lt;P$10,_xlfn.NORM.DIST(Table29128[[#This Row],[SCFA '[mmol/g']]],P$6,P$2,FALSE),-100)</f>
        <v>-100</v>
      </c>
      <c r="BI39">
        <f>IF(Table29128[[#This Row],[Acetate '[%']]]&lt;Q$10,_xlfn.NORM.DIST(Table29128[[#This Row],[Acetate '[%']]],Q$6,Q$2,FALSE),-100)</f>
        <v>-100</v>
      </c>
      <c r="BJ39">
        <f>IF(Table29128[[#This Row],[Propionate '[%']]]&lt;R$10,_xlfn.NORM.DIST(Table29128[[#This Row],[Propionate '[%']]],R$6,R$2,FALSE),-100)</f>
        <v>-100</v>
      </c>
      <c r="BK39">
        <f>IF(Table29128[[#This Row],[Butyrate '[%']]]&lt;S$10,_xlfn.NORM.DIST(Table29128[[#This Row],[Butyrate '[%']]],S$6,S$2,FALSE),-100)</f>
        <v>-100</v>
      </c>
      <c r="BL39">
        <f>IF(Table29128[[#This Row],[Valerate '[%']]]&lt;T$10,_xlfn.NORM.DIST(Table29128[[#This Row],[Valerate '[%']]],T$6,T$2,FALSE),-100)</f>
        <v>-100</v>
      </c>
      <c r="BM39">
        <f>IF(Table29128[[#This Row],[Caproate '[%']]]&lt;U$10,_xlfn.NORM.DIST(Table29128[[#This Row],[Caproate '[%']]],U$6,U$2,FALSE),-100)</f>
        <v>-100</v>
      </c>
      <c r="BN39">
        <f>IF(Table29128[[#This Row],[Isobutyrate '[%']]]&lt;V$10,_xlfn.NORM.DIST(Table29128[[#This Row],[Isobutyrate '[%']]],V$6,V$2,FALSE),-100)</f>
        <v>-100</v>
      </c>
      <c r="BO39">
        <f>IF(Table29128[[#This Row],[Isovalerate '[%']]]&lt;W$10,_xlfn.NORM.DIST(Table29128[[#This Row],[Isovalerate '[%']]],W$6,W$2,FALSE),-100)</f>
        <v>-100</v>
      </c>
      <c r="BP39">
        <f>IF(Table29128[[#This Row],[CH4 '[g/mmol SCFA']]]&lt;X$10,_xlfn.NORM.DIST(Table29128[[#This Row],[CH4 '[g/mmol SCFA']]],X$6,X$2,FALSE),-100)</f>
        <v>-100</v>
      </c>
      <c r="BQ39" t="e">
        <f>IF(Table29128[[#This Row],[DMD '[mg/g']]]&gt;Y$10,_xlfn.NORM.DIST(Table29128[[#This Row],[DMD '[mg/g']]],Y$6,Y$2,FALSE),-100)</f>
        <v>#REF!</v>
      </c>
      <c r="BR39" t="e">
        <f>IF(Table29128[[#This Row],[CH4 '[ml/g']]]&lt;Z$10,_xlfn.NORM.DIST(Table29128[[#This Row],[CH4 '[ml/g']]],Z$6,Z$2,FALSE),-100)</f>
        <v>#REF!</v>
      </c>
      <c r="BS39" t="e">
        <f>IF(Table29128[[#This Row],[CH4 '[% GP']]]&lt;AA$10,_xlfn.NORM.DIST(Table29128[[#This Row],[CH4 '[% GP']]],AA$6,AA$2,FALSE),-100)</f>
        <v>#REF!</v>
      </c>
      <c r="BT39" t="e">
        <f>IF(Table29128[[#This Row],[CH4 '[g/g DDM']]]&lt;AB$10,_xlfn.NORM.DIST(Table29128[[#This Row],[CH4 '[g/g DDM']]],AB$6,AB$2,FALSE),-100)</f>
        <v>#REF!</v>
      </c>
    </row>
    <row r="40" spans="1:72" x14ac:dyDescent="0.25">
      <c r="A40" s="12" t="s">
        <v>70</v>
      </c>
      <c r="B40" s="13">
        <v>1024</v>
      </c>
      <c r="C40" s="96" t="s">
        <v>77</v>
      </c>
      <c r="D40" s="96"/>
      <c r="E40" s="96"/>
      <c r="F40" s="98" t="s">
        <v>78</v>
      </c>
      <c r="G40" s="15" t="s">
        <v>73</v>
      </c>
      <c r="H40" s="15" t="s">
        <v>74</v>
      </c>
      <c r="I40" s="99" t="s">
        <v>79</v>
      </c>
      <c r="J40" s="100">
        <v>1</v>
      </c>
      <c r="K40" s="100"/>
      <c r="L40" s="137" t="s">
        <v>627</v>
      </c>
      <c r="M40" t="s">
        <v>78</v>
      </c>
      <c r="N40" t="s">
        <v>80</v>
      </c>
      <c r="O40" s="18"/>
      <c r="P40" s="18"/>
      <c r="Q40" s="97"/>
      <c r="R40" s="97"/>
      <c r="S40" s="97"/>
      <c r="T40" s="97"/>
      <c r="U40" s="97"/>
      <c r="V40" s="97"/>
      <c r="W40" s="97"/>
      <c r="X40" s="51"/>
      <c r="Y40" s="18" t="e">
        <f>AVERAGEIFS([1]!Table2912[DMD '[mg/g']],[1]!Table2912[Substrate ID],Table29128[[#This Row],[Substrate ID]])</f>
        <v>#REF!</v>
      </c>
      <c r="Z40" s="18" t="e">
        <f>AVERAGEIFS([1]!Table2912[CH4 '[ml/g']],[1]!Table2912[Substrate ID],Table29128[[#This Row],[Substrate ID]])</f>
        <v>#REF!</v>
      </c>
      <c r="AA40" s="18" t="e">
        <f>AVERAGEIFS([1]!Table2912[CH4 '[% GP']],[1]!Table2912[Substrate ID],Table29128[[#This Row],[Substrate ID]])</f>
        <v>#REF!</v>
      </c>
      <c r="AB40" s="18" t="e">
        <f>AVERAGEIFS([1]!Table2912[CH4 '[g/g DDM']],[1]!Table2912[Substrate ID],Table29128[[#This Row],[Substrate ID]])</f>
        <v>#REF!</v>
      </c>
      <c r="AC40" s="18" t="e">
        <f>$CP$17*Table29128[[#This Row],[DMD '[mg/g']]]+$CQ$17*Table29128[[#This Row],[CH4 '[g/g DDM']]]</f>
        <v>#REF!</v>
      </c>
      <c r="AD40" s="18" t="e">
        <f>_xlfn.RANK.AVG(Table29128[[#This Row],[Index]],Table29128[Index])</f>
        <v>#REF!</v>
      </c>
      <c r="AE40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40" s="18" t="e">
        <f>Table29128[[#This Row],[CH4 '[ml/g']]]/Table29128[[#This Row],[APB]]</f>
        <v>#REF!</v>
      </c>
      <c r="AG40" s="18" t="e">
        <f>Table29128[[#This Row],[Propionate '[%']]]/Table29128[[#This Row],[Acetate '[%']]]</f>
        <v>#DIV/0!</v>
      </c>
      <c r="AH40" s="51"/>
      <c r="AI40" s="18"/>
      <c r="AJ40" s="18"/>
      <c r="AK40" s="135" t="e">
        <f t="shared" si="4"/>
        <v>#REF!</v>
      </c>
      <c r="AL40" s="18"/>
      <c r="AM40" s="135" t="e">
        <f t="shared" si="5"/>
        <v>#REF!</v>
      </c>
      <c r="AN40" s="18" t="e">
        <f>(Table29128[[#This Row],[CH4 '[g/g DDM']]]-AN$15)/AN$15%</f>
        <v>#REF!</v>
      </c>
      <c r="AO40" s="18"/>
      <c r="AP40" s="18"/>
      <c r="AR40" t="e">
        <f>_xlfn.NORM.DIST(Table29128[[#This Row],[GP '[ml/g']]],O$6,O$2,FALSE)</f>
        <v>#DIV/0!</v>
      </c>
      <c r="AS40" t="e">
        <f>_xlfn.NORM.DIST(Table29128[[#This Row],[SCFA '[mmol/g']]],P$6,P$2,FALSE)</f>
        <v>#DIV/0!</v>
      </c>
      <c r="AT40" t="e">
        <f>_xlfn.NORM.DIST(Table29128[[#This Row],[Acetate '[%']]],Q$6,Q$2,FALSE)</f>
        <v>#DIV/0!</v>
      </c>
      <c r="AU40" t="e">
        <f>_xlfn.NORM.DIST(Table29128[[#This Row],[Propionate '[%']]],R$6,R$2,FALSE)</f>
        <v>#DIV/0!</v>
      </c>
      <c r="AV40" t="e">
        <f>_xlfn.NORM.DIST(Table29128[[#This Row],[Butyrate '[%']]],S$6,S$2,FALSE)</f>
        <v>#DIV/0!</v>
      </c>
      <c r="AW40" t="e">
        <f>_xlfn.NORM.DIST(Table29128[[#This Row],[Valerate '[%']]],T$6,T$2,FALSE)</f>
        <v>#DIV/0!</v>
      </c>
      <c r="AX40" t="e">
        <f>_xlfn.NORM.DIST(Table29128[[#This Row],[Caproate '[%']]],U$6,U$2,FALSE)</f>
        <v>#DIV/0!</v>
      </c>
      <c r="AY40" t="e">
        <f>_xlfn.NORM.DIST(Table29128[[#This Row],[Isobutyrate '[%']]],V$6,V$2,FALSE)</f>
        <v>#DIV/0!</v>
      </c>
      <c r="AZ40" t="e">
        <f>_xlfn.NORM.DIST(Table29128[[#This Row],[Isovalerate '[%']]],W$6,W$2,FALSE)</f>
        <v>#DIV/0!</v>
      </c>
      <c r="BA40" t="e">
        <f>_xlfn.NORM.DIST(Table29128[[#This Row],[CH4 '[g/mmol SCFA']]],X$6,X$2,FALSE)</f>
        <v>#DIV/0!</v>
      </c>
      <c r="BB40" t="e">
        <f>_xlfn.NORM.DIST(Table29128[[#This Row],[DMD '[mg/g']]],Y$6,Y$2,FALSE)</f>
        <v>#REF!</v>
      </c>
      <c r="BC40" t="e">
        <f>_xlfn.NORM.DIST(Table29128[[#This Row],[CH4 '[ml/g']]],Z$6,Z$2,FALSE)</f>
        <v>#REF!</v>
      </c>
      <c r="BD40" t="e">
        <f>_xlfn.NORM.DIST(Table29128[[#This Row],[CH4 '[% GP']]],AA$6,AA$2,FALSE)</f>
        <v>#REF!</v>
      </c>
      <c r="BE40" t="e">
        <f>_xlfn.NORM.DIST(Table29128[[#This Row],[CH4 '[g/g DDM']]],AB$6,AB$2,FALSE)</f>
        <v>#REF!</v>
      </c>
      <c r="BG40">
        <f>IF(Table29128[[#This Row],[GP '[ml/g']]]&lt;O$10,_xlfn.NORM.DIST(Table29128[[#This Row],[GP '[ml/g']]],O$6,O$2,FALSE),-100)</f>
        <v>-100</v>
      </c>
      <c r="BH40">
        <f>IF(Table29128[[#This Row],[SCFA '[mmol/g']]]&lt;P$10,_xlfn.NORM.DIST(Table29128[[#This Row],[SCFA '[mmol/g']]],P$6,P$2,FALSE),-100)</f>
        <v>-100</v>
      </c>
      <c r="BI40">
        <f>IF(Table29128[[#This Row],[Acetate '[%']]]&lt;Q$10,_xlfn.NORM.DIST(Table29128[[#This Row],[Acetate '[%']]],Q$6,Q$2,FALSE),-100)</f>
        <v>-100</v>
      </c>
      <c r="BJ40">
        <f>IF(Table29128[[#This Row],[Propionate '[%']]]&lt;R$10,_xlfn.NORM.DIST(Table29128[[#This Row],[Propionate '[%']]],R$6,R$2,FALSE),-100)</f>
        <v>-100</v>
      </c>
      <c r="BK40">
        <f>IF(Table29128[[#This Row],[Butyrate '[%']]]&lt;S$10,_xlfn.NORM.DIST(Table29128[[#This Row],[Butyrate '[%']]],S$6,S$2,FALSE),-100)</f>
        <v>-100</v>
      </c>
      <c r="BL40">
        <f>IF(Table29128[[#This Row],[Valerate '[%']]]&lt;T$10,_xlfn.NORM.DIST(Table29128[[#This Row],[Valerate '[%']]],T$6,T$2,FALSE),-100)</f>
        <v>-100</v>
      </c>
      <c r="BM40">
        <f>IF(Table29128[[#This Row],[Caproate '[%']]]&lt;U$10,_xlfn.NORM.DIST(Table29128[[#This Row],[Caproate '[%']]],U$6,U$2,FALSE),-100)</f>
        <v>-100</v>
      </c>
      <c r="BN40">
        <f>IF(Table29128[[#This Row],[Isobutyrate '[%']]]&lt;V$10,_xlfn.NORM.DIST(Table29128[[#This Row],[Isobutyrate '[%']]],V$6,V$2,FALSE),-100)</f>
        <v>-100</v>
      </c>
      <c r="BO40">
        <f>IF(Table29128[[#This Row],[Isovalerate '[%']]]&lt;W$10,_xlfn.NORM.DIST(Table29128[[#This Row],[Isovalerate '[%']]],W$6,W$2,FALSE),-100)</f>
        <v>-100</v>
      </c>
      <c r="BP40">
        <f>IF(Table29128[[#This Row],[CH4 '[g/mmol SCFA']]]&lt;X$10,_xlfn.NORM.DIST(Table29128[[#This Row],[CH4 '[g/mmol SCFA']]],X$6,X$2,FALSE),-100)</f>
        <v>-100</v>
      </c>
      <c r="BQ40" t="e">
        <f>IF(Table29128[[#This Row],[DMD '[mg/g']]]&gt;Y$10,_xlfn.NORM.DIST(Table29128[[#This Row],[DMD '[mg/g']]],Y$6,Y$2,FALSE),-100)</f>
        <v>#REF!</v>
      </c>
      <c r="BR40" t="e">
        <f>IF(Table29128[[#This Row],[CH4 '[ml/g']]]&lt;Z$10,_xlfn.NORM.DIST(Table29128[[#This Row],[CH4 '[ml/g']]],Z$6,Z$2,FALSE),-100)</f>
        <v>#REF!</v>
      </c>
      <c r="BS40" t="e">
        <f>IF(Table29128[[#This Row],[CH4 '[% GP']]]&lt;AA$10,_xlfn.NORM.DIST(Table29128[[#This Row],[CH4 '[% GP']]],AA$6,AA$2,FALSE),-100)</f>
        <v>#REF!</v>
      </c>
      <c r="BT40" t="e">
        <f>IF(Table29128[[#This Row],[CH4 '[g/g DDM']]]&lt;AB$10,_xlfn.NORM.DIST(Table29128[[#This Row],[CH4 '[g/g DDM']]],AB$6,AB$2,FALSE),-100)</f>
        <v>#REF!</v>
      </c>
    </row>
    <row r="41" spans="1:72" ht="15" customHeight="1" x14ac:dyDescent="0.25">
      <c r="A41" s="12" t="s">
        <v>86</v>
      </c>
      <c r="B41" s="13">
        <v>1049</v>
      </c>
      <c r="C41" s="104" t="s">
        <v>157</v>
      </c>
      <c r="D41" s="104" t="s">
        <v>158</v>
      </c>
      <c r="E41" s="104" t="s">
        <v>159</v>
      </c>
      <c r="F41" s="104" t="s">
        <v>160</v>
      </c>
      <c r="G41" s="23" t="s">
        <v>73</v>
      </c>
      <c r="H41" s="23" t="s">
        <v>74</v>
      </c>
      <c r="I41" s="104" t="s">
        <v>44</v>
      </c>
      <c r="J41" s="100">
        <v>1</v>
      </c>
      <c r="K41" s="100"/>
      <c r="L41" s="137" t="s">
        <v>627</v>
      </c>
      <c r="M41" t="s">
        <v>160</v>
      </c>
      <c r="N41" t="s">
        <v>84</v>
      </c>
      <c r="O41" s="18"/>
      <c r="P41" s="18"/>
      <c r="Q41" s="97"/>
      <c r="R41" s="97"/>
      <c r="S41" s="97"/>
      <c r="T41" s="97"/>
      <c r="U41" s="97"/>
      <c r="V41" s="97"/>
      <c r="W41" s="97"/>
      <c r="X41" s="51"/>
      <c r="Y41" s="18" t="e">
        <f>AVERAGEIFS([1]!Table2912[DMD '[mg/g']],[1]!Table2912[Substrate ID],Table29128[[#This Row],[Substrate ID]])</f>
        <v>#REF!</v>
      </c>
      <c r="Z41" s="18" t="e">
        <f>AVERAGEIFS([1]!Table2912[CH4 '[ml/g']],[1]!Table2912[Substrate ID],Table29128[[#This Row],[Substrate ID]])</f>
        <v>#REF!</v>
      </c>
      <c r="AA41" s="18" t="e">
        <f>AVERAGEIFS([1]!Table2912[CH4 '[% GP']],[1]!Table2912[Substrate ID],Table29128[[#This Row],[Substrate ID]])</f>
        <v>#REF!</v>
      </c>
      <c r="AB41" s="18" t="e">
        <f>AVERAGEIFS([1]!Table2912[CH4 '[g/g DDM']],[1]!Table2912[Substrate ID],Table29128[[#This Row],[Substrate ID]])</f>
        <v>#REF!</v>
      </c>
      <c r="AC41" s="18" t="e">
        <f>$CP$17*Table29128[[#This Row],[DMD '[mg/g']]]+$CQ$17*Table29128[[#This Row],[CH4 '[g/g DDM']]]</f>
        <v>#REF!</v>
      </c>
      <c r="AD41" s="18" t="e">
        <f>_xlfn.RANK.AVG(Table29128[[#This Row],[Index]],Table29128[Index])</f>
        <v>#REF!</v>
      </c>
      <c r="AE41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41" s="18" t="e">
        <f>Table29128[[#This Row],[CH4 '[ml/g']]]/Table29128[[#This Row],[APB]]</f>
        <v>#REF!</v>
      </c>
      <c r="AG41" s="18" t="e">
        <f>Table29128[[#This Row],[Propionate '[%']]]/Table29128[[#This Row],[Acetate '[%']]]</f>
        <v>#DIV/0!</v>
      </c>
      <c r="AH41" s="51"/>
      <c r="AI41" s="18"/>
      <c r="AJ41" s="18"/>
      <c r="AK41" s="135" t="e">
        <f t="shared" si="4"/>
        <v>#REF!</v>
      </c>
      <c r="AL41" s="18"/>
      <c r="AM41" s="135" t="e">
        <f t="shared" si="5"/>
        <v>#REF!</v>
      </c>
      <c r="AN41" s="18" t="e">
        <f>(Table29128[[#This Row],[CH4 '[g/g DDM']]]-AN$15)/AN$15%</f>
        <v>#REF!</v>
      </c>
      <c r="AO41" s="18"/>
      <c r="AP41" s="18"/>
      <c r="AR41" t="e">
        <f>_xlfn.NORM.DIST(Table29128[[#This Row],[GP '[ml/g']]],O$6,O$2,FALSE)</f>
        <v>#DIV/0!</v>
      </c>
      <c r="AS41" t="e">
        <f>_xlfn.NORM.DIST(Table29128[[#This Row],[SCFA '[mmol/g']]],P$6,P$2,FALSE)</f>
        <v>#DIV/0!</v>
      </c>
      <c r="AT41" t="e">
        <f>_xlfn.NORM.DIST(Table29128[[#This Row],[Acetate '[%']]],Q$6,Q$2,FALSE)</f>
        <v>#DIV/0!</v>
      </c>
      <c r="AU41" t="e">
        <f>_xlfn.NORM.DIST(Table29128[[#This Row],[Propionate '[%']]],R$6,R$2,FALSE)</f>
        <v>#DIV/0!</v>
      </c>
      <c r="AV41" t="e">
        <f>_xlfn.NORM.DIST(Table29128[[#This Row],[Butyrate '[%']]],S$6,S$2,FALSE)</f>
        <v>#DIV/0!</v>
      </c>
      <c r="AW41" t="e">
        <f>_xlfn.NORM.DIST(Table29128[[#This Row],[Valerate '[%']]],T$6,T$2,FALSE)</f>
        <v>#DIV/0!</v>
      </c>
      <c r="AX41" t="e">
        <f>_xlfn.NORM.DIST(Table29128[[#This Row],[Caproate '[%']]],U$6,U$2,FALSE)</f>
        <v>#DIV/0!</v>
      </c>
      <c r="AY41" t="e">
        <f>_xlfn.NORM.DIST(Table29128[[#This Row],[Isobutyrate '[%']]],V$6,V$2,FALSE)</f>
        <v>#DIV/0!</v>
      </c>
      <c r="AZ41" t="e">
        <f>_xlfn.NORM.DIST(Table29128[[#This Row],[Isovalerate '[%']]],W$6,W$2,FALSE)</f>
        <v>#DIV/0!</v>
      </c>
      <c r="BA41" t="e">
        <f>_xlfn.NORM.DIST(Table29128[[#This Row],[CH4 '[g/mmol SCFA']]],X$6,X$2,FALSE)</f>
        <v>#DIV/0!</v>
      </c>
      <c r="BB41" t="e">
        <f>_xlfn.NORM.DIST(Table29128[[#This Row],[DMD '[mg/g']]],Y$6,Y$2,FALSE)</f>
        <v>#REF!</v>
      </c>
      <c r="BC41" t="e">
        <f>_xlfn.NORM.DIST(Table29128[[#This Row],[CH4 '[ml/g']]],Z$6,Z$2,FALSE)</f>
        <v>#REF!</v>
      </c>
      <c r="BD41" t="e">
        <f>_xlfn.NORM.DIST(Table29128[[#This Row],[CH4 '[% GP']]],AA$6,AA$2,FALSE)</f>
        <v>#REF!</v>
      </c>
      <c r="BE41" t="e">
        <f>_xlfn.NORM.DIST(Table29128[[#This Row],[CH4 '[g/g DDM']]],AB$6,AB$2,FALSE)</f>
        <v>#REF!</v>
      </c>
      <c r="BG41">
        <f>IF(Table29128[[#This Row],[GP '[ml/g']]]&lt;O$10,_xlfn.NORM.DIST(Table29128[[#This Row],[GP '[ml/g']]],O$6,O$2,FALSE),-100)</f>
        <v>-100</v>
      </c>
      <c r="BH41">
        <f>IF(Table29128[[#This Row],[SCFA '[mmol/g']]]&lt;P$10,_xlfn.NORM.DIST(Table29128[[#This Row],[SCFA '[mmol/g']]],P$6,P$2,FALSE),-100)</f>
        <v>-100</v>
      </c>
      <c r="BI41">
        <f>IF(Table29128[[#This Row],[Acetate '[%']]]&lt;Q$10,_xlfn.NORM.DIST(Table29128[[#This Row],[Acetate '[%']]],Q$6,Q$2,FALSE),-100)</f>
        <v>-100</v>
      </c>
      <c r="BJ41">
        <f>IF(Table29128[[#This Row],[Propionate '[%']]]&lt;R$10,_xlfn.NORM.DIST(Table29128[[#This Row],[Propionate '[%']]],R$6,R$2,FALSE),-100)</f>
        <v>-100</v>
      </c>
      <c r="BK41">
        <f>IF(Table29128[[#This Row],[Butyrate '[%']]]&lt;S$10,_xlfn.NORM.DIST(Table29128[[#This Row],[Butyrate '[%']]],S$6,S$2,FALSE),-100)</f>
        <v>-100</v>
      </c>
      <c r="BL41">
        <f>IF(Table29128[[#This Row],[Valerate '[%']]]&lt;T$10,_xlfn.NORM.DIST(Table29128[[#This Row],[Valerate '[%']]],T$6,T$2,FALSE),-100)</f>
        <v>-100</v>
      </c>
      <c r="BM41">
        <f>IF(Table29128[[#This Row],[Caproate '[%']]]&lt;U$10,_xlfn.NORM.DIST(Table29128[[#This Row],[Caproate '[%']]],U$6,U$2,FALSE),-100)</f>
        <v>-100</v>
      </c>
      <c r="BN41">
        <f>IF(Table29128[[#This Row],[Isobutyrate '[%']]]&lt;V$10,_xlfn.NORM.DIST(Table29128[[#This Row],[Isobutyrate '[%']]],V$6,V$2,FALSE),-100)</f>
        <v>-100</v>
      </c>
      <c r="BO41">
        <f>IF(Table29128[[#This Row],[Isovalerate '[%']]]&lt;W$10,_xlfn.NORM.DIST(Table29128[[#This Row],[Isovalerate '[%']]],W$6,W$2,FALSE),-100)</f>
        <v>-100</v>
      </c>
      <c r="BP41">
        <f>IF(Table29128[[#This Row],[CH4 '[g/mmol SCFA']]]&lt;X$10,_xlfn.NORM.DIST(Table29128[[#This Row],[CH4 '[g/mmol SCFA']]],X$6,X$2,FALSE),-100)</f>
        <v>-100</v>
      </c>
      <c r="BQ41" t="e">
        <f>IF(Table29128[[#This Row],[DMD '[mg/g']]]&gt;Y$10,_xlfn.NORM.DIST(Table29128[[#This Row],[DMD '[mg/g']]],Y$6,Y$2,FALSE),-100)</f>
        <v>#REF!</v>
      </c>
      <c r="BR41" t="e">
        <f>IF(Table29128[[#This Row],[CH4 '[ml/g']]]&lt;Z$10,_xlfn.NORM.DIST(Table29128[[#This Row],[CH4 '[ml/g']]],Z$6,Z$2,FALSE),-100)</f>
        <v>#REF!</v>
      </c>
      <c r="BS41" t="e">
        <f>IF(Table29128[[#This Row],[CH4 '[% GP']]]&lt;AA$10,_xlfn.NORM.DIST(Table29128[[#This Row],[CH4 '[% GP']]],AA$6,AA$2,FALSE),-100)</f>
        <v>#REF!</v>
      </c>
      <c r="BT41" t="e">
        <f>IF(Table29128[[#This Row],[CH4 '[g/g DDM']]]&lt;AB$10,_xlfn.NORM.DIST(Table29128[[#This Row],[CH4 '[g/g DDM']]],AB$6,AB$2,FALSE),-100)</f>
        <v>#REF!</v>
      </c>
    </row>
    <row r="42" spans="1:72" ht="15" customHeight="1" x14ac:dyDescent="0.25">
      <c r="A42" s="12" t="s">
        <v>200</v>
      </c>
      <c r="B42" s="13">
        <v>1262</v>
      </c>
      <c r="C42" s="119" t="s">
        <v>312</v>
      </c>
      <c r="D42" s="119" t="s">
        <v>313</v>
      </c>
      <c r="E42" s="119" t="s">
        <v>314</v>
      </c>
      <c r="F42" s="120" t="s">
        <v>315</v>
      </c>
      <c r="G42" s="140" t="s">
        <v>316</v>
      </c>
      <c r="H42" s="139" t="s">
        <v>317</v>
      </c>
      <c r="I42" s="121" t="s">
        <v>48</v>
      </c>
      <c r="J42" s="100">
        <v>1</v>
      </c>
      <c r="K42" s="100"/>
      <c r="L42" s="100"/>
      <c r="M42" t="s">
        <v>318</v>
      </c>
      <c r="N42" t="s">
        <v>363</v>
      </c>
      <c r="O42" s="18"/>
      <c r="P42" s="18"/>
      <c r="Q42" s="97"/>
      <c r="R42" s="97"/>
      <c r="S42" s="97"/>
      <c r="T42" s="97"/>
      <c r="U42" s="97"/>
      <c r="V42" s="97"/>
      <c r="W42" s="97"/>
      <c r="X42" s="51"/>
      <c r="Y42" s="18" t="e">
        <f>AVERAGEIFS([1]!Table2912[DMD '[mg/g']],[1]!Table2912[Substrate ID],Table29128[[#This Row],[Substrate ID]])</f>
        <v>#REF!</v>
      </c>
      <c r="Z42" s="18" t="e">
        <f>AVERAGEIFS([1]!Table2912[CH4 '[ml/g']],[1]!Table2912[Substrate ID],Table29128[[#This Row],[Substrate ID]])</f>
        <v>#REF!</v>
      </c>
      <c r="AA42" s="18" t="e">
        <f>AVERAGEIFS([1]!Table2912[CH4 '[% GP']],[1]!Table2912[Substrate ID],Table29128[[#This Row],[Substrate ID]])</f>
        <v>#REF!</v>
      </c>
      <c r="AB42" s="18" t="e">
        <f>AVERAGEIFS([1]!Table2912[CH4 '[g/g DDM']],[1]!Table2912[Substrate ID],Table29128[[#This Row],[Substrate ID]])</f>
        <v>#REF!</v>
      </c>
      <c r="AC42" s="18" t="e">
        <f>$CP$17*Table29128[[#This Row],[DMD '[mg/g']]]+$CQ$17*Table29128[[#This Row],[CH4 '[g/g DDM']]]</f>
        <v>#REF!</v>
      </c>
      <c r="AD42" s="18" t="e">
        <f>_xlfn.RANK.AVG(Table29128[[#This Row],[Index]],Table29128[Index])</f>
        <v>#REF!</v>
      </c>
      <c r="AE42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42" s="18" t="e">
        <f>Table29128[[#This Row],[CH4 '[ml/g']]]/Table29128[[#This Row],[APB]]</f>
        <v>#REF!</v>
      </c>
      <c r="AG42" s="18" t="e">
        <f>Table29128[[#This Row],[Propionate '[%']]]/Table29128[[#This Row],[Acetate '[%']]]</f>
        <v>#DIV/0!</v>
      </c>
      <c r="AH42" s="51"/>
      <c r="AI42" s="18"/>
      <c r="AJ42" s="18"/>
      <c r="AK42" s="135" t="e">
        <f t="shared" si="4"/>
        <v>#REF!</v>
      </c>
      <c r="AL42" s="18"/>
      <c r="AM42" s="135" t="e">
        <f t="shared" si="5"/>
        <v>#REF!</v>
      </c>
      <c r="AN42" s="18" t="e">
        <f>(Table29128[[#This Row],[CH4 '[g/g DDM']]]-AN$15)/AN$15%</f>
        <v>#REF!</v>
      </c>
      <c r="AO42" s="18"/>
      <c r="AP42" s="18"/>
      <c r="AR42" t="e">
        <f>_xlfn.NORM.DIST(Table29128[[#This Row],[GP '[ml/g']]],O$6,O$2,FALSE)</f>
        <v>#DIV/0!</v>
      </c>
      <c r="AS42" t="e">
        <f>_xlfn.NORM.DIST(Table29128[[#This Row],[SCFA '[mmol/g']]],P$6,P$2,FALSE)</f>
        <v>#DIV/0!</v>
      </c>
      <c r="AT42" t="e">
        <f>_xlfn.NORM.DIST(Table29128[[#This Row],[Acetate '[%']]],Q$6,Q$2,FALSE)</f>
        <v>#DIV/0!</v>
      </c>
      <c r="AU42" t="e">
        <f>_xlfn.NORM.DIST(Table29128[[#This Row],[Propionate '[%']]],R$6,R$2,FALSE)</f>
        <v>#DIV/0!</v>
      </c>
      <c r="AV42" t="e">
        <f>_xlfn.NORM.DIST(Table29128[[#This Row],[Butyrate '[%']]],S$6,S$2,FALSE)</f>
        <v>#DIV/0!</v>
      </c>
      <c r="AW42" t="e">
        <f>_xlfn.NORM.DIST(Table29128[[#This Row],[Valerate '[%']]],T$6,T$2,FALSE)</f>
        <v>#DIV/0!</v>
      </c>
      <c r="AX42" t="e">
        <f>_xlfn.NORM.DIST(Table29128[[#This Row],[Caproate '[%']]],U$6,U$2,FALSE)</f>
        <v>#DIV/0!</v>
      </c>
      <c r="AY42" t="e">
        <f>_xlfn.NORM.DIST(Table29128[[#This Row],[Isobutyrate '[%']]],V$6,V$2,FALSE)</f>
        <v>#DIV/0!</v>
      </c>
      <c r="AZ42" t="e">
        <f>_xlfn.NORM.DIST(Table29128[[#This Row],[Isovalerate '[%']]],W$6,W$2,FALSE)</f>
        <v>#DIV/0!</v>
      </c>
      <c r="BA42" t="e">
        <f>_xlfn.NORM.DIST(Table29128[[#This Row],[CH4 '[g/mmol SCFA']]],X$6,X$2,FALSE)</f>
        <v>#DIV/0!</v>
      </c>
      <c r="BB42" t="e">
        <f>_xlfn.NORM.DIST(Table29128[[#This Row],[DMD '[mg/g']]],Y$6,Y$2,FALSE)</f>
        <v>#REF!</v>
      </c>
      <c r="BC42" t="e">
        <f>_xlfn.NORM.DIST(Table29128[[#This Row],[CH4 '[ml/g']]],Z$6,Z$2,FALSE)</f>
        <v>#REF!</v>
      </c>
      <c r="BD42" t="e">
        <f>_xlfn.NORM.DIST(Table29128[[#This Row],[CH4 '[% GP']]],AA$6,AA$2,FALSE)</f>
        <v>#REF!</v>
      </c>
      <c r="BE42" t="e">
        <f>_xlfn.NORM.DIST(Table29128[[#This Row],[CH4 '[g/g DDM']]],AB$6,AB$2,FALSE)</f>
        <v>#REF!</v>
      </c>
      <c r="BG42">
        <f>IF(Table29128[[#This Row],[GP '[ml/g']]]&lt;O$10,_xlfn.NORM.DIST(Table29128[[#This Row],[GP '[ml/g']]],O$6,O$2,FALSE),-100)</f>
        <v>-100</v>
      </c>
      <c r="BH42">
        <f>IF(Table29128[[#This Row],[SCFA '[mmol/g']]]&lt;P$10,_xlfn.NORM.DIST(Table29128[[#This Row],[SCFA '[mmol/g']]],P$6,P$2,FALSE),-100)</f>
        <v>-100</v>
      </c>
      <c r="BI42">
        <f>IF(Table29128[[#This Row],[Acetate '[%']]]&lt;Q$10,_xlfn.NORM.DIST(Table29128[[#This Row],[Acetate '[%']]],Q$6,Q$2,FALSE),-100)</f>
        <v>-100</v>
      </c>
      <c r="BJ42">
        <f>IF(Table29128[[#This Row],[Propionate '[%']]]&lt;R$10,_xlfn.NORM.DIST(Table29128[[#This Row],[Propionate '[%']]],R$6,R$2,FALSE),-100)</f>
        <v>-100</v>
      </c>
      <c r="BK42">
        <f>IF(Table29128[[#This Row],[Butyrate '[%']]]&lt;S$10,_xlfn.NORM.DIST(Table29128[[#This Row],[Butyrate '[%']]],S$6,S$2,FALSE),-100)</f>
        <v>-100</v>
      </c>
      <c r="BL42">
        <f>IF(Table29128[[#This Row],[Valerate '[%']]]&lt;T$10,_xlfn.NORM.DIST(Table29128[[#This Row],[Valerate '[%']]],T$6,T$2,FALSE),-100)</f>
        <v>-100</v>
      </c>
      <c r="BM42">
        <f>IF(Table29128[[#This Row],[Caproate '[%']]]&lt;U$10,_xlfn.NORM.DIST(Table29128[[#This Row],[Caproate '[%']]],U$6,U$2,FALSE),-100)</f>
        <v>-100</v>
      </c>
      <c r="BN42">
        <f>IF(Table29128[[#This Row],[Isobutyrate '[%']]]&lt;V$10,_xlfn.NORM.DIST(Table29128[[#This Row],[Isobutyrate '[%']]],V$6,V$2,FALSE),-100)</f>
        <v>-100</v>
      </c>
      <c r="BO42">
        <f>IF(Table29128[[#This Row],[Isovalerate '[%']]]&lt;W$10,_xlfn.NORM.DIST(Table29128[[#This Row],[Isovalerate '[%']]],W$6,W$2,FALSE),-100)</f>
        <v>-100</v>
      </c>
      <c r="BP42">
        <f>IF(Table29128[[#This Row],[CH4 '[g/mmol SCFA']]]&lt;X$10,_xlfn.NORM.DIST(Table29128[[#This Row],[CH4 '[g/mmol SCFA']]],X$6,X$2,FALSE),-100)</f>
        <v>-100</v>
      </c>
      <c r="BQ42" t="e">
        <f>IF(Table29128[[#This Row],[DMD '[mg/g']]]&gt;Y$10,_xlfn.NORM.DIST(Table29128[[#This Row],[DMD '[mg/g']]],Y$6,Y$2,FALSE),-100)</f>
        <v>#REF!</v>
      </c>
      <c r="BR42" t="e">
        <f>IF(Table29128[[#This Row],[CH4 '[ml/g']]]&lt;Z$10,_xlfn.NORM.DIST(Table29128[[#This Row],[CH4 '[ml/g']]],Z$6,Z$2,FALSE),-100)</f>
        <v>#REF!</v>
      </c>
      <c r="BS42" t="e">
        <f>IF(Table29128[[#This Row],[CH4 '[% GP']]]&lt;AA$10,_xlfn.NORM.DIST(Table29128[[#This Row],[CH4 '[% GP']]],AA$6,AA$2,FALSE),-100)</f>
        <v>#REF!</v>
      </c>
      <c r="BT42" t="e">
        <f>IF(Table29128[[#This Row],[CH4 '[g/g DDM']]]&lt;AB$10,_xlfn.NORM.DIST(Table29128[[#This Row],[CH4 '[g/g DDM']]],AB$6,AB$2,FALSE),-100)</f>
        <v>#REF!</v>
      </c>
    </row>
    <row r="43" spans="1:72" x14ac:dyDescent="0.25">
      <c r="A43" s="12" t="s">
        <v>70</v>
      </c>
      <c r="B43" s="13">
        <v>1017</v>
      </c>
      <c r="C43" s="96" t="s">
        <v>196</v>
      </c>
      <c r="D43" s="96"/>
      <c r="E43" s="96"/>
      <c r="F43" s="96" t="s">
        <v>197</v>
      </c>
      <c r="G43" s="15" t="s">
        <v>73</v>
      </c>
      <c r="H43" s="15" t="s">
        <v>74</v>
      </c>
      <c r="I43" s="99" t="s">
        <v>79</v>
      </c>
      <c r="J43" s="100">
        <v>1</v>
      </c>
      <c r="K43" s="100"/>
      <c r="L43" s="100"/>
      <c r="M43" t="s">
        <v>197</v>
      </c>
      <c r="N43" t="s">
        <v>80</v>
      </c>
      <c r="O43" s="18"/>
      <c r="P43" s="18"/>
      <c r="Q43" s="97"/>
      <c r="R43" s="97"/>
      <c r="S43" s="97"/>
      <c r="T43" s="97"/>
      <c r="U43" s="97"/>
      <c r="V43" s="97"/>
      <c r="W43" s="97"/>
      <c r="X43" s="51"/>
      <c r="Y43" s="18" t="e">
        <f>AVERAGEIFS([1]!Table2912[DMD '[mg/g']],[1]!Table2912[Substrate ID],Table29128[[#This Row],[Substrate ID]])</f>
        <v>#REF!</v>
      </c>
      <c r="Z43" s="18" t="e">
        <f>AVERAGEIFS([1]!Table2912[CH4 '[ml/g']],[1]!Table2912[Substrate ID],Table29128[[#This Row],[Substrate ID]])</f>
        <v>#REF!</v>
      </c>
      <c r="AA43" s="18" t="e">
        <f>AVERAGEIFS([1]!Table2912[CH4 '[% GP']],[1]!Table2912[Substrate ID],Table29128[[#This Row],[Substrate ID]])</f>
        <v>#REF!</v>
      </c>
      <c r="AB43" s="18" t="e">
        <f>AVERAGEIFS([1]!Table2912[CH4 '[g/g DDM']],[1]!Table2912[Substrate ID],Table29128[[#This Row],[Substrate ID]])</f>
        <v>#REF!</v>
      </c>
      <c r="AC43" s="18" t="e">
        <f>$CP$17*Table29128[[#This Row],[DMD '[mg/g']]]+$CQ$17*Table29128[[#This Row],[CH4 '[g/g DDM']]]</f>
        <v>#REF!</v>
      </c>
      <c r="AD43" s="18" t="e">
        <f>_xlfn.RANK.AVG(Table29128[[#This Row],[Index]],Table29128[Index])</f>
        <v>#REF!</v>
      </c>
      <c r="AE43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43" s="18" t="e">
        <f>Table29128[[#This Row],[CH4 '[ml/g']]]/Table29128[[#This Row],[APB]]</f>
        <v>#REF!</v>
      </c>
      <c r="AG43" s="18" t="e">
        <f>Table29128[[#This Row],[Propionate '[%']]]/Table29128[[#This Row],[Acetate '[%']]]</f>
        <v>#DIV/0!</v>
      </c>
      <c r="AH43" s="51"/>
      <c r="AI43" s="18"/>
      <c r="AJ43" s="18"/>
      <c r="AK43" s="135" t="e">
        <f t="shared" si="4"/>
        <v>#REF!</v>
      </c>
      <c r="AL43" s="18"/>
      <c r="AM43" s="135" t="e">
        <f t="shared" si="5"/>
        <v>#REF!</v>
      </c>
      <c r="AN43" s="18" t="e">
        <f>(Table29128[[#This Row],[CH4 '[g/g DDM']]]-AN$15)/AN$15%</f>
        <v>#REF!</v>
      </c>
      <c r="AO43" s="18"/>
      <c r="AP43" s="18"/>
      <c r="AR43" t="e">
        <f>_xlfn.NORM.DIST(Table29128[[#This Row],[GP '[ml/g']]],O$6,O$2,FALSE)</f>
        <v>#DIV/0!</v>
      </c>
      <c r="AS43" t="e">
        <f>_xlfn.NORM.DIST(Table29128[[#This Row],[SCFA '[mmol/g']]],P$6,P$2,FALSE)</f>
        <v>#DIV/0!</v>
      </c>
      <c r="AT43" t="e">
        <f>_xlfn.NORM.DIST(Table29128[[#This Row],[Acetate '[%']]],Q$6,Q$2,FALSE)</f>
        <v>#DIV/0!</v>
      </c>
      <c r="AU43" t="e">
        <f>_xlfn.NORM.DIST(Table29128[[#This Row],[Propionate '[%']]],R$6,R$2,FALSE)</f>
        <v>#DIV/0!</v>
      </c>
      <c r="AV43" t="e">
        <f>_xlfn.NORM.DIST(Table29128[[#This Row],[Butyrate '[%']]],S$6,S$2,FALSE)</f>
        <v>#DIV/0!</v>
      </c>
      <c r="AW43" t="e">
        <f>_xlfn.NORM.DIST(Table29128[[#This Row],[Valerate '[%']]],T$6,T$2,FALSE)</f>
        <v>#DIV/0!</v>
      </c>
      <c r="AX43" t="e">
        <f>_xlfn.NORM.DIST(Table29128[[#This Row],[Caproate '[%']]],U$6,U$2,FALSE)</f>
        <v>#DIV/0!</v>
      </c>
      <c r="AY43" t="e">
        <f>_xlfn.NORM.DIST(Table29128[[#This Row],[Isobutyrate '[%']]],V$6,V$2,FALSE)</f>
        <v>#DIV/0!</v>
      </c>
      <c r="AZ43" t="e">
        <f>_xlfn.NORM.DIST(Table29128[[#This Row],[Isovalerate '[%']]],W$6,W$2,FALSE)</f>
        <v>#DIV/0!</v>
      </c>
      <c r="BA43" t="e">
        <f>_xlfn.NORM.DIST(Table29128[[#This Row],[CH4 '[g/mmol SCFA']]],X$6,X$2,FALSE)</f>
        <v>#DIV/0!</v>
      </c>
      <c r="BB43" t="e">
        <f>_xlfn.NORM.DIST(Table29128[[#This Row],[DMD '[mg/g']]],Y$6,Y$2,FALSE)</f>
        <v>#REF!</v>
      </c>
      <c r="BC43" t="e">
        <f>_xlfn.NORM.DIST(Table29128[[#This Row],[CH4 '[ml/g']]],Z$6,Z$2,FALSE)</f>
        <v>#REF!</v>
      </c>
      <c r="BD43" t="e">
        <f>_xlfn.NORM.DIST(Table29128[[#This Row],[CH4 '[% GP']]],AA$6,AA$2,FALSE)</f>
        <v>#REF!</v>
      </c>
      <c r="BE43" t="e">
        <f>_xlfn.NORM.DIST(Table29128[[#This Row],[CH4 '[g/g DDM']]],AB$6,AB$2,FALSE)</f>
        <v>#REF!</v>
      </c>
      <c r="BG43">
        <f>IF(Table29128[[#This Row],[GP '[ml/g']]]&lt;O$10,_xlfn.NORM.DIST(Table29128[[#This Row],[GP '[ml/g']]],O$6,O$2,FALSE),-100)</f>
        <v>-100</v>
      </c>
      <c r="BH43">
        <f>IF(Table29128[[#This Row],[SCFA '[mmol/g']]]&lt;P$10,_xlfn.NORM.DIST(Table29128[[#This Row],[SCFA '[mmol/g']]],P$6,P$2,FALSE),-100)</f>
        <v>-100</v>
      </c>
      <c r="BI43">
        <f>IF(Table29128[[#This Row],[Acetate '[%']]]&lt;Q$10,_xlfn.NORM.DIST(Table29128[[#This Row],[Acetate '[%']]],Q$6,Q$2,FALSE),-100)</f>
        <v>-100</v>
      </c>
      <c r="BJ43">
        <f>IF(Table29128[[#This Row],[Propionate '[%']]]&lt;R$10,_xlfn.NORM.DIST(Table29128[[#This Row],[Propionate '[%']]],R$6,R$2,FALSE),-100)</f>
        <v>-100</v>
      </c>
      <c r="BK43">
        <f>IF(Table29128[[#This Row],[Butyrate '[%']]]&lt;S$10,_xlfn.NORM.DIST(Table29128[[#This Row],[Butyrate '[%']]],S$6,S$2,FALSE),-100)</f>
        <v>-100</v>
      </c>
      <c r="BL43">
        <f>IF(Table29128[[#This Row],[Valerate '[%']]]&lt;T$10,_xlfn.NORM.DIST(Table29128[[#This Row],[Valerate '[%']]],T$6,T$2,FALSE),-100)</f>
        <v>-100</v>
      </c>
      <c r="BM43">
        <f>IF(Table29128[[#This Row],[Caproate '[%']]]&lt;U$10,_xlfn.NORM.DIST(Table29128[[#This Row],[Caproate '[%']]],U$6,U$2,FALSE),-100)</f>
        <v>-100</v>
      </c>
      <c r="BN43">
        <f>IF(Table29128[[#This Row],[Isobutyrate '[%']]]&lt;V$10,_xlfn.NORM.DIST(Table29128[[#This Row],[Isobutyrate '[%']]],V$6,V$2,FALSE),-100)</f>
        <v>-100</v>
      </c>
      <c r="BO43">
        <f>IF(Table29128[[#This Row],[Isovalerate '[%']]]&lt;W$10,_xlfn.NORM.DIST(Table29128[[#This Row],[Isovalerate '[%']]],W$6,W$2,FALSE),-100)</f>
        <v>-100</v>
      </c>
      <c r="BP43">
        <f>IF(Table29128[[#This Row],[CH4 '[g/mmol SCFA']]]&lt;X$10,_xlfn.NORM.DIST(Table29128[[#This Row],[CH4 '[g/mmol SCFA']]],X$6,X$2,FALSE),-100)</f>
        <v>-100</v>
      </c>
      <c r="BQ43" t="e">
        <f>IF(Table29128[[#This Row],[DMD '[mg/g']]]&gt;Y$10,_xlfn.NORM.DIST(Table29128[[#This Row],[DMD '[mg/g']]],Y$6,Y$2,FALSE),-100)</f>
        <v>#REF!</v>
      </c>
      <c r="BR43" t="e">
        <f>IF(Table29128[[#This Row],[CH4 '[ml/g']]]&lt;Z$10,_xlfn.NORM.DIST(Table29128[[#This Row],[CH4 '[ml/g']]],Z$6,Z$2,FALSE),-100)</f>
        <v>#REF!</v>
      </c>
      <c r="BS43" t="e">
        <f>IF(Table29128[[#This Row],[CH4 '[% GP']]]&lt;AA$10,_xlfn.NORM.DIST(Table29128[[#This Row],[CH4 '[% GP']]],AA$6,AA$2,FALSE),-100)</f>
        <v>#REF!</v>
      </c>
      <c r="BT43" t="e">
        <f>IF(Table29128[[#This Row],[CH4 '[g/g DDM']]]&lt;AB$10,_xlfn.NORM.DIST(Table29128[[#This Row],[CH4 '[g/g DDM']]],AB$6,AB$2,FALSE),-100)</f>
        <v>#REF!</v>
      </c>
    </row>
    <row r="44" spans="1:72" ht="15" customHeight="1" x14ac:dyDescent="0.25">
      <c r="A44" s="12" t="s">
        <v>70</v>
      </c>
      <c r="B44" s="13">
        <v>994</v>
      </c>
      <c r="C44" s="96" t="s">
        <v>255</v>
      </c>
      <c r="D44" s="96"/>
      <c r="E44" s="96"/>
      <c r="F44" s="96" t="s">
        <v>256</v>
      </c>
      <c r="G44" s="15" t="s">
        <v>73</v>
      </c>
      <c r="H44" s="15" t="s">
        <v>74</v>
      </c>
      <c r="I44" t="s">
        <v>75</v>
      </c>
      <c r="J44" s="100">
        <v>1</v>
      </c>
      <c r="K44" s="100"/>
      <c r="L44" s="100"/>
      <c r="M44" t="s">
        <v>256</v>
      </c>
      <c r="N44" t="s">
        <v>85</v>
      </c>
      <c r="O44" s="18"/>
      <c r="P44" s="18"/>
      <c r="Q44" s="97"/>
      <c r="R44" s="97"/>
      <c r="S44" s="97"/>
      <c r="T44" s="97"/>
      <c r="U44" s="97"/>
      <c r="V44" s="97"/>
      <c r="W44" s="97"/>
      <c r="X44" s="51"/>
      <c r="Y44" s="18" t="e">
        <f>AVERAGEIFS([1]!Table2912[DMD '[mg/g']],[1]!Table2912[Substrate ID],Table29128[[#This Row],[Substrate ID]])</f>
        <v>#REF!</v>
      </c>
      <c r="Z44" s="18" t="e">
        <f>AVERAGEIFS([1]!Table2912[CH4 '[ml/g']],[1]!Table2912[Substrate ID],Table29128[[#This Row],[Substrate ID]])</f>
        <v>#REF!</v>
      </c>
      <c r="AA44" s="18" t="e">
        <f>AVERAGEIFS([1]!Table2912[CH4 '[% GP']],[1]!Table2912[Substrate ID],Table29128[[#This Row],[Substrate ID]])</f>
        <v>#REF!</v>
      </c>
      <c r="AB44" s="18" t="e">
        <f>AVERAGEIFS([1]!Table2912[CH4 '[g/g DDM']],[1]!Table2912[Substrate ID],Table29128[[#This Row],[Substrate ID]])</f>
        <v>#REF!</v>
      </c>
      <c r="AC44" s="18" t="e">
        <f>$CP$17*Table29128[[#This Row],[DMD '[mg/g']]]+$CQ$17*Table29128[[#This Row],[CH4 '[g/g DDM']]]</f>
        <v>#REF!</v>
      </c>
      <c r="AD44" s="18" t="e">
        <f>_xlfn.RANK.AVG(Table29128[[#This Row],[Index]],Table29128[Index])</f>
        <v>#REF!</v>
      </c>
      <c r="AE44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44" s="18" t="e">
        <f>Table29128[[#This Row],[CH4 '[ml/g']]]/Table29128[[#This Row],[APB]]</f>
        <v>#REF!</v>
      </c>
      <c r="AG44" s="18" t="e">
        <f>Table29128[[#This Row],[Propionate '[%']]]/Table29128[[#This Row],[Acetate '[%']]]</f>
        <v>#DIV/0!</v>
      </c>
      <c r="AH44" s="51"/>
      <c r="AI44" s="18"/>
      <c r="AJ44" s="18"/>
      <c r="AK44" s="135" t="e">
        <f t="shared" si="4"/>
        <v>#REF!</v>
      </c>
      <c r="AL44" s="18"/>
      <c r="AM44" s="135" t="e">
        <f t="shared" si="5"/>
        <v>#REF!</v>
      </c>
      <c r="AN44" s="18" t="e">
        <f>(Table29128[[#This Row],[CH4 '[g/g DDM']]]-AN$15)/AN$15%</f>
        <v>#REF!</v>
      </c>
      <c r="AO44" s="18"/>
      <c r="AP44" s="18"/>
      <c r="AR44" t="e">
        <f>_xlfn.NORM.DIST(Table29128[[#This Row],[GP '[ml/g']]],O$6,O$2,FALSE)</f>
        <v>#DIV/0!</v>
      </c>
      <c r="AS44" t="e">
        <f>_xlfn.NORM.DIST(Table29128[[#This Row],[SCFA '[mmol/g']]],P$6,P$2,FALSE)</f>
        <v>#DIV/0!</v>
      </c>
      <c r="AT44" t="e">
        <f>_xlfn.NORM.DIST(Table29128[[#This Row],[Acetate '[%']]],Q$6,Q$2,FALSE)</f>
        <v>#DIV/0!</v>
      </c>
      <c r="AU44" t="e">
        <f>_xlfn.NORM.DIST(Table29128[[#This Row],[Propionate '[%']]],R$6,R$2,FALSE)</f>
        <v>#DIV/0!</v>
      </c>
      <c r="AV44" t="e">
        <f>_xlfn.NORM.DIST(Table29128[[#This Row],[Butyrate '[%']]],S$6,S$2,FALSE)</f>
        <v>#DIV/0!</v>
      </c>
      <c r="AW44" t="e">
        <f>_xlfn.NORM.DIST(Table29128[[#This Row],[Valerate '[%']]],T$6,T$2,FALSE)</f>
        <v>#DIV/0!</v>
      </c>
      <c r="AX44" t="e">
        <f>_xlfn.NORM.DIST(Table29128[[#This Row],[Caproate '[%']]],U$6,U$2,FALSE)</f>
        <v>#DIV/0!</v>
      </c>
      <c r="AY44" t="e">
        <f>_xlfn.NORM.DIST(Table29128[[#This Row],[Isobutyrate '[%']]],V$6,V$2,FALSE)</f>
        <v>#DIV/0!</v>
      </c>
      <c r="AZ44" t="e">
        <f>_xlfn.NORM.DIST(Table29128[[#This Row],[Isovalerate '[%']]],W$6,W$2,FALSE)</f>
        <v>#DIV/0!</v>
      </c>
      <c r="BA44" t="e">
        <f>_xlfn.NORM.DIST(Table29128[[#This Row],[CH4 '[g/mmol SCFA']]],X$6,X$2,FALSE)</f>
        <v>#DIV/0!</v>
      </c>
      <c r="BB44" t="e">
        <f>_xlfn.NORM.DIST(Table29128[[#This Row],[DMD '[mg/g']]],Y$6,Y$2,FALSE)</f>
        <v>#REF!</v>
      </c>
      <c r="BC44" t="e">
        <f>_xlfn.NORM.DIST(Table29128[[#This Row],[CH4 '[ml/g']]],Z$6,Z$2,FALSE)</f>
        <v>#REF!</v>
      </c>
      <c r="BD44" t="e">
        <f>_xlfn.NORM.DIST(Table29128[[#This Row],[CH4 '[% GP']]],AA$6,AA$2,FALSE)</f>
        <v>#REF!</v>
      </c>
      <c r="BE44" t="e">
        <f>_xlfn.NORM.DIST(Table29128[[#This Row],[CH4 '[g/g DDM']]],AB$6,AB$2,FALSE)</f>
        <v>#REF!</v>
      </c>
      <c r="BG44">
        <f>IF(Table29128[[#This Row],[GP '[ml/g']]]&lt;O$10,_xlfn.NORM.DIST(Table29128[[#This Row],[GP '[ml/g']]],O$6,O$2,FALSE),-100)</f>
        <v>-100</v>
      </c>
      <c r="BH44">
        <f>IF(Table29128[[#This Row],[SCFA '[mmol/g']]]&lt;P$10,_xlfn.NORM.DIST(Table29128[[#This Row],[SCFA '[mmol/g']]],P$6,P$2,FALSE),-100)</f>
        <v>-100</v>
      </c>
      <c r="BI44">
        <f>IF(Table29128[[#This Row],[Acetate '[%']]]&lt;Q$10,_xlfn.NORM.DIST(Table29128[[#This Row],[Acetate '[%']]],Q$6,Q$2,FALSE),-100)</f>
        <v>-100</v>
      </c>
      <c r="BJ44">
        <f>IF(Table29128[[#This Row],[Propionate '[%']]]&lt;R$10,_xlfn.NORM.DIST(Table29128[[#This Row],[Propionate '[%']]],R$6,R$2,FALSE),-100)</f>
        <v>-100</v>
      </c>
      <c r="BK44">
        <f>IF(Table29128[[#This Row],[Butyrate '[%']]]&lt;S$10,_xlfn.NORM.DIST(Table29128[[#This Row],[Butyrate '[%']]],S$6,S$2,FALSE),-100)</f>
        <v>-100</v>
      </c>
      <c r="BL44">
        <f>IF(Table29128[[#This Row],[Valerate '[%']]]&lt;T$10,_xlfn.NORM.DIST(Table29128[[#This Row],[Valerate '[%']]],T$6,T$2,FALSE),-100)</f>
        <v>-100</v>
      </c>
      <c r="BM44">
        <f>IF(Table29128[[#This Row],[Caproate '[%']]]&lt;U$10,_xlfn.NORM.DIST(Table29128[[#This Row],[Caproate '[%']]],U$6,U$2,FALSE),-100)</f>
        <v>-100</v>
      </c>
      <c r="BN44">
        <f>IF(Table29128[[#This Row],[Isobutyrate '[%']]]&lt;V$10,_xlfn.NORM.DIST(Table29128[[#This Row],[Isobutyrate '[%']]],V$6,V$2,FALSE),-100)</f>
        <v>-100</v>
      </c>
      <c r="BO44">
        <f>IF(Table29128[[#This Row],[Isovalerate '[%']]]&lt;W$10,_xlfn.NORM.DIST(Table29128[[#This Row],[Isovalerate '[%']]],W$6,W$2,FALSE),-100)</f>
        <v>-100</v>
      </c>
      <c r="BP44">
        <f>IF(Table29128[[#This Row],[CH4 '[g/mmol SCFA']]]&lt;X$10,_xlfn.NORM.DIST(Table29128[[#This Row],[CH4 '[g/mmol SCFA']]],X$6,X$2,FALSE),-100)</f>
        <v>-100</v>
      </c>
      <c r="BQ44" t="e">
        <f>IF(Table29128[[#This Row],[DMD '[mg/g']]]&gt;Y$10,_xlfn.NORM.DIST(Table29128[[#This Row],[DMD '[mg/g']]],Y$6,Y$2,FALSE),-100)</f>
        <v>#REF!</v>
      </c>
      <c r="BR44" t="e">
        <f>IF(Table29128[[#This Row],[CH4 '[ml/g']]]&lt;Z$10,_xlfn.NORM.DIST(Table29128[[#This Row],[CH4 '[ml/g']]],Z$6,Z$2,FALSE),-100)</f>
        <v>#REF!</v>
      </c>
      <c r="BS44" t="e">
        <f>IF(Table29128[[#This Row],[CH4 '[% GP']]]&lt;AA$10,_xlfn.NORM.DIST(Table29128[[#This Row],[CH4 '[% GP']]],AA$6,AA$2,FALSE),-100)</f>
        <v>#REF!</v>
      </c>
      <c r="BT44" t="e">
        <f>IF(Table29128[[#This Row],[CH4 '[g/g DDM']]]&lt;AB$10,_xlfn.NORM.DIST(Table29128[[#This Row],[CH4 '[g/g DDM']]],AB$6,AB$2,FALSE),-100)</f>
        <v>#REF!</v>
      </c>
    </row>
    <row r="45" spans="1:72" ht="15" customHeight="1" x14ac:dyDescent="0.25">
      <c r="A45" s="12" t="s">
        <v>86</v>
      </c>
      <c r="B45" s="13">
        <v>1050</v>
      </c>
      <c r="C45" s="104" t="s">
        <v>218</v>
      </c>
      <c r="D45" s="104" t="s">
        <v>219</v>
      </c>
      <c r="E45" s="104" t="s">
        <v>220</v>
      </c>
      <c r="F45" s="104" t="s">
        <v>221</v>
      </c>
      <c r="G45" s="23" t="s">
        <v>73</v>
      </c>
      <c r="H45" s="23" t="s">
        <v>74</v>
      </c>
      <c r="I45" s="104" t="s">
        <v>106</v>
      </c>
      <c r="J45" s="100">
        <v>1</v>
      </c>
      <c r="K45" s="100"/>
      <c r="L45" s="100"/>
      <c r="M45" t="s">
        <v>221</v>
      </c>
      <c r="N45" t="s">
        <v>84</v>
      </c>
      <c r="O45" s="18"/>
      <c r="P45" s="18"/>
      <c r="Q45" s="97"/>
      <c r="R45" s="97"/>
      <c r="S45" s="97"/>
      <c r="T45" s="97"/>
      <c r="U45" s="97"/>
      <c r="V45" s="97"/>
      <c r="W45" s="97"/>
      <c r="X45" s="51"/>
      <c r="Y45" s="18" t="e">
        <f>AVERAGEIFS([1]!Table2912[DMD '[mg/g']],[1]!Table2912[Substrate ID],Table29128[[#This Row],[Substrate ID]])</f>
        <v>#REF!</v>
      </c>
      <c r="Z45" s="18" t="e">
        <f>AVERAGEIFS([1]!Table2912[CH4 '[ml/g']],[1]!Table2912[Substrate ID],Table29128[[#This Row],[Substrate ID]])</f>
        <v>#REF!</v>
      </c>
      <c r="AA45" s="18" t="e">
        <f>AVERAGEIFS([1]!Table2912[CH4 '[% GP']],[1]!Table2912[Substrate ID],Table29128[[#This Row],[Substrate ID]])</f>
        <v>#REF!</v>
      </c>
      <c r="AB45" s="18" t="e">
        <f>AVERAGEIFS([1]!Table2912[CH4 '[g/g DDM']],[1]!Table2912[Substrate ID],Table29128[[#This Row],[Substrate ID]])</f>
        <v>#REF!</v>
      </c>
      <c r="AC45" s="18" t="e">
        <f>$CP$17*Table29128[[#This Row],[DMD '[mg/g']]]+$CQ$17*Table29128[[#This Row],[CH4 '[g/g DDM']]]</f>
        <v>#REF!</v>
      </c>
      <c r="AD45" s="18" t="e">
        <f>_xlfn.RANK.AVG(Table29128[[#This Row],[Index]],Table29128[Index])</f>
        <v>#REF!</v>
      </c>
      <c r="AE45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45" s="18" t="e">
        <f>Table29128[[#This Row],[CH4 '[ml/g']]]/Table29128[[#This Row],[APB]]</f>
        <v>#REF!</v>
      </c>
      <c r="AG45" s="18" t="e">
        <f>Table29128[[#This Row],[Propionate '[%']]]/Table29128[[#This Row],[Acetate '[%']]]</f>
        <v>#DIV/0!</v>
      </c>
      <c r="AH45" s="51"/>
      <c r="AI45" s="18"/>
      <c r="AJ45" s="18"/>
      <c r="AK45" s="135" t="e">
        <f t="shared" si="4"/>
        <v>#REF!</v>
      </c>
      <c r="AL45" s="18"/>
      <c r="AM45" s="135" t="e">
        <f t="shared" si="5"/>
        <v>#REF!</v>
      </c>
      <c r="AN45" s="18" t="e">
        <f>(Table29128[[#This Row],[CH4 '[g/g DDM']]]-AN$15)/AN$15%</f>
        <v>#REF!</v>
      </c>
      <c r="AO45" s="18"/>
      <c r="AP45" s="18"/>
      <c r="AR45" t="e">
        <f>_xlfn.NORM.DIST(Table29128[[#This Row],[GP '[ml/g']]],O$6,O$2,FALSE)</f>
        <v>#DIV/0!</v>
      </c>
      <c r="AS45" t="e">
        <f>_xlfn.NORM.DIST(Table29128[[#This Row],[SCFA '[mmol/g']]],P$6,P$2,FALSE)</f>
        <v>#DIV/0!</v>
      </c>
      <c r="AT45" t="e">
        <f>_xlfn.NORM.DIST(Table29128[[#This Row],[Acetate '[%']]],Q$6,Q$2,FALSE)</f>
        <v>#DIV/0!</v>
      </c>
      <c r="AU45" t="e">
        <f>_xlfn.NORM.DIST(Table29128[[#This Row],[Propionate '[%']]],R$6,R$2,FALSE)</f>
        <v>#DIV/0!</v>
      </c>
      <c r="AV45" t="e">
        <f>_xlfn.NORM.DIST(Table29128[[#This Row],[Butyrate '[%']]],S$6,S$2,FALSE)</f>
        <v>#DIV/0!</v>
      </c>
      <c r="AW45" t="e">
        <f>_xlfn.NORM.DIST(Table29128[[#This Row],[Valerate '[%']]],T$6,T$2,FALSE)</f>
        <v>#DIV/0!</v>
      </c>
      <c r="AX45" t="e">
        <f>_xlfn.NORM.DIST(Table29128[[#This Row],[Caproate '[%']]],U$6,U$2,FALSE)</f>
        <v>#DIV/0!</v>
      </c>
      <c r="AY45" t="e">
        <f>_xlfn.NORM.DIST(Table29128[[#This Row],[Isobutyrate '[%']]],V$6,V$2,FALSE)</f>
        <v>#DIV/0!</v>
      </c>
      <c r="AZ45" t="e">
        <f>_xlfn.NORM.DIST(Table29128[[#This Row],[Isovalerate '[%']]],W$6,W$2,FALSE)</f>
        <v>#DIV/0!</v>
      </c>
      <c r="BA45" t="e">
        <f>_xlfn.NORM.DIST(Table29128[[#This Row],[CH4 '[g/mmol SCFA']]],X$6,X$2,FALSE)</f>
        <v>#DIV/0!</v>
      </c>
      <c r="BB45" t="e">
        <f>_xlfn.NORM.DIST(Table29128[[#This Row],[DMD '[mg/g']]],Y$6,Y$2,FALSE)</f>
        <v>#REF!</v>
      </c>
      <c r="BC45" t="e">
        <f>_xlfn.NORM.DIST(Table29128[[#This Row],[CH4 '[ml/g']]],Z$6,Z$2,FALSE)</f>
        <v>#REF!</v>
      </c>
      <c r="BD45" t="e">
        <f>_xlfn.NORM.DIST(Table29128[[#This Row],[CH4 '[% GP']]],AA$6,AA$2,FALSE)</f>
        <v>#REF!</v>
      </c>
      <c r="BE45" t="e">
        <f>_xlfn.NORM.DIST(Table29128[[#This Row],[CH4 '[g/g DDM']]],AB$6,AB$2,FALSE)</f>
        <v>#REF!</v>
      </c>
      <c r="BG45">
        <f>IF(Table29128[[#This Row],[GP '[ml/g']]]&lt;O$10,_xlfn.NORM.DIST(Table29128[[#This Row],[GP '[ml/g']]],O$6,O$2,FALSE),-100)</f>
        <v>-100</v>
      </c>
      <c r="BH45">
        <f>IF(Table29128[[#This Row],[SCFA '[mmol/g']]]&lt;P$10,_xlfn.NORM.DIST(Table29128[[#This Row],[SCFA '[mmol/g']]],P$6,P$2,FALSE),-100)</f>
        <v>-100</v>
      </c>
      <c r="BI45">
        <f>IF(Table29128[[#This Row],[Acetate '[%']]]&lt;Q$10,_xlfn.NORM.DIST(Table29128[[#This Row],[Acetate '[%']]],Q$6,Q$2,FALSE),-100)</f>
        <v>-100</v>
      </c>
      <c r="BJ45">
        <f>IF(Table29128[[#This Row],[Propionate '[%']]]&lt;R$10,_xlfn.NORM.DIST(Table29128[[#This Row],[Propionate '[%']]],R$6,R$2,FALSE),-100)</f>
        <v>-100</v>
      </c>
      <c r="BK45">
        <f>IF(Table29128[[#This Row],[Butyrate '[%']]]&lt;S$10,_xlfn.NORM.DIST(Table29128[[#This Row],[Butyrate '[%']]],S$6,S$2,FALSE),-100)</f>
        <v>-100</v>
      </c>
      <c r="BL45">
        <f>IF(Table29128[[#This Row],[Valerate '[%']]]&lt;T$10,_xlfn.NORM.DIST(Table29128[[#This Row],[Valerate '[%']]],T$6,T$2,FALSE),-100)</f>
        <v>-100</v>
      </c>
      <c r="BM45">
        <f>IF(Table29128[[#This Row],[Caproate '[%']]]&lt;U$10,_xlfn.NORM.DIST(Table29128[[#This Row],[Caproate '[%']]],U$6,U$2,FALSE),-100)</f>
        <v>-100</v>
      </c>
      <c r="BN45">
        <f>IF(Table29128[[#This Row],[Isobutyrate '[%']]]&lt;V$10,_xlfn.NORM.DIST(Table29128[[#This Row],[Isobutyrate '[%']]],V$6,V$2,FALSE),-100)</f>
        <v>-100</v>
      </c>
      <c r="BO45">
        <f>IF(Table29128[[#This Row],[Isovalerate '[%']]]&lt;W$10,_xlfn.NORM.DIST(Table29128[[#This Row],[Isovalerate '[%']]],W$6,W$2,FALSE),-100)</f>
        <v>-100</v>
      </c>
      <c r="BP45">
        <f>IF(Table29128[[#This Row],[CH4 '[g/mmol SCFA']]]&lt;X$10,_xlfn.NORM.DIST(Table29128[[#This Row],[CH4 '[g/mmol SCFA']]],X$6,X$2,FALSE),-100)</f>
        <v>-100</v>
      </c>
      <c r="BQ45" t="e">
        <f>IF(Table29128[[#This Row],[DMD '[mg/g']]]&gt;Y$10,_xlfn.NORM.DIST(Table29128[[#This Row],[DMD '[mg/g']]],Y$6,Y$2,FALSE),-100)</f>
        <v>#REF!</v>
      </c>
      <c r="BR45" t="e">
        <f>IF(Table29128[[#This Row],[CH4 '[ml/g']]]&lt;Z$10,_xlfn.NORM.DIST(Table29128[[#This Row],[CH4 '[ml/g']]],Z$6,Z$2,FALSE),-100)</f>
        <v>#REF!</v>
      </c>
      <c r="BS45" t="e">
        <f>IF(Table29128[[#This Row],[CH4 '[% GP']]]&lt;AA$10,_xlfn.NORM.DIST(Table29128[[#This Row],[CH4 '[% GP']]],AA$6,AA$2,FALSE),-100)</f>
        <v>#REF!</v>
      </c>
      <c r="BT45" t="e">
        <f>IF(Table29128[[#This Row],[CH4 '[g/g DDM']]]&lt;AB$10,_xlfn.NORM.DIST(Table29128[[#This Row],[CH4 '[g/g DDM']]],AB$6,AB$2,FALSE),-100)</f>
        <v>#REF!</v>
      </c>
    </row>
    <row r="46" spans="1:72" ht="15" customHeight="1" x14ac:dyDescent="0.25">
      <c r="A46" s="12" t="s">
        <v>200</v>
      </c>
      <c r="B46" s="13">
        <v>1197</v>
      </c>
      <c r="C46" s="119" t="s">
        <v>534</v>
      </c>
      <c r="D46" s="119" t="s">
        <v>535</v>
      </c>
      <c r="E46" s="119" t="s">
        <v>536</v>
      </c>
      <c r="F46" s="131" t="s">
        <v>537</v>
      </c>
      <c r="G46" s="15" t="s">
        <v>538</v>
      </c>
      <c r="H46" s="15" t="s">
        <v>539</v>
      </c>
      <c r="I46" s="53" t="s">
        <v>48</v>
      </c>
      <c r="J46" s="100">
        <v>1</v>
      </c>
      <c r="K46" s="100"/>
      <c r="L46" s="100"/>
      <c r="M46" t="s">
        <v>540</v>
      </c>
      <c r="N46" t="s">
        <v>363</v>
      </c>
      <c r="O46" s="18"/>
      <c r="P46" s="18"/>
      <c r="Q46" s="97"/>
      <c r="R46" s="97"/>
      <c r="S46" s="97"/>
      <c r="T46" s="97"/>
      <c r="U46" s="97"/>
      <c r="V46" s="97"/>
      <c r="W46" s="97"/>
      <c r="X46" s="51"/>
      <c r="Y46" s="18" t="e">
        <f>AVERAGEIFS([1]!Table2912[DMD '[mg/g']],[1]!Table2912[Substrate ID],Table29128[[#This Row],[Substrate ID]])</f>
        <v>#REF!</v>
      </c>
      <c r="Z46" s="18" t="e">
        <f>AVERAGEIFS([1]!Table2912[CH4 '[ml/g']],[1]!Table2912[Substrate ID],Table29128[[#This Row],[Substrate ID]])</f>
        <v>#REF!</v>
      </c>
      <c r="AA46" s="18" t="e">
        <f>AVERAGEIFS([1]!Table2912[CH4 '[% GP']],[1]!Table2912[Substrate ID],Table29128[[#This Row],[Substrate ID]])</f>
        <v>#REF!</v>
      </c>
      <c r="AB46" s="18" t="e">
        <f>AVERAGEIFS([1]!Table2912[CH4 '[g/g DDM']],[1]!Table2912[Substrate ID],Table29128[[#This Row],[Substrate ID]])</f>
        <v>#REF!</v>
      </c>
      <c r="AC46" s="18" t="e">
        <f>$CP$17*Table29128[[#This Row],[DMD '[mg/g']]]+$CQ$17*Table29128[[#This Row],[CH4 '[g/g DDM']]]</f>
        <v>#REF!</v>
      </c>
      <c r="AD46" s="18" t="e">
        <f>_xlfn.RANK.AVG(Table29128[[#This Row],[Index]],Table29128[Index])</f>
        <v>#REF!</v>
      </c>
      <c r="AE46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46" s="18" t="e">
        <f>Table29128[[#This Row],[CH4 '[ml/g']]]/Table29128[[#This Row],[APB]]</f>
        <v>#REF!</v>
      </c>
      <c r="AG46" s="18" t="e">
        <f>Table29128[[#This Row],[Propionate '[%']]]/Table29128[[#This Row],[Acetate '[%']]]</f>
        <v>#DIV/0!</v>
      </c>
      <c r="AH46" s="51"/>
      <c r="AI46" s="18"/>
      <c r="AJ46" s="18"/>
      <c r="AK46" s="135" t="e">
        <f t="shared" si="4"/>
        <v>#REF!</v>
      </c>
      <c r="AL46" s="18"/>
      <c r="AM46" s="135" t="e">
        <f t="shared" si="5"/>
        <v>#REF!</v>
      </c>
      <c r="AN46" s="18" t="e">
        <f>(Table29128[[#This Row],[CH4 '[g/g DDM']]]-AN$15)/AN$15%</f>
        <v>#REF!</v>
      </c>
      <c r="AO46" s="18"/>
      <c r="AP46" s="18"/>
      <c r="AR46" t="e">
        <f>_xlfn.NORM.DIST(Table29128[[#This Row],[GP '[ml/g']]],O$6,O$2,FALSE)</f>
        <v>#DIV/0!</v>
      </c>
      <c r="AS46" t="e">
        <f>_xlfn.NORM.DIST(Table29128[[#This Row],[SCFA '[mmol/g']]],P$6,P$2,FALSE)</f>
        <v>#DIV/0!</v>
      </c>
      <c r="AT46" t="e">
        <f>_xlfn.NORM.DIST(Table29128[[#This Row],[Acetate '[%']]],Q$6,Q$2,FALSE)</f>
        <v>#DIV/0!</v>
      </c>
      <c r="AU46" t="e">
        <f>_xlfn.NORM.DIST(Table29128[[#This Row],[Propionate '[%']]],R$6,R$2,FALSE)</f>
        <v>#DIV/0!</v>
      </c>
      <c r="AV46" t="e">
        <f>_xlfn.NORM.DIST(Table29128[[#This Row],[Butyrate '[%']]],S$6,S$2,FALSE)</f>
        <v>#DIV/0!</v>
      </c>
      <c r="AW46" t="e">
        <f>_xlfn.NORM.DIST(Table29128[[#This Row],[Valerate '[%']]],T$6,T$2,FALSE)</f>
        <v>#DIV/0!</v>
      </c>
      <c r="AX46" t="e">
        <f>_xlfn.NORM.DIST(Table29128[[#This Row],[Caproate '[%']]],U$6,U$2,FALSE)</f>
        <v>#DIV/0!</v>
      </c>
      <c r="AY46" t="e">
        <f>_xlfn.NORM.DIST(Table29128[[#This Row],[Isobutyrate '[%']]],V$6,V$2,FALSE)</f>
        <v>#DIV/0!</v>
      </c>
      <c r="AZ46" t="e">
        <f>_xlfn.NORM.DIST(Table29128[[#This Row],[Isovalerate '[%']]],W$6,W$2,FALSE)</f>
        <v>#DIV/0!</v>
      </c>
      <c r="BA46" t="e">
        <f>_xlfn.NORM.DIST(Table29128[[#This Row],[CH4 '[g/mmol SCFA']]],X$6,X$2,FALSE)</f>
        <v>#DIV/0!</v>
      </c>
      <c r="BB46" t="e">
        <f>_xlfn.NORM.DIST(Table29128[[#This Row],[DMD '[mg/g']]],Y$6,Y$2,FALSE)</f>
        <v>#REF!</v>
      </c>
      <c r="BC46" t="e">
        <f>_xlfn.NORM.DIST(Table29128[[#This Row],[CH4 '[ml/g']]],Z$6,Z$2,FALSE)</f>
        <v>#REF!</v>
      </c>
      <c r="BD46" t="e">
        <f>_xlfn.NORM.DIST(Table29128[[#This Row],[CH4 '[% GP']]],AA$6,AA$2,FALSE)</f>
        <v>#REF!</v>
      </c>
      <c r="BE46" t="e">
        <f>_xlfn.NORM.DIST(Table29128[[#This Row],[CH4 '[g/g DDM']]],AB$6,AB$2,FALSE)</f>
        <v>#REF!</v>
      </c>
      <c r="BG46">
        <f>IF(Table29128[[#This Row],[GP '[ml/g']]]&lt;O$10,_xlfn.NORM.DIST(Table29128[[#This Row],[GP '[ml/g']]],O$6,O$2,FALSE),-100)</f>
        <v>-100</v>
      </c>
      <c r="BH46">
        <f>IF(Table29128[[#This Row],[SCFA '[mmol/g']]]&lt;P$10,_xlfn.NORM.DIST(Table29128[[#This Row],[SCFA '[mmol/g']]],P$6,P$2,FALSE),-100)</f>
        <v>-100</v>
      </c>
      <c r="BI46">
        <f>IF(Table29128[[#This Row],[Acetate '[%']]]&lt;Q$10,_xlfn.NORM.DIST(Table29128[[#This Row],[Acetate '[%']]],Q$6,Q$2,FALSE),-100)</f>
        <v>-100</v>
      </c>
      <c r="BJ46">
        <f>IF(Table29128[[#This Row],[Propionate '[%']]]&lt;R$10,_xlfn.NORM.DIST(Table29128[[#This Row],[Propionate '[%']]],R$6,R$2,FALSE),-100)</f>
        <v>-100</v>
      </c>
      <c r="BK46">
        <f>IF(Table29128[[#This Row],[Butyrate '[%']]]&lt;S$10,_xlfn.NORM.DIST(Table29128[[#This Row],[Butyrate '[%']]],S$6,S$2,FALSE),-100)</f>
        <v>-100</v>
      </c>
      <c r="BL46">
        <f>IF(Table29128[[#This Row],[Valerate '[%']]]&lt;T$10,_xlfn.NORM.DIST(Table29128[[#This Row],[Valerate '[%']]],T$6,T$2,FALSE),-100)</f>
        <v>-100</v>
      </c>
      <c r="BM46">
        <f>IF(Table29128[[#This Row],[Caproate '[%']]]&lt;U$10,_xlfn.NORM.DIST(Table29128[[#This Row],[Caproate '[%']]],U$6,U$2,FALSE),-100)</f>
        <v>-100</v>
      </c>
      <c r="BN46">
        <f>IF(Table29128[[#This Row],[Isobutyrate '[%']]]&lt;V$10,_xlfn.NORM.DIST(Table29128[[#This Row],[Isobutyrate '[%']]],V$6,V$2,FALSE),-100)</f>
        <v>-100</v>
      </c>
      <c r="BO46">
        <f>IF(Table29128[[#This Row],[Isovalerate '[%']]]&lt;W$10,_xlfn.NORM.DIST(Table29128[[#This Row],[Isovalerate '[%']]],W$6,W$2,FALSE),-100)</f>
        <v>-100</v>
      </c>
      <c r="BP46">
        <f>IF(Table29128[[#This Row],[CH4 '[g/mmol SCFA']]]&lt;X$10,_xlfn.NORM.DIST(Table29128[[#This Row],[CH4 '[g/mmol SCFA']]],X$6,X$2,FALSE),-100)</f>
        <v>-100</v>
      </c>
      <c r="BQ46" t="e">
        <f>IF(Table29128[[#This Row],[DMD '[mg/g']]]&gt;Y$10,_xlfn.NORM.DIST(Table29128[[#This Row],[DMD '[mg/g']]],Y$6,Y$2,FALSE),-100)</f>
        <v>#REF!</v>
      </c>
      <c r="BR46" t="e">
        <f>IF(Table29128[[#This Row],[CH4 '[ml/g']]]&lt;Z$10,_xlfn.NORM.DIST(Table29128[[#This Row],[CH4 '[ml/g']]],Z$6,Z$2,FALSE),-100)</f>
        <v>#REF!</v>
      </c>
      <c r="BS46" t="e">
        <f>IF(Table29128[[#This Row],[CH4 '[% GP']]]&lt;AA$10,_xlfn.NORM.DIST(Table29128[[#This Row],[CH4 '[% GP']]],AA$6,AA$2,FALSE),-100)</f>
        <v>#REF!</v>
      </c>
      <c r="BT46" t="e">
        <f>IF(Table29128[[#This Row],[CH4 '[g/g DDM']]]&lt;AB$10,_xlfn.NORM.DIST(Table29128[[#This Row],[CH4 '[g/g DDM']]],AB$6,AB$2,FALSE),-100)</f>
        <v>#REF!</v>
      </c>
    </row>
    <row r="47" spans="1:72" x14ac:dyDescent="0.25">
      <c r="A47" s="12" t="s">
        <v>86</v>
      </c>
      <c r="B47" s="13">
        <v>1088</v>
      </c>
      <c r="C47" s="104" t="s">
        <v>288</v>
      </c>
      <c r="D47" s="104" t="s">
        <v>289</v>
      </c>
      <c r="E47" s="104" t="s">
        <v>290</v>
      </c>
      <c r="F47" s="104" t="s">
        <v>291</v>
      </c>
      <c r="G47" s="23" t="s">
        <v>143</v>
      </c>
      <c r="H47" s="23" t="s">
        <v>144</v>
      </c>
      <c r="I47" s="32" t="s">
        <v>52</v>
      </c>
      <c r="J47" s="100">
        <v>1</v>
      </c>
      <c r="K47" s="100"/>
      <c r="L47" s="100"/>
      <c r="M47" t="s">
        <v>291</v>
      </c>
      <c r="N47" t="s">
        <v>145</v>
      </c>
      <c r="O47" s="18"/>
      <c r="P47" s="18"/>
      <c r="Q47" s="97"/>
      <c r="R47" s="97"/>
      <c r="S47" s="97"/>
      <c r="T47" s="97"/>
      <c r="U47" s="97"/>
      <c r="V47" s="97"/>
      <c r="W47" s="97"/>
      <c r="X47" s="51"/>
      <c r="Y47" s="18" t="e">
        <f>AVERAGEIFS([1]!Table2912[DMD '[mg/g']],[1]!Table2912[Substrate ID],Table29128[[#This Row],[Substrate ID]])</f>
        <v>#REF!</v>
      </c>
      <c r="Z47" s="18" t="e">
        <f>AVERAGEIFS([1]!Table2912[CH4 '[ml/g']],[1]!Table2912[Substrate ID],Table29128[[#This Row],[Substrate ID]])</f>
        <v>#REF!</v>
      </c>
      <c r="AA47" s="18" t="e">
        <f>AVERAGEIFS([1]!Table2912[CH4 '[% GP']],[1]!Table2912[Substrate ID],Table29128[[#This Row],[Substrate ID]])</f>
        <v>#REF!</v>
      </c>
      <c r="AB47" s="18" t="e">
        <f>AVERAGEIFS([1]!Table2912[CH4 '[g/g DDM']],[1]!Table2912[Substrate ID],Table29128[[#This Row],[Substrate ID]])</f>
        <v>#REF!</v>
      </c>
      <c r="AC47" s="18" t="e">
        <f>$CP$17*Table29128[[#This Row],[DMD '[mg/g']]]+$CQ$17*Table29128[[#This Row],[CH4 '[g/g DDM']]]</f>
        <v>#REF!</v>
      </c>
      <c r="AD47" s="18" t="e">
        <f>_xlfn.RANK.AVG(Table29128[[#This Row],[Index]],Table29128[Index])</f>
        <v>#REF!</v>
      </c>
      <c r="AE47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47" s="18" t="e">
        <f>Table29128[[#This Row],[CH4 '[ml/g']]]/Table29128[[#This Row],[APB]]</f>
        <v>#REF!</v>
      </c>
      <c r="AG47" s="18" t="e">
        <f>Table29128[[#This Row],[Propionate '[%']]]/Table29128[[#This Row],[Acetate '[%']]]</f>
        <v>#DIV/0!</v>
      </c>
      <c r="AH47" s="51"/>
      <c r="AI47" s="18"/>
      <c r="AJ47" s="18"/>
      <c r="AK47" s="135" t="e">
        <f t="shared" si="4"/>
        <v>#REF!</v>
      </c>
      <c r="AL47" s="18"/>
      <c r="AM47" s="135" t="e">
        <f t="shared" si="5"/>
        <v>#REF!</v>
      </c>
      <c r="AN47" s="18" t="e">
        <f>(Table29128[[#This Row],[CH4 '[g/g DDM']]]-AN$15)/AN$15%</f>
        <v>#REF!</v>
      </c>
      <c r="AO47" s="18"/>
      <c r="AP47" s="18"/>
      <c r="AR47" t="e">
        <f>_xlfn.NORM.DIST(Table29128[[#This Row],[GP '[ml/g']]],O$6,O$2,FALSE)</f>
        <v>#DIV/0!</v>
      </c>
      <c r="AS47" t="e">
        <f>_xlfn.NORM.DIST(Table29128[[#This Row],[SCFA '[mmol/g']]],P$6,P$2,FALSE)</f>
        <v>#DIV/0!</v>
      </c>
      <c r="AT47" t="e">
        <f>_xlfn.NORM.DIST(Table29128[[#This Row],[Acetate '[%']]],Q$6,Q$2,FALSE)</f>
        <v>#DIV/0!</v>
      </c>
      <c r="AU47" t="e">
        <f>_xlfn.NORM.DIST(Table29128[[#This Row],[Propionate '[%']]],R$6,R$2,FALSE)</f>
        <v>#DIV/0!</v>
      </c>
      <c r="AV47" t="e">
        <f>_xlfn.NORM.DIST(Table29128[[#This Row],[Butyrate '[%']]],S$6,S$2,FALSE)</f>
        <v>#DIV/0!</v>
      </c>
      <c r="AW47" t="e">
        <f>_xlfn.NORM.DIST(Table29128[[#This Row],[Valerate '[%']]],T$6,T$2,FALSE)</f>
        <v>#DIV/0!</v>
      </c>
      <c r="AX47" t="e">
        <f>_xlfn.NORM.DIST(Table29128[[#This Row],[Caproate '[%']]],U$6,U$2,FALSE)</f>
        <v>#DIV/0!</v>
      </c>
      <c r="AY47" t="e">
        <f>_xlfn.NORM.DIST(Table29128[[#This Row],[Isobutyrate '[%']]],V$6,V$2,FALSE)</f>
        <v>#DIV/0!</v>
      </c>
      <c r="AZ47" t="e">
        <f>_xlfn.NORM.DIST(Table29128[[#This Row],[Isovalerate '[%']]],W$6,W$2,FALSE)</f>
        <v>#DIV/0!</v>
      </c>
      <c r="BA47" t="e">
        <f>_xlfn.NORM.DIST(Table29128[[#This Row],[CH4 '[g/mmol SCFA']]],X$6,X$2,FALSE)</f>
        <v>#DIV/0!</v>
      </c>
      <c r="BB47" t="e">
        <f>_xlfn.NORM.DIST(Table29128[[#This Row],[DMD '[mg/g']]],Y$6,Y$2,FALSE)</f>
        <v>#REF!</v>
      </c>
      <c r="BC47" t="e">
        <f>_xlfn.NORM.DIST(Table29128[[#This Row],[CH4 '[ml/g']]],Z$6,Z$2,FALSE)</f>
        <v>#REF!</v>
      </c>
      <c r="BD47" t="e">
        <f>_xlfn.NORM.DIST(Table29128[[#This Row],[CH4 '[% GP']]],AA$6,AA$2,FALSE)</f>
        <v>#REF!</v>
      </c>
      <c r="BE47" t="e">
        <f>_xlfn.NORM.DIST(Table29128[[#This Row],[CH4 '[g/g DDM']]],AB$6,AB$2,FALSE)</f>
        <v>#REF!</v>
      </c>
      <c r="BG47">
        <f>IF(Table29128[[#This Row],[GP '[ml/g']]]&lt;O$10,_xlfn.NORM.DIST(Table29128[[#This Row],[GP '[ml/g']]],O$6,O$2,FALSE),-100)</f>
        <v>-100</v>
      </c>
      <c r="BH47">
        <f>IF(Table29128[[#This Row],[SCFA '[mmol/g']]]&lt;P$10,_xlfn.NORM.DIST(Table29128[[#This Row],[SCFA '[mmol/g']]],P$6,P$2,FALSE),-100)</f>
        <v>-100</v>
      </c>
      <c r="BI47">
        <f>IF(Table29128[[#This Row],[Acetate '[%']]]&lt;Q$10,_xlfn.NORM.DIST(Table29128[[#This Row],[Acetate '[%']]],Q$6,Q$2,FALSE),-100)</f>
        <v>-100</v>
      </c>
      <c r="BJ47">
        <f>IF(Table29128[[#This Row],[Propionate '[%']]]&lt;R$10,_xlfn.NORM.DIST(Table29128[[#This Row],[Propionate '[%']]],R$6,R$2,FALSE),-100)</f>
        <v>-100</v>
      </c>
      <c r="BK47">
        <f>IF(Table29128[[#This Row],[Butyrate '[%']]]&lt;S$10,_xlfn.NORM.DIST(Table29128[[#This Row],[Butyrate '[%']]],S$6,S$2,FALSE),-100)</f>
        <v>-100</v>
      </c>
      <c r="BL47">
        <f>IF(Table29128[[#This Row],[Valerate '[%']]]&lt;T$10,_xlfn.NORM.DIST(Table29128[[#This Row],[Valerate '[%']]],T$6,T$2,FALSE),-100)</f>
        <v>-100</v>
      </c>
      <c r="BM47">
        <f>IF(Table29128[[#This Row],[Caproate '[%']]]&lt;U$10,_xlfn.NORM.DIST(Table29128[[#This Row],[Caproate '[%']]],U$6,U$2,FALSE),-100)</f>
        <v>-100</v>
      </c>
      <c r="BN47">
        <f>IF(Table29128[[#This Row],[Isobutyrate '[%']]]&lt;V$10,_xlfn.NORM.DIST(Table29128[[#This Row],[Isobutyrate '[%']]],V$6,V$2,FALSE),-100)</f>
        <v>-100</v>
      </c>
      <c r="BO47">
        <f>IF(Table29128[[#This Row],[Isovalerate '[%']]]&lt;W$10,_xlfn.NORM.DIST(Table29128[[#This Row],[Isovalerate '[%']]],W$6,W$2,FALSE),-100)</f>
        <v>-100</v>
      </c>
      <c r="BP47">
        <f>IF(Table29128[[#This Row],[CH4 '[g/mmol SCFA']]]&lt;X$10,_xlfn.NORM.DIST(Table29128[[#This Row],[CH4 '[g/mmol SCFA']]],X$6,X$2,FALSE),-100)</f>
        <v>-100</v>
      </c>
      <c r="BQ47" t="e">
        <f>IF(Table29128[[#This Row],[DMD '[mg/g']]]&gt;Y$10,_xlfn.NORM.DIST(Table29128[[#This Row],[DMD '[mg/g']]],Y$6,Y$2,FALSE),-100)</f>
        <v>#REF!</v>
      </c>
      <c r="BR47" t="e">
        <f>IF(Table29128[[#This Row],[CH4 '[ml/g']]]&lt;Z$10,_xlfn.NORM.DIST(Table29128[[#This Row],[CH4 '[ml/g']]],Z$6,Z$2,FALSE),-100)</f>
        <v>#REF!</v>
      </c>
      <c r="BS47" t="e">
        <f>IF(Table29128[[#This Row],[CH4 '[% GP']]]&lt;AA$10,_xlfn.NORM.DIST(Table29128[[#This Row],[CH4 '[% GP']]],AA$6,AA$2,FALSE),-100)</f>
        <v>#REF!</v>
      </c>
      <c r="BT47" t="e">
        <f>IF(Table29128[[#This Row],[CH4 '[g/g DDM']]]&lt;AB$10,_xlfn.NORM.DIST(Table29128[[#This Row],[CH4 '[g/g DDM']]],AB$6,AB$2,FALSE),-100)</f>
        <v>#REF!</v>
      </c>
    </row>
    <row r="48" spans="1:72" x14ac:dyDescent="0.25">
      <c r="A48" s="12" t="s">
        <v>70</v>
      </c>
      <c r="B48" s="13">
        <v>1039</v>
      </c>
      <c r="C48" s="96" t="s">
        <v>198</v>
      </c>
      <c r="D48" s="96"/>
      <c r="E48" s="96"/>
      <c r="F48" s="96" t="s">
        <v>199</v>
      </c>
      <c r="G48" s="15" t="s">
        <v>143</v>
      </c>
      <c r="H48" s="15" t="s">
        <v>144</v>
      </c>
      <c r="I48" t="s">
        <v>52</v>
      </c>
      <c r="J48" s="100">
        <v>1</v>
      </c>
      <c r="K48" s="100"/>
      <c r="L48" s="100"/>
      <c r="M48" t="s">
        <v>199</v>
      </c>
      <c r="N48" t="s">
        <v>85</v>
      </c>
      <c r="O48" s="18"/>
      <c r="P48" s="18"/>
      <c r="Q48" s="97"/>
      <c r="R48" s="97"/>
      <c r="S48" s="97"/>
      <c r="T48" s="97"/>
      <c r="U48" s="97"/>
      <c r="V48" s="97"/>
      <c r="W48" s="97"/>
      <c r="X48" s="51"/>
      <c r="Y48" s="18" t="e">
        <f>AVERAGEIFS([1]!Table2912[DMD '[mg/g']],[1]!Table2912[Substrate ID],Table29128[[#This Row],[Substrate ID]])</f>
        <v>#REF!</v>
      </c>
      <c r="Z48" s="18" t="e">
        <f>AVERAGEIFS([1]!Table2912[CH4 '[ml/g']],[1]!Table2912[Substrate ID],Table29128[[#This Row],[Substrate ID]])</f>
        <v>#REF!</v>
      </c>
      <c r="AA48" s="18" t="e">
        <f>AVERAGEIFS([1]!Table2912[CH4 '[% GP']],[1]!Table2912[Substrate ID],Table29128[[#This Row],[Substrate ID]])</f>
        <v>#REF!</v>
      </c>
      <c r="AB48" s="18" t="e">
        <f>AVERAGEIFS([1]!Table2912[CH4 '[g/g DDM']],[1]!Table2912[Substrate ID],Table29128[[#This Row],[Substrate ID]])</f>
        <v>#REF!</v>
      </c>
      <c r="AC48" s="18" t="e">
        <f>$CP$17*Table29128[[#This Row],[DMD '[mg/g']]]+$CQ$17*Table29128[[#This Row],[CH4 '[g/g DDM']]]</f>
        <v>#REF!</v>
      </c>
      <c r="AD48" s="18" t="e">
        <f>_xlfn.RANK.AVG(Table29128[[#This Row],[Index]],Table29128[Index])</f>
        <v>#REF!</v>
      </c>
      <c r="AE48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48" s="18" t="e">
        <f>Table29128[[#This Row],[CH4 '[ml/g']]]/Table29128[[#This Row],[APB]]</f>
        <v>#REF!</v>
      </c>
      <c r="AG48" s="18" t="e">
        <f>Table29128[[#This Row],[Propionate '[%']]]/Table29128[[#This Row],[Acetate '[%']]]</f>
        <v>#DIV/0!</v>
      </c>
      <c r="AH48" s="51"/>
      <c r="AI48" s="18"/>
      <c r="AJ48" s="18"/>
      <c r="AK48" s="135" t="e">
        <f t="shared" si="4"/>
        <v>#REF!</v>
      </c>
      <c r="AL48" s="18"/>
      <c r="AM48" s="135" t="e">
        <f t="shared" si="5"/>
        <v>#REF!</v>
      </c>
      <c r="AN48" s="18" t="e">
        <f>(Table29128[[#This Row],[CH4 '[g/g DDM']]]-AN$15)/AN$15%</f>
        <v>#REF!</v>
      </c>
      <c r="AO48" s="18"/>
      <c r="AP48" s="18"/>
      <c r="AR48" t="e">
        <f>_xlfn.NORM.DIST(Table29128[[#This Row],[GP '[ml/g']]],O$6,O$2,FALSE)</f>
        <v>#DIV/0!</v>
      </c>
      <c r="AS48" t="e">
        <f>_xlfn.NORM.DIST(Table29128[[#This Row],[SCFA '[mmol/g']]],P$6,P$2,FALSE)</f>
        <v>#DIV/0!</v>
      </c>
      <c r="AT48" t="e">
        <f>_xlfn.NORM.DIST(Table29128[[#This Row],[Acetate '[%']]],Q$6,Q$2,FALSE)</f>
        <v>#DIV/0!</v>
      </c>
      <c r="AU48" t="e">
        <f>_xlfn.NORM.DIST(Table29128[[#This Row],[Propionate '[%']]],R$6,R$2,FALSE)</f>
        <v>#DIV/0!</v>
      </c>
      <c r="AV48" t="e">
        <f>_xlfn.NORM.DIST(Table29128[[#This Row],[Butyrate '[%']]],S$6,S$2,FALSE)</f>
        <v>#DIV/0!</v>
      </c>
      <c r="AW48" t="e">
        <f>_xlfn.NORM.DIST(Table29128[[#This Row],[Valerate '[%']]],T$6,T$2,FALSE)</f>
        <v>#DIV/0!</v>
      </c>
      <c r="AX48" t="e">
        <f>_xlfn.NORM.DIST(Table29128[[#This Row],[Caproate '[%']]],U$6,U$2,FALSE)</f>
        <v>#DIV/0!</v>
      </c>
      <c r="AY48" t="e">
        <f>_xlfn.NORM.DIST(Table29128[[#This Row],[Isobutyrate '[%']]],V$6,V$2,FALSE)</f>
        <v>#DIV/0!</v>
      </c>
      <c r="AZ48" t="e">
        <f>_xlfn.NORM.DIST(Table29128[[#This Row],[Isovalerate '[%']]],W$6,W$2,FALSE)</f>
        <v>#DIV/0!</v>
      </c>
      <c r="BA48" t="e">
        <f>_xlfn.NORM.DIST(Table29128[[#This Row],[CH4 '[g/mmol SCFA']]],X$6,X$2,FALSE)</f>
        <v>#DIV/0!</v>
      </c>
      <c r="BB48" t="e">
        <f>_xlfn.NORM.DIST(Table29128[[#This Row],[DMD '[mg/g']]],Y$6,Y$2,FALSE)</f>
        <v>#REF!</v>
      </c>
      <c r="BC48" t="e">
        <f>_xlfn.NORM.DIST(Table29128[[#This Row],[CH4 '[ml/g']]],Z$6,Z$2,FALSE)</f>
        <v>#REF!</v>
      </c>
      <c r="BD48" t="e">
        <f>_xlfn.NORM.DIST(Table29128[[#This Row],[CH4 '[% GP']]],AA$6,AA$2,FALSE)</f>
        <v>#REF!</v>
      </c>
      <c r="BE48" t="e">
        <f>_xlfn.NORM.DIST(Table29128[[#This Row],[CH4 '[g/g DDM']]],AB$6,AB$2,FALSE)</f>
        <v>#REF!</v>
      </c>
      <c r="BG48">
        <f>IF(Table29128[[#This Row],[GP '[ml/g']]]&lt;O$10,_xlfn.NORM.DIST(Table29128[[#This Row],[GP '[ml/g']]],O$6,O$2,FALSE),-100)</f>
        <v>-100</v>
      </c>
      <c r="BH48">
        <f>IF(Table29128[[#This Row],[SCFA '[mmol/g']]]&lt;P$10,_xlfn.NORM.DIST(Table29128[[#This Row],[SCFA '[mmol/g']]],P$6,P$2,FALSE),-100)</f>
        <v>-100</v>
      </c>
      <c r="BI48">
        <f>IF(Table29128[[#This Row],[Acetate '[%']]]&lt;Q$10,_xlfn.NORM.DIST(Table29128[[#This Row],[Acetate '[%']]],Q$6,Q$2,FALSE),-100)</f>
        <v>-100</v>
      </c>
      <c r="BJ48">
        <f>IF(Table29128[[#This Row],[Propionate '[%']]]&lt;R$10,_xlfn.NORM.DIST(Table29128[[#This Row],[Propionate '[%']]],R$6,R$2,FALSE),-100)</f>
        <v>-100</v>
      </c>
      <c r="BK48">
        <f>IF(Table29128[[#This Row],[Butyrate '[%']]]&lt;S$10,_xlfn.NORM.DIST(Table29128[[#This Row],[Butyrate '[%']]],S$6,S$2,FALSE),-100)</f>
        <v>-100</v>
      </c>
      <c r="BL48">
        <f>IF(Table29128[[#This Row],[Valerate '[%']]]&lt;T$10,_xlfn.NORM.DIST(Table29128[[#This Row],[Valerate '[%']]],T$6,T$2,FALSE),-100)</f>
        <v>-100</v>
      </c>
      <c r="BM48">
        <f>IF(Table29128[[#This Row],[Caproate '[%']]]&lt;U$10,_xlfn.NORM.DIST(Table29128[[#This Row],[Caproate '[%']]],U$6,U$2,FALSE),-100)</f>
        <v>-100</v>
      </c>
      <c r="BN48">
        <f>IF(Table29128[[#This Row],[Isobutyrate '[%']]]&lt;V$10,_xlfn.NORM.DIST(Table29128[[#This Row],[Isobutyrate '[%']]],V$6,V$2,FALSE),-100)</f>
        <v>-100</v>
      </c>
      <c r="BO48">
        <f>IF(Table29128[[#This Row],[Isovalerate '[%']]]&lt;W$10,_xlfn.NORM.DIST(Table29128[[#This Row],[Isovalerate '[%']]],W$6,W$2,FALSE),-100)</f>
        <v>-100</v>
      </c>
      <c r="BP48">
        <f>IF(Table29128[[#This Row],[CH4 '[g/mmol SCFA']]]&lt;X$10,_xlfn.NORM.DIST(Table29128[[#This Row],[CH4 '[g/mmol SCFA']]],X$6,X$2,FALSE),-100)</f>
        <v>-100</v>
      </c>
      <c r="BQ48" t="e">
        <f>IF(Table29128[[#This Row],[DMD '[mg/g']]]&gt;Y$10,_xlfn.NORM.DIST(Table29128[[#This Row],[DMD '[mg/g']]],Y$6,Y$2,FALSE),-100)</f>
        <v>#REF!</v>
      </c>
      <c r="BR48" t="e">
        <f>IF(Table29128[[#This Row],[CH4 '[ml/g']]]&lt;Z$10,_xlfn.NORM.DIST(Table29128[[#This Row],[CH4 '[ml/g']]],Z$6,Z$2,FALSE),-100)</f>
        <v>#REF!</v>
      </c>
      <c r="BS48" t="e">
        <f>IF(Table29128[[#This Row],[CH4 '[% GP']]]&lt;AA$10,_xlfn.NORM.DIST(Table29128[[#This Row],[CH4 '[% GP']]],AA$6,AA$2,FALSE),-100)</f>
        <v>#REF!</v>
      </c>
      <c r="BT48" t="e">
        <f>IF(Table29128[[#This Row],[CH4 '[g/g DDM']]]&lt;AB$10,_xlfn.NORM.DIST(Table29128[[#This Row],[CH4 '[g/g DDM']]],AB$6,AB$2,FALSE),-100)</f>
        <v>#REF!</v>
      </c>
    </row>
    <row r="49" spans="1:72" x14ac:dyDescent="0.25">
      <c r="A49" s="12" t="s">
        <v>200</v>
      </c>
      <c r="B49" s="13">
        <v>1198</v>
      </c>
      <c r="C49" s="119" t="s">
        <v>569</v>
      </c>
      <c r="D49" s="119" t="s">
        <v>570</v>
      </c>
      <c r="E49" s="119" t="s">
        <v>571</v>
      </c>
      <c r="F49" s="119" t="s">
        <v>572</v>
      </c>
      <c r="G49" s="15" t="s">
        <v>457</v>
      </c>
      <c r="H49" s="15" t="s">
        <v>458</v>
      </c>
      <c r="I49" s="53" t="s">
        <v>48</v>
      </c>
      <c r="J49" s="100">
        <v>1</v>
      </c>
      <c r="K49" s="100"/>
      <c r="L49" s="100"/>
      <c r="M49" t="s">
        <v>573</v>
      </c>
      <c r="N49" t="s">
        <v>363</v>
      </c>
      <c r="O49" s="18"/>
      <c r="P49" s="18"/>
      <c r="Q49" s="97"/>
      <c r="R49" s="97"/>
      <c r="S49" s="97"/>
      <c r="T49" s="97"/>
      <c r="U49" s="97"/>
      <c r="V49" s="97"/>
      <c r="W49" s="97"/>
      <c r="X49" s="51"/>
      <c r="Y49" s="18" t="e">
        <f>AVERAGEIFS([1]!Table2912[DMD '[mg/g']],[1]!Table2912[Substrate ID],Table29128[[#This Row],[Substrate ID]])</f>
        <v>#REF!</v>
      </c>
      <c r="Z49" s="18" t="e">
        <f>AVERAGEIFS([1]!Table2912[CH4 '[ml/g']],[1]!Table2912[Substrate ID],Table29128[[#This Row],[Substrate ID]])</f>
        <v>#REF!</v>
      </c>
      <c r="AA49" s="18" t="e">
        <f>AVERAGEIFS([1]!Table2912[CH4 '[% GP']],[1]!Table2912[Substrate ID],Table29128[[#This Row],[Substrate ID]])</f>
        <v>#REF!</v>
      </c>
      <c r="AB49" s="18" t="e">
        <f>AVERAGEIFS([1]!Table2912[CH4 '[g/g DDM']],[1]!Table2912[Substrate ID],Table29128[[#This Row],[Substrate ID]])</f>
        <v>#REF!</v>
      </c>
      <c r="AC49" s="18" t="e">
        <f>$CP$17*Table29128[[#This Row],[DMD '[mg/g']]]+$CQ$17*Table29128[[#This Row],[CH4 '[g/g DDM']]]</f>
        <v>#REF!</v>
      </c>
      <c r="AD49" s="18" t="e">
        <f>_xlfn.RANK.AVG(Table29128[[#This Row],[Index]],Table29128[Index])</f>
        <v>#REF!</v>
      </c>
      <c r="AE49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49" s="18" t="e">
        <f>Table29128[[#This Row],[CH4 '[ml/g']]]/Table29128[[#This Row],[APB]]</f>
        <v>#REF!</v>
      </c>
      <c r="AG49" s="18" t="e">
        <f>Table29128[[#This Row],[Propionate '[%']]]/Table29128[[#This Row],[Acetate '[%']]]</f>
        <v>#DIV/0!</v>
      </c>
      <c r="AH49" s="51"/>
      <c r="AI49" s="18"/>
      <c r="AJ49" s="18"/>
      <c r="AK49" s="135" t="e">
        <f t="shared" si="4"/>
        <v>#REF!</v>
      </c>
      <c r="AL49" s="18"/>
      <c r="AM49" s="135" t="e">
        <f t="shared" si="5"/>
        <v>#REF!</v>
      </c>
      <c r="AN49" s="18" t="e">
        <f>(Table29128[[#This Row],[CH4 '[g/g DDM']]]-AN$15)/AN$15%</f>
        <v>#REF!</v>
      </c>
      <c r="AO49" s="18"/>
      <c r="AP49" s="18"/>
      <c r="AR49" t="e">
        <f>_xlfn.NORM.DIST(Table29128[[#This Row],[GP '[ml/g']]],O$6,O$2,FALSE)</f>
        <v>#DIV/0!</v>
      </c>
      <c r="AS49" t="e">
        <f>_xlfn.NORM.DIST(Table29128[[#This Row],[SCFA '[mmol/g']]],P$6,P$2,FALSE)</f>
        <v>#DIV/0!</v>
      </c>
      <c r="AT49" t="e">
        <f>_xlfn.NORM.DIST(Table29128[[#This Row],[Acetate '[%']]],Q$6,Q$2,FALSE)</f>
        <v>#DIV/0!</v>
      </c>
      <c r="AU49" t="e">
        <f>_xlfn.NORM.DIST(Table29128[[#This Row],[Propionate '[%']]],R$6,R$2,FALSE)</f>
        <v>#DIV/0!</v>
      </c>
      <c r="AV49" t="e">
        <f>_xlfn.NORM.DIST(Table29128[[#This Row],[Butyrate '[%']]],S$6,S$2,FALSE)</f>
        <v>#DIV/0!</v>
      </c>
      <c r="AW49" t="e">
        <f>_xlfn.NORM.DIST(Table29128[[#This Row],[Valerate '[%']]],T$6,T$2,FALSE)</f>
        <v>#DIV/0!</v>
      </c>
      <c r="AX49" t="e">
        <f>_xlfn.NORM.DIST(Table29128[[#This Row],[Caproate '[%']]],U$6,U$2,FALSE)</f>
        <v>#DIV/0!</v>
      </c>
      <c r="AY49" t="e">
        <f>_xlfn.NORM.DIST(Table29128[[#This Row],[Isobutyrate '[%']]],V$6,V$2,FALSE)</f>
        <v>#DIV/0!</v>
      </c>
      <c r="AZ49" t="e">
        <f>_xlfn.NORM.DIST(Table29128[[#This Row],[Isovalerate '[%']]],W$6,W$2,FALSE)</f>
        <v>#DIV/0!</v>
      </c>
      <c r="BA49" t="e">
        <f>_xlfn.NORM.DIST(Table29128[[#This Row],[CH4 '[g/mmol SCFA']]],X$6,X$2,FALSE)</f>
        <v>#DIV/0!</v>
      </c>
      <c r="BB49" t="e">
        <f>_xlfn.NORM.DIST(Table29128[[#This Row],[DMD '[mg/g']]],Y$6,Y$2,FALSE)</f>
        <v>#REF!</v>
      </c>
      <c r="BC49" t="e">
        <f>_xlfn.NORM.DIST(Table29128[[#This Row],[CH4 '[ml/g']]],Z$6,Z$2,FALSE)</f>
        <v>#REF!</v>
      </c>
      <c r="BD49" t="e">
        <f>_xlfn.NORM.DIST(Table29128[[#This Row],[CH4 '[% GP']]],AA$6,AA$2,FALSE)</f>
        <v>#REF!</v>
      </c>
      <c r="BE49" t="e">
        <f>_xlfn.NORM.DIST(Table29128[[#This Row],[CH4 '[g/g DDM']]],AB$6,AB$2,FALSE)</f>
        <v>#REF!</v>
      </c>
      <c r="BG49">
        <f>IF(Table29128[[#This Row],[GP '[ml/g']]]&lt;O$10,_xlfn.NORM.DIST(Table29128[[#This Row],[GP '[ml/g']]],O$6,O$2,FALSE),-100)</f>
        <v>-100</v>
      </c>
      <c r="BH49">
        <f>IF(Table29128[[#This Row],[SCFA '[mmol/g']]]&lt;P$10,_xlfn.NORM.DIST(Table29128[[#This Row],[SCFA '[mmol/g']]],P$6,P$2,FALSE),-100)</f>
        <v>-100</v>
      </c>
      <c r="BI49">
        <f>IF(Table29128[[#This Row],[Acetate '[%']]]&lt;Q$10,_xlfn.NORM.DIST(Table29128[[#This Row],[Acetate '[%']]],Q$6,Q$2,FALSE),-100)</f>
        <v>-100</v>
      </c>
      <c r="BJ49">
        <f>IF(Table29128[[#This Row],[Propionate '[%']]]&lt;R$10,_xlfn.NORM.DIST(Table29128[[#This Row],[Propionate '[%']]],R$6,R$2,FALSE),-100)</f>
        <v>-100</v>
      </c>
      <c r="BK49">
        <f>IF(Table29128[[#This Row],[Butyrate '[%']]]&lt;S$10,_xlfn.NORM.DIST(Table29128[[#This Row],[Butyrate '[%']]],S$6,S$2,FALSE),-100)</f>
        <v>-100</v>
      </c>
      <c r="BL49">
        <f>IF(Table29128[[#This Row],[Valerate '[%']]]&lt;T$10,_xlfn.NORM.DIST(Table29128[[#This Row],[Valerate '[%']]],T$6,T$2,FALSE),-100)</f>
        <v>-100</v>
      </c>
      <c r="BM49">
        <f>IF(Table29128[[#This Row],[Caproate '[%']]]&lt;U$10,_xlfn.NORM.DIST(Table29128[[#This Row],[Caproate '[%']]],U$6,U$2,FALSE),-100)</f>
        <v>-100</v>
      </c>
      <c r="BN49">
        <f>IF(Table29128[[#This Row],[Isobutyrate '[%']]]&lt;V$10,_xlfn.NORM.DIST(Table29128[[#This Row],[Isobutyrate '[%']]],V$6,V$2,FALSE),-100)</f>
        <v>-100</v>
      </c>
      <c r="BO49">
        <f>IF(Table29128[[#This Row],[Isovalerate '[%']]]&lt;W$10,_xlfn.NORM.DIST(Table29128[[#This Row],[Isovalerate '[%']]],W$6,W$2,FALSE),-100)</f>
        <v>-100</v>
      </c>
      <c r="BP49">
        <f>IF(Table29128[[#This Row],[CH4 '[g/mmol SCFA']]]&lt;X$10,_xlfn.NORM.DIST(Table29128[[#This Row],[CH4 '[g/mmol SCFA']]],X$6,X$2,FALSE),-100)</f>
        <v>-100</v>
      </c>
      <c r="BQ49" t="e">
        <f>IF(Table29128[[#This Row],[DMD '[mg/g']]]&gt;Y$10,_xlfn.NORM.DIST(Table29128[[#This Row],[DMD '[mg/g']]],Y$6,Y$2,FALSE),-100)</f>
        <v>#REF!</v>
      </c>
      <c r="BR49" t="e">
        <f>IF(Table29128[[#This Row],[CH4 '[ml/g']]]&lt;Z$10,_xlfn.NORM.DIST(Table29128[[#This Row],[CH4 '[ml/g']]],Z$6,Z$2,FALSE),-100)</f>
        <v>#REF!</v>
      </c>
      <c r="BS49" t="e">
        <f>IF(Table29128[[#This Row],[CH4 '[% GP']]]&lt;AA$10,_xlfn.NORM.DIST(Table29128[[#This Row],[CH4 '[% GP']]],AA$6,AA$2,FALSE),-100)</f>
        <v>#REF!</v>
      </c>
      <c r="BT49" t="e">
        <f>IF(Table29128[[#This Row],[CH4 '[g/g DDM']]]&lt;AB$10,_xlfn.NORM.DIST(Table29128[[#This Row],[CH4 '[g/g DDM']]],AB$6,AB$2,FALSE),-100)</f>
        <v>#REF!</v>
      </c>
    </row>
    <row r="50" spans="1:72" ht="15" customHeight="1" x14ac:dyDescent="0.25">
      <c r="A50" s="12" t="s">
        <v>70</v>
      </c>
      <c r="B50" s="13">
        <v>1023</v>
      </c>
      <c r="C50" s="96" t="s">
        <v>181</v>
      </c>
      <c r="D50" s="96"/>
      <c r="E50" s="96"/>
      <c r="F50" s="96" t="s">
        <v>182</v>
      </c>
      <c r="G50" s="15" t="s">
        <v>73</v>
      </c>
      <c r="H50" s="15" t="s">
        <v>74</v>
      </c>
      <c r="I50" t="s">
        <v>75</v>
      </c>
      <c r="J50" s="100">
        <v>1</v>
      </c>
      <c r="K50" s="100"/>
      <c r="L50" s="100"/>
      <c r="M50" t="s">
        <v>182</v>
      </c>
      <c r="N50" t="s">
        <v>80</v>
      </c>
      <c r="O50" s="18"/>
      <c r="P50" s="18"/>
      <c r="Q50" s="97"/>
      <c r="R50" s="97"/>
      <c r="S50" s="97"/>
      <c r="T50" s="97"/>
      <c r="U50" s="97"/>
      <c r="V50" s="97"/>
      <c r="W50" s="97"/>
      <c r="X50" s="51"/>
      <c r="Y50" s="18" t="e">
        <f>AVERAGEIFS([1]!Table2912[DMD '[mg/g']],[1]!Table2912[Substrate ID],Table29128[[#This Row],[Substrate ID]])</f>
        <v>#REF!</v>
      </c>
      <c r="Z50" s="18" t="e">
        <f>AVERAGEIFS([1]!Table2912[CH4 '[ml/g']],[1]!Table2912[Substrate ID],Table29128[[#This Row],[Substrate ID]])</f>
        <v>#REF!</v>
      </c>
      <c r="AA50" s="18" t="e">
        <f>AVERAGEIFS([1]!Table2912[CH4 '[% GP']],[1]!Table2912[Substrate ID],Table29128[[#This Row],[Substrate ID]])</f>
        <v>#REF!</v>
      </c>
      <c r="AB50" s="18" t="e">
        <f>AVERAGEIFS([1]!Table2912[CH4 '[g/g DDM']],[1]!Table2912[Substrate ID],Table29128[[#This Row],[Substrate ID]])</f>
        <v>#REF!</v>
      </c>
      <c r="AC50" s="18" t="e">
        <f>$CP$17*Table29128[[#This Row],[DMD '[mg/g']]]+$CQ$17*Table29128[[#This Row],[CH4 '[g/g DDM']]]</f>
        <v>#REF!</v>
      </c>
      <c r="AD50" s="18" t="e">
        <f>_xlfn.RANK.AVG(Table29128[[#This Row],[Index]],Table29128[Index])</f>
        <v>#REF!</v>
      </c>
      <c r="AE50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50" s="18" t="e">
        <f>Table29128[[#This Row],[CH4 '[ml/g']]]/Table29128[[#This Row],[APB]]</f>
        <v>#REF!</v>
      </c>
      <c r="AG50" s="18" t="e">
        <f>Table29128[[#This Row],[Propionate '[%']]]/Table29128[[#This Row],[Acetate '[%']]]</f>
        <v>#DIV/0!</v>
      </c>
      <c r="AH50" s="51"/>
      <c r="AI50" s="18"/>
      <c r="AJ50" s="18"/>
      <c r="AK50" s="135" t="e">
        <f t="shared" si="4"/>
        <v>#REF!</v>
      </c>
      <c r="AL50" s="18"/>
      <c r="AM50" s="135" t="e">
        <f t="shared" si="5"/>
        <v>#REF!</v>
      </c>
      <c r="AN50" s="18" t="e">
        <f>(Table29128[[#This Row],[CH4 '[g/g DDM']]]-AN$15)/AN$15%</f>
        <v>#REF!</v>
      </c>
      <c r="AO50" s="18"/>
      <c r="AP50" s="18"/>
      <c r="AR50" t="e">
        <f>_xlfn.NORM.DIST(Table29128[[#This Row],[GP '[ml/g']]],O$6,O$2,FALSE)</f>
        <v>#DIV/0!</v>
      </c>
      <c r="AS50" t="e">
        <f>_xlfn.NORM.DIST(Table29128[[#This Row],[SCFA '[mmol/g']]],P$6,P$2,FALSE)</f>
        <v>#DIV/0!</v>
      </c>
      <c r="AT50" t="e">
        <f>_xlfn.NORM.DIST(Table29128[[#This Row],[Acetate '[%']]],Q$6,Q$2,FALSE)</f>
        <v>#DIV/0!</v>
      </c>
      <c r="AU50" t="e">
        <f>_xlfn.NORM.DIST(Table29128[[#This Row],[Propionate '[%']]],R$6,R$2,FALSE)</f>
        <v>#DIV/0!</v>
      </c>
      <c r="AV50" t="e">
        <f>_xlfn.NORM.DIST(Table29128[[#This Row],[Butyrate '[%']]],S$6,S$2,FALSE)</f>
        <v>#DIV/0!</v>
      </c>
      <c r="AW50" t="e">
        <f>_xlfn.NORM.DIST(Table29128[[#This Row],[Valerate '[%']]],T$6,T$2,FALSE)</f>
        <v>#DIV/0!</v>
      </c>
      <c r="AX50" t="e">
        <f>_xlfn.NORM.DIST(Table29128[[#This Row],[Caproate '[%']]],U$6,U$2,FALSE)</f>
        <v>#DIV/0!</v>
      </c>
      <c r="AY50" t="e">
        <f>_xlfn.NORM.DIST(Table29128[[#This Row],[Isobutyrate '[%']]],V$6,V$2,FALSE)</f>
        <v>#DIV/0!</v>
      </c>
      <c r="AZ50" t="e">
        <f>_xlfn.NORM.DIST(Table29128[[#This Row],[Isovalerate '[%']]],W$6,W$2,FALSE)</f>
        <v>#DIV/0!</v>
      </c>
      <c r="BA50" t="e">
        <f>_xlfn.NORM.DIST(Table29128[[#This Row],[CH4 '[g/mmol SCFA']]],X$6,X$2,FALSE)</f>
        <v>#DIV/0!</v>
      </c>
      <c r="BB50" t="e">
        <f>_xlfn.NORM.DIST(Table29128[[#This Row],[DMD '[mg/g']]],Y$6,Y$2,FALSE)</f>
        <v>#REF!</v>
      </c>
      <c r="BC50" t="e">
        <f>_xlfn.NORM.DIST(Table29128[[#This Row],[CH4 '[ml/g']]],Z$6,Z$2,FALSE)</f>
        <v>#REF!</v>
      </c>
      <c r="BD50" t="e">
        <f>_xlfn.NORM.DIST(Table29128[[#This Row],[CH4 '[% GP']]],AA$6,AA$2,FALSE)</f>
        <v>#REF!</v>
      </c>
      <c r="BE50" t="e">
        <f>_xlfn.NORM.DIST(Table29128[[#This Row],[CH4 '[g/g DDM']]],AB$6,AB$2,FALSE)</f>
        <v>#REF!</v>
      </c>
      <c r="BG50">
        <f>IF(Table29128[[#This Row],[GP '[ml/g']]]&lt;O$10,_xlfn.NORM.DIST(Table29128[[#This Row],[GP '[ml/g']]],O$6,O$2,FALSE),-100)</f>
        <v>-100</v>
      </c>
      <c r="BH50">
        <f>IF(Table29128[[#This Row],[SCFA '[mmol/g']]]&lt;P$10,_xlfn.NORM.DIST(Table29128[[#This Row],[SCFA '[mmol/g']]],P$6,P$2,FALSE),-100)</f>
        <v>-100</v>
      </c>
      <c r="BI50">
        <f>IF(Table29128[[#This Row],[Acetate '[%']]]&lt;Q$10,_xlfn.NORM.DIST(Table29128[[#This Row],[Acetate '[%']]],Q$6,Q$2,FALSE),-100)</f>
        <v>-100</v>
      </c>
      <c r="BJ50">
        <f>IF(Table29128[[#This Row],[Propionate '[%']]]&lt;R$10,_xlfn.NORM.DIST(Table29128[[#This Row],[Propionate '[%']]],R$6,R$2,FALSE),-100)</f>
        <v>-100</v>
      </c>
      <c r="BK50">
        <f>IF(Table29128[[#This Row],[Butyrate '[%']]]&lt;S$10,_xlfn.NORM.DIST(Table29128[[#This Row],[Butyrate '[%']]],S$6,S$2,FALSE),-100)</f>
        <v>-100</v>
      </c>
      <c r="BL50">
        <f>IF(Table29128[[#This Row],[Valerate '[%']]]&lt;T$10,_xlfn.NORM.DIST(Table29128[[#This Row],[Valerate '[%']]],T$6,T$2,FALSE),-100)</f>
        <v>-100</v>
      </c>
      <c r="BM50">
        <f>IF(Table29128[[#This Row],[Caproate '[%']]]&lt;U$10,_xlfn.NORM.DIST(Table29128[[#This Row],[Caproate '[%']]],U$6,U$2,FALSE),-100)</f>
        <v>-100</v>
      </c>
      <c r="BN50">
        <f>IF(Table29128[[#This Row],[Isobutyrate '[%']]]&lt;V$10,_xlfn.NORM.DIST(Table29128[[#This Row],[Isobutyrate '[%']]],V$6,V$2,FALSE),-100)</f>
        <v>-100</v>
      </c>
      <c r="BO50">
        <f>IF(Table29128[[#This Row],[Isovalerate '[%']]]&lt;W$10,_xlfn.NORM.DIST(Table29128[[#This Row],[Isovalerate '[%']]],W$6,W$2,FALSE),-100)</f>
        <v>-100</v>
      </c>
      <c r="BP50">
        <f>IF(Table29128[[#This Row],[CH4 '[g/mmol SCFA']]]&lt;X$10,_xlfn.NORM.DIST(Table29128[[#This Row],[CH4 '[g/mmol SCFA']]],X$6,X$2,FALSE),-100)</f>
        <v>-100</v>
      </c>
      <c r="BQ50" t="e">
        <f>IF(Table29128[[#This Row],[DMD '[mg/g']]]&gt;Y$10,_xlfn.NORM.DIST(Table29128[[#This Row],[DMD '[mg/g']]],Y$6,Y$2,FALSE),-100)</f>
        <v>#REF!</v>
      </c>
      <c r="BR50" t="e">
        <f>IF(Table29128[[#This Row],[CH4 '[ml/g']]]&lt;Z$10,_xlfn.NORM.DIST(Table29128[[#This Row],[CH4 '[ml/g']]],Z$6,Z$2,FALSE),-100)</f>
        <v>#REF!</v>
      </c>
      <c r="BS50" t="e">
        <f>IF(Table29128[[#This Row],[CH4 '[% GP']]]&lt;AA$10,_xlfn.NORM.DIST(Table29128[[#This Row],[CH4 '[% GP']]],AA$6,AA$2,FALSE),-100)</f>
        <v>#REF!</v>
      </c>
      <c r="BT50" t="e">
        <f>IF(Table29128[[#This Row],[CH4 '[g/g DDM']]]&lt;AB$10,_xlfn.NORM.DIST(Table29128[[#This Row],[CH4 '[g/g DDM']]],AB$6,AB$2,FALSE),-100)</f>
        <v>#REF!</v>
      </c>
    </row>
    <row r="51" spans="1:72" x14ac:dyDescent="0.25">
      <c r="A51" s="12" t="s">
        <v>70</v>
      </c>
      <c r="B51" s="13">
        <v>1022</v>
      </c>
      <c r="C51" s="96" t="s">
        <v>174</v>
      </c>
      <c r="D51" s="96"/>
      <c r="E51" s="96"/>
      <c r="F51" s="96" t="s">
        <v>175</v>
      </c>
      <c r="G51" t="s">
        <v>73</v>
      </c>
      <c r="H51" t="s">
        <v>74</v>
      </c>
      <c r="I51" t="s">
        <v>75</v>
      </c>
      <c r="J51" s="100">
        <v>1</v>
      </c>
      <c r="K51" s="100"/>
      <c r="L51" s="100"/>
      <c r="M51" t="s">
        <v>175</v>
      </c>
      <c r="N51" t="s">
        <v>80</v>
      </c>
      <c r="O51" s="18"/>
      <c r="P51" s="18"/>
      <c r="Q51" s="97"/>
      <c r="R51" s="97"/>
      <c r="S51" s="97"/>
      <c r="T51" s="97"/>
      <c r="U51" s="97"/>
      <c r="V51" s="97"/>
      <c r="W51" s="97"/>
      <c r="X51" s="51"/>
      <c r="Y51" s="18" t="e">
        <f>AVERAGEIFS([1]!Table2912[DMD '[mg/g']],[1]!Table2912[Substrate ID],Table29128[[#This Row],[Substrate ID]])</f>
        <v>#REF!</v>
      </c>
      <c r="Z51" s="18" t="e">
        <f>AVERAGEIFS([1]!Table2912[CH4 '[ml/g']],[1]!Table2912[Substrate ID],Table29128[[#This Row],[Substrate ID]])</f>
        <v>#REF!</v>
      </c>
      <c r="AA51" s="18" t="e">
        <f>AVERAGEIFS([1]!Table2912[CH4 '[% GP']],[1]!Table2912[Substrate ID],Table29128[[#This Row],[Substrate ID]])</f>
        <v>#REF!</v>
      </c>
      <c r="AB51" s="18" t="e">
        <f>AVERAGEIFS([1]!Table2912[CH4 '[g/g DDM']],[1]!Table2912[Substrate ID],Table29128[[#This Row],[Substrate ID]])</f>
        <v>#REF!</v>
      </c>
      <c r="AC51" s="18" t="e">
        <f>$CP$17*Table29128[[#This Row],[DMD '[mg/g']]]+$CQ$17*Table29128[[#This Row],[CH4 '[g/g DDM']]]</f>
        <v>#REF!</v>
      </c>
      <c r="AD51" s="18" t="e">
        <f>_xlfn.RANK.AVG(Table29128[[#This Row],[Index]],Table29128[Index])</f>
        <v>#REF!</v>
      </c>
      <c r="AE51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51" s="18" t="e">
        <f>Table29128[[#This Row],[CH4 '[ml/g']]]/Table29128[[#This Row],[APB]]</f>
        <v>#REF!</v>
      </c>
      <c r="AG51" s="18" t="e">
        <f>Table29128[[#This Row],[Propionate '[%']]]/Table29128[[#This Row],[Acetate '[%']]]</f>
        <v>#DIV/0!</v>
      </c>
      <c r="AH51" s="51"/>
      <c r="AI51" s="18"/>
      <c r="AJ51" s="18"/>
      <c r="AK51" s="135" t="e">
        <f t="shared" si="4"/>
        <v>#REF!</v>
      </c>
      <c r="AL51" s="18"/>
      <c r="AM51" s="135" t="e">
        <f t="shared" si="5"/>
        <v>#REF!</v>
      </c>
      <c r="AN51" s="18" t="e">
        <f>(Table29128[[#This Row],[CH4 '[g/g DDM']]]-AN$15)/AN$15%</f>
        <v>#REF!</v>
      </c>
      <c r="AO51" s="18"/>
      <c r="AP51" s="18"/>
      <c r="AR51" t="e">
        <f>_xlfn.NORM.DIST(Table29128[[#This Row],[GP '[ml/g']]],O$6,O$2,FALSE)</f>
        <v>#DIV/0!</v>
      </c>
      <c r="AS51" t="e">
        <f>_xlfn.NORM.DIST(Table29128[[#This Row],[SCFA '[mmol/g']]],P$6,P$2,FALSE)</f>
        <v>#DIV/0!</v>
      </c>
      <c r="AT51" t="e">
        <f>_xlfn.NORM.DIST(Table29128[[#This Row],[Acetate '[%']]],Q$6,Q$2,FALSE)</f>
        <v>#DIV/0!</v>
      </c>
      <c r="AU51" t="e">
        <f>_xlfn.NORM.DIST(Table29128[[#This Row],[Propionate '[%']]],R$6,R$2,FALSE)</f>
        <v>#DIV/0!</v>
      </c>
      <c r="AV51" t="e">
        <f>_xlfn.NORM.DIST(Table29128[[#This Row],[Butyrate '[%']]],S$6,S$2,FALSE)</f>
        <v>#DIV/0!</v>
      </c>
      <c r="AW51" t="e">
        <f>_xlfn.NORM.DIST(Table29128[[#This Row],[Valerate '[%']]],T$6,T$2,FALSE)</f>
        <v>#DIV/0!</v>
      </c>
      <c r="AX51" t="e">
        <f>_xlfn.NORM.DIST(Table29128[[#This Row],[Caproate '[%']]],U$6,U$2,FALSE)</f>
        <v>#DIV/0!</v>
      </c>
      <c r="AY51" t="e">
        <f>_xlfn.NORM.DIST(Table29128[[#This Row],[Isobutyrate '[%']]],V$6,V$2,FALSE)</f>
        <v>#DIV/0!</v>
      </c>
      <c r="AZ51" t="e">
        <f>_xlfn.NORM.DIST(Table29128[[#This Row],[Isovalerate '[%']]],W$6,W$2,FALSE)</f>
        <v>#DIV/0!</v>
      </c>
      <c r="BA51" t="e">
        <f>_xlfn.NORM.DIST(Table29128[[#This Row],[CH4 '[g/mmol SCFA']]],X$6,X$2,FALSE)</f>
        <v>#DIV/0!</v>
      </c>
      <c r="BB51" t="e">
        <f>_xlfn.NORM.DIST(Table29128[[#This Row],[DMD '[mg/g']]],Y$6,Y$2,FALSE)</f>
        <v>#REF!</v>
      </c>
      <c r="BC51" t="e">
        <f>_xlfn.NORM.DIST(Table29128[[#This Row],[CH4 '[ml/g']]],Z$6,Z$2,FALSE)</f>
        <v>#REF!</v>
      </c>
      <c r="BD51" t="e">
        <f>_xlfn.NORM.DIST(Table29128[[#This Row],[CH4 '[% GP']]],AA$6,AA$2,FALSE)</f>
        <v>#REF!</v>
      </c>
      <c r="BE51" t="e">
        <f>_xlfn.NORM.DIST(Table29128[[#This Row],[CH4 '[g/g DDM']]],AB$6,AB$2,FALSE)</f>
        <v>#REF!</v>
      </c>
      <c r="BG51">
        <f>IF(Table29128[[#This Row],[GP '[ml/g']]]&lt;O$10,_xlfn.NORM.DIST(Table29128[[#This Row],[GP '[ml/g']]],O$6,O$2,FALSE),-100)</f>
        <v>-100</v>
      </c>
      <c r="BH51">
        <f>IF(Table29128[[#This Row],[SCFA '[mmol/g']]]&lt;P$10,_xlfn.NORM.DIST(Table29128[[#This Row],[SCFA '[mmol/g']]],P$6,P$2,FALSE),-100)</f>
        <v>-100</v>
      </c>
      <c r="BI51">
        <f>IF(Table29128[[#This Row],[Acetate '[%']]]&lt;Q$10,_xlfn.NORM.DIST(Table29128[[#This Row],[Acetate '[%']]],Q$6,Q$2,FALSE),-100)</f>
        <v>-100</v>
      </c>
      <c r="BJ51">
        <f>IF(Table29128[[#This Row],[Propionate '[%']]]&lt;R$10,_xlfn.NORM.DIST(Table29128[[#This Row],[Propionate '[%']]],R$6,R$2,FALSE),-100)</f>
        <v>-100</v>
      </c>
      <c r="BK51">
        <f>IF(Table29128[[#This Row],[Butyrate '[%']]]&lt;S$10,_xlfn.NORM.DIST(Table29128[[#This Row],[Butyrate '[%']]],S$6,S$2,FALSE),-100)</f>
        <v>-100</v>
      </c>
      <c r="BL51">
        <f>IF(Table29128[[#This Row],[Valerate '[%']]]&lt;T$10,_xlfn.NORM.DIST(Table29128[[#This Row],[Valerate '[%']]],T$6,T$2,FALSE),-100)</f>
        <v>-100</v>
      </c>
      <c r="BM51">
        <f>IF(Table29128[[#This Row],[Caproate '[%']]]&lt;U$10,_xlfn.NORM.DIST(Table29128[[#This Row],[Caproate '[%']]],U$6,U$2,FALSE),-100)</f>
        <v>-100</v>
      </c>
      <c r="BN51">
        <f>IF(Table29128[[#This Row],[Isobutyrate '[%']]]&lt;V$10,_xlfn.NORM.DIST(Table29128[[#This Row],[Isobutyrate '[%']]],V$6,V$2,FALSE),-100)</f>
        <v>-100</v>
      </c>
      <c r="BO51">
        <f>IF(Table29128[[#This Row],[Isovalerate '[%']]]&lt;W$10,_xlfn.NORM.DIST(Table29128[[#This Row],[Isovalerate '[%']]],W$6,W$2,FALSE),-100)</f>
        <v>-100</v>
      </c>
      <c r="BP51">
        <f>IF(Table29128[[#This Row],[CH4 '[g/mmol SCFA']]]&lt;X$10,_xlfn.NORM.DIST(Table29128[[#This Row],[CH4 '[g/mmol SCFA']]],X$6,X$2,FALSE),-100)</f>
        <v>-100</v>
      </c>
      <c r="BQ51" t="e">
        <f>IF(Table29128[[#This Row],[DMD '[mg/g']]]&gt;Y$10,_xlfn.NORM.DIST(Table29128[[#This Row],[DMD '[mg/g']]],Y$6,Y$2,FALSE),-100)</f>
        <v>#REF!</v>
      </c>
      <c r="BR51" t="e">
        <f>IF(Table29128[[#This Row],[CH4 '[ml/g']]]&lt;Z$10,_xlfn.NORM.DIST(Table29128[[#This Row],[CH4 '[ml/g']]],Z$6,Z$2,FALSE),-100)</f>
        <v>#REF!</v>
      </c>
      <c r="BS51" t="e">
        <f>IF(Table29128[[#This Row],[CH4 '[% GP']]]&lt;AA$10,_xlfn.NORM.DIST(Table29128[[#This Row],[CH4 '[% GP']]],AA$6,AA$2,FALSE),-100)</f>
        <v>#REF!</v>
      </c>
      <c r="BT51" t="e">
        <f>IF(Table29128[[#This Row],[CH4 '[g/g DDM']]]&lt;AB$10,_xlfn.NORM.DIST(Table29128[[#This Row],[CH4 '[g/g DDM']]],AB$6,AB$2,FALSE),-100)</f>
        <v>#REF!</v>
      </c>
    </row>
    <row r="52" spans="1:72" x14ac:dyDescent="0.25">
      <c r="A52" s="12" t="s">
        <v>70</v>
      </c>
      <c r="B52" s="13">
        <v>1018</v>
      </c>
      <c r="C52" s="96" t="s">
        <v>148</v>
      </c>
      <c r="D52" s="96"/>
      <c r="E52" s="96"/>
      <c r="F52" s="96" t="s">
        <v>149</v>
      </c>
      <c r="G52" s="111" t="s">
        <v>73</v>
      </c>
      <c r="H52" s="111" t="s">
        <v>74</v>
      </c>
      <c r="I52" s="110" t="s">
        <v>44</v>
      </c>
      <c r="J52" s="100">
        <v>1</v>
      </c>
      <c r="K52" s="100"/>
      <c r="L52" s="100"/>
      <c r="M52" t="s">
        <v>149</v>
      </c>
      <c r="N52" t="s">
        <v>80</v>
      </c>
      <c r="O52" s="18"/>
      <c r="P52" s="18"/>
      <c r="Q52" s="97"/>
      <c r="R52" s="97"/>
      <c r="S52" s="97"/>
      <c r="T52" s="97"/>
      <c r="U52" s="97"/>
      <c r="V52" s="97"/>
      <c r="W52" s="97"/>
      <c r="X52" s="51"/>
      <c r="Y52" s="18" t="e">
        <f>AVERAGEIFS([1]!Table2912[DMD '[mg/g']],[1]!Table2912[Substrate ID],Table29128[[#This Row],[Substrate ID]])</f>
        <v>#REF!</v>
      </c>
      <c r="Z52" s="18" t="e">
        <f>AVERAGEIFS([1]!Table2912[CH4 '[ml/g']],[1]!Table2912[Substrate ID],Table29128[[#This Row],[Substrate ID]])</f>
        <v>#REF!</v>
      </c>
      <c r="AA52" s="18" t="e">
        <f>AVERAGEIFS([1]!Table2912[CH4 '[% GP']],[1]!Table2912[Substrate ID],Table29128[[#This Row],[Substrate ID]])</f>
        <v>#REF!</v>
      </c>
      <c r="AB52" s="18" t="e">
        <f>AVERAGEIFS([1]!Table2912[CH4 '[g/g DDM']],[1]!Table2912[Substrate ID],Table29128[[#This Row],[Substrate ID]])</f>
        <v>#REF!</v>
      </c>
      <c r="AC52" s="18" t="e">
        <f>$CP$17*Table29128[[#This Row],[DMD '[mg/g']]]+$CQ$17*Table29128[[#This Row],[CH4 '[g/g DDM']]]</f>
        <v>#REF!</v>
      </c>
      <c r="AD52" s="18" t="e">
        <f>_xlfn.RANK.AVG(Table29128[[#This Row],[Index]],Table29128[Index])</f>
        <v>#REF!</v>
      </c>
      <c r="AE52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52" s="18" t="e">
        <f>Table29128[[#This Row],[CH4 '[ml/g']]]/Table29128[[#This Row],[APB]]</f>
        <v>#REF!</v>
      </c>
      <c r="AG52" s="18" t="e">
        <f>Table29128[[#This Row],[Propionate '[%']]]/Table29128[[#This Row],[Acetate '[%']]]</f>
        <v>#DIV/0!</v>
      </c>
      <c r="AH52" s="51"/>
      <c r="AI52" s="18"/>
      <c r="AJ52" s="18"/>
      <c r="AK52" s="135" t="e">
        <f t="shared" si="4"/>
        <v>#REF!</v>
      </c>
      <c r="AL52" s="18"/>
      <c r="AM52" s="135" t="e">
        <f t="shared" si="5"/>
        <v>#REF!</v>
      </c>
      <c r="AN52" s="18" t="e">
        <f>(Table29128[[#This Row],[CH4 '[g/g DDM']]]-AN$15)/AN$15%</f>
        <v>#REF!</v>
      </c>
      <c r="AO52" s="18"/>
      <c r="AP52" s="18"/>
      <c r="AR52" t="e">
        <f>_xlfn.NORM.DIST(Table29128[[#This Row],[GP '[ml/g']]],O$6,O$2,FALSE)</f>
        <v>#DIV/0!</v>
      </c>
      <c r="AS52" t="e">
        <f>_xlfn.NORM.DIST(Table29128[[#This Row],[SCFA '[mmol/g']]],P$6,P$2,FALSE)</f>
        <v>#DIV/0!</v>
      </c>
      <c r="AT52" t="e">
        <f>_xlfn.NORM.DIST(Table29128[[#This Row],[Acetate '[%']]],Q$6,Q$2,FALSE)</f>
        <v>#DIV/0!</v>
      </c>
      <c r="AU52" t="e">
        <f>_xlfn.NORM.DIST(Table29128[[#This Row],[Propionate '[%']]],R$6,R$2,FALSE)</f>
        <v>#DIV/0!</v>
      </c>
      <c r="AV52" t="e">
        <f>_xlfn.NORM.DIST(Table29128[[#This Row],[Butyrate '[%']]],S$6,S$2,FALSE)</f>
        <v>#DIV/0!</v>
      </c>
      <c r="AW52" t="e">
        <f>_xlfn.NORM.DIST(Table29128[[#This Row],[Valerate '[%']]],T$6,T$2,FALSE)</f>
        <v>#DIV/0!</v>
      </c>
      <c r="AX52" t="e">
        <f>_xlfn.NORM.DIST(Table29128[[#This Row],[Caproate '[%']]],U$6,U$2,FALSE)</f>
        <v>#DIV/0!</v>
      </c>
      <c r="AY52" t="e">
        <f>_xlfn.NORM.DIST(Table29128[[#This Row],[Isobutyrate '[%']]],V$6,V$2,FALSE)</f>
        <v>#DIV/0!</v>
      </c>
      <c r="AZ52" t="e">
        <f>_xlfn.NORM.DIST(Table29128[[#This Row],[Isovalerate '[%']]],W$6,W$2,FALSE)</f>
        <v>#DIV/0!</v>
      </c>
      <c r="BA52" t="e">
        <f>_xlfn.NORM.DIST(Table29128[[#This Row],[CH4 '[g/mmol SCFA']]],X$6,X$2,FALSE)</f>
        <v>#DIV/0!</v>
      </c>
      <c r="BB52" t="e">
        <f>_xlfn.NORM.DIST(Table29128[[#This Row],[DMD '[mg/g']]],Y$6,Y$2,FALSE)</f>
        <v>#REF!</v>
      </c>
      <c r="BC52" t="e">
        <f>_xlfn.NORM.DIST(Table29128[[#This Row],[CH4 '[ml/g']]],Z$6,Z$2,FALSE)</f>
        <v>#REF!</v>
      </c>
      <c r="BD52" t="e">
        <f>_xlfn.NORM.DIST(Table29128[[#This Row],[CH4 '[% GP']]],AA$6,AA$2,FALSE)</f>
        <v>#REF!</v>
      </c>
      <c r="BE52" t="e">
        <f>_xlfn.NORM.DIST(Table29128[[#This Row],[CH4 '[g/g DDM']]],AB$6,AB$2,FALSE)</f>
        <v>#REF!</v>
      </c>
      <c r="BG52">
        <f>IF(Table29128[[#This Row],[GP '[ml/g']]]&lt;O$10,_xlfn.NORM.DIST(Table29128[[#This Row],[GP '[ml/g']]],O$6,O$2,FALSE),-100)</f>
        <v>-100</v>
      </c>
      <c r="BH52">
        <f>IF(Table29128[[#This Row],[SCFA '[mmol/g']]]&lt;P$10,_xlfn.NORM.DIST(Table29128[[#This Row],[SCFA '[mmol/g']]],P$6,P$2,FALSE),-100)</f>
        <v>-100</v>
      </c>
      <c r="BI52">
        <f>IF(Table29128[[#This Row],[Acetate '[%']]]&lt;Q$10,_xlfn.NORM.DIST(Table29128[[#This Row],[Acetate '[%']]],Q$6,Q$2,FALSE),-100)</f>
        <v>-100</v>
      </c>
      <c r="BJ52">
        <f>IF(Table29128[[#This Row],[Propionate '[%']]]&lt;R$10,_xlfn.NORM.DIST(Table29128[[#This Row],[Propionate '[%']]],R$6,R$2,FALSE),-100)</f>
        <v>-100</v>
      </c>
      <c r="BK52">
        <f>IF(Table29128[[#This Row],[Butyrate '[%']]]&lt;S$10,_xlfn.NORM.DIST(Table29128[[#This Row],[Butyrate '[%']]],S$6,S$2,FALSE),-100)</f>
        <v>-100</v>
      </c>
      <c r="BL52">
        <f>IF(Table29128[[#This Row],[Valerate '[%']]]&lt;T$10,_xlfn.NORM.DIST(Table29128[[#This Row],[Valerate '[%']]],T$6,T$2,FALSE),-100)</f>
        <v>-100</v>
      </c>
      <c r="BM52">
        <f>IF(Table29128[[#This Row],[Caproate '[%']]]&lt;U$10,_xlfn.NORM.DIST(Table29128[[#This Row],[Caproate '[%']]],U$6,U$2,FALSE),-100)</f>
        <v>-100</v>
      </c>
      <c r="BN52">
        <f>IF(Table29128[[#This Row],[Isobutyrate '[%']]]&lt;V$10,_xlfn.NORM.DIST(Table29128[[#This Row],[Isobutyrate '[%']]],V$6,V$2,FALSE),-100)</f>
        <v>-100</v>
      </c>
      <c r="BO52">
        <f>IF(Table29128[[#This Row],[Isovalerate '[%']]]&lt;W$10,_xlfn.NORM.DIST(Table29128[[#This Row],[Isovalerate '[%']]],W$6,W$2,FALSE),-100)</f>
        <v>-100</v>
      </c>
      <c r="BP52">
        <f>IF(Table29128[[#This Row],[CH4 '[g/mmol SCFA']]]&lt;X$10,_xlfn.NORM.DIST(Table29128[[#This Row],[CH4 '[g/mmol SCFA']]],X$6,X$2,FALSE),-100)</f>
        <v>-100</v>
      </c>
      <c r="BQ52" t="e">
        <f>IF(Table29128[[#This Row],[DMD '[mg/g']]]&gt;Y$10,_xlfn.NORM.DIST(Table29128[[#This Row],[DMD '[mg/g']]],Y$6,Y$2,FALSE),-100)</f>
        <v>#REF!</v>
      </c>
      <c r="BR52" t="e">
        <f>IF(Table29128[[#This Row],[CH4 '[ml/g']]]&lt;Z$10,_xlfn.NORM.DIST(Table29128[[#This Row],[CH4 '[ml/g']]],Z$6,Z$2,FALSE),-100)</f>
        <v>#REF!</v>
      </c>
      <c r="BS52" t="e">
        <f>IF(Table29128[[#This Row],[CH4 '[% GP']]]&lt;AA$10,_xlfn.NORM.DIST(Table29128[[#This Row],[CH4 '[% GP']]],AA$6,AA$2,FALSE),-100)</f>
        <v>#REF!</v>
      </c>
      <c r="BT52" t="e">
        <f>IF(Table29128[[#This Row],[CH4 '[g/g DDM']]]&lt;AB$10,_xlfn.NORM.DIST(Table29128[[#This Row],[CH4 '[g/g DDM']]],AB$6,AB$2,FALSE),-100)</f>
        <v>#REF!</v>
      </c>
    </row>
    <row r="53" spans="1:72" x14ac:dyDescent="0.25">
      <c r="A53" s="12" t="s">
        <v>86</v>
      </c>
      <c r="B53" s="13">
        <v>1051</v>
      </c>
      <c r="C53" s="104" t="s">
        <v>302</v>
      </c>
      <c r="D53" s="104" t="s">
        <v>303</v>
      </c>
      <c r="E53" s="104" t="s">
        <v>304</v>
      </c>
      <c r="F53" s="104" t="s">
        <v>305</v>
      </c>
      <c r="G53" s="32" t="s">
        <v>73</v>
      </c>
      <c r="H53" s="32" t="s">
        <v>74</v>
      </c>
      <c r="I53" s="104" t="s">
        <v>106</v>
      </c>
      <c r="J53" s="100">
        <v>1</v>
      </c>
      <c r="K53" s="100"/>
      <c r="L53" s="100"/>
      <c r="M53" t="s">
        <v>305</v>
      </c>
      <c r="N53" t="s">
        <v>84</v>
      </c>
      <c r="O53" s="18"/>
      <c r="P53" s="18"/>
      <c r="Q53" s="97"/>
      <c r="R53" s="97"/>
      <c r="S53" s="97"/>
      <c r="T53" s="97"/>
      <c r="U53" s="97"/>
      <c r="V53" s="97"/>
      <c r="W53" s="97"/>
      <c r="X53" s="51"/>
      <c r="Y53" s="18" t="e">
        <f>AVERAGEIFS([1]!Table2912[DMD '[mg/g']],[1]!Table2912[Substrate ID],Table29128[[#This Row],[Substrate ID]])</f>
        <v>#REF!</v>
      </c>
      <c r="Z53" s="18" t="e">
        <f>AVERAGEIFS([1]!Table2912[CH4 '[ml/g']],[1]!Table2912[Substrate ID],Table29128[[#This Row],[Substrate ID]])</f>
        <v>#REF!</v>
      </c>
      <c r="AA53" s="18" t="e">
        <f>AVERAGEIFS([1]!Table2912[CH4 '[% GP']],[1]!Table2912[Substrate ID],Table29128[[#This Row],[Substrate ID]])</f>
        <v>#REF!</v>
      </c>
      <c r="AB53" s="18" t="e">
        <f>AVERAGEIFS([1]!Table2912[CH4 '[g/g DDM']],[1]!Table2912[Substrate ID],Table29128[[#This Row],[Substrate ID]])</f>
        <v>#REF!</v>
      </c>
      <c r="AC53" s="18" t="e">
        <f>$CP$17*Table29128[[#This Row],[DMD '[mg/g']]]+$CQ$17*Table29128[[#This Row],[CH4 '[g/g DDM']]]</f>
        <v>#REF!</v>
      </c>
      <c r="AD53" s="18" t="e">
        <f>_xlfn.RANK.AVG(Table29128[[#This Row],[Index]],Table29128[Index])</f>
        <v>#REF!</v>
      </c>
      <c r="AE53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53" s="18" t="e">
        <f>Table29128[[#This Row],[CH4 '[ml/g']]]/Table29128[[#This Row],[APB]]</f>
        <v>#REF!</v>
      </c>
      <c r="AG53" s="18" t="e">
        <f>Table29128[[#This Row],[Propionate '[%']]]/Table29128[[#This Row],[Acetate '[%']]]</f>
        <v>#DIV/0!</v>
      </c>
      <c r="AH53" s="51"/>
      <c r="AI53" s="18"/>
      <c r="AJ53" s="18"/>
      <c r="AK53" s="135" t="e">
        <f t="shared" si="4"/>
        <v>#REF!</v>
      </c>
      <c r="AL53" s="18"/>
      <c r="AM53" s="135" t="e">
        <f t="shared" si="5"/>
        <v>#REF!</v>
      </c>
      <c r="AN53" s="18" t="e">
        <f>(Table29128[[#This Row],[CH4 '[g/g DDM']]]-AN$15)/AN$15%</f>
        <v>#REF!</v>
      </c>
      <c r="AO53" s="18"/>
      <c r="AP53" s="18"/>
      <c r="AR53" t="e">
        <f>_xlfn.NORM.DIST(Table29128[[#This Row],[GP '[ml/g']]],O$6,O$2,FALSE)</f>
        <v>#DIV/0!</v>
      </c>
      <c r="AS53" t="e">
        <f>_xlfn.NORM.DIST(Table29128[[#This Row],[SCFA '[mmol/g']]],P$6,P$2,FALSE)</f>
        <v>#DIV/0!</v>
      </c>
      <c r="AT53" t="e">
        <f>_xlfn.NORM.DIST(Table29128[[#This Row],[Acetate '[%']]],Q$6,Q$2,FALSE)</f>
        <v>#DIV/0!</v>
      </c>
      <c r="AU53" t="e">
        <f>_xlfn.NORM.DIST(Table29128[[#This Row],[Propionate '[%']]],R$6,R$2,FALSE)</f>
        <v>#DIV/0!</v>
      </c>
      <c r="AV53" t="e">
        <f>_xlfn.NORM.DIST(Table29128[[#This Row],[Butyrate '[%']]],S$6,S$2,FALSE)</f>
        <v>#DIV/0!</v>
      </c>
      <c r="AW53" t="e">
        <f>_xlfn.NORM.DIST(Table29128[[#This Row],[Valerate '[%']]],T$6,T$2,FALSE)</f>
        <v>#DIV/0!</v>
      </c>
      <c r="AX53" t="e">
        <f>_xlfn.NORM.DIST(Table29128[[#This Row],[Caproate '[%']]],U$6,U$2,FALSE)</f>
        <v>#DIV/0!</v>
      </c>
      <c r="AY53" t="e">
        <f>_xlfn.NORM.DIST(Table29128[[#This Row],[Isobutyrate '[%']]],V$6,V$2,FALSE)</f>
        <v>#DIV/0!</v>
      </c>
      <c r="AZ53" t="e">
        <f>_xlfn.NORM.DIST(Table29128[[#This Row],[Isovalerate '[%']]],W$6,W$2,FALSE)</f>
        <v>#DIV/0!</v>
      </c>
      <c r="BA53" t="e">
        <f>_xlfn.NORM.DIST(Table29128[[#This Row],[CH4 '[g/mmol SCFA']]],X$6,X$2,FALSE)</f>
        <v>#DIV/0!</v>
      </c>
      <c r="BB53" t="e">
        <f>_xlfn.NORM.DIST(Table29128[[#This Row],[DMD '[mg/g']]],Y$6,Y$2,FALSE)</f>
        <v>#REF!</v>
      </c>
      <c r="BC53" t="e">
        <f>_xlfn.NORM.DIST(Table29128[[#This Row],[CH4 '[ml/g']]],Z$6,Z$2,FALSE)</f>
        <v>#REF!</v>
      </c>
      <c r="BD53" t="e">
        <f>_xlfn.NORM.DIST(Table29128[[#This Row],[CH4 '[% GP']]],AA$6,AA$2,FALSE)</f>
        <v>#REF!</v>
      </c>
      <c r="BE53" t="e">
        <f>_xlfn.NORM.DIST(Table29128[[#This Row],[CH4 '[g/g DDM']]],AB$6,AB$2,FALSE)</f>
        <v>#REF!</v>
      </c>
      <c r="BG53">
        <f>IF(Table29128[[#This Row],[GP '[ml/g']]]&lt;O$10,_xlfn.NORM.DIST(Table29128[[#This Row],[GP '[ml/g']]],O$6,O$2,FALSE),-100)</f>
        <v>-100</v>
      </c>
      <c r="BH53">
        <f>IF(Table29128[[#This Row],[SCFA '[mmol/g']]]&lt;P$10,_xlfn.NORM.DIST(Table29128[[#This Row],[SCFA '[mmol/g']]],P$6,P$2,FALSE),-100)</f>
        <v>-100</v>
      </c>
      <c r="BI53">
        <f>IF(Table29128[[#This Row],[Acetate '[%']]]&lt;Q$10,_xlfn.NORM.DIST(Table29128[[#This Row],[Acetate '[%']]],Q$6,Q$2,FALSE),-100)</f>
        <v>-100</v>
      </c>
      <c r="BJ53">
        <f>IF(Table29128[[#This Row],[Propionate '[%']]]&lt;R$10,_xlfn.NORM.DIST(Table29128[[#This Row],[Propionate '[%']]],R$6,R$2,FALSE),-100)</f>
        <v>-100</v>
      </c>
      <c r="BK53">
        <f>IF(Table29128[[#This Row],[Butyrate '[%']]]&lt;S$10,_xlfn.NORM.DIST(Table29128[[#This Row],[Butyrate '[%']]],S$6,S$2,FALSE),-100)</f>
        <v>-100</v>
      </c>
      <c r="BL53">
        <f>IF(Table29128[[#This Row],[Valerate '[%']]]&lt;T$10,_xlfn.NORM.DIST(Table29128[[#This Row],[Valerate '[%']]],T$6,T$2,FALSE),-100)</f>
        <v>-100</v>
      </c>
      <c r="BM53">
        <f>IF(Table29128[[#This Row],[Caproate '[%']]]&lt;U$10,_xlfn.NORM.DIST(Table29128[[#This Row],[Caproate '[%']]],U$6,U$2,FALSE),-100)</f>
        <v>-100</v>
      </c>
      <c r="BN53">
        <f>IF(Table29128[[#This Row],[Isobutyrate '[%']]]&lt;V$10,_xlfn.NORM.DIST(Table29128[[#This Row],[Isobutyrate '[%']]],V$6,V$2,FALSE),-100)</f>
        <v>-100</v>
      </c>
      <c r="BO53">
        <f>IF(Table29128[[#This Row],[Isovalerate '[%']]]&lt;W$10,_xlfn.NORM.DIST(Table29128[[#This Row],[Isovalerate '[%']]],W$6,W$2,FALSE),-100)</f>
        <v>-100</v>
      </c>
      <c r="BP53">
        <f>IF(Table29128[[#This Row],[CH4 '[g/mmol SCFA']]]&lt;X$10,_xlfn.NORM.DIST(Table29128[[#This Row],[CH4 '[g/mmol SCFA']]],X$6,X$2,FALSE),-100)</f>
        <v>-100</v>
      </c>
      <c r="BQ53" t="e">
        <f>IF(Table29128[[#This Row],[DMD '[mg/g']]]&gt;Y$10,_xlfn.NORM.DIST(Table29128[[#This Row],[DMD '[mg/g']]],Y$6,Y$2,FALSE),-100)</f>
        <v>#REF!</v>
      </c>
      <c r="BR53" t="e">
        <f>IF(Table29128[[#This Row],[CH4 '[ml/g']]]&lt;Z$10,_xlfn.NORM.DIST(Table29128[[#This Row],[CH4 '[ml/g']]],Z$6,Z$2,FALSE),-100)</f>
        <v>#REF!</v>
      </c>
      <c r="BS53" t="e">
        <f>IF(Table29128[[#This Row],[CH4 '[% GP']]]&lt;AA$10,_xlfn.NORM.DIST(Table29128[[#This Row],[CH4 '[% GP']]],AA$6,AA$2,FALSE),-100)</f>
        <v>#REF!</v>
      </c>
      <c r="BT53" t="e">
        <f>IF(Table29128[[#This Row],[CH4 '[g/g DDM']]]&lt;AB$10,_xlfn.NORM.DIST(Table29128[[#This Row],[CH4 '[g/g DDM']]],AB$6,AB$2,FALSE),-100)</f>
        <v>#REF!</v>
      </c>
    </row>
    <row r="54" spans="1:72" x14ac:dyDescent="0.25">
      <c r="A54" s="12" t="s">
        <v>70</v>
      </c>
      <c r="B54" s="13">
        <v>1021</v>
      </c>
      <c r="C54" s="96" t="s">
        <v>167</v>
      </c>
      <c r="D54" s="96"/>
      <c r="E54" s="96"/>
      <c r="F54" s="96" t="s">
        <v>168</v>
      </c>
      <c r="G54" t="s">
        <v>73</v>
      </c>
      <c r="H54" t="s">
        <v>74</v>
      </c>
      <c r="I54" t="s">
        <v>75</v>
      </c>
      <c r="J54" s="100">
        <v>1</v>
      </c>
      <c r="K54" s="100"/>
      <c r="L54" s="100"/>
      <c r="M54" t="s">
        <v>168</v>
      </c>
      <c r="N54" t="s">
        <v>80</v>
      </c>
      <c r="O54" s="18"/>
      <c r="P54" s="18"/>
      <c r="Q54" s="97"/>
      <c r="R54" s="97"/>
      <c r="S54" s="97"/>
      <c r="T54" s="97"/>
      <c r="U54" s="97"/>
      <c r="V54" s="97"/>
      <c r="W54" s="97"/>
      <c r="X54" s="51"/>
      <c r="Y54" s="18" t="e">
        <f>AVERAGEIFS([1]!Table2912[DMD '[mg/g']],[1]!Table2912[Substrate ID],Table29128[[#This Row],[Substrate ID]])</f>
        <v>#REF!</v>
      </c>
      <c r="Z54" s="18" t="e">
        <f>AVERAGEIFS([1]!Table2912[CH4 '[ml/g']],[1]!Table2912[Substrate ID],Table29128[[#This Row],[Substrate ID]])</f>
        <v>#REF!</v>
      </c>
      <c r="AA54" s="18" t="e">
        <f>AVERAGEIFS([1]!Table2912[CH4 '[% GP']],[1]!Table2912[Substrate ID],Table29128[[#This Row],[Substrate ID]])</f>
        <v>#REF!</v>
      </c>
      <c r="AB54" s="18" t="e">
        <f>AVERAGEIFS([1]!Table2912[CH4 '[g/g DDM']],[1]!Table2912[Substrate ID],Table29128[[#This Row],[Substrate ID]])</f>
        <v>#REF!</v>
      </c>
      <c r="AC54" s="18" t="e">
        <f>$CP$17*Table29128[[#This Row],[DMD '[mg/g']]]+$CQ$17*Table29128[[#This Row],[CH4 '[g/g DDM']]]</f>
        <v>#REF!</v>
      </c>
      <c r="AD54" s="18" t="e">
        <f>_xlfn.RANK.AVG(Table29128[[#This Row],[Index]],Table29128[Index])</f>
        <v>#REF!</v>
      </c>
      <c r="AE54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54" s="18" t="e">
        <f>Table29128[[#This Row],[CH4 '[ml/g']]]/Table29128[[#This Row],[APB]]</f>
        <v>#REF!</v>
      </c>
      <c r="AG54" s="18" t="e">
        <f>Table29128[[#This Row],[Propionate '[%']]]/Table29128[[#This Row],[Acetate '[%']]]</f>
        <v>#DIV/0!</v>
      </c>
      <c r="AH54" s="51"/>
      <c r="AI54" s="18"/>
      <c r="AJ54" s="18"/>
      <c r="AK54" s="135" t="e">
        <f t="shared" si="4"/>
        <v>#REF!</v>
      </c>
      <c r="AL54" s="18"/>
      <c r="AM54" s="135" t="e">
        <f t="shared" si="5"/>
        <v>#REF!</v>
      </c>
      <c r="AN54" s="18" t="e">
        <f>(Table29128[[#This Row],[CH4 '[g/g DDM']]]-AN$15)/AN$15%</f>
        <v>#REF!</v>
      </c>
      <c r="AO54" s="18"/>
      <c r="AP54" s="18"/>
      <c r="AR54" t="e">
        <f>_xlfn.NORM.DIST(Table29128[[#This Row],[GP '[ml/g']]],O$6,O$2,FALSE)</f>
        <v>#DIV/0!</v>
      </c>
      <c r="AS54" t="e">
        <f>_xlfn.NORM.DIST(Table29128[[#This Row],[SCFA '[mmol/g']]],P$6,P$2,FALSE)</f>
        <v>#DIV/0!</v>
      </c>
      <c r="AT54" t="e">
        <f>_xlfn.NORM.DIST(Table29128[[#This Row],[Acetate '[%']]],Q$6,Q$2,FALSE)</f>
        <v>#DIV/0!</v>
      </c>
      <c r="AU54" t="e">
        <f>_xlfn.NORM.DIST(Table29128[[#This Row],[Propionate '[%']]],R$6,R$2,FALSE)</f>
        <v>#DIV/0!</v>
      </c>
      <c r="AV54" t="e">
        <f>_xlfn.NORM.DIST(Table29128[[#This Row],[Butyrate '[%']]],S$6,S$2,FALSE)</f>
        <v>#DIV/0!</v>
      </c>
      <c r="AW54" t="e">
        <f>_xlfn.NORM.DIST(Table29128[[#This Row],[Valerate '[%']]],T$6,T$2,FALSE)</f>
        <v>#DIV/0!</v>
      </c>
      <c r="AX54" t="e">
        <f>_xlfn.NORM.DIST(Table29128[[#This Row],[Caproate '[%']]],U$6,U$2,FALSE)</f>
        <v>#DIV/0!</v>
      </c>
      <c r="AY54" t="e">
        <f>_xlfn.NORM.DIST(Table29128[[#This Row],[Isobutyrate '[%']]],V$6,V$2,FALSE)</f>
        <v>#DIV/0!</v>
      </c>
      <c r="AZ54" t="e">
        <f>_xlfn.NORM.DIST(Table29128[[#This Row],[Isovalerate '[%']]],W$6,W$2,FALSE)</f>
        <v>#DIV/0!</v>
      </c>
      <c r="BA54" t="e">
        <f>_xlfn.NORM.DIST(Table29128[[#This Row],[CH4 '[g/mmol SCFA']]],X$6,X$2,FALSE)</f>
        <v>#DIV/0!</v>
      </c>
      <c r="BB54" t="e">
        <f>_xlfn.NORM.DIST(Table29128[[#This Row],[DMD '[mg/g']]],Y$6,Y$2,FALSE)</f>
        <v>#REF!</v>
      </c>
      <c r="BC54" t="e">
        <f>_xlfn.NORM.DIST(Table29128[[#This Row],[CH4 '[ml/g']]],Z$6,Z$2,FALSE)</f>
        <v>#REF!</v>
      </c>
      <c r="BD54" t="e">
        <f>_xlfn.NORM.DIST(Table29128[[#This Row],[CH4 '[% GP']]],AA$6,AA$2,FALSE)</f>
        <v>#REF!</v>
      </c>
      <c r="BE54" t="e">
        <f>_xlfn.NORM.DIST(Table29128[[#This Row],[CH4 '[g/g DDM']]],AB$6,AB$2,FALSE)</f>
        <v>#REF!</v>
      </c>
      <c r="BG54">
        <f>IF(Table29128[[#This Row],[GP '[ml/g']]]&lt;O$10,_xlfn.NORM.DIST(Table29128[[#This Row],[GP '[ml/g']]],O$6,O$2,FALSE),-100)</f>
        <v>-100</v>
      </c>
      <c r="BH54">
        <f>IF(Table29128[[#This Row],[SCFA '[mmol/g']]]&lt;P$10,_xlfn.NORM.DIST(Table29128[[#This Row],[SCFA '[mmol/g']]],P$6,P$2,FALSE),-100)</f>
        <v>-100</v>
      </c>
      <c r="BI54">
        <f>IF(Table29128[[#This Row],[Acetate '[%']]]&lt;Q$10,_xlfn.NORM.DIST(Table29128[[#This Row],[Acetate '[%']]],Q$6,Q$2,FALSE),-100)</f>
        <v>-100</v>
      </c>
      <c r="BJ54">
        <f>IF(Table29128[[#This Row],[Propionate '[%']]]&lt;R$10,_xlfn.NORM.DIST(Table29128[[#This Row],[Propionate '[%']]],R$6,R$2,FALSE),-100)</f>
        <v>-100</v>
      </c>
      <c r="BK54">
        <f>IF(Table29128[[#This Row],[Butyrate '[%']]]&lt;S$10,_xlfn.NORM.DIST(Table29128[[#This Row],[Butyrate '[%']]],S$6,S$2,FALSE),-100)</f>
        <v>-100</v>
      </c>
      <c r="BL54">
        <f>IF(Table29128[[#This Row],[Valerate '[%']]]&lt;T$10,_xlfn.NORM.DIST(Table29128[[#This Row],[Valerate '[%']]],T$6,T$2,FALSE),-100)</f>
        <v>-100</v>
      </c>
      <c r="BM54">
        <f>IF(Table29128[[#This Row],[Caproate '[%']]]&lt;U$10,_xlfn.NORM.DIST(Table29128[[#This Row],[Caproate '[%']]],U$6,U$2,FALSE),-100)</f>
        <v>-100</v>
      </c>
      <c r="BN54">
        <f>IF(Table29128[[#This Row],[Isobutyrate '[%']]]&lt;V$10,_xlfn.NORM.DIST(Table29128[[#This Row],[Isobutyrate '[%']]],V$6,V$2,FALSE),-100)</f>
        <v>-100</v>
      </c>
      <c r="BO54">
        <f>IF(Table29128[[#This Row],[Isovalerate '[%']]]&lt;W$10,_xlfn.NORM.DIST(Table29128[[#This Row],[Isovalerate '[%']]],W$6,W$2,FALSE),-100)</f>
        <v>-100</v>
      </c>
      <c r="BP54">
        <f>IF(Table29128[[#This Row],[CH4 '[g/mmol SCFA']]]&lt;X$10,_xlfn.NORM.DIST(Table29128[[#This Row],[CH4 '[g/mmol SCFA']]],X$6,X$2,FALSE),-100)</f>
        <v>-100</v>
      </c>
      <c r="BQ54" t="e">
        <f>IF(Table29128[[#This Row],[DMD '[mg/g']]]&gt;Y$10,_xlfn.NORM.DIST(Table29128[[#This Row],[DMD '[mg/g']]],Y$6,Y$2,FALSE),-100)</f>
        <v>#REF!</v>
      </c>
      <c r="BR54" t="e">
        <f>IF(Table29128[[#This Row],[CH4 '[ml/g']]]&lt;Z$10,_xlfn.NORM.DIST(Table29128[[#This Row],[CH4 '[ml/g']]],Z$6,Z$2,FALSE),-100)</f>
        <v>#REF!</v>
      </c>
      <c r="BS54" t="e">
        <f>IF(Table29128[[#This Row],[CH4 '[% GP']]]&lt;AA$10,_xlfn.NORM.DIST(Table29128[[#This Row],[CH4 '[% GP']]],AA$6,AA$2,FALSE),-100)</f>
        <v>#REF!</v>
      </c>
      <c r="BT54" t="e">
        <f>IF(Table29128[[#This Row],[CH4 '[g/g DDM']]]&lt;AB$10,_xlfn.NORM.DIST(Table29128[[#This Row],[CH4 '[g/g DDM']]],AB$6,AB$2,FALSE),-100)</f>
        <v>#REF!</v>
      </c>
    </row>
    <row r="55" spans="1:72" x14ac:dyDescent="0.25">
      <c r="A55" s="12" t="s">
        <v>70</v>
      </c>
      <c r="B55" s="13">
        <v>1031</v>
      </c>
      <c r="C55" s="96" t="s">
        <v>209</v>
      </c>
      <c r="D55" s="116"/>
      <c r="E55" s="116"/>
      <c r="F55" s="96" t="s">
        <v>210</v>
      </c>
      <c r="G55" s="15" t="s">
        <v>73</v>
      </c>
      <c r="H55" s="15" t="s">
        <v>74</v>
      </c>
      <c r="I55" t="s">
        <v>75</v>
      </c>
      <c r="J55" s="70">
        <v>1</v>
      </c>
      <c r="K55" s="70"/>
      <c r="L55" s="70"/>
      <c r="M55" t="s">
        <v>210</v>
      </c>
      <c r="N55" t="s">
        <v>80</v>
      </c>
      <c r="O55" s="18"/>
      <c r="P55" s="18"/>
      <c r="Q55" s="97"/>
      <c r="R55" s="97"/>
      <c r="S55" s="97"/>
      <c r="T55" s="97"/>
      <c r="U55" s="97"/>
      <c r="V55" s="97"/>
      <c r="W55" s="97"/>
      <c r="X55" s="51"/>
      <c r="Y55" s="18" t="e">
        <f>AVERAGEIFS([1]!Table2912[DMD '[mg/g']],[1]!Table2912[Substrate ID],Table29128[[#This Row],[Substrate ID]])</f>
        <v>#REF!</v>
      </c>
      <c r="Z55" s="18" t="e">
        <f>AVERAGEIFS([1]!Table2912[CH4 '[ml/g']],[1]!Table2912[Substrate ID],Table29128[[#This Row],[Substrate ID]])</f>
        <v>#REF!</v>
      </c>
      <c r="AA55" s="18" t="e">
        <f>AVERAGEIFS([1]!Table2912[CH4 '[% GP']],[1]!Table2912[Substrate ID],Table29128[[#This Row],[Substrate ID]])</f>
        <v>#REF!</v>
      </c>
      <c r="AB55" s="18" t="e">
        <f>AVERAGEIFS([1]!Table2912[CH4 '[g/g DDM']],[1]!Table2912[Substrate ID],Table29128[[#This Row],[Substrate ID]])</f>
        <v>#REF!</v>
      </c>
      <c r="AC55" s="18" t="e">
        <f>$CP$17*Table29128[[#This Row],[DMD '[mg/g']]]+$CQ$17*Table29128[[#This Row],[CH4 '[g/g DDM']]]</f>
        <v>#REF!</v>
      </c>
      <c r="AD55" s="18" t="e">
        <f>_xlfn.RANK.AVG(Table29128[[#This Row],[Index]],Table29128[Index])</f>
        <v>#REF!</v>
      </c>
      <c r="AE55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55" s="18" t="e">
        <f>Table29128[[#This Row],[CH4 '[ml/g']]]/Table29128[[#This Row],[APB]]</f>
        <v>#REF!</v>
      </c>
      <c r="AG55" s="18" t="e">
        <f>Table29128[[#This Row],[Propionate '[%']]]/Table29128[[#This Row],[Acetate '[%']]]</f>
        <v>#DIV/0!</v>
      </c>
      <c r="AH55" s="51"/>
      <c r="AI55" s="18"/>
      <c r="AJ55" s="18"/>
      <c r="AK55" s="135" t="e">
        <f t="shared" si="4"/>
        <v>#REF!</v>
      </c>
      <c r="AL55" s="18"/>
      <c r="AM55" s="135" t="e">
        <f t="shared" si="5"/>
        <v>#REF!</v>
      </c>
      <c r="AN55" s="18" t="e">
        <f>(Table29128[[#This Row],[CH4 '[g/g DDM']]]-AN$15)/AN$15%</f>
        <v>#REF!</v>
      </c>
      <c r="AO55" s="18"/>
      <c r="AP55" s="18"/>
      <c r="AR55" t="e">
        <f>_xlfn.NORM.DIST(Table29128[[#This Row],[GP '[ml/g']]],O$6,O$2,FALSE)</f>
        <v>#DIV/0!</v>
      </c>
      <c r="AS55" t="e">
        <f>_xlfn.NORM.DIST(Table29128[[#This Row],[SCFA '[mmol/g']]],P$6,P$2,FALSE)</f>
        <v>#DIV/0!</v>
      </c>
      <c r="AT55" t="e">
        <f>_xlfn.NORM.DIST(Table29128[[#This Row],[Acetate '[%']]],Q$6,Q$2,FALSE)</f>
        <v>#DIV/0!</v>
      </c>
      <c r="AU55" t="e">
        <f>_xlfn.NORM.DIST(Table29128[[#This Row],[Propionate '[%']]],R$6,R$2,FALSE)</f>
        <v>#DIV/0!</v>
      </c>
      <c r="AV55" t="e">
        <f>_xlfn.NORM.DIST(Table29128[[#This Row],[Butyrate '[%']]],S$6,S$2,FALSE)</f>
        <v>#DIV/0!</v>
      </c>
      <c r="AW55" t="e">
        <f>_xlfn.NORM.DIST(Table29128[[#This Row],[Valerate '[%']]],T$6,T$2,FALSE)</f>
        <v>#DIV/0!</v>
      </c>
      <c r="AX55" t="e">
        <f>_xlfn.NORM.DIST(Table29128[[#This Row],[Caproate '[%']]],U$6,U$2,FALSE)</f>
        <v>#DIV/0!</v>
      </c>
      <c r="AY55" t="e">
        <f>_xlfn.NORM.DIST(Table29128[[#This Row],[Isobutyrate '[%']]],V$6,V$2,FALSE)</f>
        <v>#DIV/0!</v>
      </c>
      <c r="AZ55" t="e">
        <f>_xlfn.NORM.DIST(Table29128[[#This Row],[Isovalerate '[%']]],W$6,W$2,FALSE)</f>
        <v>#DIV/0!</v>
      </c>
      <c r="BA55" t="e">
        <f>_xlfn.NORM.DIST(Table29128[[#This Row],[CH4 '[g/mmol SCFA']]],X$6,X$2,FALSE)</f>
        <v>#DIV/0!</v>
      </c>
      <c r="BB55" t="e">
        <f>_xlfn.NORM.DIST(Table29128[[#This Row],[DMD '[mg/g']]],Y$6,Y$2,FALSE)</f>
        <v>#REF!</v>
      </c>
      <c r="BC55" t="e">
        <f>_xlfn.NORM.DIST(Table29128[[#This Row],[CH4 '[ml/g']]],Z$6,Z$2,FALSE)</f>
        <v>#REF!</v>
      </c>
      <c r="BD55" t="e">
        <f>_xlfn.NORM.DIST(Table29128[[#This Row],[CH4 '[% GP']]],AA$6,AA$2,FALSE)</f>
        <v>#REF!</v>
      </c>
      <c r="BE55" t="e">
        <f>_xlfn.NORM.DIST(Table29128[[#This Row],[CH4 '[g/g DDM']]],AB$6,AB$2,FALSE)</f>
        <v>#REF!</v>
      </c>
      <c r="BG55">
        <f>IF(Table29128[[#This Row],[GP '[ml/g']]]&lt;O$10,_xlfn.NORM.DIST(Table29128[[#This Row],[GP '[ml/g']]],O$6,O$2,FALSE),-100)</f>
        <v>-100</v>
      </c>
      <c r="BH55">
        <f>IF(Table29128[[#This Row],[SCFA '[mmol/g']]]&lt;P$10,_xlfn.NORM.DIST(Table29128[[#This Row],[SCFA '[mmol/g']]],P$6,P$2,FALSE),-100)</f>
        <v>-100</v>
      </c>
      <c r="BI55">
        <f>IF(Table29128[[#This Row],[Acetate '[%']]]&lt;Q$10,_xlfn.NORM.DIST(Table29128[[#This Row],[Acetate '[%']]],Q$6,Q$2,FALSE),-100)</f>
        <v>-100</v>
      </c>
      <c r="BJ55">
        <f>IF(Table29128[[#This Row],[Propionate '[%']]]&lt;R$10,_xlfn.NORM.DIST(Table29128[[#This Row],[Propionate '[%']]],R$6,R$2,FALSE),-100)</f>
        <v>-100</v>
      </c>
      <c r="BK55">
        <f>IF(Table29128[[#This Row],[Butyrate '[%']]]&lt;S$10,_xlfn.NORM.DIST(Table29128[[#This Row],[Butyrate '[%']]],S$6,S$2,FALSE),-100)</f>
        <v>-100</v>
      </c>
      <c r="BL55">
        <f>IF(Table29128[[#This Row],[Valerate '[%']]]&lt;T$10,_xlfn.NORM.DIST(Table29128[[#This Row],[Valerate '[%']]],T$6,T$2,FALSE),-100)</f>
        <v>-100</v>
      </c>
      <c r="BM55">
        <f>IF(Table29128[[#This Row],[Caproate '[%']]]&lt;U$10,_xlfn.NORM.DIST(Table29128[[#This Row],[Caproate '[%']]],U$6,U$2,FALSE),-100)</f>
        <v>-100</v>
      </c>
      <c r="BN55">
        <f>IF(Table29128[[#This Row],[Isobutyrate '[%']]]&lt;V$10,_xlfn.NORM.DIST(Table29128[[#This Row],[Isobutyrate '[%']]],V$6,V$2,FALSE),-100)</f>
        <v>-100</v>
      </c>
      <c r="BO55">
        <f>IF(Table29128[[#This Row],[Isovalerate '[%']]]&lt;W$10,_xlfn.NORM.DIST(Table29128[[#This Row],[Isovalerate '[%']]],W$6,W$2,FALSE),-100)</f>
        <v>-100</v>
      </c>
      <c r="BP55">
        <f>IF(Table29128[[#This Row],[CH4 '[g/mmol SCFA']]]&lt;X$10,_xlfn.NORM.DIST(Table29128[[#This Row],[CH4 '[g/mmol SCFA']]],X$6,X$2,FALSE),-100)</f>
        <v>-100</v>
      </c>
      <c r="BQ55" t="e">
        <f>IF(Table29128[[#This Row],[DMD '[mg/g']]]&gt;Y$10,_xlfn.NORM.DIST(Table29128[[#This Row],[DMD '[mg/g']]],Y$6,Y$2,FALSE),-100)</f>
        <v>#REF!</v>
      </c>
      <c r="BR55" t="e">
        <f>IF(Table29128[[#This Row],[CH4 '[ml/g']]]&lt;Z$10,_xlfn.NORM.DIST(Table29128[[#This Row],[CH4 '[ml/g']]],Z$6,Z$2,FALSE),-100)</f>
        <v>#REF!</v>
      </c>
      <c r="BS55" t="e">
        <f>IF(Table29128[[#This Row],[CH4 '[% GP']]]&lt;AA$10,_xlfn.NORM.DIST(Table29128[[#This Row],[CH4 '[% GP']]],AA$6,AA$2,FALSE),-100)</f>
        <v>#REF!</v>
      </c>
      <c r="BT55" t="e">
        <f>IF(Table29128[[#This Row],[CH4 '[g/g DDM']]]&lt;AB$10,_xlfn.NORM.DIST(Table29128[[#This Row],[CH4 '[g/g DDM']]],AB$6,AB$2,FALSE),-100)</f>
        <v>#REF!</v>
      </c>
    </row>
    <row r="56" spans="1:72" x14ac:dyDescent="0.25">
      <c r="A56" s="12" t="s">
        <v>70</v>
      </c>
      <c r="B56" s="13">
        <v>1012</v>
      </c>
      <c r="C56" s="96" t="s">
        <v>306</v>
      </c>
      <c r="D56" s="96"/>
      <c r="E56" s="96"/>
      <c r="F56" s="96" t="s">
        <v>307</v>
      </c>
      <c r="G56" s="15" t="s">
        <v>73</v>
      </c>
      <c r="H56" s="15" t="s">
        <v>74</v>
      </c>
      <c r="I56" t="s">
        <v>75</v>
      </c>
      <c r="J56" s="70">
        <v>1</v>
      </c>
      <c r="K56" s="70"/>
      <c r="L56" s="70"/>
      <c r="M56" t="s">
        <v>307</v>
      </c>
      <c r="N56" t="s">
        <v>85</v>
      </c>
      <c r="O56" s="18"/>
      <c r="P56" s="18"/>
      <c r="Q56" s="97"/>
      <c r="R56" s="97"/>
      <c r="S56" s="97"/>
      <c r="T56" s="97"/>
      <c r="U56" s="97"/>
      <c r="V56" s="97"/>
      <c r="W56" s="97"/>
      <c r="X56" s="51"/>
      <c r="Y56" s="18" t="e">
        <f>AVERAGEIFS([1]!Table2912[DMD '[mg/g']],[1]!Table2912[Substrate ID],Table29128[[#This Row],[Substrate ID]])</f>
        <v>#REF!</v>
      </c>
      <c r="Z56" s="18" t="e">
        <f>AVERAGEIFS([1]!Table2912[CH4 '[ml/g']],[1]!Table2912[Substrate ID],Table29128[[#This Row],[Substrate ID]])</f>
        <v>#REF!</v>
      </c>
      <c r="AA56" s="18" t="e">
        <f>AVERAGEIFS([1]!Table2912[CH4 '[% GP']],[1]!Table2912[Substrate ID],Table29128[[#This Row],[Substrate ID]])</f>
        <v>#REF!</v>
      </c>
      <c r="AB56" s="18" t="e">
        <f>AVERAGEIFS([1]!Table2912[CH4 '[g/g DDM']],[1]!Table2912[Substrate ID],Table29128[[#This Row],[Substrate ID]])</f>
        <v>#REF!</v>
      </c>
      <c r="AC56" s="18" t="e">
        <f>$CP$17*Table29128[[#This Row],[DMD '[mg/g']]]+$CQ$17*Table29128[[#This Row],[CH4 '[g/g DDM']]]</f>
        <v>#REF!</v>
      </c>
      <c r="AD56" s="18" t="e">
        <f>_xlfn.RANK.AVG(Table29128[[#This Row],[Index]],Table29128[Index])</f>
        <v>#REF!</v>
      </c>
      <c r="AE56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56" s="18" t="e">
        <f>Table29128[[#This Row],[CH4 '[ml/g']]]/Table29128[[#This Row],[APB]]</f>
        <v>#REF!</v>
      </c>
      <c r="AG56" s="18" t="e">
        <f>Table29128[[#This Row],[Propionate '[%']]]/Table29128[[#This Row],[Acetate '[%']]]</f>
        <v>#DIV/0!</v>
      </c>
      <c r="AH56" s="51"/>
      <c r="AI56" s="18"/>
      <c r="AJ56" s="18"/>
      <c r="AK56" s="135" t="e">
        <f t="shared" si="4"/>
        <v>#REF!</v>
      </c>
      <c r="AL56" s="18"/>
      <c r="AM56" s="135" t="e">
        <f t="shared" si="5"/>
        <v>#REF!</v>
      </c>
      <c r="AN56" s="18" t="e">
        <f>(Table29128[[#This Row],[CH4 '[g/g DDM']]]-AN$15)/AN$15%</f>
        <v>#REF!</v>
      </c>
      <c r="AO56" s="18"/>
      <c r="AP56" s="18"/>
      <c r="AR56" t="e">
        <f>_xlfn.NORM.DIST(Table29128[[#This Row],[GP '[ml/g']]],O$6,O$2,FALSE)</f>
        <v>#DIV/0!</v>
      </c>
      <c r="AS56" t="e">
        <f>_xlfn.NORM.DIST(Table29128[[#This Row],[SCFA '[mmol/g']]],P$6,P$2,FALSE)</f>
        <v>#DIV/0!</v>
      </c>
      <c r="AT56" t="e">
        <f>_xlfn.NORM.DIST(Table29128[[#This Row],[Acetate '[%']]],Q$6,Q$2,FALSE)</f>
        <v>#DIV/0!</v>
      </c>
      <c r="AU56" t="e">
        <f>_xlfn.NORM.DIST(Table29128[[#This Row],[Propionate '[%']]],R$6,R$2,FALSE)</f>
        <v>#DIV/0!</v>
      </c>
      <c r="AV56" t="e">
        <f>_xlfn.NORM.DIST(Table29128[[#This Row],[Butyrate '[%']]],S$6,S$2,FALSE)</f>
        <v>#DIV/0!</v>
      </c>
      <c r="AW56" t="e">
        <f>_xlfn.NORM.DIST(Table29128[[#This Row],[Valerate '[%']]],T$6,T$2,FALSE)</f>
        <v>#DIV/0!</v>
      </c>
      <c r="AX56" t="e">
        <f>_xlfn.NORM.DIST(Table29128[[#This Row],[Caproate '[%']]],U$6,U$2,FALSE)</f>
        <v>#DIV/0!</v>
      </c>
      <c r="AY56" t="e">
        <f>_xlfn.NORM.DIST(Table29128[[#This Row],[Isobutyrate '[%']]],V$6,V$2,FALSE)</f>
        <v>#DIV/0!</v>
      </c>
      <c r="AZ56" t="e">
        <f>_xlfn.NORM.DIST(Table29128[[#This Row],[Isovalerate '[%']]],W$6,W$2,FALSE)</f>
        <v>#DIV/0!</v>
      </c>
      <c r="BA56" t="e">
        <f>_xlfn.NORM.DIST(Table29128[[#This Row],[CH4 '[g/mmol SCFA']]],X$6,X$2,FALSE)</f>
        <v>#DIV/0!</v>
      </c>
      <c r="BB56" t="e">
        <f>_xlfn.NORM.DIST(Table29128[[#This Row],[DMD '[mg/g']]],Y$6,Y$2,FALSE)</f>
        <v>#REF!</v>
      </c>
      <c r="BC56" t="e">
        <f>_xlfn.NORM.DIST(Table29128[[#This Row],[CH4 '[ml/g']]],Z$6,Z$2,FALSE)</f>
        <v>#REF!</v>
      </c>
      <c r="BD56" t="e">
        <f>_xlfn.NORM.DIST(Table29128[[#This Row],[CH4 '[% GP']]],AA$6,AA$2,FALSE)</f>
        <v>#REF!</v>
      </c>
      <c r="BE56" t="e">
        <f>_xlfn.NORM.DIST(Table29128[[#This Row],[CH4 '[g/g DDM']]],AB$6,AB$2,FALSE)</f>
        <v>#REF!</v>
      </c>
      <c r="BG56">
        <f>IF(Table29128[[#This Row],[GP '[ml/g']]]&lt;O$10,_xlfn.NORM.DIST(Table29128[[#This Row],[GP '[ml/g']]],O$6,O$2,FALSE),-100)</f>
        <v>-100</v>
      </c>
      <c r="BH56">
        <f>IF(Table29128[[#This Row],[SCFA '[mmol/g']]]&lt;P$10,_xlfn.NORM.DIST(Table29128[[#This Row],[SCFA '[mmol/g']]],P$6,P$2,FALSE),-100)</f>
        <v>-100</v>
      </c>
      <c r="BI56">
        <f>IF(Table29128[[#This Row],[Acetate '[%']]]&lt;Q$10,_xlfn.NORM.DIST(Table29128[[#This Row],[Acetate '[%']]],Q$6,Q$2,FALSE),-100)</f>
        <v>-100</v>
      </c>
      <c r="BJ56">
        <f>IF(Table29128[[#This Row],[Propionate '[%']]]&lt;R$10,_xlfn.NORM.DIST(Table29128[[#This Row],[Propionate '[%']]],R$6,R$2,FALSE),-100)</f>
        <v>-100</v>
      </c>
      <c r="BK56">
        <f>IF(Table29128[[#This Row],[Butyrate '[%']]]&lt;S$10,_xlfn.NORM.DIST(Table29128[[#This Row],[Butyrate '[%']]],S$6,S$2,FALSE),-100)</f>
        <v>-100</v>
      </c>
      <c r="BL56">
        <f>IF(Table29128[[#This Row],[Valerate '[%']]]&lt;T$10,_xlfn.NORM.DIST(Table29128[[#This Row],[Valerate '[%']]],T$6,T$2,FALSE),-100)</f>
        <v>-100</v>
      </c>
      <c r="BM56">
        <f>IF(Table29128[[#This Row],[Caproate '[%']]]&lt;U$10,_xlfn.NORM.DIST(Table29128[[#This Row],[Caproate '[%']]],U$6,U$2,FALSE),-100)</f>
        <v>-100</v>
      </c>
      <c r="BN56">
        <f>IF(Table29128[[#This Row],[Isobutyrate '[%']]]&lt;V$10,_xlfn.NORM.DIST(Table29128[[#This Row],[Isobutyrate '[%']]],V$6,V$2,FALSE),-100)</f>
        <v>-100</v>
      </c>
      <c r="BO56">
        <f>IF(Table29128[[#This Row],[Isovalerate '[%']]]&lt;W$10,_xlfn.NORM.DIST(Table29128[[#This Row],[Isovalerate '[%']]],W$6,W$2,FALSE),-100)</f>
        <v>-100</v>
      </c>
      <c r="BP56">
        <f>IF(Table29128[[#This Row],[CH4 '[g/mmol SCFA']]]&lt;X$10,_xlfn.NORM.DIST(Table29128[[#This Row],[CH4 '[g/mmol SCFA']]],X$6,X$2,FALSE),-100)</f>
        <v>-100</v>
      </c>
      <c r="BQ56" t="e">
        <f>IF(Table29128[[#This Row],[DMD '[mg/g']]]&gt;Y$10,_xlfn.NORM.DIST(Table29128[[#This Row],[DMD '[mg/g']]],Y$6,Y$2,FALSE),-100)</f>
        <v>#REF!</v>
      </c>
      <c r="BR56" t="e">
        <f>IF(Table29128[[#This Row],[CH4 '[ml/g']]]&lt;Z$10,_xlfn.NORM.DIST(Table29128[[#This Row],[CH4 '[ml/g']]],Z$6,Z$2,FALSE),-100)</f>
        <v>#REF!</v>
      </c>
      <c r="BS56" t="e">
        <f>IF(Table29128[[#This Row],[CH4 '[% GP']]]&lt;AA$10,_xlfn.NORM.DIST(Table29128[[#This Row],[CH4 '[% GP']]],AA$6,AA$2,FALSE),-100)</f>
        <v>#REF!</v>
      </c>
      <c r="BT56" t="e">
        <f>IF(Table29128[[#This Row],[CH4 '[g/g DDM']]]&lt;AB$10,_xlfn.NORM.DIST(Table29128[[#This Row],[CH4 '[g/g DDM']]],AB$6,AB$2,FALSE),-100)</f>
        <v>#REF!</v>
      </c>
    </row>
    <row r="57" spans="1:72" ht="15" customHeight="1" x14ac:dyDescent="0.25">
      <c r="A57" s="12" t="s">
        <v>70</v>
      </c>
      <c r="B57" s="13">
        <v>1026</v>
      </c>
      <c r="C57" s="96" t="s">
        <v>187</v>
      </c>
      <c r="D57" s="96"/>
      <c r="E57" s="96"/>
      <c r="F57" s="98" t="s">
        <v>188</v>
      </c>
      <c r="G57" s="15" t="s">
        <v>73</v>
      </c>
      <c r="H57" s="15" t="s">
        <v>74</v>
      </c>
      <c r="I57" t="s">
        <v>75</v>
      </c>
      <c r="J57" s="70">
        <v>1</v>
      </c>
      <c r="K57" s="70"/>
      <c r="L57" s="70"/>
      <c r="M57" t="s">
        <v>188</v>
      </c>
      <c r="N57" t="s">
        <v>80</v>
      </c>
      <c r="O57" s="18"/>
      <c r="P57" s="18"/>
      <c r="Q57" s="97"/>
      <c r="R57" s="97"/>
      <c r="S57" s="97"/>
      <c r="T57" s="97"/>
      <c r="U57" s="97"/>
      <c r="V57" s="97"/>
      <c r="W57" s="97"/>
      <c r="X57" s="51"/>
      <c r="Y57" s="18" t="e">
        <f>AVERAGEIFS([1]!Table2912[DMD '[mg/g']],[1]!Table2912[Substrate ID],Table29128[[#This Row],[Substrate ID]])</f>
        <v>#REF!</v>
      </c>
      <c r="Z57" s="18" t="e">
        <f>AVERAGEIFS([1]!Table2912[CH4 '[ml/g']],[1]!Table2912[Substrate ID],Table29128[[#This Row],[Substrate ID]])</f>
        <v>#REF!</v>
      </c>
      <c r="AA57" s="18" t="e">
        <f>AVERAGEIFS([1]!Table2912[CH4 '[% GP']],[1]!Table2912[Substrate ID],Table29128[[#This Row],[Substrate ID]])</f>
        <v>#REF!</v>
      </c>
      <c r="AB57" s="18" t="e">
        <f>AVERAGEIFS([1]!Table2912[CH4 '[g/g DDM']],[1]!Table2912[Substrate ID],Table29128[[#This Row],[Substrate ID]])</f>
        <v>#REF!</v>
      </c>
      <c r="AC57" s="18" t="e">
        <f>$CP$17*Table29128[[#This Row],[DMD '[mg/g']]]+$CQ$17*Table29128[[#This Row],[CH4 '[g/g DDM']]]</f>
        <v>#REF!</v>
      </c>
      <c r="AD57" s="18" t="e">
        <f>_xlfn.RANK.AVG(Table29128[[#This Row],[Index]],Table29128[Index])</f>
        <v>#REF!</v>
      </c>
      <c r="AE57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57" s="18" t="e">
        <f>Table29128[[#This Row],[CH4 '[ml/g']]]/Table29128[[#This Row],[APB]]</f>
        <v>#REF!</v>
      </c>
      <c r="AG57" s="18" t="e">
        <f>Table29128[[#This Row],[Propionate '[%']]]/Table29128[[#This Row],[Acetate '[%']]]</f>
        <v>#DIV/0!</v>
      </c>
      <c r="AH57" s="51"/>
      <c r="AI57" s="18"/>
      <c r="AJ57" s="18"/>
      <c r="AK57" s="135" t="e">
        <f t="shared" si="4"/>
        <v>#REF!</v>
      </c>
      <c r="AL57" s="18"/>
      <c r="AM57" s="135" t="e">
        <f t="shared" si="5"/>
        <v>#REF!</v>
      </c>
      <c r="AN57" s="18" t="e">
        <f>(Table29128[[#This Row],[CH4 '[g/g DDM']]]-AN$15)/AN$15%</f>
        <v>#REF!</v>
      </c>
      <c r="AO57" s="18"/>
      <c r="AP57" s="18"/>
      <c r="AR57" t="e">
        <f>_xlfn.NORM.DIST(Table29128[[#This Row],[GP '[ml/g']]],O$6,O$2,FALSE)</f>
        <v>#DIV/0!</v>
      </c>
      <c r="AS57" t="e">
        <f>_xlfn.NORM.DIST(Table29128[[#This Row],[SCFA '[mmol/g']]],P$6,P$2,FALSE)</f>
        <v>#DIV/0!</v>
      </c>
      <c r="AT57" t="e">
        <f>_xlfn.NORM.DIST(Table29128[[#This Row],[Acetate '[%']]],Q$6,Q$2,FALSE)</f>
        <v>#DIV/0!</v>
      </c>
      <c r="AU57" t="e">
        <f>_xlfn.NORM.DIST(Table29128[[#This Row],[Propionate '[%']]],R$6,R$2,FALSE)</f>
        <v>#DIV/0!</v>
      </c>
      <c r="AV57" t="e">
        <f>_xlfn.NORM.DIST(Table29128[[#This Row],[Butyrate '[%']]],S$6,S$2,FALSE)</f>
        <v>#DIV/0!</v>
      </c>
      <c r="AW57" t="e">
        <f>_xlfn.NORM.DIST(Table29128[[#This Row],[Valerate '[%']]],T$6,T$2,FALSE)</f>
        <v>#DIV/0!</v>
      </c>
      <c r="AX57" t="e">
        <f>_xlfn.NORM.DIST(Table29128[[#This Row],[Caproate '[%']]],U$6,U$2,FALSE)</f>
        <v>#DIV/0!</v>
      </c>
      <c r="AY57" t="e">
        <f>_xlfn.NORM.DIST(Table29128[[#This Row],[Isobutyrate '[%']]],V$6,V$2,FALSE)</f>
        <v>#DIV/0!</v>
      </c>
      <c r="AZ57" t="e">
        <f>_xlfn.NORM.DIST(Table29128[[#This Row],[Isovalerate '[%']]],W$6,W$2,FALSE)</f>
        <v>#DIV/0!</v>
      </c>
      <c r="BA57" t="e">
        <f>_xlfn.NORM.DIST(Table29128[[#This Row],[CH4 '[g/mmol SCFA']]],X$6,X$2,FALSE)</f>
        <v>#DIV/0!</v>
      </c>
      <c r="BB57" t="e">
        <f>_xlfn.NORM.DIST(Table29128[[#This Row],[DMD '[mg/g']]],Y$6,Y$2,FALSE)</f>
        <v>#REF!</v>
      </c>
      <c r="BC57" t="e">
        <f>_xlfn.NORM.DIST(Table29128[[#This Row],[CH4 '[ml/g']]],Z$6,Z$2,FALSE)</f>
        <v>#REF!</v>
      </c>
      <c r="BD57" t="e">
        <f>_xlfn.NORM.DIST(Table29128[[#This Row],[CH4 '[% GP']]],AA$6,AA$2,FALSE)</f>
        <v>#REF!</v>
      </c>
      <c r="BE57" t="e">
        <f>_xlfn.NORM.DIST(Table29128[[#This Row],[CH4 '[g/g DDM']]],AB$6,AB$2,FALSE)</f>
        <v>#REF!</v>
      </c>
      <c r="BG57">
        <f>IF(Table29128[[#This Row],[GP '[ml/g']]]&lt;O$10,_xlfn.NORM.DIST(Table29128[[#This Row],[GP '[ml/g']]],O$6,O$2,FALSE),-100)</f>
        <v>-100</v>
      </c>
      <c r="BH57">
        <f>IF(Table29128[[#This Row],[SCFA '[mmol/g']]]&lt;P$10,_xlfn.NORM.DIST(Table29128[[#This Row],[SCFA '[mmol/g']]],P$6,P$2,FALSE),-100)</f>
        <v>-100</v>
      </c>
      <c r="BI57">
        <f>IF(Table29128[[#This Row],[Acetate '[%']]]&lt;Q$10,_xlfn.NORM.DIST(Table29128[[#This Row],[Acetate '[%']]],Q$6,Q$2,FALSE),-100)</f>
        <v>-100</v>
      </c>
      <c r="BJ57">
        <f>IF(Table29128[[#This Row],[Propionate '[%']]]&lt;R$10,_xlfn.NORM.DIST(Table29128[[#This Row],[Propionate '[%']]],R$6,R$2,FALSE),-100)</f>
        <v>-100</v>
      </c>
      <c r="BK57">
        <f>IF(Table29128[[#This Row],[Butyrate '[%']]]&lt;S$10,_xlfn.NORM.DIST(Table29128[[#This Row],[Butyrate '[%']]],S$6,S$2,FALSE),-100)</f>
        <v>-100</v>
      </c>
      <c r="BL57">
        <f>IF(Table29128[[#This Row],[Valerate '[%']]]&lt;T$10,_xlfn.NORM.DIST(Table29128[[#This Row],[Valerate '[%']]],T$6,T$2,FALSE),-100)</f>
        <v>-100</v>
      </c>
      <c r="BM57">
        <f>IF(Table29128[[#This Row],[Caproate '[%']]]&lt;U$10,_xlfn.NORM.DIST(Table29128[[#This Row],[Caproate '[%']]],U$6,U$2,FALSE),-100)</f>
        <v>-100</v>
      </c>
      <c r="BN57">
        <f>IF(Table29128[[#This Row],[Isobutyrate '[%']]]&lt;V$10,_xlfn.NORM.DIST(Table29128[[#This Row],[Isobutyrate '[%']]],V$6,V$2,FALSE),-100)</f>
        <v>-100</v>
      </c>
      <c r="BO57">
        <f>IF(Table29128[[#This Row],[Isovalerate '[%']]]&lt;W$10,_xlfn.NORM.DIST(Table29128[[#This Row],[Isovalerate '[%']]],W$6,W$2,FALSE),-100)</f>
        <v>-100</v>
      </c>
      <c r="BP57">
        <f>IF(Table29128[[#This Row],[CH4 '[g/mmol SCFA']]]&lt;X$10,_xlfn.NORM.DIST(Table29128[[#This Row],[CH4 '[g/mmol SCFA']]],X$6,X$2,FALSE),-100)</f>
        <v>-100</v>
      </c>
      <c r="BQ57" t="e">
        <f>IF(Table29128[[#This Row],[DMD '[mg/g']]]&gt;Y$10,_xlfn.NORM.DIST(Table29128[[#This Row],[DMD '[mg/g']]],Y$6,Y$2,FALSE),-100)</f>
        <v>#REF!</v>
      </c>
      <c r="BR57" t="e">
        <f>IF(Table29128[[#This Row],[CH4 '[ml/g']]]&lt;Z$10,_xlfn.NORM.DIST(Table29128[[#This Row],[CH4 '[ml/g']]],Z$6,Z$2,FALSE),-100)</f>
        <v>#REF!</v>
      </c>
      <c r="BS57" t="e">
        <f>IF(Table29128[[#This Row],[CH4 '[% GP']]]&lt;AA$10,_xlfn.NORM.DIST(Table29128[[#This Row],[CH4 '[% GP']]],AA$6,AA$2,FALSE),-100)</f>
        <v>#REF!</v>
      </c>
      <c r="BT57" t="e">
        <f>IF(Table29128[[#This Row],[CH4 '[g/g DDM']]]&lt;AB$10,_xlfn.NORM.DIST(Table29128[[#This Row],[CH4 '[g/g DDM']]],AB$6,AB$2,FALSE),-100)</f>
        <v>#REF!</v>
      </c>
    </row>
    <row r="58" spans="1:72" x14ac:dyDescent="0.25">
      <c r="A58" s="12" t="s">
        <v>70</v>
      </c>
      <c r="B58" s="13">
        <v>999</v>
      </c>
      <c r="C58" s="96" t="s">
        <v>240</v>
      </c>
      <c r="D58" s="96"/>
      <c r="E58" s="96"/>
      <c r="F58" s="96" t="s">
        <v>241</v>
      </c>
      <c r="G58" t="s">
        <v>73</v>
      </c>
      <c r="H58" t="s">
        <v>74</v>
      </c>
      <c r="I58" t="s">
        <v>75</v>
      </c>
      <c r="J58" s="70">
        <v>1</v>
      </c>
      <c r="K58" s="70"/>
      <c r="L58" s="70"/>
      <c r="M58" t="s">
        <v>241</v>
      </c>
      <c r="N58" t="s">
        <v>76</v>
      </c>
      <c r="O58" s="18"/>
      <c r="P58" s="18"/>
      <c r="Q58" s="97"/>
      <c r="R58" s="97"/>
      <c r="S58" s="97"/>
      <c r="T58" s="97"/>
      <c r="U58" s="97"/>
      <c r="V58" s="97"/>
      <c r="W58" s="97"/>
      <c r="X58" s="51"/>
      <c r="Y58" s="18" t="e">
        <f>AVERAGEIFS([1]!Table2912[DMD '[mg/g']],[1]!Table2912[Substrate ID],Table29128[[#This Row],[Substrate ID]])</f>
        <v>#REF!</v>
      </c>
      <c r="Z58" s="18" t="e">
        <f>AVERAGEIFS([1]!Table2912[CH4 '[ml/g']],[1]!Table2912[Substrate ID],Table29128[[#This Row],[Substrate ID]])</f>
        <v>#REF!</v>
      </c>
      <c r="AA58" s="18" t="e">
        <f>AVERAGEIFS([1]!Table2912[CH4 '[% GP']],[1]!Table2912[Substrate ID],Table29128[[#This Row],[Substrate ID]])</f>
        <v>#REF!</v>
      </c>
      <c r="AB58" s="18" t="e">
        <f>AVERAGEIFS([1]!Table2912[CH4 '[g/g DDM']],[1]!Table2912[Substrate ID],Table29128[[#This Row],[Substrate ID]])</f>
        <v>#REF!</v>
      </c>
      <c r="AC58" s="18" t="e">
        <f>$CP$17*Table29128[[#This Row],[DMD '[mg/g']]]+$CQ$17*Table29128[[#This Row],[CH4 '[g/g DDM']]]</f>
        <v>#REF!</v>
      </c>
      <c r="AD58" s="18" t="e">
        <f>_xlfn.RANK.AVG(Table29128[[#This Row],[Index]],Table29128[Index])</f>
        <v>#REF!</v>
      </c>
      <c r="AE58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58" s="18" t="e">
        <f>Table29128[[#This Row],[CH4 '[ml/g']]]/Table29128[[#This Row],[APB]]</f>
        <v>#REF!</v>
      </c>
      <c r="AG58" s="18" t="e">
        <f>Table29128[[#This Row],[Propionate '[%']]]/Table29128[[#This Row],[Acetate '[%']]]</f>
        <v>#DIV/0!</v>
      </c>
      <c r="AH58" s="51"/>
      <c r="AI58" s="18"/>
      <c r="AJ58" s="18"/>
      <c r="AK58" s="135" t="e">
        <f t="shared" si="4"/>
        <v>#REF!</v>
      </c>
      <c r="AL58" s="18"/>
      <c r="AM58" s="135" t="e">
        <f t="shared" si="5"/>
        <v>#REF!</v>
      </c>
      <c r="AN58" s="18" t="e">
        <f>(Table29128[[#This Row],[CH4 '[g/g DDM']]]-AN$15)/AN$15%</f>
        <v>#REF!</v>
      </c>
      <c r="AO58" s="18"/>
      <c r="AP58" s="18"/>
      <c r="AR58" t="e">
        <f>_xlfn.NORM.DIST(Table29128[[#This Row],[GP '[ml/g']]],O$6,O$2,FALSE)</f>
        <v>#DIV/0!</v>
      </c>
      <c r="AS58" t="e">
        <f>_xlfn.NORM.DIST(Table29128[[#This Row],[SCFA '[mmol/g']]],P$6,P$2,FALSE)</f>
        <v>#DIV/0!</v>
      </c>
      <c r="AT58" t="e">
        <f>_xlfn.NORM.DIST(Table29128[[#This Row],[Acetate '[%']]],Q$6,Q$2,FALSE)</f>
        <v>#DIV/0!</v>
      </c>
      <c r="AU58" t="e">
        <f>_xlfn.NORM.DIST(Table29128[[#This Row],[Propionate '[%']]],R$6,R$2,FALSE)</f>
        <v>#DIV/0!</v>
      </c>
      <c r="AV58" t="e">
        <f>_xlfn.NORM.DIST(Table29128[[#This Row],[Butyrate '[%']]],S$6,S$2,FALSE)</f>
        <v>#DIV/0!</v>
      </c>
      <c r="AW58" t="e">
        <f>_xlfn.NORM.DIST(Table29128[[#This Row],[Valerate '[%']]],T$6,T$2,FALSE)</f>
        <v>#DIV/0!</v>
      </c>
      <c r="AX58" t="e">
        <f>_xlfn.NORM.DIST(Table29128[[#This Row],[Caproate '[%']]],U$6,U$2,FALSE)</f>
        <v>#DIV/0!</v>
      </c>
      <c r="AY58" t="e">
        <f>_xlfn.NORM.DIST(Table29128[[#This Row],[Isobutyrate '[%']]],V$6,V$2,FALSE)</f>
        <v>#DIV/0!</v>
      </c>
      <c r="AZ58" t="e">
        <f>_xlfn.NORM.DIST(Table29128[[#This Row],[Isovalerate '[%']]],W$6,W$2,FALSE)</f>
        <v>#DIV/0!</v>
      </c>
      <c r="BA58" t="e">
        <f>_xlfn.NORM.DIST(Table29128[[#This Row],[CH4 '[g/mmol SCFA']]],X$6,X$2,FALSE)</f>
        <v>#DIV/0!</v>
      </c>
      <c r="BB58" t="e">
        <f>_xlfn.NORM.DIST(Table29128[[#This Row],[DMD '[mg/g']]],Y$6,Y$2,FALSE)</f>
        <v>#REF!</v>
      </c>
      <c r="BC58" t="e">
        <f>_xlfn.NORM.DIST(Table29128[[#This Row],[CH4 '[ml/g']]],Z$6,Z$2,FALSE)</f>
        <v>#REF!</v>
      </c>
      <c r="BD58" t="e">
        <f>_xlfn.NORM.DIST(Table29128[[#This Row],[CH4 '[% GP']]],AA$6,AA$2,FALSE)</f>
        <v>#REF!</v>
      </c>
      <c r="BE58" t="e">
        <f>_xlfn.NORM.DIST(Table29128[[#This Row],[CH4 '[g/g DDM']]],AB$6,AB$2,FALSE)</f>
        <v>#REF!</v>
      </c>
      <c r="BG58">
        <f>IF(Table29128[[#This Row],[GP '[ml/g']]]&lt;O$10,_xlfn.NORM.DIST(Table29128[[#This Row],[GP '[ml/g']]],O$6,O$2,FALSE),-100)</f>
        <v>-100</v>
      </c>
      <c r="BH58">
        <f>IF(Table29128[[#This Row],[SCFA '[mmol/g']]]&lt;P$10,_xlfn.NORM.DIST(Table29128[[#This Row],[SCFA '[mmol/g']]],P$6,P$2,FALSE),-100)</f>
        <v>-100</v>
      </c>
      <c r="BI58">
        <f>IF(Table29128[[#This Row],[Acetate '[%']]]&lt;Q$10,_xlfn.NORM.DIST(Table29128[[#This Row],[Acetate '[%']]],Q$6,Q$2,FALSE),-100)</f>
        <v>-100</v>
      </c>
      <c r="BJ58">
        <f>IF(Table29128[[#This Row],[Propionate '[%']]]&lt;R$10,_xlfn.NORM.DIST(Table29128[[#This Row],[Propionate '[%']]],R$6,R$2,FALSE),-100)</f>
        <v>-100</v>
      </c>
      <c r="BK58">
        <f>IF(Table29128[[#This Row],[Butyrate '[%']]]&lt;S$10,_xlfn.NORM.DIST(Table29128[[#This Row],[Butyrate '[%']]],S$6,S$2,FALSE),-100)</f>
        <v>-100</v>
      </c>
      <c r="BL58">
        <f>IF(Table29128[[#This Row],[Valerate '[%']]]&lt;T$10,_xlfn.NORM.DIST(Table29128[[#This Row],[Valerate '[%']]],T$6,T$2,FALSE),-100)</f>
        <v>-100</v>
      </c>
      <c r="BM58">
        <f>IF(Table29128[[#This Row],[Caproate '[%']]]&lt;U$10,_xlfn.NORM.DIST(Table29128[[#This Row],[Caproate '[%']]],U$6,U$2,FALSE),-100)</f>
        <v>-100</v>
      </c>
      <c r="BN58">
        <f>IF(Table29128[[#This Row],[Isobutyrate '[%']]]&lt;V$10,_xlfn.NORM.DIST(Table29128[[#This Row],[Isobutyrate '[%']]],V$6,V$2,FALSE),-100)</f>
        <v>-100</v>
      </c>
      <c r="BO58">
        <f>IF(Table29128[[#This Row],[Isovalerate '[%']]]&lt;W$10,_xlfn.NORM.DIST(Table29128[[#This Row],[Isovalerate '[%']]],W$6,W$2,FALSE),-100)</f>
        <v>-100</v>
      </c>
      <c r="BP58">
        <f>IF(Table29128[[#This Row],[CH4 '[g/mmol SCFA']]]&lt;X$10,_xlfn.NORM.DIST(Table29128[[#This Row],[CH4 '[g/mmol SCFA']]],X$6,X$2,FALSE),-100)</f>
        <v>-100</v>
      </c>
      <c r="BQ58" t="e">
        <f>IF(Table29128[[#This Row],[DMD '[mg/g']]]&gt;Y$10,_xlfn.NORM.DIST(Table29128[[#This Row],[DMD '[mg/g']]],Y$6,Y$2,FALSE),-100)</f>
        <v>#REF!</v>
      </c>
      <c r="BR58" t="e">
        <f>IF(Table29128[[#This Row],[CH4 '[ml/g']]]&lt;Z$10,_xlfn.NORM.DIST(Table29128[[#This Row],[CH4 '[ml/g']]],Z$6,Z$2,FALSE),-100)</f>
        <v>#REF!</v>
      </c>
      <c r="BS58" t="e">
        <f>IF(Table29128[[#This Row],[CH4 '[% GP']]]&lt;AA$10,_xlfn.NORM.DIST(Table29128[[#This Row],[CH4 '[% GP']]],AA$6,AA$2,FALSE),-100)</f>
        <v>#REF!</v>
      </c>
      <c r="BT58" t="e">
        <f>IF(Table29128[[#This Row],[CH4 '[g/g DDM']]]&lt;AB$10,_xlfn.NORM.DIST(Table29128[[#This Row],[CH4 '[g/g DDM']]],AB$6,AB$2,FALSE),-100)</f>
        <v>#REF!</v>
      </c>
    </row>
    <row r="59" spans="1:72" x14ac:dyDescent="0.25">
      <c r="A59" s="12" t="s">
        <v>86</v>
      </c>
      <c r="B59" s="13">
        <v>1089</v>
      </c>
      <c r="C59" s="104" t="s">
        <v>298</v>
      </c>
      <c r="D59" s="104" t="s">
        <v>299</v>
      </c>
      <c r="E59" s="104" t="s">
        <v>300</v>
      </c>
      <c r="F59" s="104" t="s">
        <v>301</v>
      </c>
      <c r="G59" s="23" t="s">
        <v>143</v>
      </c>
      <c r="H59" s="23" t="s">
        <v>144</v>
      </c>
      <c r="I59" s="32" t="s">
        <v>52</v>
      </c>
      <c r="J59" s="70">
        <v>1</v>
      </c>
      <c r="K59" s="70"/>
      <c r="L59" s="70"/>
      <c r="M59" t="s">
        <v>301</v>
      </c>
      <c r="N59" t="s">
        <v>145</v>
      </c>
      <c r="O59" s="18"/>
      <c r="P59" s="18"/>
      <c r="Q59" s="97"/>
      <c r="R59" s="97"/>
      <c r="S59" s="97"/>
      <c r="T59" s="97"/>
      <c r="U59" s="97"/>
      <c r="V59" s="97"/>
      <c r="W59" s="97"/>
      <c r="X59" s="51"/>
      <c r="Y59" s="18" t="e">
        <f>AVERAGEIFS([1]!Table2912[DMD '[mg/g']],[1]!Table2912[Substrate ID],Table29128[[#This Row],[Substrate ID]])</f>
        <v>#REF!</v>
      </c>
      <c r="Z59" s="18" t="e">
        <f>AVERAGEIFS([1]!Table2912[CH4 '[ml/g']],[1]!Table2912[Substrate ID],Table29128[[#This Row],[Substrate ID]])</f>
        <v>#REF!</v>
      </c>
      <c r="AA59" s="18" t="e">
        <f>AVERAGEIFS([1]!Table2912[CH4 '[% GP']],[1]!Table2912[Substrate ID],Table29128[[#This Row],[Substrate ID]])</f>
        <v>#REF!</v>
      </c>
      <c r="AB59" s="18" t="e">
        <f>AVERAGEIFS([1]!Table2912[CH4 '[g/g DDM']],[1]!Table2912[Substrate ID],Table29128[[#This Row],[Substrate ID]])</f>
        <v>#REF!</v>
      </c>
      <c r="AC59" s="18" t="e">
        <f>$CP$17*Table29128[[#This Row],[DMD '[mg/g']]]+$CQ$17*Table29128[[#This Row],[CH4 '[g/g DDM']]]</f>
        <v>#REF!</v>
      </c>
      <c r="AD59" s="18" t="e">
        <f>_xlfn.RANK.AVG(Table29128[[#This Row],[Index]],Table29128[Index])</f>
        <v>#REF!</v>
      </c>
      <c r="AE59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59" s="18" t="e">
        <f>Table29128[[#This Row],[CH4 '[ml/g']]]/Table29128[[#This Row],[APB]]</f>
        <v>#REF!</v>
      </c>
      <c r="AG59" s="18" t="e">
        <f>Table29128[[#This Row],[Propionate '[%']]]/Table29128[[#This Row],[Acetate '[%']]]</f>
        <v>#DIV/0!</v>
      </c>
      <c r="AH59" s="51"/>
      <c r="AI59" s="18"/>
      <c r="AJ59" s="18"/>
      <c r="AK59" s="135" t="e">
        <f t="shared" si="4"/>
        <v>#REF!</v>
      </c>
      <c r="AL59" s="18"/>
      <c r="AM59" s="135" t="e">
        <f t="shared" si="5"/>
        <v>#REF!</v>
      </c>
      <c r="AN59" s="18" t="e">
        <f>(Table29128[[#This Row],[CH4 '[g/g DDM']]]-AN$15)/AN$15%</f>
        <v>#REF!</v>
      </c>
      <c r="AO59" s="18"/>
      <c r="AP59" s="18"/>
      <c r="AR59" t="e">
        <f>_xlfn.NORM.DIST(Table29128[[#This Row],[GP '[ml/g']]],O$6,O$2,FALSE)</f>
        <v>#DIV/0!</v>
      </c>
      <c r="AS59" t="e">
        <f>_xlfn.NORM.DIST(Table29128[[#This Row],[SCFA '[mmol/g']]],P$6,P$2,FALSE)</f>
        <v>#DIV/0!</v>
      </c>
      <c r="AT59" t="e">
        <f>_xlfn.NORM.DIST(Table29128[[#This Row],[Acetate '[%']]],Q$6,Q$2,FALSE)</f>
        <v>#DIV/0!</v>
      </c>
      <c r="AU59" t="e">
        <f>_xlfn.NORM.DIST(Table29128[[#This Row],[Propionate '[%']]],R$6,R$2,FALSE)</f>
        <v>#DIV/0!</v>
      </c>
      <c r="AV59" t="e">
        <f>_xlfn.NORM.DIST(Table29128[[#This Row],[Butyrate '[%']]],S$6,S$2,FALSE)</f>
        <v>#DIV/0!</v>
      </c>
      <c r="AW59" t="e">
        <f>_xlfn.NORM.DIST(Table29128[[#This Row],[Valerate '[%']]],T$6,T$2,FALSE)</f>
        <v>#DIV/0!</v>
      </c>
      <c r="AX59" t="e">
        <f>_xlfn.NORM.DIST(Table29128[[#This Row],[Caproate '[%']]],U$6,U$2,FALSE)</f>
        <v>#DIV/0!</v>
      </c>
      <c r="AY59" t="e">
        <f>_xlfn.NORM.DIST(Table29128[[#This Row],[Isobutyrate '[%']]],V$6,V$2,FALSE)</f>
        <v>#DIV/0!</v>
      </c>
      <c r="AZ59" t="e">
        <f>_xlfn.NORM.DIST(Table29128[[#This Row],[Isovalerate '[%']]],W$6,W$2,FALSE)</f>
        <v>#DIV/0!</v>
      </c>
      <c r="BA59" t="e">
        <f>_xlfn.NORM.DIST(Table29128[[#This Row],[CH4 '[g/mmol SCFA']]],X$6,X$2,FALSE)</f>
        <v>#DIV/0!</v>
      </c>
      <c r="BB59" t="e">
        <f>_xlfn.NORM.DIST(Table29128[[#This Row],[DMD '[mg/g']]],Y$6,Y$2,FALSE)</f>
        <v>#REF!</v>
      </c>
      <c r="BC59" t="e">
        <f>_xlfn.NORM.DIST(Table29128[[#This Row],[CH4 '[ml/g']]],Z$6,Z$2,FALSE)</f>
        <v>#REF!</v>
      </c>
      <c r="BD59" t="e">
        <f>_xlfn.NORM.DIST(Table29128[[#This Row],[CH4 '[% GP']]],AA$6,AA$2,FALSE)</f>
        <v>#REF!</v>
      </c>
      <c r="BE59" t="e">
        <f>_xlfn.NORM.DIST(Table29128[[#This Row],[CH4 '[g/g DDM']]],AB$6,AB$2,FALSE)</f>
        <v>#REF!</v>
      </c>
      <c r="BG59">
        <f>IF(Table29128[[#This Row],[GP '[ml/g']]]&lt;O$10,_xlfn.NORM.DIST(Table29128[[#This Row],[GP '[ml/g']]],O$6,O$2,FALSE),-100)</f>
        <v>-100</v>
      </c>
      <c r="BH59">
        <f>IF(Table29128[[#This Row],[SCFA '[mmol/g']]]&lt;P$10,_xlfn.NORM.DIST(Table29128[[#This Row],[SCFA '[mmol/g']]],P$6,P$2,FALSE),-100)</f>
        <v>-100</v>
      </c>
      <c r="BI59">
        <f>IF(Table29128[[#This Row],[Acetate '[%']]]&lt;Q$10,_xlfn.NORM.DIST(Table29128[[#This Row],[Acetate '[%']]],Q$6,Q$2,FALSE),-100)</f>
        <v>-100</v>
      </c>
      <c r="BJ59">
        <f>IF(Table29128[[#This Row],[Propionate '[%']]]&lt;R$10,_xlfn.NORM.DIST(Table29128[[#This Row],[Propionate '[%']]],R$6,R$2,FALSE),-100)</f>
        <v>-100</v>
      </c>
      <c r="BK59">
        <f>IF(Table29128[[#This Row],[Butyrate '[%']]]&lt;S$10,_xlfn.NORM.DIST(Table29128[[#This Row],[Butyrate '[%']]],S$6,S$2,FALSE),-100)</f>
        <v>-100</v>
      </c>
      <c r="BL59">
        <f>IF(Table29128[[#This Row],[Valerate '[%']]]&lt;T$10,_xlfn.NORM.DIST(Table29128[[#This Row],[Valerate '[%']]],T$6,T$2,FALSE),-100)</f>
        <v>-100</v>
      </c>
      <c r="BM59">
        <f>IF(Table29128[[#This Row],[Caproate '[%']]]&lt;U$10,_xlfn.NORM.DIST(Table29128[[#This Row],[Caproate '[%']]],U$6,U$2,FALSE),-100)</f>
        <v>-100</v>
      </c>
      <c r="BN59">
        <f>IF(Table29128[[#This Row],[Isobutyrate '[%']]]&lt;V$10,_xlfn.NORM.DIST(Table29128[[#This Row],[Isobutyrate '[%']]],V$6,V$2,FALSE),-100)</f>
        <v>-100</v>
      </c>
      <c r="BO59">
        <f>IF(Table29128[[#This Row],[Isovalerate '[%']]]&lt;W$10,_xlfn.NORM.DIST(Table29128[[#This Row],[Isovalerate '[%']]],W$6,W$2,FALSE),-100)</f>
        <v>-100</v>
      </c>
      <c r="BP59">
        <f>IF(Table29128[[#This Row],[CH4 '[g/mmol SCFA']]]&lt;X$10,_xlfn.NORM.DIST(Table29128[[#This Row],[CH4 '[g/mmol SCFA']]],X$6,X$2,FALSE),-100)</f>
        <v>-100</v>
      </c>
      <c r="BQ59" t="e">
        <f>IF(Table29128[[#This Row],[DMD '[mg/g']]]&gt;Y$10,_xlfn.NORM.DIST(Table29128[[#This Row],[DMD '[mg/g']]],Y$6,Y$2,FALSE),-100)</f>
        <v>#REF!</v>
      </c>
      <c r="BR59" t="e">
        <f>IF(Table29128[[#This Row],[CH4 '[ml/g']]]&lt;Z$10,_xlfn.NORM.DIST(Table29128[[#This Row],[CH4 '[ml/g']]],Z$6,Z$2,FALSE),-100)</f>
        <v>#REF!</v>
      </c>
      <c r="BS59" t="e">
        <f>IF(Table29128[[#This Row],[CH4 '[% GP']]]&lt;AA$10,_xlfn.NORM.DIST(Table29128[[#This Row],[CH4 '[% GP']]],AA$6,AA$2,FALSE),-100)</f>
        <v>#REF!</v>
      </c>
      <c r="BT59" t="e">
        <f>IF(Table29128[[#This Row],[CH4 '[g/g DDM']]]&lt;AB$10,_xlfn.NORM.DIST(Table29128[[#This Row],[CH4 '[g/g DDM']]],AB$6,AB$2,FALSE),-100)</f>
        <v>#REF!</v>
      </c>
    </row>
    <row r="60" spans="1:72" x14ac:dyDescent="0.25">
      <c r="A60" s="12" t="s">
        <v>70</v>
      </c>
      <c r="B60" s="13">
        <v>1038</v>
      </c>
      <c r="C60" s="102" t="s">
        <v>372</v>
      </c>
      <c r="D60" t="s">
        <v>373</v>
      </c>
      <c r="E60" t="s">
        <v>374</v>
      </c>
      <c r="F60" t="s">
        <v>375</v>
      </c>
      <c r="G60" t="s">
        <v>143</v>
      </c>
      <c r="H60" t="s">
        <v>144</v>
      </c>
      <c r="I60" t="s">
        <v>52</v>
      </c>
      <c r="J60" s="70">
        <v>1</v>
      </c>
      <c r="K60" s="70" t="s">
        <v>627</v>
      </c>
      <c r="L60" s="70"/>
      <c r="M60" t="s">
        <v>375</v>
      </c>
      <c r="N60" t="s">
        <v>80</v>
      </c>
      <c r="O60" s="18"/>
      <c r="P60" s="18"/>
      <c r="Q60" s="97"/>
      <c r="R60" s="97"/>
      <c r="S60" s="97"/>
      <c r="T60" s="97"/>
      <c r="U60" s="97"/>
      <c r="V60" s="97"/>
      <c r="W60" s="97"/>
      <c r="X60" s="51"/>
      <c r="Y60" s="18" t="e">
        <f>AVERAGEIFS([1]!Table2912[DMD '[mg/g']],[1]!Table2912[Substrate ID],Table29128[[#This Row],[Substrate ID]])</f>
        <v>#REF!</v>
      </c>
      <c r="Z60" s="18" t="e">
        <f>AVERAGEIFS([1]!Table2912[CH4 '[ml/g']],[1]!Table2912[Substrate ID],Table29128[[#This Row],[Substrate ID]])</f>
        <v>#REF!</v>
      </c>
      <c r="AA60" s="18" t="e">
        <f>AVERAGEIFS([1]!Table2912[CH4 '[% GP']],[1]!Table2912[Substrate ID],Table29128[[#This Row],[Substrate ID]])</f>
        <v>#REF!</v>
      </c>
      <c r="AB60" s="18" t="e">
        <f>AVERAGEIFS([1]!Table2912[CH4 '[g/g DDM']],[1]!Table2912[Substrate ID],Table29128[[#This Row],[Substrate ID]])</f>
        <v>#REF!</v>
      </c>
      <c r="AC60" s="18" t="e">
        <f>$CP$17*Table29128[[#This Row],[DMD '[mg/g']]]+$CQ$17*Table29128[[#This Row],[CH4 '[g/g DDM']]]</f>
        <v>#REF!</v>
      </c>
      <c r="AD60" s="18" t="e">
        <f>_xlfn.RANK.AVG(Table29128[[#This Row],[Index]],Table29128[Index])</f>
        <v>#REF!</v>
      </c>
      <c r="AE60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60" s="18" t="e">
        <f>Table29128[[#This Row],[CH4 '[ml/g']]]/Table29128[[#This Row],[APB]]</f>
        <v>#REF!</v>
      </c>
      <c r="AG60" s="18" t="e">
        <f>Table29128[[#This Row],[Propionate '[%']]]/Table29128[[#This Row],[Acetate '[%']]]</f>
        <v>#DIV/0!</v>
      </c>
      <c r="AH60" s="51"/>
      <c r="AI60" s="18"/>
      <c r="AJ60" s="18"/>
      <c r="AK60" s="135" t="e">
        <f t="shared" si="4"/>
        <v>#REF!</v>
      </c>
      <c r="AL60" s="18"/>
      <c r="AM60" s="135" t="e">
        <f t="shared" si="5"/>
        <v>#REF!</v>
      </c>
      <c r="AN60" s="18" t="e">
        <f>(Table29128[[#This Row],[CH4 '[g/g DDM']]]-AN$15)/AN$15%</f>
        <v>#REF!</v>
      </c>
      <c r="AO60" s="18"/>
      <c r="AP60" s="18"/>
      <c r="AR60" t="e">
        <f>_xlfn.NORM.DIST(Table29128[[#This Row],[GP '[ml/g']]],O$6,O$2,FALSE)</f>
        <v>#DIV/0!</v>
      </c>
      <c r="AS60" t="e">
        <f>_xlfn.NORM.DIST(Table29128[[#This Row],[SCFA '[mmol/g']]],P$6,P$2,FALSE)</f>
        <v>#DIV/0!</v>
      </c>
      <c r="AT60" t="e">
        <f>_xlfn.NORM.DIST(Table29128[[#This Row],[Acetate '[%']]],Q$6,Q$2,FALSE)</f>
        <v>#DIV/0!</v>
      </c>
      <c r="AU60" t="e">
        <f>_xlfn.NORM.DIST(Table29128[[#This Row],[Propionate '[%']]],R$6,R$2,FALSE)</f>
        <v>#DIV/0!</v>
      </c>
      <c r="AV60" t="e">
        <f>_xlfn.NORM.DIST(Table29128[[#This Row],[Butyrate '[%']]],S$6,S$2,FALSE)</f>
        <v>#DIV/0!</v>
      </c>
      <c r="AW60" t="e">
        <f>_xlfn.NORM.DIST(Table29128[[#This Row],[Valerate '[%']]],T$6,T$2,FALSE)</f>
        <v>#DIV/0!</v>
      </c>
      <c r="AX60" t="e">
        <f>_xlfn.NORM.DIST(Table29128[[#This Row],[Caproate '[%']]],U$6,U$2,FALSE)</f>
        <v>#DIV/0!</v>
      </c>
      <c r="AY60" t="e">
        <f>_xlfn.NORM.DIST(Table29128[[#This Row],[Isobutyrate '[%']]],V$6,V$2,FALSE)</f>
        <v>#DIV/0!</v>
      </c>
      <c r="AZ60" t="e">
        <f>_xlfn.NORM.DIST(Table29128[[#This Row],[Isovalerate '[%']]],W$6,W$2,FALSE)</f>
        <v>#DIV/0!</v>
      </c>
      <c r="BA60" t="e">
        <f>_xlfn.NORM.DIST(Table29128[[#This Row],[CH4 '[g/mmol SCFA']]],X$6,X$2,FALSE)</f>
        <v>#DIV/0!</v>
      </c>
      <c r="BB60" t="e">
        <f>_xlfn.NORM.DIST(Table29128[[#This Row],[DMD '[mg/g']]],Y$6,Y$2,FALSE)</f>
        <v>#REF!</v>
      </c>
      <c r="BC60" t="e">
        <f>_xlfn.NORM.DIST(Table29128[[#This Row],[CH4 '[ml/g']]],Z$6,Z$2,FALSE)</f>
        <v>#REF!</v>
      </c>
      <c r="BD60" t="e">
        <f>_xlfn.NORM.DIST(Table29128[[#This Row],[CH4 '[% GP']]],AA$6,AA$2,FALSE)</f>
        <v>#REF!</v>
      </c>
      <c r="BE60" t="e">
        <f>_xlfn.NORM.DIST(Table29128[[#This Row],[CH4 '[g/g DDM']]],AB$6,AB$2,FALSE)</f>
        <v>#REF!</v>
      </c>
      <c r="BG60">
        <f>IF(Table29128[[#This Row],[GP '[ml/g']]]&lt;O$10,_xlfn.NORM.DIST(Table29128[[#This Row],[GP '[ml/g']]],O$6,O$2,FALSE),-100)</f>
        <v>-100</v>
      </c>
      <c r="BH60">
        <f>IF(Table29128[[#This Row],[SCFA '[mmol/g']]]&lt;P$10,_xlfn.NORM.DIST(Table29128[[#This Row],[SCFA '[mmol/g']]],P$6,P$2,FALSE),-100)</f>
        <v>-100</v>
      </c>
      <c r="BI60">
        <f>IF(Table29128[[#This Row],[Acetate '[%']]]&lt;Q$10,_xlfn.NORM.DIST(Table29128[[#This Row],[Acetate '[%']]],Q$6,Q$2,FALSE),-100)</f>
        <v>-100</v>
      </c>
      <c r="BJ60">
        <f>IF(Table29128[[#This Row],[Propionate '[%']]]&lt;R$10,_xlfn.NORM.DIST(Table29128[[#This Row],[Propionate '[%']]],R$6,R$2,FALSE),-100)</f>
        <v>-100</v>
      </c>
      <c r="BK60">
        <f>IF(Table29128[[#This Row],[Butyrate '[%']]]&lt;S$10,_xlfn.NORM.DIST(Table29128[[#This Row],[Butyrate '[%']]],S$6,S$2,FALSE),-100)</f>
        <v>-100</v>
      </c>
      <c r="BL60">
        <f>IF(Table29128[[#This Row],[Valerate '[%']]]&lt;T$10,_xlfn.NORM.DIST(Table29128[[#This Row],[Valerate '[%']]],T$6,T$2,FALSE),-100)</f>
        <v>-100</v>
      </c>
      <c r="BM60">
        <f>IF(Table29128[[#This Row],[Caproate '[%']]]&lt;U$10,_xlfn.NORM.DIST(Table29128[[#This Row],[Caproate '[%']]],U$6,U$2,FALSE),-100)</f>
        <v>-100</v>
      </c>
      <c r="BN60">
        <f>IF(Table29128[[#This Row],[Isobutyrate '[%']]]&lt;V$10,_xlfn.NORM.DIST(Table29128[[#This Row],[Isobutyrate '[%']]],V$6,V$2,FALSE),-100)</f>
        <v>-100</v>
      </c>
      <c r="BO60">
        <f>IF(Table29128[[#This Row],[Isovalerate '[%']]]&lt;W$10,_xlfn.NORM.DIST(Table29128[[#This Row],[Isovalerate '[%']]],W$6,W$2,FALSE),-100)</f>
        <v>-100</v>
      </c>
      <c r="BP60">
        <f>IF(Table29128[[#This Row],[CH4 '[g/mmol SCFA']]]&lt;X$10,_xlfn.NORM.DIST(Table29128[[#This Row],[CH4 '[g/mmol SCFA']]],X$6,X$2,FALSE),-100)</f>
        <v>-100</v>
      </c>
      <c r="BQ60" t="e">
        <f>IF(Table29128[[#This Row],[DMD '[mg/g']]]&gt;Y$10,_xlfn.NORM.DIST(Table29128[[#This Row],[DMD '[mg/g']]],Y$6,Y$2,FALSE),-100)</f>
        <v>#REF!</v>
      </c>
      <c r="BR60" t="e">
        <f>IF(Table29128[[#This Row],[CH4 '[ml/g']]]&lt;Z$10,_xlfn.NORM.DIST(Table29128[[#This Row],[CH4 '[ml/g']]],Z$6,Z$2,FALSE),-100)</f>
        <v>#REF!</v>
      </c>
      <c r="BS60" t="e">
        <f>IF(Table29128[[#This Row],[CH4 '[% GP']]]&lt;AA$10,_xlfn.NORM.DIST(Table29128[[#This Row],[CH4 '[% GP']]],AA$6,AA$2,FALSE),-100)</f>
        <v>#REF!</v>
      </c>
      <c r="BT60" t="e">
        <f>IF(Table29128[[#This Row],[CH4 '[g/g DDM']]]&lt;AB$10,_xlfn.NORM.DIST(Table29128[[#This Row],[CH4 '[g/g DDM']]],AB$6,AB$2,FALSE),-100)</f>
        <v>#REF!</v>
      </c>
    </row>
    <row r="61" spans="1:72" x14ac:dyDescent="0.25">
      <c r="A61" s="12" t="s">
        <v>70</v>
      </c>
      <c r="B61" s="13">
        <v>1041</v>
      </c>
      <c r="C61" s="32" t="s">
        <v>319</v>
      </c>
      <c r="D61" t="s">
        <v>320</v>
      </c>
      <c r="E61" t="s">
        <v>321</v>
      </c>
      <c r="F61" t="s">
        <v>301</v>
      </c>
      <c r="G61" s="108" t="s">
        <v>73</v>
      </c>
      <c r="H61" s="108" t="s">
        <v>74</v>
      </c>
      <c r="I61" s="109" t="s">
        <v>75</v>
      </c>
      <c r="J61" s="70">
        <v>1</v>
      </c>
      <c r="K61" s="70"/>
      <c r="L61" s="70"/>
      <c r="M61" t="s">
        <v>322</v>
      </c>
      <c r="N61" t="s">
        <v>80</v>
      </c>
      <c r="O61" s="18"/>
      <c r="P61" s="18"/>
      <c r="Q61" s="97"/>
      <c r="R61" s="97"/>
      <c r="S61" s="97"/>
      <c r="T61" s="97"/>
      <c r="U61" s="97"/>
      <c r="V61" s="97"/>
      <c r="W61" s="97"/>
      <c r="X61" s="51"/>
      <c r="Y61" s="18" t="e">
        <f>AVERAGEIFS([1]!Table2912[DMD '[mg/g']],[1]!Table2912[Substrate ID],Table29128[[#This Row],[Substrate ID]])</f>
        <v>#REF!</v>
      </c>
      <c r="Z61" s="18" t="e">
        <f>AVERAGEIFS([1]!Table2912[CH4 '[ml/g']],[1]!Table2912[Substrate ID],Table29128[[#This Row],[Substrate ID]])</f>
        <v>#REF!</v>
      </c>
      <c r="AA61" s="18" t="e">
        <f>AVERAGEIFS([1]!Table2912[CH4 '[% GP']],[1]!Table2912[Substrate ID],Table29128[[#This Row],[Substrate ID]])</f>
        <v>#REF!</v>
      </c>
      <c r="AB61" s="18" t="e">
        <f>AVERAGEIFS([1]!Table2912[CH4 '[g/g DDM']],[1]!Table2912[Substrate ID],Table29128[[#This Row],[Substrate ID]])</f>
        <v>#REF!</v>
      </c>
      <c r="AC61" s="18" t="e">
        <f>$CP$17*Table29128[[#This Row],[DMD '[mg/g']]]+$CQ$17*Table29128[[#This Row],[CH4 '[g/g DDM']]]</f>
        <v>#REF!</v>
      </c>
      <c r="AD61" s="18" t="e">
        <f>_xlfn.RANK.AVG(Table29128[[#This Row],[Index]],Table29128[Index])</f>
        <v>#REF!</v>
      </c>
      <c r="AE61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61" s="18" t="e">
        <f>Table29128[[#This Row],[CH4 '[ml/g']]]/Table29128[[#This Row],[APB]]</f>
        <v>#REF!</v>
      </c>
      <c r="AG61" s="18" t="e">
        <f>Table29128[[#This Row],[Propionate '[%']]]/Table29128[[#This Row],[Acetate '[%']]]</f>
        <v>#DIV/0!</v>
      </c>
      <c r="AH61" s="51"/>
      <c r="AI61" s="18"/>
      <c r="AJ61" s="18"/>
      <c r="AK61" s="135" t="e">
        <f t="shared" si="4"/>
        <v>#REF!</v>
      </c>
      <c r="AL61" s="18"/>
      <c r="AM61" s="135" t="e">
        <f t="shared" si="5"/>
        <v>#REF!</v>
      </c>
      <c r="AN61" s="18" t="e">
        <f>(Table29128[[#This Row],[CH4 '[g/g DDM']]]-AN$15)/AN$15%</f>
        <v>#REF!</v>
      </c>
      <c r="AO61" s="18"/>
      <c r="AP61" s="18"/>
      <c r="AR61" t="e">
        <f>_xlfn.NORM.DIST(Table29128[[#This Row],[GP '[ml/g']]],O$6,O$2,FALSE)</f>
        <v>#DIV/0!</v>
      </c>
      <c r="AS61" t="e">
        <f>_xlfn.NORM.DIST(Table29128[[#This Row],[SCFA '[mmol/g']]],P$6,P$2,FALSE)</f>
        <v>#DIV/0!</v>
      </c>
      <c r="AT61" t="e">
        <f>_xlfn.NORM.DIST(Table29128[[#This Row],[Acetate '[%']]],Q$6,Q$2,FALSE)</f>
        <v>#DIV/0!</v>
      </c>
      <c r="AU61" t="e">
        <f>_xlfn.NORM.DIST(Table29128[[#This Row],[Propionate '[%']]],R$6,R$2,FALSE)</f>
        <v>#DIV/0!</v>
      </c>
      <c r="AV61" t="e">
        <f>_xlfn.NORM.DIST(Table29128[[#This Row],[Butyrate '[%']]],S$6,S$2,FALSE)</f>
        <v>#DIV/0!</v>
      </c>
      <c r="AW61" t="e">
        <f>_xlfn.NORM.DIST(Table29128[[#This Row],[Valerate '[%']]],T$6,T$2,FALSE)</f>
        <v>#DIV/0!</v>
      </c>
      <c r="AX61" t="e">
        <f>_xlfn.NORM.DIST(Table29128[[#This Row],[Caproate '[%']]],U$6,U$2,FALSE)</f>
        <v>#DIV/0!</v>
      </c>
      <c r="AY61" t="e">
        <f>_xlfn.NORM.DIST(Table29128[[#This Row],[Isobutyrate '[%']]],V$6,V$2,FALSE)</f>
        <v>#DIV/0!</v>
      </c>
      <c r="AZ61" t="e">
        <f>_xlfn.NORM.DIST(Table29128[[#This Row],[Isovalerate '[%']]],W$6,W$2,FALSE)</f>
        <v>#DIV/0!</v>
      </c>
      <c r="BA61" t="e">
        <f>_xlfn.NORM.DIST(Table29128[[#This Row],[CH4 '[g/mmol SCFA']]],X$6,X$2,FALSE)</f>
        <v>#DIV/0!</v>
      </c>
      <c r="BB61" t="e">
        <f>_xlfn.NORM.DIST(Table29128[[#This Row],[DMD '[mg/g']]],Y$6,Y$2,FALSE)</f>
        <v>#REF!</v>
      </c>
      <c r="BC61" t="e">
        <f>_xlfn.NORM.DIST(Table29128[[#This Row],[CH4 '[ml/g']]],Z$6,Z$2,FALSE)</f>
        <v>#REF!</v>
      </c>
      <c r="BD61" t="e">
        <f>_xlfn.NORM.DIST(Table29128[[#This Row],[CH4 '[% GP']]],AA$6,AA$2,FALSE)</f>
        <v>#REF!</v>
      </c>
      <c r="BE61" t="e">
        <f>_xlfn.NORM.DIST(Table29128[[#This Row],[CH4 '[g/g DDM']]],AB$6,AB$2,FALSE)</f>
        <v>#REF!</v>
      </c>
      <c r="BG61">
        <f>IF(Table29128[[#This Row],[GP '[ml/g']]]&lt;O$10,_xlfn.NORM.DIST(Table29128[[#This Row],[GP '[ml/g']]],O$6,O$2,FALSE),-100)</f>
        <v>-100</v>
      </c>
      <c r="BH61">
        <f>IF(Table29128[[#This Row],[SCFA '[mmol/g']]]&lt;P$10,_xlfn.NORM.DIST(Table29128[[#This Row],[SCFA '[mmol/g']]],P$6,P$2,FALSE),-100)</f>
        <v>-100</v>
      </c>
      <c r="BI61">
        <f>IF(Table29128[[#This Row],[Acetate '[%']]]&lt;Q$10,_xlfn.NORM.DIST(Table29128[[#This Row],[Acetate '[%']]],Q$6,Q$2,FALSE),-100)</f>
        <v>-100</v>
      </c>
      <c r="BJ61">
        <f>IF(Table29128[[#This Row],[Propionate '[%']]]&lt;R$10,_xlfn.NORM.DIST(Table29128[[#This Row],[Propionate '[%']]],R$6,R$2,FALSE),-100)</f>
        <v>-100</v>
      </c>
      <c r="BK61">
        <f>IF(Table29128[[#This Row],[Butyrate '[%']]]&lt;S$10,_xlfn.NORM.DIST(Table29128[[#This Row],[Butyrate '[%']]],S$6,S$2,FALSE),-100)</f>
        <v>-100</v>
      </c>
      <c r="BL61">
        <f>IF(Table29128[[#This Row],[Valerate '[%']]]&lt;T$10,_xlfn.NORM.DIST(Table29128[[#This Row],[Valerate '[%']]],T$6,T$2,FALSE),-100)</f>
        <v>-100</v>
      </c>
      <c r="BM61">
        <f>IF(Table29128[[#This Row],[Caproate '[%']]]&lt;U$10,_xlfn.NORM.DIST(Table29128[[#This Row],[Caproate '[%']]],U$6,U$2,FALSE),-100)</f>
        <v>-100</v>
      </c>
      <c r="BN61">
        <f>IF(Table29128[[#This Row],[Isobutyrate '[%']]]&lt;V$10,_xlfn.NORM.DIST(Table29128[[#This Row],[Isobutyrate '[%']]],V$6,V$2,FALSE),-100)</f>
        <v>-100</v>
      </c>
      <c r="BO61">
        <f>IF(Table29128[[#This Row],[Isovalerate '[%']]]&lt;W$10,_xlfn.NORM.DIST(Table29128[[#This Row],[Isovalerate '[%']]],W$6,W$2,FALSE),-100)</f>
        <v>-100</v>
      </c>
      <c r="BP61">
        <f>IF(Table29128[[#This Row],[CH4 '[g/mmol SCFA']]]&lt;X$10,_xlfn.NORM.DIST(Table29128[[#This Row],[CH4 '[g/mmol SCFA']]],X$6,X$2,FALSE),-100)</f>
        <v>-100</v>
      </c>
      <c r="BQ61" t="e">
        <f>IF(Table29128[[#This Row],[DMD '[mg/g']]]&gt;Y$10,_xlfn.NORM.DIST(Table29128[[#This Row],[DMD '[mg/g']]],Y$6,Y$2,FALSE),-100)</f>
        <v>#REF!</v>
      </c>
      <c r="BR61" t="e">
        <f>IF(Table29128[[#This Row],[CH4 '[ml/g']]]&lt;Z$10,_xlfn.NORM.DIST(Table29128[[#This Row],[CH4 '[ml/g']]],Z$6,Z$2,FALSE),-100)</f>
        <v>#REF!</v>
      </c>
      <c r="BS61" t="e">
        <f>IF(Table29128[[#This Row],[CH4 '[% GP']]]&lt;AA$10,_xlfn.NORM.DIST(Table29128[[#This Row],[CH4 '[% GP']]],AA$6,AA$2,FALSE),-100)</f>
        <v>#REF!</v>
      </c>
      <c r="BT61" t="e">
        <f>IF(Table29128[[#This Row],[CH4 '[g/g DDM']]]&lt;AB$10,_xlfn.NORM.DIST(Table29128[[#This Row],[CH4 '[g/g DDM']]],AB$6,AB$2,FALSE),-100)</f>
        <v>#REF!</v>
      </c>
    </row>
    <row r="62" spans="1:72" x14ac:dyDescent="0.25">
      <c r="A62" s="12" t="s">
        <v>200</v>
      </c>
      <c r="B62" s="13">
        <v>1194</v>
      </c>
      <c r="C62" s="113" t="s">
        <v>616</v>
      </c>
      <c r="D62" s="113" t="s">
        <v>617</v>
      </c>
      <c r="E62" s="113" t="s">
        <v>618</v>
      </c>
      <c r="F62" s="113" t="s">
        <v>619</v>
      </c>
      <c r="G62" t="s">
        <v>457</v>
      </c>
      <c r="H62" t="s">
        <v>458</v>
      </c>
      <c r="I62" s="53" t="s">
        <v>48</v>
      </c>
      <c r="J62" s="70">
        <v>1</v>
      </c>
      <c r="K62" s="70" t="s">
        <v>627</v>
      </c>
      <c r="L62" s="70"/>
      <c r="M62" t="s">
        <v>620</v>
      </c>
      <c r="N62" t="s">
        <v>363</v>
      </c>
      <c r="O62" s="18"/>
      <c r="P62" s="18"/>
      <c r="Q62" s="97"/>
      <c r="R62" s="97"/>
      <c r="S62" s="97"/>
      <c r="T62" s="97"/>
      <c r="U62" s="97"/>
      <c r="V62" s="97"/>
      <c r="W62" s="97"/>
      <c r="X62" s="51"/>
      <c r="Y62" s="18" t="e">
        <f>AVERAGEIFS([1]!Table2912[DMD '[mg/g']],[1]!Table2912[Substrate ID],Table29128[[#This Row],[Substrate ID]])</f>
        <v>#REF!</v>
      </c>
      <c r="Z62" s="18" t="e">
        <f>AVERAGEIFS([1]!Table2912[CH4 '[ml/g']],[1]!Table2912[Substrate ID],Table29128[[#This Row],[Substrate ID]])</f>
        <v>#REF!</v>
      </c>
      <c r="AA62" s="18" t="e">
        <f>AVERAGEIFS([1]!Table2912[CH4 '[% GP']],[1]!Table2912[Substrate ID],Table29128[[#This Row],[Substrate ID]])</f>
        <v>#REF!</v>
      </c>
      <c r="AB62" s="18" t="e">
        <f>AVERAGEIFS([1]!Table2912[CH4 '[g/g DDM']],[1]!Table2912[Substrate ID],Table29128[[#This Row],[Substrate ID]])</f>
        <v>#REF!</v>
      </c>
      <c r="AC62" s="18" t="e">
        <f>$CP$17*Table29128[[#This Row],[DMD '[mg/g']]]+$CQ$17*Table29128[[#This Row],[CH4 '[g/g DDM']]]</f>
        <v>#REF!</v>
      </c>
      <c r="AD62" s="18" t="e">
        <f>_xlfn.RANK.AVG(Table29128[[#This Row],[Index]],Table29128[Index])</f>
        <v>#REF!</v>
      </c>
      <c r="AE62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62" s="18" t="e">
        <f>Table29128[[#This Row],[CH4 '[ml/g']]]/Table29128[[#This Row],[APB]]</f>
        <v>#REF!</v>
      </c>
      <c r="AG62" s="18" t="e">
        <f>Table29128[[#This Row],[Propionate '[%']]]/Table29128[[#This Row],[Acetate '[%']]]</f>
        <v>#DIV/0!</v>
      </c>
      <c r="AH62" s="51"/>
      <c r="AI62" s="18"/>
      <c r="AJ62" s="18"/>
      <c r="AK62" s="135" t="e">
        <f t="shared" si="4"/>
        <v>#REF!</v>
      </c>
      <c r="AL62" s="18"/>
      <c r="AM62" s="135" t="e">
        <f t="shared" si="5"/>
        <v>#REF!</v>
      </c>
      <c r="AN62" s="18" t="e">
        <f>(Table29128[[#This Row],[CH4 '[g/g DDM']]]-AN$15)/AN$15%</f>
        <v>#REF!</v>
      </c>
      <c r="AO62" s="18"/>
      <c r="AP62" s="18"/>
      <c r="AR62" t="e">
        <f>_xlfn.NORM.DIST(Table29128[[#This Row],[GP '[ml/g']]],O$6,O$2,FALSE)</f>
        <v>#DIV/0!</v>
      </c>
      <c r="AS62" t="e">
        <f>_xlfn.NORM.DIST(Table29128[[#This Row],[SCFA '[mmol/g']]],P$6,P$2,FALSE)</f>
        <v>#DIV/0!</v>
      </c>
      <c r="AT62" t="e">
        <f>_xlfn.NORM.DIST(Table29128[[#This Row],[Acetate '[%']]],Q$6,Q$2,FALSE)</f>
        <v>#DIV/0!</v>
      </c>
      <c r="AU62" t="e">
        <f>_xlfn.NORM.DIST(Table29128[[#This Row],[Propionate '[%']]],R$6,R$2,FALSE)</f>
        <v>#DIV/0!</v>
      </c>
      <c r="AV62" t="e">
        <f>_xlfn.NORM.DIST(Table29128[[#This Row],[Butyrate '[%']]],S$6,S$2,FALSE)</f>
        <v>#DIV/0!</v>
      </c>
      <c r="AW62" t="e">
        <f>_xlfn.NORM.DIST(Table29128[[#This Row],[Valerate '[%']]],T$6,T$2,FALSE)</f>
        <v>#DIV/0!</v>
      </c>
      <c r="AX62" t="e">
        <f>_xlfn.NORM.DIST(Table29128[[#This Row],[Caproate '[%']]],U$6,U$2,FALSE)</f>
        <v>#DIV/0!</v>
      </c>
      <c r="AY62" t="e">
        <f>_xlfn.NORM.DIST(Table29128[[#This Row],[Isobutyrate '[%']]],V$6,V$2,FALSE)</f>
        <v>#DIV/0!</v>
      </c>
      <c r="AZ62" t="e">
        <f>_xlfn.NORM.DIST(Table29128[[#This Row],[Isovalerate '[%']]],W$6,W$2,FALSE)</f>
        <v>#DIV/0!</v>
      </c>
      <c r="BA62" t="e">
        <f>_xlfn.NORM.DIST(Table29128[[#This Row],[CH4 '[g/mmol SCFA']]],X$6,X$2,FALSE)</f>
        <v>#DIV/0!</v>
      </c>
      <c r="BB62" t="e">
        <f>_xlfn.NORM.DIST(Table29128[[#This Row],[DMD '[mg/g']]],Y$6,Y$2,FALSE)</f>
        <v>#REF!</v>
      </c>
      <c r="BC62" t="e">
        <f>_xlfn.NORM.DIST(Table29128[[#This Row],[CH4 '[ml/g']]],Z$6,Z$2,FALSE)</f>
        <v>#REF!</v>
      </c>
      <c r="BD62" t="e">
        <f>_xlfn.NORM.DIST(Table29128[[#This Row],[CH4 '[% GP']]],AA$6,AA$2,FALSE)</f>
        <v>#REF!</v>
      </c>
      <c r="BE62" t="e">
        <f>_xlfn.NORM.DIST(Table29128[[#This Row],[CH4 '[g/g DDM']]],AB$6,AB$2,FALSE)</f>
        <v>#REF!</v>
      </c>
      <c r="BG62">
        <f>IF(Table29128[[#This Row],[GP '[ml/g']]]&lt;O$10,_xlfn.NORM.DIST(Table29128[[#This Row],[GP '[ml/g']]],O$6,O$2,FALSE),-100)</f>
        <v>-100</v>
      </c>
      <c r="BH62">
        <f>IF(Table29128[[#This Row],[SCFA '[mmol/g']]]&lt;P$10,_xlfn.NORM.DIST(Table29128[[#This Row],[SCFA '[mmol/g']]],P$6,P$2,FALSE),-100)</f>
        <v>-100</v>
      </c>
      <c r="BI62">
        <f>IF(Table29128[[#This Row],[Acetate '[%']]]&lt;Q$10,_xlfn.NORM.DIST(Table29128[[#This Row],[Acetate '[%']]],Q$6,Q$2,FALSE),-100)</f>
        <v>-100</v>
      </c>
      <c r="BJ62">
        <f>IF(Table29128[[#This Row],[Propionate '[%']]]&lt;R$10,_xlfn.NORM.DIST(Table29128[[#This Row],[Propionate '[%']]],R$6,R$2,FALSE),-100)</f>
        <v>-100</v>
      </c>
      <c r="BK62">
        <f>IF(Table29128[[#This Row],[Butyrate '[%']]]&lt;S$10,_xlfn.NORM.DIST(Table29128[[#This Row],[Butyrate '[%']]],S$6,S$2,FALSE),-100)</f>
        <v>-100</v>
      </c>
      <c r="BL62">
        <f>IF(Table29128[[#This Row],[Valerate '[%']]]&lt;T$10,_xlfn.NORM.DIST(Table29128[[#This Row],[Valerate '[%']]],T$6,T$2,FALSE),-100)</f>
        <v>-100</v>
      </c>
      <c r="BM62">
        <f>IF(Table29128[[#This Row],[Caproate '[%']]]&lt;U$10,_xlfn.NORM.DIST(Table29128[[#This Row],[Caproate '[%']]],U$6,U$2,FALSE),-100)</f>
        <v>-100</v>
      </c>
      <c r="BN62">
        <f>IF(Table29128[[#This Row],[Isobutyrate '[%']]]&lt;V$10,_xlfn.NORM.DIST(Table29128[[#This Row],[Isobutyrate '[%']]],V$6,V$2,FALSE),-100)</f>
        <v>-100</v>
      </c>
      <c r="BO62">
        <f>IF(Table29128[[#This Row],[Isovalerate '[%']]]&lt;W$10,_xlfn.NORM.DIST(Table29128[[#This Row],[Isovalerate '[%']]],W$6,W$2,FALSE),-100)</f>
        <v>-100</v>
      </c>
      <c r="BP62">
        <f>IF(Table29128[[#This Row],[CH4 '[g/mmol SCFA']]]&lt;X$10,_xlfn.NORM.DIST(Table29128[[#This Row],[CH4 '[g/mmol SCFA']]],X$6,X$2,FALSE),-100)</f>
        <v>-100</v>
      </c>
      <c r="BQ62" t="e">
        <f>IF(Table29128[[#This Row],[DMD '[mg/g']]]&gt;Y$10,_xlfn.NORM.DIST(Table29128[[#This Row],[DMD '[mg/g']]],Y$6,Y$2,FALSE),-100)</f>
        <v>#REF!</v>
      </c>
      <c r="BR62" t="e">
        <f>IF(Table29128[[#This Row],[CH4 '[ml/g']]]&lt;Z$10,_xlfn.NORM.DIST(Table29128[[#This Row],[CH4 '[ml/g']]],Z$6,Z$2,FALSE),-100)</f>
        <v>#REF!</v>
      </c>
      <c r="BS62" t="e">
        <f>IF(Table29128[[#This Row],[CH4 '[% GP']]]&lt;AA$10,_xlfn.NORM.DIST(Table29128[[#This Row],[CH4 '[% GP']]],AA$6,AA$2,FALSE),-100)</f>
        <v>#REF!</v>
      </c>
      <c r="BT62" t="e">
        <f>IF(Table29128[[#This Row],[CH4 '[g/g DDM']]]&lt;AB$10,_xlfn.NORM.DIST(Table29128[[#This Row],[CH4 '[g/g DDM']]],AB$6,AB$2,FALSE),-100)</f>
        <v>#REF!</v>
      </c>
    </row>
    <row r="63" spans="1:72" x14ac:dyDescent="0.25">
      <c r="A63" s="12" t="s">
        <v>200</v>
      </c>
      <c r="B63" s="13">
        <v>1183</v>
      </c>
      <c r="C63" s="113" t="s">
        <v>464</v>
      </c>
      <c r="D63" s="113" t="s">
        <v>465</v>
      </c>
      <c r="E63" s="113" t="s">
        <v>466</v>
      </c>
      <c r="F63" s="113" t="s">
        <v>467</v>
      </c>
      <c r="G63" t="s">
        <v>457</v>
      </c>
      <c r="H63" t="s">
        <v>458</v>
      </c>
      <c r="I63" s="53" t="s">
        <v>48</v>
      </c>
      <c r="J63" s="70">
        <v>1</v>
      </c>
      <c r="K63" s="70"/>
      <c r="L63" s="70"/>
      <c r="M63" t="s">
        <v>468</v>
      </c>
      <c r="N63" t="s">
        <v>363</v>
      </c>
      <c r="O63" s="18"/>
      <c r="P63" s="18"/>
      <c r="Q63" s="97"/>
      <c r="R63" s="97"/>
      <c r="S63" s="97"/>
      <c r="T63" s="97"/>
      <c r="U63" s="97"/>
      <c r="V63" s="97"/>
      <c r="W63" s="97"/>
      <c r="X63" s="51"/>
      <c r="Y63" s="18" t="e">
        <f>AVERAGEIFS([1]!Table2912[DMD '[mg/g']],[1]!Table2912[Substrate ID],Table29128[[#This Row],[Substrate ID]])</f>
        <v>#REF!</v>
      </c>
      <c r="Z63" s="18" t="e">
        <f>AVERAGEIFS([1]!Table2912[CH4 '[ml/g']],[1]!Table2912[Substrate ID],Table29128[[#This Row],[Substrate ID]])</f>
        <v>#REF!</v>
      </c>
      <c r="AA63" s="18" t="e">
        <f>AVERAGEIFS([1]!Table2912[CH4 '[% GP']],[1]!Table2912[Substrate ID],Table29128[[#This Row],[Substrate ID]])</f>
        <v>#REF!</v>
      </c>
      <c r="AB63" s="18" t="e">
        <f>AVERAGEIFS([1]!Table2912[CH4 '[g/g DDM']],[1]!Table2912[Substrate ID],Table29128[[#This Row],[Substrate ID]])</f>
        <v>#REF!</v>
      </c>
      <c r="AC63" s="18" t="e">
        <f>$CP$17*Table29128[[#This Row],[DMD '[mg/g']]]+$CQ$17*Table29128[[#This Row],[CH4 '[g/g DDM']]]</f>
        <v>#REF!</v>
      </c>
      <c r="AD63" s="18" t="e">
        <f>_xlfn.RANK.AVG(Table29128[[#This Row],[Index]],Table29128[Index])</f>
        <v>#REF!</v>
      </c>
      <c r="AE63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63" s="18" t="e">
        <f>Table29128[[#This Row],[CH4 '[ml/g']]]/Table29128[[#This Row],[APB]]</f>
        <v>#REF!</v>
      </c>
      <c r="AG63" s="18" t="e">
        <f>Table29128[[#This Row],[Propionate '[%']]]/Table29128[[#This Row],[Acetate '[%']]]</f>
        <v>#DIV/0!</v>
      </c>
      <c r="AH63" s="51"/>
      <c r="AI63" s="18"/>
      <c r="AJ63" s="18"/>
      <c r="AK63" s="135" t="e">
        <f t="shared" si="4"/>
        <v>#REF!</v>
      </c>
      <c r="AL63" s="18"/>
      <c r="AM63" s="135" t="e">
        <f t="shared" si="5"/>
        <v>#REF!</v>
      </c>
      <c r="AN63" s="18" t="e">
        <f>(Table29128[[#This Row],[CH4 '[g/g DDM']]]-AN$15)/AN$15%</f>
        <v>#REF!</v>
      </c>
      <c r="AO63" s="18"/>
      <c r="AP63" s="18"/>
      <c r="AR63" t="e">
        <f>_xlfn.NORM.DIST(Table29128[[#This Row],[GP '[ml/g']]],O$6,O$2,FALSE)</f>
        <v>#DIV/0!</v>
      </c>
      <c r="AS63" t="e">
        <f>_xlfn.NORM.DIST(Table29128[[#This Row],[SCFA '[mmol/g']]],P$6,P$2,FALSE)</f>
        <v>#DIV/0!</v>
      </c>
      <c r="AT63" t="e">
        <f>_xlfn.NORM.DIST(Table29128[[#This Row],[Acetate '[%']]],Q$6,Q$2,FALSE)</f>
        <v>#DIV/0!</v>
      </c>
      <c r="AU63" t="e">
        <f>_xlfn.NORM.DIST(Table29128[[#This Row],[Propionate '[%']]],R$6,R$2,FALSE)</f>
        <v>#DIV/0!</v>
      </c>
      <c r="AV63" t="e">
        <f>_xlfn.NORM.DIST(Table29128[[#This Row],[Butyrate '[%']]],S$6,S$2,FALSE)</f>
        <v>#DIV/0!</v>
      </c>
      <c r="AW63" t="e">
        <f>_xlfn.NORM.DIST(Table29128[[#This Row],[Valerate '[%']]],T$6,T$2,FALSE)</f>
        <v>#DIV/0!</v>
      </c>
      <c r="AX63" t="e">
        <f>_xlfn.NORM.DIST(Table29128[[#This Row],[Caproate '[%']]],U$6,U$2,FALSE)</f>
        <v>#DIV/0!</v>
      </c>
      <c r="AY63" t="e">
        <f>_xlfn.NORM.DIST(Table29128[[#This Row],[Isobutyrate '[%']]],V$6,V$2,FALSE)</f>
        <v>#DIV/0!</v>
      </c>
      <c r="AZ63" t="e">
        <f>_xlfn.NORM.DIST(Table29128[[#This Row],[Isovalerate '[%']]],W$6,W$2,FALSE)</f>
        <v>#DIV/0!</v>
      </c>
      <c r="BA63" t="e">
        <f>_xlfn.NORM.DIST(Table29128[[#This Row],[CH4 '[g/mmol SCFA']]],X$6,X$2,FALSE)</f>
        <v>#DIV/0!</v>
      </c>
      <c r="BB63" t="e">
        <f>_xlfn.NORM.DIST(Table29128[[#This Row],[DMD '[mg/g']]],Y$6,Y$2,FALSE)</f>
        <v>#REF!</v>
      </c>
      <c r="BC63" t="e">
        <f>_xlfn.NORM.DIST(Table29128[[#This Row],[CH4 '[ml/g']]],Z$6,Z$2,FALSE)</f>
        <v>#REF!</v>
      </c>
      <c r="BD63" t="e">
        <f>_xlfn.NORM.DIST(Table29128[[#This Row],[CH4 '[% GP']]],AA$6,AA$2,FALSE)</f>
        <v>#REF!</v>
      </c>
      <c r="BE63" t="e">
        <f>_xlfn.NORM.DIST(Table29128[[#This Row],[CH4 '[g/g DDM']]],AB$6,AB$2,FALSE)</f>
        <v>#REF!</v>
      </c>
      <c r="BG63">
        <f>IF(Table29128[[#This Row],[GP '[ml/g']]]&lt;O$10,_xlfn.NORM.DIST(Table29128[[#This Row],[GP '[ml/g']]],O$6,O$2,FALSE),-100)</f>
        <v>-100</v>
      </c>
      <c r="BH63">
        <f>IF(Table29128[[#This Row],[SCFA '[mmol/g']]]&lt;P$10,_xlfn.NORM.DIST(Table29128[[#This Row],[SCFA '[mmol/g']]],P$6,P$2,FALSE),-100)</f>
        <v>-100</v>
      </c>
      <c r="BI63">
        <f>IF(Table29128[[#This Row],[Acetate '[%']]]&lt;Q$10,_xlfn.NORM.DIST(Table29128[[#This Row],[Acetate '[%']]],Q$6,Q$2,FALSE),-100)</f>
        <v>-100</v>
      </c>
      <c r="BJ63">
        <f>IF(Table29128[[#This Row],[Propionate '[%']]]&lt;R$10,_xlfn.NORM.DIST(Table29128[[#This Row],[Propionate '[%']]],R$6,R$2,FALSE),-100)</f>
        <v>-100</v>
      </c>
      <c r="BK63">
        <f>IF(Table29128[[#This Row],[Butyrate '[%']]]&lt;S$10,_xlfn.NORM.DIST(Table29128[[#This Row],[Butyrate '[%']]],S$6,S$2,FALSE),-100)</f>
        <v>-100</v>
      </c>
      <c r="BL63">
        <f>IF(Table29128[[#This Row],[Valerate '[%']]]&lt;T$10,_xlfn.NORM.DIST(Table29128[[#This Row],[Valerate '[%']]],T$6,T$2,FALSE),-100)</f>
        <v>-100</v>
      </c>
      <c r="BM63">
        <f>IF(Table29128[[#This Row],[Caproate '[%']]]&lt;U$10,_xlfn.NORM.DIST(Table29128[[#This Row],[Caproate '[%']]],U$6,U$2,FALSE),-100)</f>
        <v>-100</v>
      </c>
      <c r="BN63">
        <f>IF(Table29128[[#This Row],[Isobutyrate '[%']]]&lt;V$10,_xlfn.NORM.DIST(Table29128[[#This Row],[Isobutyrate '[%']]],V$6,V$2,FALSE),-100)</f>
        <v>-100</v>
      </c>
      <c r="BO63">
        <f>IF(Table29128[[#This Row],[Isovalerate '[%']]]&lt;W$10,_xlfn.NORM.DIST(Table29128[[#This Row],[Isovalerate '[%']]],W$6,W$2,FALSE),-100)</f>
        <v>-100</v>
      </c>
      <c r="BP63">
        <f>IF(Table29128[[#This Row],[CH4 '[g/mmol SCFA']]]&lt;X$10,_xlfn.NORM.DIST(Table29128[[#This Row],[CH4 '[g/mmol SCFA']]],X$6,X$2,FALSE),-100)</f>
        <v>-100</v>
      </c>
      <c r="BQ63" t="e">
        <f>IF(Table29128[[#This Row],[DMD '[mg/g']]]&gt;Y$10,_xlfn.NORM.DIST(Table29128[[#This Row],[DMD '[mg/g']]],Y$6,Y$2,FALSE),-100)</f>
        <v>#REF!</v>
      </c>
      <c r="BR63" t="e">
        <f>IF(Table29128[[#This Row],[CH4 '[ml/g']]]&lt;Z$10,_xlfn.NORM.DIST(Table29128[[#This Row],[CH4 '[ml/g']]],Z$6,Z$2,FALSE),-100)</f>
        <v>#REF!</v>
      </c>
      <c r="BS63" t="e">
        <f>IF(Table29128[[#This Row],[CH4 '[% GP']]]&lt;AA$10,_xlfn.NORM.DIST(Table29128[[#This Row],[CH4 '[% GP']]],AA$6,AA$2,FALSE),-100)</f>
        <v>#REF!</v>
      </c>
      <c r="BT63" t="e">
        <f>IF(Table29128[[#This Row],[CH4 '[g/g DDM']]]&lt;AB$10,_xlfn.NORM.DIST(Table29128[[#This Row],[CH4 '[g/g DDM']]],AB$6,AB$2,FALSE),-100)</f>
        <v>#REF!</v>
      </c>
    </row>
    <row r="64" spans="1:72" x14ac:dyDescent="0.25">
      <c r="A64" s="12" t="s">
        <v>70</v>
      </c>
      <c r="B64" s="13">
        <v>1029</v>
      </c>
      <c r="C64" s="96" t="s">
        <v>368</v>
      </c>
      <c r="D64" s="96"/>
      <c r="E64" s="96"/>
      <c r="F64" s="96" t="s">
        <v>369</v>
      </c>
      <c r="G64" t="s">
        <v>73</v>
      </c>
      <c r="H64" t="s">
        <v>74</v>
      </c>
      <c r="I64" t="s">
        <v>75</v>
      </c>
      <c r="J64" s="70">
        <v>1</v>
      </c>
      <c r="K64" s="70"/>
      <c r="L64" s="70"/>
      <c r="M64" t="s">
        <v>369</v>
      </c>
      <c r="N64" t="s">
        <v>81</v>
      </c>
      <c r="O64" s="18"/>
      <c r="P64" s="18"/>
      <c r="Q64" s="97"/>
      <c r="R64" s="97"/>
      <c r="S64" s="97"/>
      <c r="T64" s="97"/>
      <c r="U64" s="97"/>
      <c r="V64" s="97"/>
      <c r="W64" s="97"/>
      <c r="X64" s="51"/>
      <c r="Y64" s="18" t="e">
        <f>AVERAGEIFS([1]!Table2912[DMD '[mg/g']],[1]!Table2912[Substrate ID],Table29128[[#This Row],[Substrate ID]])</f>
        <v>#REF!</v>
      </c>
      <c r="Z64" s="18" t="e">
        <f>AVERAGEIFS([1]!Table2912[CH4 '[ml/g']],[1]!Table2912[Substrate ID],Table29128[[#This Row],[Substrate ID]])</f>
        <v>#REF!</v>
      </c>
      <c r="AA64" s="18" t="e">
        <f>AVERAGEIFS([1]!Table2912[CH4 '[% GP']],[1]!Table2912[Substrate ID],Table29128[[#This Row],[Substrate ID]])</f>
        <v>#REF!</v>
      </c>
      <c r="AB64" s="18" t="e">
        <f>AVERAGEIFS([1]!Table2912[CH4 '[g/g DDM']],[1]!Table2912[Substrate ID],Table29128[[#This Row],[Substrate ID]])</f>
        <v>#REF!</v>
      </c>
      <c r="AC64" s="18" t="e">
        <f>$CP$17*Table29128[[#This Row],[DMD '[mg/g']]]+$CQ$17*Table29128[[#This Row],[CH4 '[g/g DDM']]]</f>
        <v>#REF!</v>
      </c>
      <c r="AD64" s="18" t="e">
        <f>_xlfn.RANK.AVG(Table29128[[#This Row],[Index]],Table29128[Index])</f>
        <v>#REF!</v>
      </c>
      <c r="AE64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64" s="18" t="e">
        <f>Table29128[[#This Row],[CH4 '[ml/g']]]/Table29128[[#This Row],[APB]]</f>
        <v>#REF!</v>
      </c>
      <c r="AG64" s="18" t="e">
        <f>Table29128[[#This Row],[Propionate '[%']]]/Table29128[[#This Row],[Acetate '[%']]]</f>
        <v>#DIV/0!</v>
      </c>
      <c r="AH64" s="51"/>
      <c r="AI64" s="18"/>
      <c r="AJ64" s="18"/>
      <c r="AK64" s="135" t="e">
        <f t="shared" si="4"/>
        <v>#REF!</v>
      </c>
      <c r="AL64" s="18"/>
      <c r="AM64" s="135" t="e">
        <f t="shared" si="5"/>
        <v>#REF!</v>
      </c>
      <c r="AN64" s="18" t="e">
        <f>(Table29128[[#This Row],[CH4 '[g/g DDM']]]-AN$15)/AN$15%</f>
        <v>#REF!</v>
      </c>
      <c r="AO64" s="18"/>
      <c r="AP64" s="18"/>
      <c r="AR64" t="e">
        <f>_xlfn.NORM.DIST(Table29128[[#This Row],[GP '[ml/g']]],O$6,O$2,FALSE)</f>
        <v>#DIV/0!</v>
      </c>
      <c r="AS64" t="e">
        <f>_xlfn.NORM.DIST(Table29128[[#This Row],[SCFA '[mmol/g']]],P$6,P$2,FALSE)</f>
        <v>#DIV/0!</v>
      </c>
      <c r="AT64" t="e">
        <f>_xlfn.NORM.DIST(Table29128[[#This Row],[Acetate '[%']]],Q$6,Q$2,FALSE)</f>
        <v>#DIV/0!</v>
      </c>
      <c r="AU64" t="e">
        <f>_xlfn.NORM.DIST(Table29128[[#This Row],[Propionate '[%']]],R$6,R$2,FALSE)</f>
        <v>#DIV/0!</v>
      </c>
      <c r="AV64" t="e">
        <f>_xlfn.NORM.DIST(Table29128[[#This Row],[Butyrate '[%']]],S$6,S$2,FALSE)</f>
        <v>#DIV/0!</v>
      </c>
      <c r="AW64" t="e">
        <f>_xlfn.NORM.DIST(Table29128[[#This Row],[Valerate '[%']]],T$6,T$2,FALSE)</f>
        <v>#DIV/0!</v>
      </c>
      <c r="AX64" t="e">
        <f>_xlfn.NORM.DIST(Table29128[[#This Row],[Caproate '[%']]],U$6,U$2,FALSE)</f>
        <v>#DIV/0!</v>
      </c>
      <c r="AY64" t="e">
        <f>_xlfn.NORM.DIST(Table29128[[#This Row],[Isobutyrate '[%']]],V$6,V$2,FALSE)</f>
        <v>#DIV/0!</v>
      </c>
      <c r="AZ64" t="e">
        <f>_xlfn.NORM.DIST(Table29128[[#This Row],[Isovalerate '[%']]],W$6,W$2,FALSE)</f>
        <v>#DIV/0!</v>
      </c>
      <c r="BA64" t="e">
        <f>_xlfn.NORM.DIST(Table29128[[#This Row],[CH4 '[g/mmol SCFA']]],X$6,X$2,FALSE)</f>
        <v>#DIV/0!</v>
      </c>
      <c r="BB64" t="e">
        <f>_xlfn.NORM.DIST(Table29128[[#This Row],[DMD '[mg/g']]],Y$6,Y$2,FALSE)</f>
        <v>#REF!</v>
      </c>
      <c r="BC64" t="e">
        <f>_xlfn.NORM.DIST(Table29128[[#This Row],[CH4 '[ml/g']]],Z$6,Z$2,FALSE)</f>
        <v>#REF!</v>
      </c>
      <c r="BD64" t="e">
        <f>_xlfn.NORM.DIST(Table29128[[#This Row],[CH4 '[% GP']]],AA$6,AA$2,FALSE)</f>
        <v>#REF!</v>
      </c>
      <c r="BE64" t="e">
        <f>_xlfn.NORM.DIST(Table29128[[#This Row],[CH4 '[g/g DDM']]],AB$6,AB$2,FALSE)</f>
        <v>#REF!</v>
      </c>
      <c r="BG64">
        <f>IF(Table29128[[#This Row],[GP '[ml/g']]]&lt;O$10,_xlfn.NORM.DIST(Table29128[[#This Row],[GP '[ml/g']]],O$6,O$2,FALSE),-100)</f>
        <v>-100</v>
      </c>
      <c r="BH64">
        <f>IF(Table29128[[#This Row],[SCFA '[mmol/g']]]&lt;P$10,_xlfn.NORM.DIST(Table29128[[#This Row],[SCFA '[mmol/g']]],P$6,P$2,FALSE),-100)</f>
        <v>-100</v>
      </c>
      <c r="BI64">
        <f>IF(Table29128[[#This Row],[Acetate '[%']]]&lt;Q$10,_xlfn.NORM.DIST(Table29128[[#This Row],[Acetate '[%']]],Q$6,Q$2,FALSE),-100)</f>
        <v>-100</v>
      </c>
      <c r="BJ64">
        <f>IF(Table29128[[#This Row],[Propionate '[%']]]&lt;R$10,_xlfn.NORM.DIST(Table29128[[#This Row],[Propionate '[%']]],R$6,R$2,FALSE),-100)</f>
        <v>-100</v>
      </c>
      <c r="BK64">
        <f>IF(Table29128[[#This Row],[Butyrate '[%']]]&lt;S$10,_xlfn.NORM.DIST(Table29128[[#This Row],[Butyrate '[%']]],S$6,S$2,FALSE),-100)</f>
        <v>-100</v>
      </c>
      <c r="BL64">
        <f>IF(Table29128[[#This Row],[Valerate '[%']]]&lt;T$10,_xlfn.NORM.DIST(Table29128[[#This Row],[Valerate '[%']]],T$6,T$2,FALSE),-100)</f>
        <v>-100</v>
      </c>
      <c r="BM64">
        <f>IF(Table29128[[#This Row],[Caproate '[%']]]&lt;U$10,_xlfn.NORM.DIST(Table29128[[#This Row],[Caproate '[%']]],U$6,U$2,FALSE),-100)</f>
        <v>-100</v>
      </c>
      <c r="BN64">
        <f>IF(Table29128[[#This Row],[Isobutyrate '[%']]]&lt;V$10,_xlfn.NORM.DIST(Table29128[[#This Row],[Isobutyrate '[%']]],V$6,V$2,FALSE),-100)</f>
        <v>-100</v>
      </c>
      <c r="BO64">
        <f>IF(Table29128[[#This Row],[Isovalerate '[%']]]&lt;W$10,_xlfn.NORM.DIST(Table29128[[#This Row],[Isovalerate '[%']]],W$6,W$2,FALSE),-100)</f>
        <v>-100</v>
      </c>
      <c r="BP64">
        <f>IF(Table29128[[#This Row],[CH4 '[g/mmol SCFA']]]&lt;X$10,_xlfn.NORM.DIST(Table29128[[#This Row],[CH4 '[g/mmol SCFA']]],X$6,X$2,FALSE),-100)</f>
        <v>-100</v>
      </c>
      <c r="BQ64" t="e">
        <f>IF(Table29128[[#This Row],[DMD '[mg/g']]]&gt;Y$10,_xlfn.NORM.DIST(Table29128[[#This Row],[DMD '[mg/g']]],Y$6,Y$2,FALSE),-100)</f>
        <v>#REF!</v>
      </c>
      <c r="BR64" t="e">
        <f>IF(Table29128[[#This Row],[CH4 '[ml/g']]]&lt;Z$10,_xlfn.NORM.DIST(Table29128[[#This Row],[CH4 '[ml/g']]],Z$6,Z$2,FALSE),-100)</f>
        <v>#REF!</v>
      </c>
      <c r="BS64" t="e">
        <f>IF(Table29128[[#This Row],[CH4 '[% GP']]]&lt;AA$10,_xlfn.NORM.DIST(Table29128[[#This Row],[CH4 '[% GP']]],AA$6,AA$2,FALSE),-100)</f>
        <v>#REF!</v>
      </c>
      <c r="BT64" t="e">
        <f>IF(Table29128[[#This Row],[CH4 '[g/g DDM']]]&lt;AB$10,_xlfn.NORM.DIST(Table29128[[#This Row],[CH4 '[g/g DDM']]],AB$6,AB$2,FALSE),-100)</f>
        <v>#REF!</v>
      </c>
    </row>
    <row r="65" spans="1:72" x14ac:dyDescent="0.25">
      <c r="A65" s="12" t="s">
        <v>70</v>
      </c>
      <c r="B65" s="13">
        <v>1019</v>
      </c>
      <c r="C65" s="96" t="s">
        <v>118</v>
      </c>
      <c r="D65" s="96"/>
      <c r="E65" s="96"/>
      <c r="F65" s="96" t="s">
        <v>119</v>
      </c>
      <c r="G65" t="s">
        <v>73</v>
      </c>
      <c r="H65" t="s">
        <v>74</v>
      </c>
      <c r="I65" t="s">
        <v>75</v>
      </c>
      <c r="J65" s="70">
        <v>1</v>
      </c>
      <c r="K65" s="70"/>
      <c r="L65" s="141"/>
      <c r="M65" t="s">
        <v>119</v>
      </c>
      <c r="N65" t="s">
        <v>76</v>
      </c>
      <c r="O65" s="18"/>
      <c r="P65" s="18"/>
      <c r="Q65" s="97"/>
      <c r="R65" s="97"/>
      <c r="S65" s="97"/>
      <c r="T65" s="97"/>
      <c r="U65" s="97"/>
      <c r="V65" s="97"/>
      <c r="W65" s="97"/>
      <c r="X65" s="51"/>
      <c r="Y65" s="18" t="e">
        <f>AVERAGEIFS([1]!Table2912[DMD '[mg/g']],[1]!Table2912[Substrate ID],Table29128[[#This Row],[Substrate ID]])</f>
        <v>#REF!</v>
      </c>
      <c r="Z65" s="18" t="e">
        <f>AVERAGEIFS([1]!Table2912[CH4 '[ml/g']],[1]!Table2912[Substrate ID],Table29128[[#This Row],[Substrate ID]])</f>
        <v>#REF!</v>
      </c>
      <c r="AA65" s="18" t="e">
        <f>AVERAGEIFS([1]!Table2912[CH4 '[% GP']],[1]!Table2912[Substrate ID],Table29128[[#This Row],[Substrate ID]])</f>
        <v>#REF!</v>
      </c>
      <c r="AB65" s="18" t="e">
        <f>AVERAGEIFS([1]!Table2912[CH4 '[g/g DDM']],[1]!Table2912[Substrate ID],Table29128[[#This Row],[Substrate ID]])</f>
        <v>#REF!</v>
      </c>
      <c r="AC65" s="18" t="e">
        <f>$CP$17*Table29128[[#This Row],[DMD '[mg/g']]]+$CQ$17*Table29128[[#This Row],[CH4 '[g/g DDM']]]</f>
        <v>#REF!</v>
      </c>
      <c r="AD65" s="18" t="e">
        <f>_xlfn.RANK.AVG(Table29128[[#This Row],[Index]],Table29128[Index])</f>
        <v>#REF!</v>
      </c>
      <c r="AE65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65" s="18" t="e">
        <f>Table29128[[#This Row],[CH4 '[ml/g']]]/Table29128[[#This Row],[APB]]</f>
        <v>#REF!</v>
      </c>
      <c r="AG65" s="18" t="e">
        <f>Table29128[[#This Row],[Propionate '[%']]]/Table29128[[#This Row],[Acetate '[%']]]</f>
        <v>#DIV/0!</v>
      </c>
      <c r="AH65" s="51"/>
      <c r="AI65" s="18"/>
      <c r="AJ65" s="18"/>
      <c r="AK65" s="135" t="e">
        <f t="shared" si="4"/>
        <v>#REF!</v>
      </c>
      <c r="AL65" s="18"/>
      <c r="AM65" s="135" t="e">
        <f t="shared" si="5"/>
        <v>#REF!</v>
      </c>
      <c r="AN65" s="18" t="e">
        <f>(Table29128[[#This Row],[CH4 '[g/g DDM']]]-AN$15)/AN$15%</f>
        <v>#REF!</v>
      </c>
      <c r="AO65" s="18"/>
      <c r="AP65" s="18"/>
      <c r="AR65" t="e">
        <f>_xlfn.NORM.DIST(Table29128[[#This Row],[GP '[ml/g']]],O$6,O$2,FALSE)</f>
        <v>#DIV/0!</v>
      </c>
      <c r="AS65" t="e">
        <f>_xlfn.NORM.DIST(Table29128[[#This Row],[SCFA '[mmol/g']]],P$6,P$2,FALSE)</f>
        <v>#DIV/0!</v>
      </c>
      <c r="AT65" t="e">
        <f>_xlfn.NORM.DIST(Table29128[[#This Row],[Acetate '[%']]],Q$6,Q$2,FALSE)</f>
        <v>#DIV/0!</v>
      </c>
      <c r="AU65" t="e">
        <f>_xlfn.NORM.DIST(Table29128[[#This Row],[Propionate '[%']]],R$6,R$2,FALSE)</f>
        <v>#DIV/0!</v>
      </c>
      <c r="AV65" t="e">
        <f>_xlfn.NORM.DIST(Table29128[[#This Row],[Butyrate '[%']]],S$6,S$2,FALSE)</f>
        <v>#DIV/0!</v>
      </c>
      <c r="AW65" t="e">
        <f>_xlfn.NORM.DIST(Table29128[[#This Row],[Valerate '[%']]],T$6,T$2,FALSE)</f>
        <v>#DIV/0!</v>
      </c>
      <c r="AX65" t="e">
        <f>_xlfn.NORM.DIST(Table29128[[#This Row],[Caproate '[%']]],U$6,U$2,FALSE)</f>
        <v>#DIV/0!</v>
      </c>
      <c r="AY65" t="e">
        <f>_xlfn.NORM.DIST(Table29128[[#This Row],[Isobutyrate '[%']]],V$6,V$2,FALSE)</f>
        <v>#DIV/0!</v>
      </c>
      <c r="AZ65" t="e">
        <f>_xlfn.NORM.DIST(Table29128[[#This Row],[Isovalerate '[%']]],W$6,W$2,FALSE)</f>
        <v>#DIV/0!</v>
      </c>
      <c r="BA65" t="e">
        <f>_xlfn.NORM.DIST(Table29128[[#This Row],[CH4 '[g/mmol SCFA']]],X$6,X$2,FALSE)</f>
        <v>#DIV/0!</v>
      </c>
      <c r="BB65" t="e">
        <f>_xlfn.NORM.DIST(Table29128[[#This Row],[DMD '[mg/g']]],Y$6,Y$2,FALSE)</f>
        <v>#REF!</v>
      </c>
      <c r="BC65" t="e">
        <f>_xlfn.NORM.DIST(Table29128[[#This Row],[CH4 '[ml/g']]],Z$6,Z$2,FALSE)</f>
        <v>#REF!</v>
      </c>
      <c r="BD65" t="e">
        <f>_xlfn.NORM.DIST(Table29128[[#This Row],[CH4 '[% GP']]],AA$6,AA$2,FALSE)</f>
        <v>#REF!</v>
      </c>
      <c r="BE65" t="e">
        <f>_xlfn.NORM.DIST(Table29128[[#This Row],[CH4 '[g/g DDM']]],AB$6,AB$2,FALSE)</f>
        <v>#REF!</v>
      </c>
      <c r="BG65">
        <f>IF(Table29128[[#This Row],[GP '[ml/g']]]&lt;O$10,_xlfn.NORM.DIST(Table29128[[#This Row],[GP '[ml/g']]],O$6,O$2,FALSE),-100)</f>
        <v>-100</v>
      </c>
      <c r="BH65">
        <f>IF(Table29128[[#This Row],[SCFA '[mmol/g']]]&lt;P$10,_xlfn.NORM.DIST(Table29128[[#This Row],[SCFA '[mmol/g']]],P$6,P$2,FALSE),-100)</f>
        <v>-100</v>
      </c>
      <c r="BI65">
        <f>IF(Table29128[[#This Row],[Acetate '[%']]]&lt;Q$10,_xlfn.NORM.DIST(Table29128[[#This Row],[Acetate '[%']]],Q$6,Q$2,FALSE),-100)</f>
        <v>-100</v>
      </c>
      <c r="BJ65">
        <f>IF(Table29128[[#This Row],[Propionate '[%']]]&lt;R$10,_xlfn.NORM.DIST(Table29128[[#This Row],[Propionate '[%']]],R$6,R$2,FALSE),-100)</f>
        <v>-100</v>
      </c>
      <c r="BK65">
        <f>IF(Table29128[[#This Row],[Butyrate '[%']]]&lt;S$10,_xlfn.NORM.DIST(Table29128[[#This Row],[Butyrate '[%']]],S$6,S$2,FALSE),-100)</f>
        <v>-100</v>
      </c>
      <c r="BL65">
        <f>IF(Table29128[[#This Row],[Valerate '[%']]]&lt;T$10,_xlfn.NORM.DIST(Table29128[[#This Row],[Valerate '[%']]],T$6,T$2,FALSE),-100)</f>
        <v>-100</v>
      </c>
      <c r="BM65">
        <f>IF(Table29128[[#This Row],[Caproate '[%']]]&lt;U$10,_xlfn.NORM.DIST(Table29128[[#This Row],[Caproate '[%']]],U$6,U$2,FALSE),-100)</f>
        <v>-100</v>
      </c>
      <c r="BN65">
        <f>IF(Table29128[[#This Row],[Isobutyrate '[%']]]&lt;V$10,_xlfn.NORM.DIST(Table29128[[#This Row],[Isobutyrate '[%']]],V$6,V$2,FALSE),-100)</f>
        <v>-100</v>
      </c>
      <c r="BO65">
        <f>IF(Table29128[[#This Row],[Isovalerate '[%']]]&lt;W$10,_xlfn.NORM.DIST(Table29128[[#This Row],[Isovalerate '[%']]],W$6,W$2,FALSE),-100)</f>
        <v>-100</v>
      </c>
      <c r="BP65">
        <f>IF(Table29128[[#This Row],[CH4 '[g/mmol SCFA']]]&lt;X$10,_xlfn.NORM.DIST(Table29128[[#This Row],[CH4 '[g/mmol SCFA']]],X$6,X$2,FALSE),-100)</f>
        <v>-100</v>
      </c>
      <c r="BQ65" t="e">
        <f>IF(Table29128[[#This Row],[DMD '[mg/g']]]&gt;Y$10,_xlfn.NORM.DIST(Table29128[[#This Row],[DMD '[mg/g']]],Y$6,Y$2,FALSE),-100)</f>
        <v>#REF!</v>
      </c>
      <c r="BR65" t="e">
        <f>IF(Table29128[[#This Row],[CH4 '[ml/g']]]&lt;Z$10,_xlfn.NORM.DIST(Table29128[[#This Row],[CH4 '[ml/g']]],Z$6,Z$2,FALSE),-100)</f>
        <v>#REF!</v>
      </c>
      <c r="BS65" t="e">
        <f>IF(Table29128[[#This Row],[CH4 '[% GP']]]&lt;AA$10,_xlfn.NORM.DIST(Table29128[[#This Row],[CH4 '[% GP']]],AA$6,AA$2,FALSE),-100)</f>
        <v>#REF!</v>
      </c>
      <c r="BT65" t="e">
        <f>IF(Table29128[[#This Row],[CH4 '[g/g DDM']]]&lt;AB$10,_xlfn.NORM.DIST(Table29128[[#This Row],[CH4 '[g/g DDM']]],AB$6,AB$2,FALSE),-100)</f>
        <v>#REF!</v>
      </c>
    </row>
    <row r="66" spans="1:72" x14ac:dyDescent="0.25">
      <c r="A66" s="12" t="s">
        <v>86</v>
      </c>
      <c r="B66" s="13">
        <v>1053</v>
      </c>
      <c r="C66" s="112">
        <v>22393</v>
      </c>
      <c r="D66" s="104" t="s">
        <v>103</v>
      </c>
      <c r="E66" s="104" t="s">
        <v>153</v>
      </c>
      <c r="F66" t="s">
        <v>154</v>
      </c>
      <c r="G66" s="32" t="s">
        <v>73</v>
      </c>
      <c r="H66" s="32" t="s">
        <v>74</v>
      </c>
      <c r="I66" s="105" t="s">
        <v>48</v>
      </c>
      <c r="J66" s="70">
        <v>1</v>
      </c>
      <c r="K66" s="70"/>
      <c r="L66" s="70"/>
      <c r="M66" t="s">
        <v>154</v>
      </c>
      <c r="N66" t="s">
        <v>84</v>
      </c>
      <c r="O66" s="18"/>
      <c r="P66" s="18"/>
      <c r="Q66" s="97"/>
      <c r="R66" s="97"/>
      <c r="S66" s="97"/>
      <c r="T66" s="97"/>
      <c r="U66" s="97"/>
      <c r="V66" s="97"/>
      <c r="W66" s="97"/>
      <c r="X66" s="51"/>
      <c r="Y66" s="18" t="e">
        <f>AVERAGEIFS([1]!Table2912[DMD '[mg/g']],[1]!Table2912[Substrate ID],Table29128[[#This Row],[Substrate ID]])</f>
        <v>#REF!</v>
      </c>
      <c r="Z66" s="18" t="e">
        <f>AVERAGEIFS([1]!Table2912[CH4 '[ml/g']],[1]!Table2912[Substrate ID],Table29128[[#This Row],[Substrate ID]])</f>
        <v>#REF!</v>
      </c>
      <c r="AA66" s="18" t="e">
        <f>AVERAGEIFS([1]!Table2912[CH4 '[% GP']],[1]!Table2912[Substrate ID],Table29128[[#This Row],[Substrate ID]])</f>
        <v>#REF!</v>
      </c>
      <c r="AB66" s="18" t="e">
        <f>AVERAGEIFS([1]!Table2912[CH4 '[g/g DDM']],[1]!Table2912[Substrate ID],Table29128[[#This Row],[Substrate ID]])</f>
        <v>#REF!</v>
      </c>
      <c r="AC66" s="18" t="e">
        <f>$CP$17*Table29128[[#This Row],[DMD '[mg/g']]]+$CQ$17*Table29128[[#This Row],[CH4 '[g/g DDM']]]</f>
        <v>#REF!</v>
      </c>
      <c r="AD66" s="18" t="e">
        <f>_xlfn.RANK.AVG(Table29128[[#This Row],[Index]],Table29128[Index])</f>
        <v>#REF!</v>
      </c>
      <c r="AE66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66" s="18" t="e">
        <f>Table29128[[#This Row],[CH4 '[ml/g']]]/Table29128[[#This Row],[APB]]</f>
        <v>#REF!</v>
      </c>
      <c r="AG66" s="18" t="e">
        <f>Table29128[[#This Row],[Propionate '[%']]]/Table29128[[#This Row],[Acetate '[%']]]</f>
        <v>#DIV/0!</v>
      </c>
      <c r="AH66" s="51"/>
      <c r="AI66" s="18"/>
      <c r="AJ66" s="18"/>
      <c r="AK66" s="135" t="e">
        <f t="shared" si="4"/>
        <v>#REF!</v>
      </c>
      <c r="AL66" s="18"/>
      <c r="AM66" s="135" t="e">
        <f t="shared" si="5"/>
        <v>#REF!</v>
      </c>
      <c r="AN66" s="18" t="e">
        <f>(Table29128[[#This Row],[CH4 '[g/g DDM']]]-AN$15)/AN$15%</f>
        <v>#REF!</v>
      </c>
      <c r="AO66" s="18"/>
      <c r="AP66" s="18"/>
      <c r="AR66" t="e">
        <f>_xlfn.NORM.DIST(Table29128[[#This Row],[GP '[ml/g']]],O$6,O$2,FALSE)</f>
        <v>#DIV/0!</v>
      </c>
      <c r="AS66" t="e">
        <f>_xlfn.NORM.DIST(Table29128[[#This Row],[SCFA '[mmol/g']]],P$6,P$2,FALSE)</f>
        <v>#DIV/0!</v>
      </c>
      <c r="AT66" t="e">
        <f>_xlfn.NORM.DIST(Table29128[[#This Row],[Acetate '[%']]],Q$6,Q$2,FALSE)</f>
        <v>#DIV/0!</v>
      </c>
      <c r="AU66" t="e">
        <f>_xlfn.NORM.DIST(Table29128[[#This Row],[Propionate '[%']]],R$6,R$2,FALSE)</f>
        <v>#DIV/0!</v>
      </c>
      <c r="AV66" t="e">
        <f>_xlfn.NORM.DIST(Table29128[[#This Row],[Butyrate '[%']]],S$6,S$2,FALSE)</f>
        <v>#DIV/0!</v>
      </c>
      <c r="AW66" t="e">
        <f>_xlfn.NORM.DIST(Table29128[[#This Row],[Valerate '[%']]],T$6,T$2,FALSE)</f>
        <v>#DIV/0!</v>
      </c>
      <c r="AX66" t="e">
        <f>_xlfn.NORM.DIST(Table29128[[#This Row],[Caproate '[%']]],U$6,U$2,FALSE)</f>
        <v>#DIV/0!</v>
      </c>
      <c r="AY66" t="e">
        <f>_xlfn.NORM.DIST(Table29128[[#This Row],[Isobutyrate '[%']]],V$6,V$2,FALSE)</f>
        <v>#DIV/0!</v>
      </c>
      <c r="AZ66" t="e">
        <f>_xlfn.NORM.DIST(Table29128[[#This Row],[Isovalerate '[%']]],W$6,W$2,FALSE)</f>
        <v>#DIV/0!</v>
      </c>
      <c r="BA66" t="e">
        <f>_xlfn.NORM.DIST(Table29128[[#This Row],[CH4 '[g/mmol SCFA']]],X$6,X$2,FALSE)</f>
        <v>#DIV/0!</v>
      </c>
      <c r="BB66" t="e">
        <f>_xlfn.NORM.DIST(Table29128[[#This Row],[DMD '[mg/g']]],Y$6,Y$2,FALSE)</f>
        <v>#REF!</v>
      </c>
      <c r="BC66" t="e">
        <f>_xlfn.NORM.DIST(Table29128[[#This Row],[CH4 '[ml/g']]],Z$6,Z$2,FALSE)</f>
        <v>#REF!</v>
      </c>
      <c r="BD66" t="e">
        <f>_xlfn.NORM.DIST(Table29128[[#This Row],[CH4 '[% GP']]],AA$6,AA$2,FALSE)</f>
        <v>#REF!</v>
      </c>
      <c r="BE66" t="e">
        <f>_xlfn.NORM.DIST(Table29128[[#This Row],[CH4 '[g/g DDM']]],AB$6,AB$2,FALSE)</f>
        <v>#REF!</v>
      </c>
      <c r="BG66">
        <f>IF(Table29128[[#This Row],[GP '[ml/g']]]&lt;O$10,_xlfn.NORM.DIST(Table29128[[#This Row],[GP '[ml/g']]],O$6,O$2,FALSE),-100)</f>
        <v>-100</v>
      </c>
      <c r="BH66">
        <f>IF(Table29128[[#This Row],[SCFA '[mmol/g']]]&lt;P$10,_xlfn.NORM.DIST(Table29128[[#This Row],[SCFA '[mmol/g']]],P$6,P$2,FALSE),-100)</f>
        <v>-100</v>
      </c>
      <c r="BI66">
        <f>IF(Table29128[[#This Row],[Acetate '[%']]]&lt;Q$10,_xlfn.NORM.DIST(Table29128[[#This Row],[Acetate '[%']]],Q$6,Q$2,FALSE),-100)</f>
        <v>-100</v>
      </c>
      <c r="BJ66">
        <f>IF(Table29128[[#This Row],[Propionate '[%']]]&lt;R$10,_xlfn.NORM.DIST(Table29128[[#This Row],[Propionate '[%']]],R$6,R$2,FALSE),-100)</f>
        <v>-100</v>
      </c>
      <c r="BK66">
        <f>IF(Table29128[[#This Row],[Butyrate '[%']]]&lt;S$10,_xlfn.NORM.DIST(Table29128[[#This Row],[Butyrate '[%']]],S$6,S$2,FALSE),-100)</f>
        <v>-100</v>
      </c>
      <c r="BL66">
        <f>IF(Table29128[[#This Row],[Valerate '[%']]]&lt;T$10,_xlfn.NORM.DIST(Table29128[[#This Row],[Valerate '[%']]],T$6,T$2,FALSE),-100)</f>
        <v>-100</v>
      </c>
      <c r="BM66">
        <f>IF(Table29128[[#This Row],[Caproate '[%']]]&lt;U$10,_xlfn.NORM.DIST(Table29128[[#This Row],[Caproate '[%']]],U$6,U$2,FALSE),-100)</f>
        <v>-100</v>
      </c>
      <c r="BN66">
        <f>IF(Table29128[[#This Row],[Isobutyrate '[%']]]&lt;V$10,_xlfn.NORM.DIST(Table29128[[#This Row],[Isobutyrate '[%']]],V$6,V$2,FALSE),-100)</f>
        <v>-100</v>
      </c>
      <c r="BO66">
        <f>IF(Table29128[[#This Row],[Isovalerate '[%']]]&lt;W$10,_xlfn.NORM.DIST(Table29128[[#This Row],[Isovalerate '[%']]],W$6,W$2,FALSE),-100)</f>
        <v>-100</v>
      </c>
      <c r="BP66">
        <f>IF(Table29128[[#This Row],[CH4 '[g/mmol SCFA']]]&lt;X$10,_xlfn.NORM.DIST(Table29128[[#This Row],[CH4 '[g/mmol SCFA']]],X$6,X$2,FALSE),-100)</f>
        <v>-100</v>
      </c>
      <c r="BQ66" t="e">
        <f>IF(Table29128[[#This Row],[DMD '[mg/g']]]&gt;Y$10,_xlfn.NORM.DIST(Table29128[[#This Row],[DMD '[mg/g']]],Y$6,Y$2,FALSE),-100)</f>
        <v>#REF!</v>
      </c>
      <c r="BR66" t="e">
        <f>IF(Table29128[[#This Row],[CH4 '[ml/g']]]&lt;Z$10,_xlfn.NORM.DIST(Table29128[[#This Row],[CH4 '[ml/g']]],Z$6,Z$2,FALSE),-100)</f>
        <v>#REF!</v>
      </c>
      <c r="BS66" t="e">
        <f>IF(Table29128[[#This Row],[CH4 '[% GP']]]&lt;AA$10,_xlfn.NORM.DIST(Table29128[[#This Row],[CH4 '[% GP']]],AA$6,AA$2,FALSE),-100)</f>
        <v>#REF!</v>
      </c>
      <c r="BT66" t="e">
        <f>IF(Table29128[[#This Row],[CH4 '[g/g DDM']]]&lt;AB$10,_xlfn.NORM.DIST(Table29128[[#This Row],[CH4 '[g/g DDM']]],AB$6,AB$2,FALSE),-100)</f>
        <v>#REF!</v>
      </c>
    </row>
    <row r="67" spans="1:72" x14ac:dyDescent="0.25">
      <c r="A67" s="12" t="s">
        <v>86</v>
      </c>
      <c r="B67" s="13">
        <v>1054</v>
      </c>
      <c r="C67" s="103">
        <v>22396</v>
      </c>
      <c r="D67" s="104" t="s">
        <v>103</v>
      </c>
      <c r="E67" s="104" t="s">
        <v>153</v>
      </c>
      <c r="F67" t="s">
        <v>154</v>
      </c>
      <c r="G67" s="32" t="s">
        <v>73</v>
      </c>
      <c r="H67" s="32" t="s">
        <v>74</v>
      </c>
      <c r="I67" s="105" t="s">
        <v>48</v>
      </c>
      <c r="J67" s="70">
        <v>1</v>
      </c>
      <c r="K67" s="70"/>
      <c r="L67" s="70"/>
      <c r="M67" t="s">
        <v>154</v>
      </c>
      <c r="N67" t="s">
        <v>84</v>
      </c>
      <c r="O67" s="18"/>
      <c r="P67" s="18"/>
      <c r="Q67" s="97"/>
      <c r="R67" s="97"/>
      <c r="S67" s="97"/>
      <c r="T67" s="97"/>
      <c r="U67" s="97"/>
      <c r="V67" s="97"/>
      <c r="W67" s="97"/>
      <c r="X67" s="51"/>
      <c r="Y67" s="18" t="e">
        <f>AVERAGEIFS([1]!Table2912[DMD '[mg/g']],[1]!Table2912[Substrate ID],Table29128[[#This Row],[Substrate ID]])</f>
        <v>#REF!</v>
      </c>
      <c r="Z67" s="18" t="e">
        <f>AVERAGEIFS([1]!Table2912[CH4 '[ml/g']],[1]!Table2912[Substrate ID],Table29128[[#This Row],[Substrate ID]])</f>
        <v>#REF!</v>
      </c>
      <c r="AA67" s="18" t="e">
        <f>AVERAGEIFS([1]!Table2912[CH4 '[% GP']],[1]!Table2912[Substrate ID],Table29128[[#This Row],[Substrate ID]])</f>
        <v>#REF!</v>
      </c>
      <c r="AB67" s="18" t="e">
        <f>AVERAGEIFS([1]!Table2912[CH4 '[g/g DDM']],[1]!Table2912[Substrate ID],Table29128[[#This Row],[Substrate ID]])</f>
        <v>#REF!</v>
      </c>
      <c r="AC67" s="18" t="e">
        <f>$CP$17*Table29128[[#This Row],[DMD '[mg/g']]]+$CQ$17*Table29128[[#This Row],[CH4 '[g/g DDM']]]</f>
        <v>#REF!</v>
      </c>
      <c r="AD67" s="18" t="e">
        <f>_xlfn.RANK.AVG(Table29128[[#This Row],[Index]],Table29128[Index])</f>
        <v>#REF!</v>
      </c>
      <c r="AE67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67" s="18" t="e">
        <f>Table29128[[#This Row],[CH4 '[ml/g']]]/Table29128[[#This Row],[APB]]</f>
        <v>#REF!</v>
      </c>
      <c r="AG67" s="18" t="e">
        <f>Table29128[[#This Row],[Propionate '[%']]]/Table29128[[#This Row],[Acetate '[%']]]</f>
        <v>#DIV/0!</v>
      </c>
      <c r="AH67" s="51"/>
      <c r="AI67" s="18"/>
      <c r="AJ67" s="18"/>
      <c r="AK67" s="135" t="e">
        <f t="shared" si="4"/>
        <v>#REF!</v>
      </c>
      <c r="AL67" s="18"/>
      <c r="AM67" s="135" t="e">
        <f t="shared" si="5"/>
        <v>#REF!</v>
      </c>
      <c r="AN67" s="18" t="e">
        <f>(Table29128[[#This Row],[CH4 '[g/g DDM']]]-AN$15)/AN$15%</f>
        <v>#REF!</v>
      </c>
      <c r="AO67" s="18"/>
      <c r="AP67" s="18"/>
      <c r="AR67" t="e">
        <f>_xlfn.NORM.DIST(Table29128[[#This Row],[GP '[ml/g']]],O$6,O$2,FALSE)</f>
        <v>#DIV/0!</v>
      </c>
      <c r="AS67" t="e">
        <f>_xlfn.NORM.DIST(Table29128[[#This Row],[SCFA '[mmol/g']]],P$6,P$2,FALSE)</f>
        <v>#DIV/0!</v>
      </c>
      <c r="AT67" t="e">
        <f>_xlfn.NORM.DIST(Table29128[[#This Row],[Acetate '[%']]],Q$6,Q$2,FALSE)</f>
        <v>#DIV/0!</v>
      </c>
      <c r="AU67" t="e">
        <f>_xlfn.NORM.DIST(Table29128[[#This Row],[Propionate '[%']]],R$6,R$2,FALSE)</f>
        <v>#DIV/0!</v>
      </c>
      <c r="AV67" t="e">
        <f>_xlfn.NORM.DIST(Table29128[[#This Row],[Butyrate '[%']]],S$6,S$2,FALSE)</f>
        <v>#DIV/0!</v>
      </c>
      <c r="AW67" t="e">
        <f>_xlfn.NORM.DIST(Table29128[[#This Row],[Valerate '[%']]],T$6,T$2,FALSE)</f>
        <v>#DIV/0!</v>
      </c>
      <c r="AX67" t="e">
        <f>_xlfn.NORM.DIST(Table29128[[#This Row],[Caproate '[%']]],U$6,U$2,FALSE)</f>
        <v>#DIV/0!</v>
      </c>
      <c r="AY67" t="e">
        <f>_xlfn.NORM.DIST(Table29128[[#This Row],[Isobutyrate '[%']]],V$6,V$2,FALSE)</f>
        <v>#DIV/0!</v>
      </c>
      <c r="AZ67" t="e">
        <f>_xlfn.NORM.DIST(Table29128[[#This Row],[Isovalerate '[%']]],W$6,W$2,FALSE)</f>
        <v>#DIV/0!</v>
      </c>
      <c r="BA67" t="e">
        <f>_xlfn.NORM.DIST(Table29128[[#This Row],[CH4 '[g/mmol SCFA']]],X$6,X$2,FALSE)</f>
        <v>#DIV/0!</v>
      </c>
      <c r="BB67" t="e">
        <f>_xlfn.NORM.DIST(Table29128[[#This Row],[DMD '[mg/g']]],Y$6,Y$2,FALSE)</f>
        <v>#REF!</v>
      </c>
      <c r="BC67" t="e">
        <f>_xlfn.NORM.DIST(Table29128[[#This Row],[CH4 '[ml/g']]],Z$6,Z$2,FALSE)</f>
        <v>#REF!</v>
      </c>
      <c r="BD67" t="e">
        <f>_xlfn.NORM.DIST(Table29128[[#This Row],[CH4 '[% GP']]],AA$6,AA$2,FALSE)</f>
        <v>#REF!</v>
      </c>
      <c r="BE67" t="e">
        <f>_xlfn.NORM.DIST(Table29128[[#This Row],[CH4 '[g/g DDM']]],AB$6,AB$2,FALSE)</f>
        <v>#REF!</v>
      </c>
      <c r="BG67">
        <f>IF(Table29128[[#This Row],[GP '[ml/g']]]&lt;O$10,_xlfn.NORM.DIST(Table29128[[#This Row],[GP '[ml/g']]],O$6,O$2,FALSE),-100)</f>
        <v>-100</v>
      </c>
      <c r="BH67">
        <f>IF(Table29128[[#This Row],[SCFA '[mmol/g']]]&lt;P$10,_xlfn.NORM.DIST(Table29128[[#This Row],[SCFA '[mmol/g']]],P$6,P$2,FALSE),-100)</f>
        <v>-100</v>
      </c>
      <c r="BI67">
        <f>IF(Table29128[[#This Row],[Acetate '[%']]]&lt;Q$10,_xlfn.NORM.DIST(Table29128[[#This Row],[Acetate '[%']]],Q$6,Q$2,FALSE),-100)</f>
        <v>-100</v>
      </c>
      <c r="BJ67">
        <f>IF(Table29128[[#This Row],[Propionate '[%']]]&lt;R$10,_xlfn.NORM.DIST(Table29128[[#This Row],[Propionate '[%']]],R$6,R$2,FALSE),-100)</f>
        <v>-100</v>
      </c>
      <c r="BK67">
        <f>IF(Table29128[[#This Row],[Butyrate '[%']]]&lt;S$10,_xlfn.NORM.DIST(Table29128[[#This Row],[Butyrate '[%']]],S$6,S$2,FALSE),-100)</f>
        <v>-100</v>
      </c>
      <c r="BL67">
        <f>IF(Table29128[[#This Row],[Valerate '[%']]]&lt;T$10,_xlfn.NORM.DIST(Table29128[[#This Row],[Valerate '[%']]],T$6,T$2,FALSE),-100)</f>
        <v>-100</v>
      </c>
      <c r="BM67">
        <f>IF(Table29128[[#This Row],[Caproate '[%']]]&lt;U$10,_xlfn.NORM.DIST(Table29128[[#This Row],[Caproate '[%']]],U$6,U$2,FALSE),-100)</f>
        <v>-100</v>
      </c>
      <c r="BN67">
        <f>IF(Table29128[[#This Row],[Isobutyrate '[%']]]&lt;V$10,_xlfn.NORM.DIST(Table29128[[#This Row],[Isobutyrate '[%']]],V$6,V$2,FALSE),-100)</f>
        <v>-100</v>
      </c>
      <c r="BO67">
        <f>IF(Table29128[[#This Row],[Isovalerate '[%']]]&lt;W$10,_xlfn.NORM.DIST(Table29128[[#This Row],[Isovalerate '[%']]],W$6,W$2,FALSE),-100)</f>
        <v>-100</v>
      </c>
      <c r="BP67">
        <f>IF(Table29128[[#This Row],[CH4 '[g/mmol SCFA']]]&lt;X$10,_xlfn.NORM.DIST(Table29128[[#This Row],[CH4 '[g/mmol SCFA']]],X$6,X$2,FALSE),-100)</f>
        <v>-100</v>
      </c>
      <c r="BQ67" t="e">
        <f>IF(Table29128[[#This Row],[DMD '[mg/g']]]&gt;Y$10,_xlfn.NORM.DIST(Table29128[[#This Row],[DMD '[mg/g']]],Y$6,Y$2,FALSE),-100)</f>
        <v>#REF!</v>
      </c>
      <c r="BR67" t="e">
        <f>IF(Table29128[[#This Row],[CH4 '[ml/g']]]&lt;Z$10,_xlfn.NORM.DIST(Table29128[[#This Row],[CH4 '[ml/g']]],Z$6,Z$2,FALSE),-100)</f>
        <v>#REF!</v>
      </c>
      <c r="BS67" t="e">
        <f>IF(Table29128[[#This Row],[CH4 '[% GP']]]&lt;AA$10,_xlfn.NORM.DIST(Table29128[[#This Row],[CH4 '[% GP']]],AA$6,AA$2,FALSE),-100)</f>
        <v>#REF!</v>
      </c>
      <c r="BT67" t="e">
        <f>IF(Table29128[[#This Row],[CH4 '[g/g DDM']]]&lt;AB$10,_xlfn.NORM.DIST(Table29128[[#This Row],[CH4 '[g/g DDM']]],AB$6,AB$2,FALSE),-100)</f>
        <v>#REF!</v>
      </c>
    </row>
    <row r="68" spans="1:72" x14ac:dyDescent="0.25">
      <c r="A68" s="12" t="s">
        <v>86</v>
      </c>
      <c r="B68" s="13">
        <v>1052</v>
      </c>
      <c r="C68" s="104" t="s">
        <v>102</v>
      </c>
      <c r="D68" s="104" t="s">
        <v>103</v>
      </c>
      <c r="E68" s="104" t="s">
        <v>104</v>
      </c>
      <c r="F68" s="104" t="s">
        <v>105</v>
      </c>
      <c r="G68" s="23" t="s">
        <v>73</v>
      </c>
      <c r="H68" s="23" t="s">
        <v>74</v>
      </c>
      <c r="I68" s="104" t="s">
        <v>106</v>
      </c>
      <c r="J68" s="70">
        <v>1</v>
      </c>
      <c r="K68" s="70"/>
      <c r="L68" s="70"/>
      <c r="M68" t="s">
        <v>105</v>
      </c>
      <c r="N68" t="s">
        <v>84</v>
      </c>
      <c r="O68" s="18"/>
      <c r="P68" s="18"/>
      <c r="Q68" s="97"/>
      <c r="R68" s="97"/>
      <c r="S68" s="97"/>
      <c r="T68" s="97"/>
      <c r="U68" s="97"/>
      <c r="V68" s="97"/>
      <c r="W68" s="97"/>
      <c r="X68" s="51"/>
      <c r="Y68" s="18" t="e">
        <f>AVERAGEIFS([1]!Table2912[DMD '[mg/g']],[1]!Table2912[Substrate ID],Table29128[[#This Row],[Substrate ID]])</f>
        <v>#REF!</v>
      </c>
      <c r="Z68" s="18" t="e">
        <f>AVERAGEIFS([1]!Table2912[CH4 '[ml/g']],[1]!Table2912[Substrate ID],Table29128[[#This Row],[Substrate ID]])</f>
        <v>#REF!</v>
      </c>
      <c r="AA68" s="18" t="e">
        <f>AVERAGEIFS([1]!Table2912[CH4 '[% GP']],[1]!Table2912[Substrate ID],Table29128[[#This Row],[Substrate ID]])</f>
        <v>#REF!</v>
      </c>
      <c r="AB68" s="18" t="e">
        <f>AVERAGEIFS([1]!Table2912[CH4 '[g/g DDM']],[1]!Table2912[Substrate ID],Table29128[[#This Row],[Substrate ID]])</f>
        <v>#REF!</v>
      </c>
      <c r="AC68" s="18" t="e">
        <f>$CP$17*Table29128[[#This Row],[DMD '[mg/g']]]+$CQ$17*Table29128[[#This Row],[CH4 '[g/g DDM']]]</f>
        <v>#REF!</v>
      </c>
      <c r="AD68" s="18" t="e">
        <f>_xlfn.RANK.AVG(Table29128[[#This Row],[Index]],Table29128[Index])</f>
        <v>#REF!</v>
      </c>
      <c r="AE68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68" s="18" t="e">
        <f>Table29128[[#This Row],[CH4 '[ml/g']]]/Table29128[[#This Row],[APB]]</f>
        <v>#REF!</v>
      </c>
      <c r="AG68" s="18" t="e">
        <f>Table29128[[#This Row],[Propionate '[%']]]/Table29128[[#This Row],[Acetate '[%']]]</f>
        <v>#DIV/0!</v>
      </c>
      <c r="AH68" s="51"/>
      <c r="AI68" s="18"/>
      <c r="AJ68" s="18"/>
      <c r="AK68" s="135" t="e">
        <f t="shared" si="4"/>
        <v>#REF!</v>
      </c>
      <c r="AL68" s="18"/>
      <c r="AM68" s="135" t="e">
        <f t="shared" si="5"/>
        <v>#REF!</v>
      </c>
      <c r="AN68" s="18" t="e">
        <f>(Table29128[[#This Row],[CH4 '[g/g DDM']]]-AN$15)/AN$15%</f>
        <v>#REF!</v>
      </c>
      <c r="AO68" s="18"/>
      <c r="AP68" s="18"/>
      <c r="AR68" t="e">
        <f>_xlfn.NORM.DIST(Table29128[[#This Row],[GP '[ml/g']]],O$6,O$2,FALSE)</f>
        <v>#DIV/0!</v>
      </c>
      <c r="AS68" t="e">
        <f>_xlfn.NORM.DIST(Table29128[[#This Row],[SCFA '[mmol/g']]],P$6,P$2,FALSE)</f>
        <v>#DIV/0!</v>
      </c>
      <c r="AT68" t="e">
        <f>_xlfn.NORM.DIST(Table29128[[#This Row],[Acetate '[%']]],Q$6,Q$2,FALSE)</f>
        <v>#DIV/0!</v>
      </c>
      <c r="AU68" t="e">
        <f>_xlfn.NORM.DIST(Table29128[[#This Row],[Propionate '[%']]],R$6,R$2,FALSE)</f>
        <v>#DIV/0!</v>
      </c>
      <c r="AV68" t="e">
        <f>_xlfn.NORM.DIST(Table29128[[#This Row],[Butyrate '[%']]],S$6,S$2,FALSE)</f>
        <v>#DIV/0!</v>
      </c>
      <c r="AW68" t="e">
        <f>_xlfn.NORM.DIST(Table29128[[#This Row],[Valerate '[%']]],T$6,T$2,FALSE)</f>
        <v>#DIV/0!</v>
      </c>
      <c r="AX68" t="e">
        <f>_xlfn.NORM.DIST(Table29128[[#This Row],[Caproate '[%']]],U$6,U$2,FALSE)</f>
        <v>#DIV/0!</v>
      </c>
      <c r="AY68" t="e">
        <f>_xlfn.NORM.DIST(Table29128[[#This Row],[Isobutyrate '[%']]],V$6,V$2,FALSE)</f>
        <v>#DIV/0!</v>
      </c>
      <c r="AZ68" t="e">
        <f>_xlfn.NORM.DIST(Table29128[[#This Row],[Isovalerate '[%']]],W$6,W$2,FALSE)</f>
        <v>#DIV/0!</v>
      </c>
      <c r="BA68" t="e">
        <f>_xlfn.NORM.DIST(Table29128[[#This Row],[CH4 '[g/mmol SCFA']]],X$6,X$2,FALSE)</f>
        <v>#DIV/0!</v>
      </c>
      <c r="BB68" t="e">
        <f>_xlfn.NORM.DIST(Table29128[[#This Row],[DMD '[mg/g']]],Y$6,Y$2,FALSE)</f>
        <v>#REF!</v>
      </c>
      <c r="BC68" t="e">
        <f>_xlfn.NORM.DIST(Table29128[[#This Row],[CH4 '[ml/g']]],Z$6,Z$2,FALSE)</f>
        <v>#REF!</v>
      </c>
      <c r="BD68" t="e">
        <f>_xlfn.NORM.DIST(Table29128[[#This Row],[CH4 '[% GP']]],AA$6,AA$2,FALSE)</f>
        <v>#REF!</v>
      </c>
      <c r="BE68" t="e">
        <f>_xlfn.NORM.DIST(Table29128[[#This Row],[CH4 '[g/g DDM']]],AB$6,AB$2,FALSE)</f>
        <v>#REF!</v>
      </c>
      <c r="BG68">
        <f>IF(Table29128[[#This Row],[GP '[ml/g']]]&lt;O$10,_xlfn.NORM.DIST(Table29128[[#This Row],[GP '[ml/g']]],O$6,O$2,FALSE),-100)</f>
        <v>-100</v>
      </c>
      <c r="BH68">
        <f>IF(Table29128[[#This Row],[SCFA '[mmol/g']]]&lt;P$10,_xlfn.NORM.DIST(Table29128[[#This Row],[SCFA '[mmol/g']]],P$6,P$2,FALSE),-100)</f>
        <v>-100</v>
      </c>
      <c r="BI68">
        <f>IF(Table29128[[#This Row],[Acetate '[%']]]&lt;Q$10,_xlfn.NORM.DIST(Table29128[[#This Row],[Acetate '[%']]],Q$6,Q$2,FALSE),-100)</f>
        <v>-100</v>
      </c>
      <c r="BJ68">
        <f>IF(Table29128[[#This Row],[Propionate '[%']]]&lt;R$10,_xlfn.NORM.DIST(Table29128[[#This Row],[Propionate '[%']]],R$6,R$2,FALSE),-100)</f>
        <v>-100</v>
      </c>
      <c r="BK68">
        <f>IF(Table29128[[#This Row],[Butyrate '[%']]]&lt;S$10,_xlfn.NORM.DIST(Table29128[[#This Row],[Butyrate '[%']]],S$6,S$2,FALSE),-100)</f>
        <v>-100</v>
      </c>
      <c r="BL68">
        <f>IF(Table29128[[#This Row],[Valerate '[%']]]&lt;T$10,_xlfn.NORM.DIST(Table29128[[#This Row],[Valerate '[%']]],T$6,T$2,FALSE),-100)</f>
        <v>-100</v>
      </c>
      <c r="BM68">
        <f>IF(Table29128[[#This Row],[Caproate '[%']]]&lt;U$10,_xlfn.NORM.DIST(Table29128[[#This Row],[Caproate '[%']]],U$6,U$2,FALSE),-100)</f>
        <v>-100</v>
      </c>
      <c r="BN68">
        <f>IF(Table29128[[#This Row],[Isobutyrate '[%']]]&lt;V$10,_xlfn.NORM.DIST(Table29128[[#This Row],[Isobutyrate '[%']]],V$6,V$2,FALSE),-100)</f>
        <v>-100</v>
      </c>
      <c r="BO68">
        <f>IF(Table29128[[#This Row],[Isovalerate '[%']]]&lt;W$10,_xlfn.NORM.DIST(Table29128[[#This Row],[Isovalerate '[%']]],W$6,W$2,FALSE),-100)</f>
        <v>-100</v>
      </c>
      <c r="BP68">
        <f>IF(Table29128[[#This Row],[CH4 '[g/mmol SCFA']]]&lt;X$10,_xlfn.NORM.DIST(Table29128[[#This Row],[CH4 '[g/mmol SCFA']]],X$6,X$2,FALSE),-100)</f>
        <v>-100</v>
      </c>
      <c r="BQ68" t="e">
        <f>IF(Table29128[[#This Row],[DMD '[mg/g']]]&gt;Y$10,_xlfn.NORM.DIST(Table29128[[#This Row],[DMD '[mg/g']]],Y$6,Y$2,FALSE),-100)</f>
        <v>#REF!</v>
      </c>
      <c r="BR68" t="e">
        <f>IF(Table29128[[#This Row],[CH4 '[ml/g']]]&lt;Z$10,_xlfn.NORM.DIST(Table29128[[#This Row],[CH4 '[ml/g']]],Z$6,Z$2,FALSE),-100)</f>
        <v>#REF!</v>
      </c>
      <c r="BS68" t="e">
        <f>IF(Table29128[[#This Row],[CH4 '[% GP']]]&lt;AA$10,_xlfn.NORM.DIST(Table29128[[#This Row],[CH4 '[% GP']]],AA$6,AA$2,FALSE),-100)</f>
        <v>#REF!</v>
      </c>
      <c r="BT68" t="e">
        <f>IF(Table29128[[#This Row],[CH4 '[g/g DDM']]]&lt;AB$10,_xlfn.NORM.DIST(Table29128[[#This Row],[CH4 '[g/g DDM']]],AB$6,AB$2,FALSE),-100)</f>
        <v>#REF!</v>
      </c>
    </row>
    <row r="69" spans="1:72" ht="15" customHeight="1" x14ac:dyDescent="0.25">
      <c r="A69" s="12" t="s">
        <v>200</v>
      </c>
      <c r="B69" s="13">
        <v>1189</v>
      </c>
      <c r="C69" s="13"/>
      <c r="D69" t="s">
        <v>615</v>
      </c>
      <c r="E69" s="13"/>
      <c r="F69" s="13"/>
      <c r="G69" s="142"/>
      <c r="H69" s="142"/>
      <c r="I69" s="13"/>
      <c r="J69" s="70">
        <v>1</v>
      </c>
      <c r="K69" s="70" t="s">
        <v>627</v>
      </c>
      <c r="L69" s="70"/>
      <c r="M69" t="s">
        <v>615</v>
      </c>
      <c r="N69" t="s">
        <v>352</v>
      </c>
      <c r="O69" s="18"/>
      <c r="P69" s="18"/>
      <c r="Q69" s="97"/>
      <c r="R69" s="97"/>
      <c r="S69" s="97"/>
      <c r="T69" s="97"/>
      <c r="U69" s="97"/>
      <c r="V69" s="97"/>
      <c r="W69" s="97"/>
      <c r="X69" s="51"/>
      <c r="Y69" s="18" t="e">
        <f>AVERAGEIFS([1]!Table2912[DMD '[mg/g']],[1]!Table2912[Substrate ID],Table29128[[#This Row],[Substrate ID]])</f>
        <v>#REF!</v>
      </c>
      <c r="Z69" s="18" t="e">
        <f>AVERAGEIFS([1]!Table2912[CH4 '[ml/g']],[1]!Table2912[Substrate ID],Table29128[[#This Row],[Substrate ID]])</f>
        <v>#REF!</v>
      </c>
      <c r="AA69" s="18" t="e">
        <f>AVERAGEIFS([1]!Table2912[CH4 '[% GP']],[1]!Table2912[Substrate ID],Table29128[[#This Row],[Substrate ID]])</f>
        <v>#REF!</v>
      </c>
      <c r="AB69" s="18" t="e">
        <f>AVERAGEIFS([1]!Table2912[CH4 '[g/g DDM']],[1]!Table2912[Substrate ID],Table29128[[#This Row],[Substrate ID]])</f>
        <v>#REF!</v>
      </c>
      <c r="AC69" s="18" t="e">
        <f>$CP$17*Table29128[[#This Row],[DMD '[mg/g']]]+$CQ$17*Table29128[[#This Row],[CH4 '[g/g DDM']]]</f>
        <v>#REF!</v>
      </c>
      <c r="AD69" s="18" t="e">
        <f>_xlfn.RANK.AVG(Table29128[[#This Row],[Index]],Table29128[Index])</f>
        <v>#REF!</v>
      </c>
      <c r="AE69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69" s="18" t="e">
        <f>Table29128[[#This Row],[CH4 '[ml/g']]]/Table29128[[#This Row],[APB]]</f>
        <v>#REF!</v>
      </c>
      <c r="AG69" s="18" t="e">
        <f>Table29128[[#This Row],[Propionate '[%']]]/Table29128[[#This Row],[Acetate '[%']]]</f>
        <v>#DIV/0!</v>
      </c>
      <c r="AH69" s="51"/>
      <c r="AI69" s="18"/>
      <c r="AJ69" s="18"/>
      <c r="AK69" s="135" t="e">
        <f t="shared" si="4"/>
        <v>#REF!</v>
      </c>
      <c r="AL69" s="18"/>
      <c r="AM69" s="135" t="e">
        <f t="shared" si="5"/>
        <v>#REF!</v>
      </c>
      <c r="AN69" s="18" t="e">
        <f>(Table29128[[#This Row],[CH4 '[g/g DDM']]]-AN$15)/AN$15%</f>
        <v>#REF!</v>
      </c>
      <c r="AO69" s="18"/>
      <c r="AP69" s="18"/>
      <c r="AR69" t="e">
        <f>_xlfn.NORM.DIST(Table29128[[#This Row],[GP '[ml/g']]],O$6,O$2,FALSE)</f>
        <v>#DIV/0!</v>
      </c>
      <c r="AS69" t="e">
        <f>_xlfn.NORM.DIST(Table29128[[#This Row],[SCFA '[mmol/g']]],P$6,P$2,FALSE)</f>
        <v>#DIV/0!</v>
      </c>
      <c r="AT69" t="e">
        <f>_xlfn.NORM.DIST(Table29128[[#This Row],[Acetate '[%']]],Q$6,Q$2,FALSE)</f>
        <v>#DIV/0!</v>
      </c>
      <c r="AU69" t="e">
        <f>_xlfn.NORM.DIST(Table29128[[#This Row],[Propionate '[%']]],R$6,R$2,FALSE)</f>
        <v>#DIV/0!</v>
      </c>
      <c r="AV69" t="e">
        <f>_xlfn.NORM.DIST(Table29128[[#This Row],[Butyrate '[%']]],S$6,S$2,FALSE)</f>
        <v>#DIV/0!</v>
      </c>
      <c r="AW69" t="e">
        <f>_xlfn.NORM.DIST(Table29128[[#This Row],[Valerate '[%']]],T$6,T$2,FALSE)</f>
        <v>#DIV/0!</v>
      </c>
      <c r="AX69" t="e">
        <f>_xlfn.NORM.DIST(Table29128[[#This Row],[Caproate '[%']]],U$6,U$2,FALSE)</f>
        <v>#DIV/0!</v>
      </c>
      <c r="AY69" t="e">
        <f>_xlfn.NORM.DIST(Table29128[[#This Row],[Isobutyrate '[%']]],V$6,V$2,FALSE)</f>
        <v>#DIV/0!</v>
      </c>
      <c r="AZ69" t="e">
        <f>_xlfn.NORM.DIST(Table29128[[#This Row],[Isovalerate '[%']]],W$6,W$2,FALSE)</f>
        <v>#DIV/0!</v>
      </c>
      <c r="BA69" t="e">
        <f>_xlfn.NORM.DIST(Table29128[[#This Row],[CH4 '[g/mmol SCFA']]],X$6,X$2,FALSE)</f>
        <v>#DIV/0!</v>
      </c>
      <c r="BB69" t="e">
        <f>_xlfn.NORM.DIST(Table29128[[#This Row],[DMD '[mg/g']]],Y$6,Y$2,FALSE)</f>
        <v>#REF!</v>
      </c>
      <c r="BC69" t="e">
        <f>_xlfn.NORM.DIST(Table29128[[#This Row],[CH4 '[ml/g']]],Z$6,Z$2,FALSE)</f>
        <v>#REF!</v>
      </c>
      <c r="BD69" t="e">
        <f>_xlfn.NORM.DIST(Table29128[[#This Row],[CH4 '[% GP']]],AA$6,AA$2,FALSE)</f>
        <v>#REF!</v>
      </c>
      <c r="BE69" t="e">
        <f>_xlfn.NORM.DIST(Table29128[[#This Row],[CH4 '[g/g DDM']]],AB$6,AB$2,FALSE)</f>
        <v>#REF!</v>
      </c>
      <c r="BG69">
        <f>IF(Table29128[[#This Row],[GP '[ml/g']]]&lt;O$10,_xlfn.NORM.DIST(Table29128[[#This Row],[GP '[ml/g']]],O$6,O$2,FALSE),-100)</f>
        <v>-100</v>
      </c>
      <c r="BH69">
        <f>IF(Table29128[[#This Row],[SCFA '[mmol/g']]]&lt;P$10,_xlfn.NORM.DIST(Table29128[[#This Row],[SCFA '[mmol/g']]],P$6,P$2,FALSE),-100)</f>
        <v>-100</v>
      </c>
      <c r="BI69">
        <f>IF(Table29128[[#This Row],[Acetate '[%']]]&lt;Q$10,_xlfn.NORM.DIST(Table29128[[#This Row],[Acetate '[%']]],Q$6,Q$2,FALSE),-100)</f>
        <v>-100</v>
      </c>
      <c r="BJ69">
        <f>IF(Table29128[[#This Row],[Propionate '[%']]]&lt;R$10,_xlfn.NORM.DIST(Table29128[[#This Row],[Propionate '[%']]],R$6,R$2,FALSE),-100)</f>
        <v>-100</v>
      </c>
      <c r="BK69">
        <f>IF(Table29128[[#This Row],[Butyrate '[%']]]&lt;S$10,_xlfn.NORM.DIST(Table29128[[#This Row],[Butyrate '[%']]],S$6,S$2,FALSE),-100)</f>
        <v>-100</v>
      </c>
      <c r="BL69">
        <f>IF(Table29128[[#This Row],[Valerate '[%']]]&lt;T$10,_xlfn.NORM.DIST(Table29128[[#This Row],[Valerate '[%']]],T$6,T$2,FALSE),-100)</f>
        <v>-100</v>
      </c>
      <c r="BM69">
        <f>IF(Table29128[[#This Row],[Caproate '[%']]]&lt;U$10,_xlfn.NORM.DIST(Table29128[[#This Row],[Caproate '[%']]],U$6,U$2,FALSE),-100)</f>
        <v>-100</v>
      </c>
      <c r="BN69">
        <f>IF(Table29128[[#This Row],[Isobutyrate '[%']]]&lt;V$10,_xlfn.NORM.DIST(Table29128[[#This Row],[Isobutyrate '[%']]],V$6,V$2,FALSE),-100)</f>
        <v>-100</v>
      </c>
      <c r="BO69">
        <f>IF(Table29128[[#This Row],[Isovalerate '[%']]]&lt;W$10,_xlfn.NORM.DIST(Table29128[[#This Row],[Isovalerate '[%']]],W$6,W$2,FALSE),-100)</f>
        <v>-100</v>
      </c>
      <c r="BP69">
        <f>IF(Table29128[[#This Row],[CH4 '[g/mmol SCFA']]]&lt;X$10,_xlfn.NORM.DIST(Table29128[[#This Row],[CH4 '[g/mmol SCFA']]],X$6,X$2,FALSE),-100)</f>
        <v>-100</v>
      </c>
      <c r="BQ69" t="e">
        <f>IF(Table29128[[#This Row],[DMD '[mg/g']]]&gt;Y$10,_xlfn.NORM.DIST(Table29128[[#This Row],[DMD '[mg/g']]],Y$6,Y$2,FALSE),-100)</f>
        <v>#REF!</v>
      </c>
      <c r="BR69" t="e">
        <f>IF(Table29128[[#This Row],[CH4 '[ml/g']]]&lt;Z$10,_xlfn.NORM.DIST(Table29128[[#This Row],[CH4 '[ml/g']]],Z$6,Z$2,FALSE),-100)</f>
        <v>#REF!</v>
      </c>
      <c r="BS69" t="e">
        <f>IF(Table29128[[#This Row],[CH4 '[% GP']]]&lt;AA$10,_xlfn.NORM.DIST(Table29128[[#This Row],[CH4 '[% GP']]],AA$6,AA$2,FALSE),-100)</f>
        <v>#REF!</v>
      </c>
      <c r="BT69" t="e">
        <f>IF(Table29128[[#This Row],[CH4 '[g/g DDM']]]&lt;AB$10,_xlfn.NORM.DIST(Table29128[[#This Row],[CH4 '[g/g DDM']]],AB$6,AB$2,FALSE),-100)</f>
        <v>#REF!</v>
      </c>
    </row>
    <row r="70" spans="1:72" ht="15" customHeight="1" x14ac:dyDescent="0.25">
      <c r="A70" s="12" t="s">
        <v>70</v>
      </c>
      <c r="B70" s="13">
        <v>1005</v>
      </c>
      <c r="C70" s="96" t="s">
        <v>100</v>
      </c>
      <c r="D70" s="96"/>
      <c r="E70" s="96"/>
      <c r="F70" s="96" t="s">
        <v>101</v>
      </c>
      <c r="G70" s="15" t="s">
        <v>73</v>
      </c>
      <c r="H70" s="15" t="s">
        <v>74</v>
      </c>
      <c r="I70" t="s">
        <v>75</v>
      </c>
      <c r="J70" s="70">
        <v>1</v>
      </c>
      <c r="K70" s="70"/>
      <c r="L70" s="141"/>
      <c r="M70" t="s">
        <v>101</v>
      </c>
      <c r="N70" t="s">
        <v>85</v>
      </c>
      <c r="O70" s="18"/>
      <c r="P70" s="18"/>
      <c r="Q70" s="97"/>
      <c r="R70" s="97"/>
      <c r="S70" s="97"/>
      <c r="T70" s="97"/>
      <c r="U70" s="97"/>
      <c r="V70" s="97"/>
      <c r="W70" s="97"/>
      <c r="X70" s="51"/>
      <c r="Y70" s="18" t="e">
        <f>AVERAGEIFS([1]!Table2912[DMD '[mg/g']],[1]!Table2912[Substrate ID],Table29128[[#This Row],[Substrate ID]])</f>
        <v>#REF!</v>
      </c>
      <c r="Z70" s="18" t="e">
        <f>AVERAGEIFS([1]!Table2912[CH4 '[ml/g']],[1]!Table2912[Substrate ID],Table29128[[#This Row],[Substrate ID]])</f>
        <v>#REF!</v>
      </c>
      <c r="AA70" s="18" t="e">
        <f>AVERAGEIFS([1]!Table2912[CH4 '[% GP']],[1]!Table2912[Substrate ID],Table29128[[#This Row],[Substrate ID]])</f>
        <v>#REF!</v>
      </c>
      <c r="AB70" s="18" t="e">
        <f>AVERAGEIFS([1]!Table2912[CH4 '[g/g DDM']],[1]!Table2912[Substrate ID],Table29128[[#This Row],[Substrate ID]])</f>
        <v>#REF!</v>
      </c>
      <c r="AC70" s="18" t="e">
        <f>$CP$17*Table29128[[#This Row],[DMD '[mg/g']]]+$CQ$17*Table29128[[#This Row],[CH4 '[g/g DDM']]]</f>
        <v>#REF!</v>
      </c>
      <c r="AD70" s="18" t="e">
        <f>_xlfn.RANK.AVG(Table29128[[#This Row],[Index]],Table29128[Index])</f>
        <v>#REF!</v>
      </c>
      <c r="AE70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70" s="18" t="e">
        <f>Table29128[[#This Row],[CH4 '[ml/g']]]/Table29128[[#This Row],[APB]]</f>
        <v>#REF!</v>
      </c>
      <c r="AG70" s="18" t="e">
        <f>Table29128[[#This Row],[Propionate '[%']]]/Table29128[[#This Row],[Acetate '[%']]]</f>
        <v>#DIV/0!</v>
      </c>
      <c r="AH70" s="51"/>
      <c r="AI70" s="18"/>
      <c r="AJ70" s="18"/>
      <c r="AK70" s="135" t="e">
        <f t="shared" si="4"/>
        <v>#REF!</v>
      </c>
      <c r="AL70" s="18"/>
      <c r="AM70" s="135" t="e">
        <f t="shared" si="5"/>
        <v>#REF!</v>
      </c>
      <c r="AN70" s="18" t="e">
        <f>(Table29128[[#This Row],[CH4 '[g/g DDM']]]-AN$15)/AN$15%</f>
        <v>#REF!</v>
      </c>
      <c r="AO70" s="18"/>
      <c r="AP70" s="18"/>
      <c r="AR70" t="e">
        <f>_xlfn.NORM.DIST(Table29128[[#This Row],[GP '[ml/g']]],O$6,O$2,FALSE)</f>
        <v>#DIV/0!</v>
      </c>
      <c r="AS70" t="e">
        <f>_xlfn.NORM.DIST(Table29128[[#This Row],[SCFA '[mmol/g']]],P$6,P$2,FALSE)</f>
        <v>#DIV/0!</v>
      </c>
      <c r="AT70" t="e">
        <f>_xlfn.NORM.DIST(Table29128[[#This Row],[Acetate '[%']]],Q$6,Q$2,FALSE)</f>
        <v>#DIV/0!</v>
      </c>
      <c r="AU70" t="e">
        <f>_xlfn.NORM.DIST(Table29128[[#This Row],[Propionate '[%']]],R$6,R$2,FALSE)</f>
        <v>#DIV/0!</v>
      </c>
      <c r="AV70" t="e">
        <f>_xlfn.NORM.DIST(Table29128[[#This Row],[Butyrate '[%']]],S$6,S$2,FALSE)</f>
        <v>#DIV/0!</v>
      </c>
      <c r="AW70" t="e">
        <f>_xlfn.NORM.DIST(Table29128[[#This Row],[Valerate '[%']]],T$6,T$2,FALSE)</f>
        <v>#DIV/0!</v>
      </c>
      <c r="AX70" t="e">
        <f>_xlfn.NORM.DIST(Table29128[[#This Row],[Caproate '[%']]],U$6,U$2,FALSE)</f>
        <v>#DIV/0!</v>
      </c>
      <c r="AY70" t="e">
        <f>_xlfn.NORM.DIST(Table29128[[#This Row],[Isobutyrate '[%']]],V$6,V$2,FALSE)</f>
        <v>#DIV/0!</v>
      </c>
      <c r="AZ70" t="e">
        <f>_xlfn.NORM.DIST(Table29128[[#This Row],[Isovalerate '[%']]],W$6,W$2,FALSE)</f>
        <v>#DIV/0!</v>
      </c>
      <c r="BA70" t="e">
        <f>_xlfn.NORM.DIST(Table29128[[#This Row],[CH4 '[g/mmol SCFA']]],X$6,X$2,FALSE)</f>
        <v>#DIV/0!</v>
      </c>
      <c r="BB70" t="e">
        <f>_xlfn.NORM.DIST(Table29128[[#This Row],[DMD '[mg/g']]],Y$6,Y$2,FALSE)</f>
        <v>#REF!</v>
      </c>
      <c r="BC70" t="e">
        <f>_xlfn.NORM.DIST(Table29128[[#This Row],[CH4 '[ml/g']]],Z$6,Z$2,FALSE)</f>
        <v>#REF!</v>
      </c>
      <c r="BD70" t="e">
        <f>_xlfn.NORM.DIST(Table29128[[#This Row],[CH4 '[% GP']]],AA$6,AA$2,FALSE)</f>
        <v>#REF!</v>
      </c>
      <c r="BE70" t="e">
        <f>_xlfn.NORM.DIST(Table29128[[#This Row],[CH4 '[g/g DDM']]],AB$6,AB$2,FALSE)</f>
        <v>#REF!</v>
      </c>
      <c r="BG70">
        <f>IF(Table29128[[#This Row],[GP '[ml/g']]]&lt;O$10,_xlfn.NORM.DIST(Table29128[[#This Row],[GP '[ml/g']]],O$6,O$2,FALSE),-100)</f>
        <v>-100</v>
      </c>
      <c r="BH70">
        <f>IF(Table29128[[#This Row],[SCFA '[mmol/g']]]&lt;P$10,_xlfn.NORM.DIST(Table29128[[#This Row],[SCFA '[mmol/g']]],P$6,P$2,FALSE),-100)</f>
        <v>-100</v>
      </c>
      <c r="BI70">
        <f>IF(Table29128[[#This Row],[Acetate '[%']]]&lt;Q$10,_xlfn.NORM.DIST(Table29128[[#This Row],[Acetate '[%']]],Q$6,Q$2,FALSE),-100)</f>
        <v>-100</v>
      </c>
      <c r="BJ70">
        <f>IF(Table29128[[#This Row],[Propionate '[%']]]&lt;R$10,_xlfn.NORM.DIST(Table29128[[#This Row],[Propionate '[%']]],R$6,R$2,FALSE),-100)</f>
        <v>-100</v>
      </c>
      <c r="BK70">
        <f>IF(Table29128[[#This Row],[Butyrate '[%']]]&lt;S$10,_xlfn.NORM.DIST(Table29128[[#This Row],[Butyrate '[%']]],S$6,S$2,FALSE),-100)</f>
        <v>-100</v>
      </c>
      <c r="BL70">
        <f>IF(Table29128[[#This Row],[Valerate '[%']]]&lt;T$10,_xlfn.NORM.DIST(Table29128[[#This Row],[Valerate '[%']]],T$6,T$2,FALSE),-100)</f>
        <v>-100</v>
      </c>
      <c r="BM70">
        <f>IF(Table29128[[#This Row],[Caproate '[%']]]&lt;U$10,_xlfn.NORM.DIST(Table29128[[#This Row],[Caproate '[%']]],U$6,U$2,FALSE),-100)</f>
        <v>-100</v>
      </c>
      <c r="BN70">
        <f>IF(Table29128[[#This Row],[Isobutyrate '[%']]]&lt;V$10,_xlfn.NORM.DIST(Table29128[[#This Row],[Isobutyrate '[%']]],V$6,V$2,FALSE),-100)</f>
        <v>-100</v>
      </c>
      <c r="BO70">
        <f>IF(Table29128[[#This Row],[Isovalerate '[%']]]&lt;W$10,_xlfn.NORM.DIST(Table29128[[#This Row],[Isovalerate '[%']]],W$6,W$2,FALSE),-100)</f>
        <v>-100</v>
      </c>
      <c r="BP70">
        <f>IF(Table29128[[#This Row],[CH4 '[g/mmol SCFA']]]&lt;X$10,_xlfn.NORM.DIST(Table29128[[#This Row],[CH4 '[g/mmol SCFA']]],X$6,X$2,FALSE),-100)</f>
        <v>-100</v>
      </c>
      <c r="BQ70" t="e">
        <f>IF(Table29128[[#This Row],[DMD '[mg/g']]]&gt;Y$10,_xlfn.NORM.DIST(Table29128[[#This Row],[DMD '[mg/g']]],Y$6,Y$2,FALSE),-100)</f>
        <v>#REF!</v>
      </c>
      <c r="BR70" t="e">
        <f>IF(Table29128[[#This Row],[CH4 '[ml/g']]]&lt;Z$10,_xlfn.NORM.DIST(Table29128[[#This Row],[CH4 '[ml/g']]],Z$6,Z$2,FALSE),-100)</f>
        <v>#REF!</v>
      </c>
      <c r="BS70" t="e">
        <f>IF(Table29128[[#This Row],[CH4 '[% GP']]]&lt;AA$10,_xlfn.NORM.DIST(Table29128[[#This Row],[CH4 '[% GP']]],AA$6,AA$2,FALSE),-100)</f>
        <v>#REF!</v>
      </c>
      <c r="BT70" t="e">
        <f>IF(Table29128[[#This Row],[CH4 '[g/g DDM']]]&lt;AB$10,_xlfn.NORM.DIST(Table29128[[#This Row],[CH4 '[g/g DDM']]],AB$6,AB$2,FALSE),-100)</f>
        <v>#REF!</v>
      </c>
    </row>
    <row r="71" spans="1:72" x14ac:dyDescent="0.25">
      <c r="A71" s="12" t="s">
        <v>86</v>
      </c>
      <c r="B71" s="13">
        <v>1056</v>
      </c>
      <c r="C71" s="103">
        <v>23890</v>
      </c>
      <c r="D71" s="104" t="s">
        <v>115</v>
      </c>
      <c r="E71" s="104" t="s">
        <v>116</v>
      </c>
      <c r="F71" t="s">
        <v>117</v>
      </c>
      <c r="G71" s="23" t="s">
        <v>73</v>
      </c>
      <c r="H71" s="23" t="s">
        <v>74</v>
      </c>
      <c r="I71" s="105" t="s">
        <v>75</v>
      </c>
      <c r="J71" s="70">
        <v>1</v>
      </c>
      <c r="K71" s="70"/>
      <c r="L71" s="141" t="s">
        <v>627</v>
      </c>
      <c r="M71" t="s">
        <v>117</v>
      </c>
      <c r="N71" t="s">
        <v>84</v>
      </c>
      <c r="O71" s="18"/>
      <c r="P71" s="18"/>
      <c r="Q71" s="97"/>
      <c r="R71" s="97"/>
      <c r="S71" s="97"/>
      <c r="T71" s="97"/>
      <c r="U71" s="97"/>
      <c r="V71" s="97"/>
      <c r="W71" s="97"/>
      <c r="X71" s="51"/>
      <c r="Y71" s="18" t="e">
        <f>AVERAGEIFS([1]!Table2912[DMD '[mg/g']],[1]!Table2912[Substrate ID],Table29128[[#This Row],[Substrate ID]])</f>
        <v>#REF!</v>
      </c>
      <c r="Z71" s="18" t="e">
        <f>AVERAGEIFS([1]!Table2912[CH4 '[ml/g']],[1]!Table2912[Substrate ID],Table29128[[#This Row],[Substrate ID]])</f>
        <v>#REF!</v>
      </c>
      <c r="AA71" s="18" t="e">
        <f>AVERAGEIFS([1]!Table2912[CH4 '[% GP']],[1]!Table2912[Substrate ID],Table29128[[#This Row],[Substrate ID]])</f>
        <v>#REF!</v>
      </c>
      <c r="AB71" s="18" t="e">
        <f>AVERAGEIFS([1]!Table2912[CH4 '[g/g DDM']],[1]!Table2912[Substrate ID],Table29128[[#This Row],[Substrate ID]])</f>
        <v>#REF!</v>
      </c>
      <c r="AC71" s="18" t="e">
        <f>$CP$17*Table29128[[#This Row],[DMD '[mg/g']]]+$CQ$17*Table29128[[#This Row],[CH4 '[g/g DDM']]]</f>
        <v>#REF!</v>
      </c>
      <c r="AD71" s="18" t="e">
        <f>_xlfn.RANK.AVG(Table29128[[#This Row],[Index]],Table29128[Index])</f>
        <v>#REF!</v>
      </c>
      <c r="AE71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71" s="18" t="e">
        <f>Table29128[[#This Row],[CH4 '[ml/g']]]/Table29128[[#This Row],[APB]]</f>
        <v>#REF!</v>
      </c>
      <c r="AG71" s="18" t="e">
        <f>Table29128[[#This Row],[Propionate '[%']]]/Table29128[[#This Row],[Acetate '[%']]]</f>
        <v>#DIV/0!</v>
      </c>
      <c r="AH71" s="51"/>
      <c r="AI71" s="18"/>
      <c r="AJ71" s="18"/>
      <c r="AK71" s="135" t="e">
        <f t="shared" si="4"/>
        <v>#REF!</v>
      </c>
      <c r="AL71" s="18"/>
      <c r="AM71" s="135" t="e">
        <f t="shared" si="5"/>
        <v>#REF!</v>
      </c>
      <c r="AN71" s="18" t="e">
        <f>(Table29128[[#This Row],[CH4 '[g/g DDM']]]-AN$15)/AN$15%</f>
        <v>#REF!</v>
      </c>
      <c r="AO71" s="18"/>
      <c r="AP71" s="18"/>
      <c r="AR71" t="e">
        <f>_xlfn.NORM.DIST(Table29128[[#This Row],[GP '[ml/g']]],O$6,O$2,FALSE)</f>
        <v>#DIV/0!</v>
      </c>
      <c r="AS71" t="e">
        <f>_xlfn.NORM.DIST(Table29128[[#This Row],[SCFA '[mmol/g']]],P$6,P$2,FALSE)</f>
        <v>#DIV/0!</v>
      </c>
      <c r="AT71" t="e">
        <f>_xlfn.NORM.DIST(Table29128[[#This Row],[Acetate '[%']]],Q$6,Q$2,FALSE)</f>
        <v>#DIV/0!</v>
      </c>
      <c r="AU71" t="e">
        <f>_xlfn.NORM.DIST(Table29128[[#This Row],[Propionate '[%']]],R$6,R$2,FALSE)</f>
        <v>#DIV/0!</v>
      </c>
      <c r="AV71" t="e">
        <f>_xlfn.NORM.DIST(Table29128[[#This Row],[Butyrate '[%']]],S$6,S$2,FALSE)</f>
        <v>#DIV/0!</v>
      </c>
      <c r="AW71" t="e">
        <f>_xlfn.NORM.DIST(Table29128[[#This Row],[Valerate '[%']]],T$6,T$2,FALSE)</f>
        <v>#DIV/0!</v>
      </c>
      <c r="AX71" t="e">
        <f>_xlfn.NORM.DIST(Table29128[[#This Row],[Caproate '[%']]],U$6,U$2,FALSE)</f>
        <v>#DIV/0!</v>
      </c>
      <c r="AY71" t="e">
        <f>_xlfn.NORM.DIST(Table29128[[#This Row],[Isobutyrate '[%']]],V$6,V$2,FALSE)</f>
        <v>#DIV/0!</v>
      </c>
      <c r="AZ71" t="e">
        <f>_xlfn.NORM.DIST(Table29128[[#This Row],[Isovalerate '[%']]],W$6,W$2,FALSE)</f>
        <v>#DIV/0!</v>
      </c>
      <c r="BA71" t="e">
        <f>_xlfn.NORM.DIST(Table29128[[#This Row],[CH4 '[g/mmol SCFA']]],X$6,X$2,FALSE)</f>
        <v>#DIV/0!</v>
      </c>
      <c r="BB71" t="e">
        <f>_xlfn.NORM.DIST(Table29128[[#This Row],[DMD '[mg/g']]],Y$6,Y$2,FALSE)</f>
        <v>#REF!</v>
      </c>
      <c r="BC71" t="e">
        <f>_xlfn.NORM.DIST(Table29128[[#This Row],[CH4 '[ml/g']]],Z$6,Z$2,FALSE)</f>
        <v>#REF!</v>
      </c>
      <c r="BD71" t="e">
        <f>_xlfn.NORM.DIST(Table29128[[#This Row],[CH4 '[% GP']]],AA$6,AA$2,FALSE)</f>
        <v>#REF!</v>
      </c>
      <c r="BE71" t="e">
        <f>_xlfn.NORM.DIST(Table29128[[#This Row],[CH4 '[g/g DDM']]],AB$6,AB$2,FALSE)</f>
        <v>#REF!</v>
      </c>
      <c r="BG71">
        <f>IF(Table29128[[#This Row],[GP '[ml/g']]]&lt;O$10,_xlfn.NORM.DIST(Table29128[[#This Row],[GP '[ml/g']]],O$6,O$2,FALSE),-100)</f>
        <v>-100</v>
      </c>
      <c r="BH71">
        <f>IF(Table29128[[#This Row],[SCFA '[mmol/g']]]&lt;P$10,_xlfn.NORM.DIST(Table29128[[#This Row],[SCFA '[mmol/g']]],P$6,P$2,FALSE),-100)</f>
        <v>-100</v>
      </c>
      <c r="BI71">
        <f>IF(Table29128[[#This Row],[Acetate '[%']]]&lt;Q$10,_xlfn.NORM.DIST(Table29128[[#This Row],[Acetate '[%']]],Q$6,Q$2,FALSE),-100)</f>
        <v>-100</v>
      </c>
      <c r="BJ71">
        <f>IF(Table29128[[#This Row],[Propionate '[%']]]&lt;R$10,_xlfn.NORM.DIST(Table29128[[#This Row],[Propionate '[%']]],R$6,R$2,FALSE),-100)</f>
        <v>-100</v>
      </c>
      <c r="BK71">
        <f>IF(Table29128[[#This Row],[Butyrate '[%']]]&lt;S$10,_xlfn.NORM.DIST(Table29128[[#This Row],[Butyrate '[%']]],S$6,S$2,FALSE),-100)</f>
        <v>-100</v>
      </c>
      <c r="BL71">
        <f>IF(Table29128[[#This Row],[Valerate '[%']]]&lt;T$10,_xlfn.NORM.DIST(Table29128[[#This Row],[Valerate '[%']]],T$6,T$2,FALSE),-100)</f>
        <v>-100</v>
      </c>
      <c r="BM71">
        <f>IF(Table29128[[#This Row],[Caproate '[%']]]&lt;U$10,_xlfn.NORM.DIST(Table29128[[#This Row],[Caproate '[%']]],U$6,U$2,FALSE),-100)</f>
        <v>-100</v>
      </c>
      <c r="BN71">
        <f>IF(Table29128[[#This Row],[Isobutyrate '[%']]]&lt;V$10,_xlfn.NORM.DIST(Table29128[[#This Row],[Isobutyrate '[%']]],V$6,V$2,FALSE),-100)</f>
        <v>-100</v>
      </c>
      <c r="BO71">
        <f>IF(Table29128[[#This Row],[Isovalerate '[%']]]&lt;W$10,_xlfn.NORM.DIST(Table29128[[#This Row],[Isovalerate '[%']]],W$6,W$2,FALSE),-100)</f>
        <v>-100</v>
      </c>
      <c r="BP71">
        <f>IF(Table29128[[#This Row],[CH4 '[g/mmol SCFA']]]&lt;X$10,_xlfn.NORM.DIST(Table29128[[#This Row],[CH4 '[g/mmol SCFA']]],X$6,X$2,FALSE),-100)</f>
        <v>-100</v>
      </c>
      <c r="BQ71" t="e">
        <f>IF(Table29128[[#This Row],[DMD '[mg/g']]]&gt;Y$10,_xlfn.NORM.DIST(Table29128[[#This Row],[DMD '[mg/g']]],Y$6,Y$2,FALSE),-100)</f>
        <v>#REF!</v>
      </c>
      <c r="BR71" t="e">
        <f>IF(Table29128[[#This Row],[CH4 '[ml/g']]]&lt;Z$10,_xlfn.NORM.DIST(Table29128[[#This Row],[CH4 '[ml/g']]],Z$6,Z$2,FALSE),-100)</f>
        <v>#REF!</v>
      </c>
      <c r="BS71" t="e">
        <f>IF(Table29128[[#This Row],[CH4 '[% GP']]]&lt;AA$10,_xlfn.NORM.DIST(Table29128[[#This Row],[CH4 '[% GP']]],AA$6,AA$2,FALSE),-100)</f>
        <v>#REF!</v>
      </c>
      <c r="BT71" t="e">
        <f>IF(Table29128[[#This Row],[CH4 '[g/g DDM']]]&lt;AB$10,_xlfn.NORM.DIST(Table29128[[#This Row],[CH4 '[g/g DDM']]],AB$6,AB$2,FALSE),-100)</f>
        <v>#REF!</v>
      </c>
    </row>
    <row r="72" spans="1:72" x14ac:dyDescent="0.25">
      <c r="A72" s="12" t="s">
        <v>86</v>
      </c>
      <c r="B72" s="13">
        <v>1055</v>
      </c>
      <c r="C72" s="103">
        <v>23057</v>
      </c>
      <c r="D72" s="104" t="s">
        <v>115</v>
      </c>
      <c r="E72" s="104" t="s">
        <v>116</v>
      </c>
      <c r="F72" t="s">
        <v>117</v>
      </c>
      <c r="G72" s="23" t="s">
        <v>73</v>
      </c>
      <c r="H72" s="23" t="s">
        <v>74</v>
      </c>
      <c r="I72" s="105" t="s">
        <v>75</v>
      </c>
      <c r="J72" s="70">
        <v>1</v>
      </c>
      <c r="K72" s="70"/>
      <c r="L72" s="141"/>
      <c r="M72" t="s">
        <v>117</v>
      </c>
      <c r="N72" t="s">
        <v>99</v>
      </c>
      <c r="O72" s="18"/>
      <c r="P72" s="18"/>
      <c r="Q72" s="97"/>
      <c r="R72" s="97"/>
      <c r="S72" s="97"/>
      <c r="T72" s="97"/>
      <c r="U72" s="97"/>
      <c r="V72" s="97"/>
      <c r="W72" s="97"/>
      <c r="X72" s="51"/>
      <c r="Y72" s="18" t="e">
        <f>AVERAGEIFS([1]!Table2912[DMD '[mg/g']],[1]!Table2912[Substrate ID],Table29128[[#This Row],[Substrate ID]])</f>
        <v>#REF!</v>
      </c>
      <c r="Z72" s="18" t="e">
        <f>AVERAGEIFS([1]!Table2912[CH4 '[ml/g']],[1]!Table2912[Substrate ID],Table29128[[#This Row],[Substrate ID]])</f>
        <v>#REF!</v>
      </c>
      <c r="AA72" s="18" t="e">
        <f>AVERAGEIFS([1]!Table2912[CH4 '[% GP']],[1]!Table2912[Substrate ID],Table29128[[#This Row],[Substrate ID]])</f>
        <v>#REF!</v>
      </c>
      <c r="AB72" s="18" t="e">
        <f>AVERAGEIFS([1]!Table2912[CH4 '[g/g DDM']],[1]!Table2912[Substrate ID],Table29128[[#This Row],[Substrate ID]])</f>
        <v>#REF!</v>
      </c>
      <c r="AC72" s="18" t="e">
        <f>$CP$17*Table29128[[#This Row],[DMD '[mg/g']]]+$CQ$17*Table29128[[#This Row],[CH4 '[g/g DDM']]]</f>
        <v>#REF!</v>
      </c>
      <c r="AD72" s="18" t="e">
        <f>_xlfn.RANK.AVG(Table29128[[#This Row],[Index]],Table29128[Index])</f>
        <v>#REF!</v>
      </c>
      <c r="AE72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72" s="18" t="e">
        <f>Table29128[[#This Row],[CH4 '[ml/g']]]/Table29128[[#This Row],[APB]]</f>
        <v>#REF!</v>
      </c>
      <c r="AG72" s="18" t="e">
        <f>Table29128[[#This Row],[Propionate '[%']]]/Table29128[[#This Row],[Acetate '[%']]]</f>
        <v>#DIV/0!</v>
      </c>
      <c r="AH72" s="51"/>
      <c r="AI72" s="18"/>
      <c r="AJ72" s="18"/>
      <c r="AK72" s="135" t="e">
        <f t="shared" si="4"/>
        <v>#REF!</v>
      </c>
      <c r="AL72" s="18"/>
      <c r="AM72" s="135" t="e">
        <f t="shared" si="5"/>
        <v>#REF!</v>
      </c>
      <c r="AN72" s="18" t="e">
        <f>(Table29128[[#This Row],[CH4 '[g/g DDM']]]-AN$15)/AN$15%</f>
        <v>#REF!</v>
      </c>
      <c r="AO72" s="18"/>
      <c r="AP72" s="18"/>
      <c r="AR72" t="e">
        <f>_xlfn.NORM.DIST(Table29128[[#This Row],[GP '[ml/g']]],O$6,O$2,FALSE)</f>
        <v>#DIV/0!</v>
      </c>
      <c r="AS72" t="e">
        <f>_xlfn.NORM.DIST(Table29128[[#This Row],[SCFA '[mmol/g']]],P$6,P$2,FALSE)</f>
        <v>#DIV/0!</v>
      </c>
      <c r="AT72" t="e">
        <f>_xlfn.NORM.DIST(Table29128[[#This Row],[Acetate '[%']]],Q$6,Q$2,FALSE)</f>
        <v>#DIV/0!</v>
      </c>
      <c r="AU72" t="e">
        <f>_xlfn.NORM.DIST(Table29128[[#This Row],[Propionate '[%']]],R$6,R$2,FALSE)</f>
        <v>#DIV/0!</v>
      </c>
      <c r="AV72" t="e">
        <f>_xlfn.NORM.DIST(Table29128[[#This Row],[Butyrate '[%']]],S$6,S$2,FALSE)</f>
        <v>#DIV/0!</v>
      </c>
      <c r="AW72" t="e">
        <f>_xlfn.NORM.DIST(Table29128[[#This Row],[Valerate '[%']]],T$6,T$2,FALSE)</f>
        <v>#DIV/0!</v>
      </c>
      <c r="AX72" t="e">
        <f>_xlfn.NORM.DIST(Table29128[[#This Row],[Caproate '[%']]],U$6,U$2,FALSE)</f>
        <v>#DIV/0!</v>
      </c>
      <c r="AY72" t="e">
        <f>_xlfn.NORM.DIST(Table29128[[#This Row],[Isobutyrate '[%']]],V$6,V$2,FALSE)</f>
        <v>#DIV/0!</v>
      </c>
      <c r="AZ72" t="e">
        <f>_xlfn.NORM.DIST(Table29128[[#This Row],[Isovalerate '[%']]],W$6,W$2,FALSE)</f>
        <v>#DIV/0!</v>
      </c>
      <c r="BA72" t="e">
        <f>_xlfn.NORM.DIST(Table29128[[#This Row],[CH4 '[g/mmol SCFA']]],X$6,X$2,FALSE)</f>
        <v>#DIV/0!</v>
      </c>
      <c r="BB72" t="e">
        <f>_xlfn.NORM.DIST(Table29128[[#This Row],[DMD '[mg/g']]],Y$6,Y$2,FALSE)</f>
        <v>#REF!</v>
      </c>
      <c r="BC72" t="e">
        <f>_xlfn.NORM.DIST(Table29128[[#This Row],[CH4 '[ml/g']]],Z$6,Z$2,FALSE)</f>
        <v>#REF!</v>
      </c>
      <c r="BD72" t="e">
        <f>_xlfn.NORM.DIST(Table29128[[#This Row],[CH4 '[% GP']]],AA$6,AA$2,FALSE)</f>
        <v>#REF!</v>
      </c>
      <c r="BE72" t="e">
        <f>_xlfn.NORM.DIST(Table29128[[#This Row],[CH4 '[g/g DDM']]],AB$6,AB$2,FALSE)</f>
        <v>#REF!</v>
      </c>
      <c r="BG72">
        <f>IF(Table29128[[#This Row],[GP '[ml/g']]]&lt;O$10,_xlfn.NORM.DIST(Table29128[[#This Row],[GP '[ml/g']]],O$6,O$2,FALSE),-100)</f>
        <v>-100</v>
      </c>
      <c r="BH72">
        <f>IF(Table29128[[#This Row],[SCFA '[mmol/g']]]&lt;P$10,_xlfn.NORM.DIST(Table29128[[#This Row],[SCFA '[mmol/g']]],P$6,P$2,FALSE),-100)</f>
        <v>-100</v>
      </c>
      <c r="BI72">
        <f>IF(Table29128[[#This Row],[Acetate '[%']]]&lt;Q$10,_xlfn.NORM.DIST(Table29128[[#This Row],[Acetate '[%']]],Q$6,Q$2,FALSE),-100)</f>
        <v>-100</v>
      </c>
      <c r="BJ72">
        <f>IF(Table29128[[#This Row],[Propionate '[%']]]&lt;R$10,_xlfn.NORM.DIST(Table29128[[#This Row],[Propionate '[%']]],R$6,R$2,FALSE),-100)</f>
        <v>-100</v>
      </c>
      <c r="BK72">
        <f>IF(Table29128[[#This Row],[Butyrate '[%']]]&lt;S$10,_xlfn.NORM.DIST(Table29128[[#This Row],[Butyrate '[%']]],S$6,S$2,FALSE),-100)</f>
        <v>-100</v>
      </c>
      <c r="BL72">
        <f>IF(Table29128[[#This Row],[Valerate '[%']]]&lt;T$10,_xlfn.NORM.DIST(Table29128[[#This Row],[Valerate '[%']]],T$6,T$2,FALSE),-100)</f>
        <v>-100</v>
      </c>
      <c r="BM72">
        <f>IF(Table29128[[#This Row],[Caproate '[%']]]&lt;U$10,_xlfn.NORM.DIST(Table29128[[#This Row],[Caproate '[%']]],U$6,U$2,FALSE),-100)</f>
        <v>-100</v>
      </c>
      <c r="BN72">
        <f>IF(Table29128[[#This Row],[Isobutyrate '[%']]]&lt;V$10,_xlfn.NORM.DIST(Table29128[[#This Row],[Isobutyrate '[%']]],V$6,V$2,FALSE),-100)</f>
        <v>-100</v>
      </c>
      <c r="BO72">
        <f>IF(Table29128[[#This Row],[Isovalerate '[%']]]&lt;W$10,_xlfn.NORM.DIST(Table29128[[#This Row],[Isovalerate '[%']]],W$6,W$2,FALSE),-100)</f>
        <v>-100</v>
      </c>
      <c r="BP72">
        <f>IF(Table29128[[#This Row],[CH4 '[g/mmol SCFA']]]&lt;X$10,_xlfn.NORM.DIST(Table29128[[#This Row],[CH4 '[g/mmol SCFA']]],X$6,X$2,FALSE),-100)</f>
        <v>-100</v>
      </c>
      <c r="BQ72" t="e">
        <f>IF(Table29128[[#This Row],[DMD '[mg/g']]]&gt;Y$10,_xlfn.NORM.DIST(Table29128[[#This Row],[DMD '[mg/g']]],Y$6,Y$2,FALSE),-100)</f>
        <v>#REF!</v>
      </c>
      <c r="BR72" t="e">
        <f>IF(Table29128[[#This Row],[CH4 '[ml/g']]]&lt;Z$10,_xlfn.NORM.DIST(Table29128[[#This Row],[CH4 '[ml/g']]],Z$6,Z$2,FALSE),-100)</f>
        <v>#REF!</v>
      </c>
      <c r="BS72" t="e">
        <f>IF(Table29128[[#This Row],[CH4 '[% GP']]]&lt;AA$10,_xlfn.NORM.DIST(Table29128[[#This Row],[CH4 '[% GP']]],AA$6,AA$2,FALSE),-100)</f>
        <v>#REF!</v>
      </c>
      <c r="BT72" t="e">
        <f>IF(Table29128[[#This Row],[CH4 '[g/g DDM']]]&lt;AB$10,_xlfn.NORM.DIST(Table29128[[#This Row],[CH4 '[g/g DDM']]],AB$6,AB$2,FALSE),-100)</f>
        <v>#REF!</v>
      </c>
    </row>
    <row r="73" spans="1:72" x14ac:dyDescent="0.25">
      <c r="A73" s="12" t="s">
        <v>70</v>
      </c>
      <c r="B73" s="13">
        <v>993</v>
      </c>
      <c r="C73" s="96" t="s">
        <v>228</v>
      </c>
      <c r="D73" s="96"/>
      <c r="E73" s="96"/>
      <c r="F73" s="96" t="s">
        <v>229</v>
      </c>
      <c r="G73" t="s">
        <v>73</v>
      </c>
      <c r="H73" t="s">
        <v>74</v>
      </c>
      <c r="I73" t="s">
        <v>75</v>
      </c>
      <c r="J73" s="70">
        <v>1</v>
      </c>
      <c r="K73" s="70"/>
      <c r="L73" s="143" t="s">
        <v>627</v>
      </c>
      <c r="M73" t="s">
        <v>229</v>
      </c>
      <c r="N73" t="s">
        <v>76</v>
      </c>
      <c r="O73" s="18"/>
      <c r="P73" s="18"/>
      <c r="Q73" s="97"/>
      <c r="R73" s="97"/>
      <c r="S73" s="97"/>
      <c r="T73" s="97"/>
      <c r="U73" s="97"/>
      <c r="V73" s="97"/>
      <c r="W73" s="97"/>
      <c r="X73" s="51"/>
      <c r="Y73" s="18" t="e">
        <f>AVERAGEIFS([1]!Table2912[DMD '[mg/g']],[1]!Table2912[Substrate ID],Table29128[[#This Row],[Substrate ID]])</f>
        <v>#REF!</v>
      </c>
      <c r="Z73" s="18" t="e">
        <f>AVERAGEIFS([1]!Table2912[CH4 '[ml/g']],[1]!Table2912[Substrate ID],Table29128[[#This Row],[Substrate ID]])</f>
        <v>#REF!</v>
      </c>
      <c r="AA73" s="18" t="e">
        <f>AVERAGEIFS([1]!Table2912[CH4 '[% GP']],[1]!Table2912[Substrate ID],Table29128[[#This Row],[Substrate ID]])</f>
        <v>#REF!</v>
      </c>
      <c r="AB73" s="18" t="e">
        <f>AVERAGEIFS([1]!Table2912[CH4 '[g/g DDM']],[1]!Table2912[Substrate ID],Table29128[[#This Row],[Substrate ID]])</f>
        <v>#REF!</v>
      </c>
      <c r="AC73" s="18" t="e">
        <f>$CP$17*Table29128[[#This Row],[DMD '[mg/g']]]+$CQ$17*Table29128[[#This Row],[CH4 '[g/g DDM']]]</f>
        <v>#REF!</v>
      </c>
      <c r="AD73" s="18" t="e">
        <f>_xlfn.RANK.AVG(Table29128[[#This Row],[Index]],Table29128[Index])</f>
        <v>#REF!</v>
      </c>
      <c r="AE73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73" s="18" t="e">
        <f>Table29128[[#This Row],[CH4 '[ml/g']]]/Table29128[[#This Row],[APB]]</f>
        <v>#REF!</v>
      </c>
      <c r="AG73" s="18" t="e">
        <f>Table29128[[#This Row],[Propionate '[%']]]/Table29128[[#This Row],[Acetate '[%']]]</f>
        <v>#DIV/0!</v>
      </c>
      <c r="AH73" s="51"/>
      <c r="AI73" s="18"/>
      <c r="AJ73" s="18"/>
      <c r="AK73" s="135" t="e">
        <f t="shared" si="4"/>
        <v>#REF!</v>
      </c>
      <c r="AL73" s="18"/>
      <c r="AM73" s="135" t="e">
        <f t="shared" si="5"/>
        <v>#REF!</v>
      </c>
      <c r="AN73" s="18" t="e">
        <f>(Table29128[[#This Row],[CH4 '[g/g DDM']]]-AN$15)/AN$15%</f>
        <v>#REF!</v>
      </c>
      <c r="AO73" s="18"/>
      <c r="AP73" s="18"/>
      <c r="AR73" t="e">
        <f>_xlfn.NORM.DIST(Table29128[[#This Row],[GP '[ml/g']]],O$6,O$2,FALSE)</f>
        <v>#DIV/0!</v>
      </c>
      <c r="AS73" t="e">
        <f>_xlfn.NORM.DIST(Table29128[[#This Row],[SCFA '[mmol/g']]],P$6,P$2,FALSE)</f>
        <v>#DIV/0!</v>
      </c>
      <c r="AT73" t="e">
        <f>_xlfn.NORM.DIST(Table29128[[#This Row],[Acetate '[%']]],Q$6,Q$2,FALSE)</f>
        <v>#DIV/0!</v>
      </c>
      <c r="AU73" t="e">
        <f>_xlfn.NORM.DIST(Table29128[[#This Row],[Propionate '[%']]],R$6,R$2,FALSE)</f>
        <v>#DIV/0!</v>
      </c>
      <c r="AV73" t="e">
        <f>_xlfn.NORM.DIST(Table29128[[#This Row],[Butyrate '[%']]],S$6,S$2,FALSE)</f>
        <v>#DIV/0!</v>
      </c>
      <c r="AW73" t="e">
        <f>_xlfn.NORM.DIST(Table29128[[#This Row],[Valerate '[%']]],T$6,T$2,FALSE)</f>
        <v>#DIV/0!</v>
      </c>
      <c r="AX73" t="e">
        <f>_xlfn.NORM.DIST(Table29128[[#This Row],[Caproate '[%']]],U$6,U$2,FALSE)</f>
        <v>#DIV/0!</v>
      </c>
      <c r="AY73" t="e">
        <f>_xlfn.NORM.DIST(Table29128[[#This Row],[Isobutyrate '[%']]],V$6,V$2,FALSE)</f>
        <v>#DIV/0!</v>
      </c>
      <c r="AZ73" t="e">
        <f>_xlfn.NORM.DIST(Table29128[[#This Row],[Isovalerate '[%']]],W$6,W$2,FALSE)</f>
        <v>#DIV/0!</v>
      </c>
      <c r="BA73" t="e">
        <f>_xlfn.NORM.DIST(Table29128[[#This Row],[CH4 '[g/mmol SCFA']]],X$6,X$2,FALSE)</f>
        <v>#DIV/0!</v>
      </c>
      <c r="BB73" t="e">
        <f>_xlfn.NORM.DIST(Table29128[[#This Row],[DMD '[mg/g']]],Y$6,Y$2,FALSE)</f>
        <v>#REF!</v>
      </c>
      <c r="BC73" t="e">
        <f>_xlfn.NORM.DIST(Table29128[[#This Row],[CH4 '[ml/g']]],Z$6,Z$2,FALSE)</f>
        <v>#REF!</v>
      </c>
      <c r="BD73" t="e">
        <f>_xlfn.NORM.DIST(Table29128[[#This Row],[CH4 '[% GP']]],AA$6,AA$2,FALSE)</f>
        <v>#REF!</v>
      </c>
      <c r="BE73" t="e">
        <f>_xlfn.NORM.DIST(Table29128[[#This Row],[CH4 '[g/g DDM']]],AB$6,AB$2,FALSE)</f>
        <v>#REF!</v>
      </c>
      <c r="BG73">
        <f>IF(Table29128[[#This Row],[GP '[ml/g']]]&lt;O$10,_xlfn.NORM.DIST(Table29128[[#This Row],[GP '[ml/g']]],O$6,O$2,FALSE),-100)</f>
        <v>-100</v>
      </c>
      <c r="BH73">
        <f>IF(Table29128[[#This Row],[SCFA '[mmol/g']]]&lt;P$10,_xlfn.NORM.DIST(Table29128[[#This Row],[SCFA '[mmol/g']]],P$6,P$2,FALSE),-100)</f>
        <v>-100</v>
      </c>
      <c r="BI73">
        <f>IF(Table29128[[#This Row],[Acetate '[%']]]&lt;Q$10,_xlfn.NORM.DIST(Table29128[[#This Row],[Acetate '[%']]],Q$6,Q$2,FALSE),-100)</f>
        <v>-100</v>
      </c>
      <c r="BJ73">
        <f>IF(Table29128[[#This Row],[Propionate '[%']]]&lt;R$10,_xlfn.NORM.DIST(Table29128[[#This Row],[Propionate '[%']]],R$6,R$2,FALSE),-100)</f>
        <v>-100</v>
      </c>
      <c r="BK73">
        <f>IF(Table29128[[#This Row],[Butyrate '[%']]]&lt;S$10,_xlfn.NORM.DIST(Table29128[[#This Row],[Butyrate '[%']]],S$6,S$2,FALSE),-100)</f>
        <v>-100</v>
      </c>
      <c r="BL73">
        <f>IF(Table29128[[#This Row],[Valerate '[%']]]&lt;T$10,_xlfn.NORM.DIST(Table29128[[#This Row],[Valerate '[%']]],T$6,T$2,FALSE),-100)</f>
        <v>-100</v>
      </c>
      <c r="BM73">
        <f>IF(Table29128[[#This Row],[Caproate '[%']]]&lt;U$10,_xlfn.NORM.DIST(Table29128[[#This Row],[Caproate '[%']]],U$6,U$2,FALSE),-100)</f>
        <v>-100</v>
      </c>
      <c r="BN73">
        <f>IF(Table29128[[#This Row],[Isobutyrate '[%']]]&lt;V$10,_xlfn.NORM.DIST(Table29128[[#This Row],[Isobutyrate '[%']]],V$6,V$2,FALSE),-100)</f>
        <v>-100</v>
      </c>
      <c r="BO73">
        <f>IF(Table29128[[#This Row],[Isovalerate '[%']]]&lt;W$10,_xlfn.NORM.DIST(Table29128[[#This Row],[Isovalerate '[%']]],W$6,W$2,FALSE),-100)</f>
        <v>-100</v>
      </c>
      <c r="BP73">
        <f>IF(Table29128[[#This Row],[CH4 '[g/mmol SCFA']]]&lt;X$10,_xlfn.NORM.DIST(Table29128[[#This Row],[CH4 '[g/mmol SCFA']]],X$6,X$2,FALSE),-100)</f>
        <v>-100</v>
      </c>
      <c r="BQ73" t="e">
        <f>IF(Table29128[[#This Row],[DMD '[mg/g']]]&gt;Y$10,_xlfn.NORM.DIST(Table29128[[#This Row],[DMD '[mg/g']]],Y$6,Y$2,FALSE),-100)</f>
        <v>#REF!</v>
      </c>
      <c r="BR73" t="e">
        <f>IF(Table29128[[#This Row],[CH4 '[ml/g']]]&lt;Z$10,_xlfn.NORM.DIST(Table29128[[#This Row],[CH4 '[ml/g']]],Z$6,Z$2,FALSE),-100)</f>
        <v>#REF!</v>
      </c>
      <c r="BS73" t="e">
        <f>IF(Table29128[[#This Row],[CH4 '[% GP']]]&lt;AA$10,_xlfn.NORM.DIST(Table29128[[#This Row],[CH4 '[% GP']]],AA$6,AA$2,FALSE),-100)</f>
        <v>#REF!</v>
      </c>
      <c r="BT73" t="e">
        <f>IF(Table29128[[#This Row],[CH4 '[g/g DDM']]]&lt;AB$10,_xlfn.NORM.DIST(Table29128[[#This Row],[CH4 '[g/g DDM']]],AB$6,AB$2,FALSE),-100)</f>
        <v>#REF!</v>
      </c>
    </row>
    <row r="74" spans="1:72" x14ac:dyDescent="0.25">
      <c r="A74" s="12" t="s">
        <v>86</v>
      </c>
      <c r="B74" s="13">
        <v>1057</v>
      </c>
      <c r="C74" s="104" t="s">
        <v>265</v>
      </c>
      <c r="D74" s="104" t="s">
        <v>115</v>
      </c>
      <c r="E74" s="104" t="s">
        <v>266</v>
      </c>
      <c r="F74" s="104" t="s">
        <v>267</v>
      </c>
      <c r="G74" s="32" t="s">
        <v>73</v>
      </c>
      <c r="H74" s="32" t="s">
        <v>74</v>
      </c>
      <c r="I74" s="105" t="s">
        <v>75</v>
      </c>
      <c r="J74" s="70">
        <v>1</v>
      </c>
      <c r="K74" s="70"/>
      <c r="L74" s="70"/>
      <c r="M74" t="s">
        <v>267</v>
      </c>
      <c r="N74" t="s">
        <v>84</v>
      </c>
      <c r="O74" s="18"/>
      <c r="P74" s="18"/>
      <c r="Q74" s="97"/>
      <c r="R74" s="97"/>
      <c r="S74" s="97"/>
      <c r="T74" s="97"/>
      <c r="U74" s="97"/>
      <c r="V74" s="97"/>
      <c r="W74" s="97"/>
      <c r="X74" s="51"/>
      <c r="Y74" s="18" t="e">
        <f>AVERAGEIFS([1]!Table2912[DMD '[mg/g']],[1]!Table2912[Substrate ID],Table29128[[#This Row],[Substrate ID]])</f>
        <v>#REF!</v>
      </c>
      <c r="Z74" s="18" t="e">
        <f>AVERAGEIFS([1]!Table2912[CH4 '[ml/g']],[1]!Table2912[Substrate ID],Table29128[[#This Row],[Substrate ID]])</f>
        <v>#REF!</v>
      </c>
      <c r="AA74" s="18" t="e">
        <f>AVERAGEIFS([1]!Table2912[CH4 '[% GP']],[1]!Table2912[Substrate ID],Table29128[[#This Row],[Substrate ID]])</f>
        <v>#REF!</v>
      </c>
      <c r="AB74" s="18" t="e">
        <f>AVERAGEIFS([1]!Table2912[CH4 '[g/g DDM']],[1]!Table2912[Substrate ID],Table29128[[#This Row],[Substrate ID]])</f>
        <v>#REF!</v>
      </c>
      <c r="AC74" s="18" t="e">
        <f>$CP$17*Table29128[[#This Row],[DMD '[mg/g']]]+$CQ$17*Table29128[[#This Row],[CH4 '[g/g DDM']]]</f>
        <v>#REF!</v>
      </c>
      <c r="AD74" s="18" t="e">
        <f>_xlfn.RANK.AVG(Table29128[[#This Row],[Index]],Table29128[Index])</f>
        <v>#REF!</v>
      </c>
      <c r="AE74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74" s="18" t="e">
        <f>Table29128[[#This Row],[CH4 '[ml/g']]]/Table29128[[#This Row],[APB]]</f>
        <v>#REF!</v>
      </c>
      <c r="AG74" s="18" t="e">
        <f>Table29128[[#This Row],[Propionate '[%']]]/Table29128[[#This Row],[Acetate '[%']]]</f>
        <v>#DIV/0!</v>
      </c>
      <c r="AH74" s="51"/>
      <c r="AI74" s="18"/>
      <c r="AJ74" s="18"/>
      <c r="AK74" s="135" t="e">
        <f t="shared" si="4"/>
        <v>#REF!</v>
      </c>
      <c r="AL74" s="18"/>
      <c r="AM74" s="135" t="e">
        <f t="shared" si="5"/>
        <v>#REF!</v>
      </c>
      <c r="AN74" s="18" t="e">
        <f>(Table29128[[#This Row],[CH4 '[g/g DDM']]]-AN$15)/AN$15%</f>
        <v>#REF!</v>
      </c>
      <c r="AO74" s="18"/>
      <c r="AP74" s="18"/>
      <c r="AR74" t="e">
        <f>_xlfn.NORM.DIST(Table29128[[#This Row],[GP '[ml/g']]],O$6,O$2,FALSE)</f>
        <v>#DIV/0!</v>
      </c>
      <c r="AS74" t="e">
        <f>_xlfn.NORM.DIST(Table29128[[#This Row],[SCFA '[mmol/g']]],P$6,P$2,FALSE)</f>
        <v>#DIV/0!</v>
      </c>
      <c r="AT74" t="e">
        <f>_xlfn.NORM.DIST(Table29128[[#This Row],[Acetate '[%']]],Q$6,Q$2,FALSE)</f>
        <v>#DIV/0!</v>
      </c>
      <c r="AU74" t="e">
        <f>_xlfn.NORM.DIST(Table29128[[#This Row],[Propionate '[%']]],R$6,R$2,FALSE)</f>
        <v>#DIV/0!</v>
      </c>
      <c r="AV74" t="e">
        <f>_xlfn.NORM.DIST(Table29128[[#This Row],[Butyrate '[%']]],S$6,S$2,FALSE)</f>
        <v>#DIV/0!</v>
      </c>
      <c r="AW74" t="e">
        <f>_xlfn.NORM.DIST(Table29128[[#This Row],[Valerate '[%']]],T$6,T$2,FALSE)</f>
        <v>#DIV/0!</v>
      </c>
      <c r="AX74" t="e">
        <f>_xlfn.NORM.DIST(Table29128[[#This Row],[Caproate '[%']]],U$6,U$2,FALSE)</f>
        <v>#DIV/0!</v>
      </c>
      <c r="AY74" t="e">
        <f>_xlfn.NORM.DIST(Table29128[[#This Row],[Isobutyrate '[%']]],V$6,V$2,FALSE)</f>
        <v>#DIV/0!</v>
      </c>
      <c r="AZ74" t="e">
        <f>_xlfn.NORM.DIST(Table29128[[#This Row],[Isovalerate '[%']]],W$6,W$2,FALSE)</f>
        <v>#DIV/0!</v>
      </c>
      <c r="BA74" t="e">
        <f>_xlfn.NORM.DIST(Table29128[[#This Row],[CH4 '[g/mmol SCFA']]],X$6,X$2,FALSE)</f>
        <v>#DIV/0!</v>
      </c>
      <c r="BB74" t="e">
        <f>_xlfn.NORM.DIST(Table29128[[#This Row],[DMD '[mg/g']]],Y$6,Y$2,FALSE)</f>
        <v>#REF!</v>
      </c>
      <c r="BC74" t="e">
        <f>_xlfn.NORM.DIST(Table29128[[#This Row],[CH4 '[ml/g']]],Z$6,Z$2,FALSE)</f>
        <v>#REF!</v>
      </c>
      <c r="BD74" t="e">
        <f>_xlfn.NORM.DIST(Table29128[[#This Row],[CH4 '[% GP']]],AA$6,AA$2,FALSE)</f>
        <v>#REF!</v>
      </c>
      <c r="BE74" t="e">
        <f>_xlfn.NORM.DIST(Table29128[[#This Row],[CH4 '[g/g DDM']]],AB$6,AB$2,FALSE)</f>
        <v>#REF!</v>
      </c>
      <c r="BG74">
        <f>IF(Table29128[[#This Row],[GP '[ml/g']]]&lt;O$10,_xlfn.NORM.DIST(Table29128[[#This Row],[GP '[ml/g']]],O$6,O$2,FALSE),-100)</f>
        <v>-100</v>
      </c>
      <c r="BH74">
        <f>IF(Table29128[[#This Row],[SCFA '[mmol/g']]]&lt;P$10,_xlfn.NORM.DIST(Table29128[[#This Row],[SCFA '[mmol/g']]],P$6,P$2,FALSE),-100)</f>
        <v>-100</v>
      </c>
      <c r="BI74">
        <f>IF(Table29128[[#This Row],[Acetate '[%']]]&lt;Q$10,_xlfn.NORM.DIST(Table29128[[#This Row],[Acetate '[%']]],Q$6,Q$2,FALSE),-100)</f>
        <v>-100</v>
      </c>
      <c r="BJ74">
        <f>IF(Table29128[[#This Row],[Propionate '[%']]]&lt;R$10,_xlfn.NORM.DIST(Table29128[[#This Row],[Propionate '[%']]],R$6,R$2,FALSE),-100)</f>
        <v>-100</v>
      </c>
      <c r="BK74">
        <f>IF(Table29128[[#This Row],[Butyrate '[%']]]&lt;S$10,_xlfn.NORM.DIST(Table29128[[#This Row],[Butyrate '[%']]],S$6,S$2,FALSE),-100)</f>
        <v>-100</v>
      </c>
      <c r="BL74">
        <f>IF(Table29128[[#This Row],[Valerate '[%']]]&lt;T$10,_xlfn.NORM.DIST(Table29128[[#This Row],[Valerate '[%']]],T$6,T$2,FALSE),-100)</f>
        <v>-100</v>
      </c>
      <c r="BM74">
        <f>IF(Table29128[[#This Row],[Caproate '[%']]]&lt;U$10,_xlfn.NORM.DIST(Table29128[[#This Row],[Caproate '[%']]],U$6,U$2,FALSE),-100)</f>
        <v>-100</v>
      </c>
      <c r="BN74">
        <f>IF(Table29128[[#This Row],[Isobutyrate '[%']]]&lt;V$10,_xlfn.NORM.DIST(Table29128[[#This Row],[Isobutyrate '[%']]],V$6,V$2,FALSE),-100)</f>
        <v>-100</v>
      </c>
      <c r="BO74">
        <f>IF(Table29128[[#This Row],[Isovalerate '[%']]]&lt;W$10,_xlfn.NORM.DIST(Table29128[[#This Row],[Isovalerate '[%']]],W$6,W$2,FALSE),-100)</f>
        <v>-100</v>
      </c>
      <c r="BP74">
        <f>IF(Table29128[[#This Row],[CH4 '[g/mmol SCFA']]]&lt;X$10,_xlfn.NORM.DIST(Table29128[[#This Row],[CH4 '[g/mmol SCFA']]],X$6,X$2,FALSE),-100)</f>
        <v>-100</v>
      </c>
      <c r="BQ74" t="e">
        <f>IF(Table29128[[#This Row],[DMD '[mg/g']]]&gt;Y$10,_xlfn.NORM.DIST(Table29128[[#This Row],[DMD '[mg/g']]],Y$6,Y$2,FALSE),-100)</f>
        <v>#REF!</v>
      </c>
      <c r="BR74" t="e">
        <f>IF(Table29128[[#This Row],[CH4 '[ml/g']]]&lt;Z$10,_xlfn.NORM.DIST(Table29128[[#This Row],[CH4 '[ml/g']]],Z$6,Z$2,FALSE),-100)</f>
        <v>#REF!</v>
      </c>
      <c r="BS74" t="e">
        <f>IF(Table29128[[#This Row],[CH4 '[% GP']]]&lt;AA$10,_xlfn.NORM.DIST(Table29128[[#This Row],[CH4 '[% GP']]],AA$6,AA$2,FALSE),-100)</f>
        <v>#REF!</v>
      </c>
      <c r="BT74" t="e">
        <f>IF(Table29128[[#This Row],[CH4 '[g/g DDM']]]&lt;AB$10,_xlfn.NORM.DIST(Table29128[[#This Row],[CH4 '[g/g DDM']]],AB$6,AB$2,FALSE),-100)</f>
        <v>#REF!</v>
      </c>
    </row>
    <row r="75" spans="1:72" x14ac:dyDescent="0.25">
      <c r="A75" s="12" t="s">
        <v>86</v>
      </c>
      <c r="B75" s="13">
        <v>1058</v>
      </c>
      <c r="C75" s="104" t="s">
        <v>189</v>
      </c>
      <c r="D75" s="104" t="s">
        <v>115</v>
      </c>
      <c r="E75" s="104" t="s">
        <v>190</v>
      </c>
      <c r="F75" s="104" t="s">
        <v>191</v>
      </c>
      <c r="G75" s="23" t="s">
        <v>73</v>
      </c>
      <c r="H75" s="23" t="s">
        <v>74</v>
      </c>
      <c r="I75" s="105" t="s">
        <v>75</v>
      </c>
      <c r="J75" s="70">
        <v>1</v>
      </c>
      <c r="K75" s="70"/>
      <c r="L75" s="70" t="s">
        <v>627</v>
      </c>
      <c r="M75" t="s">
        <v>191</v>
      </c>
      <c r="N75" t="s">
        <v>84</v>
      </c>
      <c r="O75" s="18"/>
      <c r="P75" s="18"/>
      <c r="Q75" s="97"/>
      <c r="R75" s="97"/>
      <c r="S75" s="97"/>
      <c r="T75" s="97"/>
      <c r="U75" s="97"/>
      <c r="V75" s="97"/>
      <c r="W75" s="97"/>
      <c r="X75" s="51"/>
      <c r="Y75" s="18" t="e">
        <f>AVERAGEIFS([1]!Table2912[DMD '[mg/g']],[1]!Table2912[Substrate ID],Table29128[[#This Row],[Substrate ID]])</f>
        <v>#REF!</v>
      </c>
      <c r="Z75" s="18" t="e">
        <f>AVERAGEIFS([1]!Table2912[CH4 '[ml/g']],[1]!Table2912[Substrate ID],Table29128[[#This Row],[Substrate ID]])</f>
        <v>#REF!</v>
      </c>
      <c r="AA75" s="18" t="e">
        <f>AVERAGEIFS([1]!Table2912[CH4 '[% GP']],[1]!Table2912[Substrate ID],Table29128[[#This Row],[Substrate ID]])</f>
        <v>#REF!</v>
      </c>
      <c r="AB75" s="18" t="e">
        <f>AVERAGEIFS([1]!Table2912[CH4 '[g/g DDM']],[1]!Table2912[Substrate ID],Table29128[[#This Row],[Substrate ID]])</f>
        <v>#REF!</v>
      </c>
      <c r="AC75" s="18" t="e">
        <f>$CP$17*Table29128[[#This Row],[DMD '[mg/g']]]+$CQ$17*Table29128[[#This Row],[CH4 '[g/g DDM']]]</f>
        <v>#REF!</v>
      </c>
      <c r="AD75" s="18" t="e">
        <f>_xlfn.RANK.AVG(Table29128[[#This Row],[Index]],Table29128[Index])</f>
        <v>#REF!</v>
      </c>
      <c r="AE75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75" s="18" t="e">
        <f>Table29128[[#This Row],[CH4 '[ml/g']]]/Table29128[[#This Row],[APB]]</f>
        <v>#REF!</v>
      </c>
      <c r="AG75" s="18" t="e">
        <f>Table29128[[#This Row],[Propionate '[%']]]/Table29128[[#This Row],[Acetate '[%']]]</f>
        <v>#DIV/0!</v>
      </c>
      <c r="AH75" s="51"/>
      <c r="AI75" s="18"/>
      <c r="AJ75" s="18"/>
      <c r="AK75" s="135" t="e">
        <f t="shared" si="4"/>
        <v>#REF!</v>
      </c>
      <c r="AL75" s="18"/>
      <c r="AM75" s="135" t="e">
        <f t="shared" si="5"/>
        <v>#REF!</v>
      </c>
      <c r="AN75" s="18" t="e">
        <f>(Table29128[[#This Row],[CH4 '[g/g DDM']]]-AN$15)/AN$15%</f>
        <v>#REF!</v>
      </c>
      <c r="AO75" s="18"/>
      <c r="AP75" s="18"/>
      <c r="AR75" t="e">
        <f>_xlfn.NORM.DIST(Table29128[[#This Row],[GP '[ml/g']]],O$6,O$2,FALSE)</f>
        <v>#DIV/0!</v>
      </c>
      <c r="AS75" t="e">
        <f>_xlfn.NORM.DIST(Table29128[[#This Row],[SCFA '[mmol/g']]],P$6,P$2,FALSE)</f>
        <v>#DIV/0!</v>
      </c>
      <c r="AT75" t="e">
        <f>_xlfn.NORM.DIST(Table29128[[#This Row],[Acetate '[%']]],Q$6,Q$2,FALSE)</f>
        <v>#DIV/0!</v>
      </c>
      <c r="AU75" t="e">
        <f>_xlfn.NORM.DIST(Table29128[[#This Row],[Propionate '[%']]],R$6,R$2,FALSE)</f>
        <v>#DIV/0!</v>
      </c>
      <c r="AV75" t="e">
        <f>_xlfn.NORM.DIST(Table29128[[#This Row],[Butyrate '[%']]],S$6,S$2,FALSE)</f>
        <v>#DIV/0!</v>
      </c>
      <c r="AW75" t="e">
        <f>_xlfn.NORM.DIST(Table29128[[#This Row],[Valerate '[%']]],T$6,T$2,FALSE)</f>
        <v>#DIV/0!</v>
      </c>
      <c r="AX75" t="e">
        <f>_xlfn.NORM.DIST(Table29128[[#This Row],[Caproate '[%']]],U$6,U$2,FALSE)</f>
        <v>#DIV/0!</v>
      </c>
      <c r="AY75" t="e">
        <f>_xlfn.NORM.DIST(Table29128[[#This Row],[Isobutyrate '[%']]],V$6,V$2,FALSE)</f>
        <v>#DIV/0!</v>
      </c>
      <c r="AZ75" t="e">
        <f>_xlfn.NORM.DIST(Table29128[[#This Row],[Isovalerate '[%']]],W$6,W$2,FALSE)</f>
        <v>#DIV/0!</v>
      </c>
      <c r="BA75" t="e">
        <f>_xlfn.NORM.DIST(Table29128[[#This Row],[CH4 '[g/mmol SCFA']]],X$6,X$2,FALSE)</f>
        <v>#DIV/0!</v>
      </c>
      <c r="BB75" t="e">
        <f>_xlfn.NORM.DIST(Table29128[[#This Row],[DMD '[mg/g']]],Y$6,Y$2,FALSE)</f>
        <v>#REF!</v>
      </c>
      <c r="BC75" t="e">
        <f>_xlfn.NORM.DIST(Table29128[[#This Row],[CH4 '[ml/g']]],Z$6,Z$2,FALSE)</f>
        <v>#REF!</v>
      </c>
      <c r="BD75" t="e">
        <f>_xlfn.NORM.DIST(Table29128[[#This Row],[CH4 '[% GP']]],AA$6,AA$2,FALSE)</f>
        <v>#REF!</v>
      </c>
      <c r="BE75" t="e">
        <f>_xlfn.NORM.DIST(Table29128[[#This Row],[CH4 '[g/g DDM']]],AB$6,AB$2,FALSE)</f>
        <v>#REF!</v>
      </c>
      <c r="BG75">
        <f>IF(Table29128[[#This Row],[GP '[ml/g']]]&lt;O$10,_xlfn.NORM.DIST(Table29128[[#This Row],[GP '[ml/g']]],O$6,O$2,FALSE),-100)</f>
        <v>-100</v>
      </c>
      <c r="BH75">
        <f>IF(Table29128[[#This Row],[SCFA '[mmol/g']]]&lt;P$10,_xlfn.NORM.DIST(Table29128[[#This Row],[SCFA '[mmol/g']]],P$6,P$2,FALSE),-100)</f>
        <v>-100</v>
      </c>
      <c r="BI75">
        <f>IF(Table29128[[#This Row],[Acetate '[%']]]&lt;Q$10,_xlfn.NORM.DIST(Table29128[[#This Row],[Acetate '[%']]],Q$6,Q$2,FALSE),-100)</f>
        <v>-100</v>
      </c>
      <c r="BJ75">
        <f>IF(Table29128[[#This Row],[Propionate '[%']]]&lt;R$10,_xlfn.NORM.DIST(Table29128[[#This Row],[Propionate '[%']]],R$6,R$2,FALSE),-100)</f>
        <v>-100</v>
      </c>
      <c r="BK75">
        <f>IF(Table29128[[#This Row],[Butyrate '[%']]]&lt;S$10,_xlfn.NORM.DIST(Table29128[[#This Row],[Butyrate '[%']]],S$6,S$2,FALSE),-100)</f>
        <v>-100</v>
      </c>
      <c r="BL75">
        <f>IF(Table29128[[#This Row],[Valerate '[%']]]&lt;T$10,_xlfn.NORM.DIST(Table29128[[#This Row],[Valerate '[%']]],T$6,T$2,FALSE),-100)</f>
        <v>-100</v>
      </c>
      <c r="BM75">
        <f>IF(Table29128[[#This Row],[Caproate '[%']]]&lt;U$10,_xlfn.NORM.DIST(Table29128[[#This Row],[Caproate '[%']]],U$6,U$2,FALSE),-100)</f>
        <v>-100</v>
      </c>
      <c r="BN75">
        <f>IF(Table29128[[#This Row],[Isobutyrate '[%']]]&lt;V$10,_xlfn.NORM.DIST(Table29128[[#This Row],[Isobutyrate '[%']]],V$6,V$2,FALSE),-100)</f>
        <v>-100</v>
      </c>
      <c r="BO75">
        <f>IF(Table29128[[#This Row],[Isovalerate '[%']]]&lt;W$10,_xlfn.NORM.DIST(Table29128[[#This Row],[Isovalerate '[%']]],W$6,W$2,FALSE),-100)</f>
        <v>-100</v>
      </c>
      <c r="BP75">
        <f>IF(Table29128[[#This Row],[CH4 '[g/mmol SCFA']]]&lt;X$10,_xlfn.NORM.DIST(Table29128[[#This Row],[CH4 '[g/mmol SCFA']]],X$6,X$2,FALSE),-100)</f>
        <v>-100</v>
      </c>
      <c r="BQ75" t="e">
        <f>IF(Table29128[[#This Row],[DMD '[mg/g']]]&gt;Y$10,_xlfn.NORM.DIST(Table29128[[#This Row],[DMD '[mg/g']]],Y$6,Y$2,FALSE),-100)</f>
        <v>#REF!</v>
      </c>
      <c r="BR75" t="e">
        <f>IF(Table29128[[#This Row],[CH4 '[ml/g']]]&lt;Z$10,_xlfn.NORM.DIST(Table29128[[#This Row],[CH4 '[ml/g']]],Z$6,Z$2,FALSE),-100)</f>
        <v>#REF!</v>
      </c>
      <c r="BS75" t="e">
        <f>IF(Table29128[[#This Row],[CH4 '[% GP']]]&lt;AA$10,_xlfn.NORM.DIST(Table29128[[#This Row],[CH4 '[% GP']]],AA$6,AA$2,FALSE),-100)</f>
        <v>#REF!</v>
      </c>
      <c r="BT75" t="e">
        <f>IF(Table29128[[#This Row],[CH4 '[g/g DDM']]]&lt;AB$10,_xlfn.NORM.DIST(Table29128[[#This Row],[CH4 '[g/g DDM']]],AB$6,AB$2,FALSE),-100)</f>
        <v>#REF!</v>
      </c>
    </row>
    <row r="76" spans="1:72" x14ac:dyDescent="0.25">
      <c r="A76" s="12" t="s">
        <v>70</v>
      </c>
      <c r="B76" s="13">
        <v>996</v>
      </c>
      <c r="C76" s="96" t="s">
        <v>172</v>
      </c>
      <c r="D76" s="96"/>
      <c r="E76" s="96"/>
      <c r="F76" s="96" t="s">
        <v>173</v>
      </c>
      <c r="G76" t="s">
        <v>73</v>
      </c>
      <c r="H76" t="s">
        <v>74</v>
      </c>
      <c r="I76" t="s">
        <v>75</v>
      </c>
      <c r="J76" s="70">
        <v>1</v>
      </c>
      <c r="K76" s="70"/>
      <c r="L76" s="70"/>
      <c r="M76" t="s">
        <v>173</v>
      </c>
      <c r="N76" t="s">
        <v>180</v>
      </c>
      <c r="O76" s="18"/>
      <c r="P76" s="18"/>
      <c r="Q76" s="97"/>
      <c r="R76" s="97"/>
      <c r="S76" s="97"/>
      <c r="T76" s="97"/>
      <c r="U76" s="97"/>
      <c r="V76" s="97"/>
      <c r="W76" s="97"/>
      <c r="X76" s="51"/>
      <c r="Y76" s="18" t="e">
        <f>AVERAGEIFS([1]!Table2912[DMD '[mg/g']],[1]!Table2912[Substrate ID],Table29128[[#This Row],[Substrate ID]])</f>
        <v>#REF!</v>
      </c>
      <c r="Z76" s="18" t="e">
        <f>AVERAGEIFS([1]!Table2912[CH4 '[ml/g']],[1]!Table2912[Substrate ID],Table29128[[#This Row],[Substrate ID]])</f>
        <v>#REF!</v>
      </c>
      <c r="AA76" s="18" t="e">
        <f>AVERAGEIFS([1]!Table2912[CH4 '[% GP']],[1]!Table2912[Substrate ID],Table29128[[#This Row],[Substrate ID]])</f>
        <v>#REF!</v>
      </c>
      <c r="AB76" s="18" t="e">
        <f>AVERAGEIFS([1]!Table2912[CH4 '[g/g DDM']],[1]!Table2912[Substrate ID],Table29128[[#This Row],[Substrate ID]])</f>
        <v>#REF!</v>
      </c>
      <c r="AC76" s="18" t="e">
        <f>$CP$17*Table29128[[#This Row],[DMD '[mg/g']]]+$CQ$17*Table29128[[#This Row],[CH4 '[g/g DDM']]]</f>
        <v>#REF!</v>
      </c>
      <c r="AD76" s="18" t="e">
        <f>_xlfn.RANK.AVG(Table29128[[#This Row],[Index]],Table29128[Index])</f>
        <v>#REF!</v>
      </c>
      <c r="AE76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76" s="18" t="e">
        <f>Table29128[[#This Row],[CH4 '[ml/g']]]/Table29128[[#This Row],[APB]]</f>
        <v>#REF!</v>
      </c>
      <c r="AG76" s="18" t="e">
        <f>Table29128[[#This Row],[Propionate '[%']]]/Table29128[[#This Row],[Acetate '[%']]]</f>
        <v>#DIV/0!</v>
      </c>
      <c r="AH76" s="51"/>
      <c r="AI76" s="18"/>
      <c r="AJ76" s="18"/>
      <c r="AK76" s="135" t="e">
        <f t="shared" si="4"/>
        <v>#REF!</v>
      </c>
      <c r="AL76" s="18"/>
      <c r="AM76" s="135" t="e">
        <f t="shared" si="5"/>
        <v>#REF!</v>
      </c>
      <c r="AN76" s="18" t="e">
        <f>(Table29128[[#This Row],[CH4 '[g/g DDM']]]-AN$15)/AN$15%</f>
        <v>#REF!</v>
      </c>
      <c r="AO76" s="18"/>
      <c r="AP76" s="18"/>
      <c r="AR76" t="e">
        <f>_xlfn.NORM.DIST(Table29128[[#This Row],[GP '[ml/g']]],O$6,O$2,FALSE)</f>
        <v>#DIV/0!</v>
      </c>
      <c r="AS76" t="e">
        <f>_xlfn.NORM.DIST(Table29128[[#This Row],[SCFA '[mmol/g']]],P$6,P$2,FALSE)</f>
        <v>#DIV/0!</v>
      </c>
      <c r="AT76" t="e">
        <f>_xlfn.NORM.DIST(Table29128[[#This Row],[Acetate '[%']]],Q$6,Q$2,FALSE)</f>
        <v>#DIV/0!</v>
      </c>
      <c r="AU76" t="e">
        <f>_xlfn.NORM.DIST(Table29128[[#This Row],[Propionate '[%']]],R$6,R$2,FALSE)</f>
        <v>#DIV/0!</v>
      </c>
      <c r="AV76" t="e">
        <f>_xlfn.NORM.DIST(Table29128[[#This Row],[Butyrate '[%']]],S$6,S$2,FALSE)</f>
        <v>#DIV/0!</v>
      </c>
      <c r="AW76" t="e">
        <f>_xlfn.NORM.DIST(Table29128[[#This Row],[Valerate '[%']]],T$6,T$2,FALSE)</f>
        <v>#DIV/0!</v>
      </c>
      <c r="AX76" t="e">
        <f>_xlfn.NORM.DIST(Table29128[[#This Row],[Caproate '[%']]],U$6,U$2,FALSE)</f>
        <v>#DIV/0!</v>
      </c>
      <c r="AY76" t="e">
        <f>_xlfn.NORM.DIST(Table29128[[#This Row],[Isobutyrate '[%']]],V$6,V$2,FALSE)</f>
        <v>#DIV/0!</v>
      </c>
      <c r="AZ76" t="e">
        <f>_xlfn.NORM.DIST(Table29128[[#This Row],[Isovalerate '[%']]],W$6,W$2,FALSE)</f>
        <v>#DIV/0!</v>
      </c>
      <c r="BA76" t="e">
        <f>_xlfn.NORM.DIST(Table29128[[#This Row],[CH4 '[g/mmol SCFA']]],X$6,X$2,FALSE)</f>
        <v>#DIV/0!</v>
      </c>
      <c r="BB76" t="e">
        <f>_xlfn.NORM.DIST(Table29128[[#This Row],[DMD '[mg/g']]],Y$6,Y$2,FALSE)</f>
        <v>#REF!</v>
      </c>
      <c r="BC76" t="e">
        <f>_xlfn.NORM.DIST(Table29128[[#This Row],[CH4 '[ml/g']]],Z$6,Z$2,FALSE)</f>
        <v>#REF!</v>
      </c>
      <c r="BD76" t="e">
        <f>_xlfn.NORM.DIST(Table29128[[#This Row],[CH4 '[% GP']]],AA$6,AA$2,FALSE)</f>
        <v>#REF!</v>
      </c>
      <c r="BE76" t="e">
        <f>_xlfn.NORM.DIST(Table29128[[#This Row],[CH4 '[g/g DDM']]],AB$6,AB$2,FALSE)</f>
        <v>#REF!</v>
      </c>
      <c r="BG76">
        <f>IF(Table29128[[#This Row],[GP '[ml/g']]]&lt;O$10,_xlfn.NORM.DIST(Table29128[[#This Row],[GP '[ml/g']]],O$6,O$2,FALSE),-100)</f>
        <v>-100</v>
      </c>
      <c r="BH76">
        <f>IF(Table29128[[#This Row],[SCFA '[mmol/g']]]&lt;P$10,_xlfn.NORM.DIST(Table29128[[#This Row],[SCFA '[mmol/g']]],P$6,P$2,FALSE),-100)</f>
        <v>-100</v>
      </c>
      <c r="BI76">
        <f>IF(Table29128[[#This Row],[Acetate '[%']]]&lt;Q$10,_xlfn.NORM.DIST(Table29128[[#This Row],[Acetate '[%']]],Q$6,Q$2,FALSE),-100)</f>
        <v>-100</v>
      </c>
      <c r="BJ76">
        <f>IF(Table29128[[#This Row],[Propionate '[%']]]&lt;R$10,_xlfn.NORM.DIST(Table29128[[#This Row],[Propionate '[%']]],R$6,R$2,FALSE),-100)</f>
        <v>-100</v>
      </c>
      <c r="BK76">
        <f>IF(Table29128[[#This Row],[Butyrate '[%']]]&lt;S$10,_xlfn.NORM.DIST(Table29128[[#This Row],[Butyrate '[%']]],S$6,S$2,FALSE),-100)</f>
        <v>-100</v>
      </c>
      <c r="BL76">
        <f>IF(Table29128[[#This Row],[Valerate '[%']]]&lt;T$10,_xlfn.NORM.DIST(Table29128[[#This Row],[Valerate '[%']]],T$6,T$2,FALSE),-100)</f>
        <v>-100</v>
      </c>
      <c r="BM76">
        <f>IF(Table29128[[#This Row],[Caproate '[%']]]&lt;U$10,_xlfn.NORM.DIST(Table29128[[#This Row],[Caproate '[%']]],U$6,U$2,FALSE),-100)</f>
        <v>-100</v>
      </c>
      <c r="BN76">
        <f>IF(Table29128[[#This Row],[Isobutyrate '[%']]]&lt;V$10,_xlfn.NORM.DIST(Table29128[[#This Row],[Isobutyrate '[%']]],V$6,V$2,FALSE),-100)</f>
        <v>-100</v>
      </c>
      <c r="BO76">
        <f>IF(Table29128[[#This Row],[Isovalerate '[%']]]&lt;W$10,_xlfn.NORM.DIST(Table29128[[#This Row],[Isovalerate '[%']]],W$6,W$2,FALSE),-100)</f>
        <v>-100</v>
      </c>
      <c r="BP76">
        <f>IF(Table29128[[#This Row],[CH4 '[g/mmol SCFA']]]&lt;X$10,_xlfn.NORM.DIST(Table29128[[#This Row],[CH4 '[g/mmol SCFA']]],X$6,X$2,FALSE),-100)</f>
        <v>-100</v>
      </c>
      <c r="BQ76" t="e">
        <f>IF(Table29128[[#This Row],[DMD '[mg/g']]]&gt;Y$10,_xlfn.NORM.DIST(Table29128[[#This Row],[DMD '[mg/g']]],Y$6,Y$2,FALSE),-100)</f>
        <v>#REF!</v>
      </c>
      <c r="BR76" t="e">
        <f>IF(Table29128[[#This Row],[CH4 '[ml/g']]]&lt;Z$10,_xlfn.NORM.DIST(Table29128[[#This Row],[CH4 '[ml/g']]],Z$6,Z$2,FALSE),-100)</f>
        <v>#REF!</v>
      </c>
      <c r="BS76" t="e">
        <f>IF(Table29128[[#This Row],[CH4 '[% GP']]]&lt;AA$10,_xlfn.NORM.DIST(Table29128[[#This Row],[CH4 '[% GP']]],AA$6,AA$2,FALSE),-100)</f>
        <v>#REF!</v>
      </c>
      <c r="BT76" t="e">
        <f>IF(Table29128[[#This Row],[CH4 '[g/g DDM']]]&lt;AB$10,_xlfn.NORM.DIST(Table29128[[#This Row],[CH4 '[g/g DDM']]],AB$6,AB$2,FALSE),-100)</f>
        <v>#REF!</v>
      </c>
    </row>
    <row r="77" spans="1:72" x14ac:dyDescent="0.25">
      <c r="A77" s="12" t="s">
        <v>86</v>
      </c>
      <c r="B77" s="13">
        <v>1090</v>
      </c>
      <c r="C77" s="104" t="s">
        <v>364</v>
      </c>
      <c r="D77" s="104" t="s">
        <v>365</v>
      </c>
      <c r="E77" s="104" t="s">
        <v>366</v>
      </c>
      <c r="F77" s="104" t="s">
        <v>367</v>
      </c>
      <c r="G77" s="32" t="s">
        <v>143</v>
      </c>
      <c r="H77" s="32" t="s">
        <v>144</v>
      </c>
      <c r="I77" s="32" t="s">
        <v>52</v>
      </c>
      <c r="J77" s="70">
        <v>1</v>
      </c>
      <c r="K77" s="70"/>
      <c r="L77" s="70"/>
      <c r="M77" t="s">
        <v>367</v>
      </c>
      <c r="N77" t="s">
        <v>171</v>
      </c>
      <c r="O77" s="18"/>
      <c r="P77" s="18"/>
      <c r="Q77" s="97"/>
      <c r="R77" s="97"/>
      <c r="S77" s="97"/>
      <c r="T77" s="97"/>
      <c r="U77" s="97"/>
      <c r="V77" s="97"/>
      <c r="W77" s="97"/>
      <c r="X77" s="51"/>
      <c r="Y77" s="18" t="e">
        <f>AVERAGEIFS([1]!Table2912[DMD '[mg/g']],[1]!Table2912[Substrate ID],Table29128[[#This Row],[Substrate ID]])</f>
        <v>#REF!</v>
      </c>
      <c r="Z77" s="18" t="e">
        <f>AVERAGEIFS([1]!Table2912[CH4 '[ml/g']],[1]!Table2912[Substrate ID],Table29128[[#This Row],[Substrate ID]])</f>
        <v>#REF!</v>
      </c>
      <c r="AA77" s="18" t="e">
        <f>AVERAGEIFS([1]!Table2912[CH4 '[% GP']],[1]!Table2912[Substrate ID],Table29128[[#This Row],[Substrate ID]])</f>
        <v>#REF!</v>
      </c>
      <c r="AB77" s="18" t="e">
        <f>AVERAGEIFS([1]!Table2912[CH4 '[g/g DDM']],[1]!Table2912[Substrate ID],Table29128[[#This Row],[Substrate ID]])</f>
        <v>#REF!</v>
      </c>
      <c r="AC77" s="18" t="e">
        <f>$CP$17*Table29128[[#This Row],[DMD '[mg/g']]]+$CQ$17*Table29128[[#This Row],[CH4 '[g/g DDM']]]</f>
        <v>#REF!</v>
      </c>
      <c r="AD77" s="18" t="e">
        <f>_xlfn.RANK.AVG(Table29128[[#This Row],[Index]],Table29128[Index])</f>
        <v>#REF!</v>
      </c>
      <c r="AE77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77" s="18" t="e">
        <f>Table29128[[#This Row],[CH4 '[ml/g']]]/Table29128[[#This Row],[APB]]</f>
        <v>#REF!</v>
      </c>
      <c r="AG77" s="18" t="e">
        <f>Table29128[[#This Row],[Propionate '[%']]]/Table29128[[#This Row],[Acetate '[%']]]</f>
        <v>#DIV/0!</v>
      </c>
      <c r="AH77" s="51"/>
      <c r="AI77" s="18"/>
      <c r="AJ77" s="18"/>
      <c r="AK77" s="135" t="e">
        <f t="shared" si="4"/>
        <v>#REF!</v>
      </c>
      <c r="AL77" s="18"/>
      <c r="AM77" s="135" t="e">
        <f t="shared" si="5"/>
        <v>#REF!</v>
      </c>
      <c r="AN77" s="18" t="e">
        <f>(Table29128[[#This Row],[CH4 '[g/g DDM']]]-AN$15)/AN$15%</f>
        <v>#REF!</v>
      </c>
      <c r="AO77" s="18"/>
      <c r="AP77" s="18"/>
      <c r="AR77" t="e">
        <f>_xlfn.NORM.DIST(Table29128[[#This Row],[GP '[ml/g']]],O$6,O$2,FALSE)</f>
        <v>#DIV/0!</v>
      </c>
      <c r="AS77" t="e">
        <f>_xlfn.NORM.DIST(Table29128[[#This Row],[SCFA '[mmol/g']]],P$6,P$2,FALSE)</f>
        <v>#DIV/0!</v>
      </c>
      <c r="AT77" t="e">
        <f>_xlfn.NORM.DIST(Table29128[[#This Row],[Acetate '[%']]],Q$6,Q$2,FALSE)</f>
        <v>#DIV/0!</v>
      </c>
      <c r="AU77" t="e">
        <f>_xlfn.NORM.DIST(Table29128[[#This Row],[Propionate '[%']]],R$6,R$2,FALSE)</f>
        <v>#DIV/0!</v>
      </c>
      <c r="AV77" t="e">
        <f>_xlfn.NORM.DIST(Table29128[[#This Row],[Butyrate '[%']]],S$6,S$2,FALSE)</f>
        <v>#DIV/0!</v>
      </c>
      <c r="AW77" t="e">
        <f>_xlfn.NORM.DIST(Table29128[[#This Row],[Valerate '[%']]],T$6,T$2,FALSE)</f>
        <v>#DIV/0!</v>
      </c>
      <c r="AX77" t="e">
        <f>_xlfn.NORM.DIST(Table29128[[#This Row],[Caproate '[%']]],U$6,U$2,FALSE)</f>
        <v>#DIV/0!</v>
      </c>
      <c r="AY77" t="e">
        <f>_xlfn.NORM.DIST(Table29128[[#This Row],[Isobutyrate '[%']]],V$6,V$2,FALSE)</f>
        <v>#DIV/0!</v>
      </c>
      <c r="AZ77" t="e">
        <f>_xlfn.NORM.DIST(Table29128[[#This Row],[Isovalerate '[%']]],W$6,W$2,FALSE)</f>
        <v>#DIV/0!</v>
      </c>
      <c r="BA77" t="e">
        <f>_xlfn.NORM.DIST(Table29128[[#This Row],[CH4 '[g/mmol SCFA']]],X$6,X$2,FALSE)</f>
        <v>#DIV/0!</v>
      </c>
      <c r="BB77" t="e">
        <f>_xlfn.NORM.DIST(Table29128[[#This Row],[DMD '[mg/g']]],Y$6,Y$2,FALSE)</f>
        <v>#REF!</v>
      </c>
      <c r="BC77" t="e">
        <f>_xlfn.NORM.DIST(Table29128[[#This Row],[CH4 '[ml/g']]],Z$6,Z$2,FALSE)</f>
        <v>#REF!</v>
      </c>
      <c r="BD77" t="e">
        <f>_xlfn.NORM.DIST(Table29128[[#This Row],[CH4 '[% GP']]],AA$6,AA$2,FALSE)</f>
        <v>#REF!</v>
      </c>
      <c r="BE77" t="e">
        <f>_xlfn.NORM.DIST(Table29128[[#This Row],[CH4 '[g/g DDM']]],AB$6,AB$2,FALSE)</f>
        <v>#REF!</v>
      </c>
      <c r="BG77">
        <f>IF(Table29128[[#This Row],[GP '[ml/g']]]&lt;O$10,_xlfn.NORM.DIST(Table29128[[#This Row],[GP '[ml/g']]],O$6,O$2,FALSE),-100)</f>
        <v>-100</v>
      </c>
      <c r="BH77">
        <f>IF(Table29128[[#This Row],[SCFA '[mmol/g']]]&lt;P$10,_xlfn.NORM.DIST(Table29128[[#This Row],[SCFA '[mmol/g']]],P$6,P$2,FALSE),-100)</f>
        <v>-100</v>
      </c>
      <c r="BI77">
        <f>IF(Table29128[[#This Row],[Acetate '[%']]]&lt;Q$10,_xlfn.NORM.DIST(Table29128[[#This Row],[Acetate '[%']]],Q$6,Q$2,FALSE),-100)</f>
        <v>-100</v>
      </c>
      <c r="BJ77">
        <f>IF(Table29128[[#This Row],[Propionate '[%']]]&lt;R$10,_xlfn.NORM.DIST(Table29128[[#This Row],[Propionate '[%']]],R$6,R$2,FALSE),-100)</f>
        <v>-100</v>
      </c>
      <c r="BK77">
        <f>IF(Table29128[[#This Row],[Butyrate '[%']]]&lt;S$10,_xlfn.NORM.DIST(Table29128[[#This Row],[Butyrate '[%']]],S$6,S$2,FALSE),-100)</f>
        <v>-100</v>
      </c>
      <c r="BL77">
        <f>IF(Table29128[[#This Row],[Valerate '[%']]]&lt;T$10,_xlfn.NORM.DIST(Table29128[[#This Row],[Valerate '[%']]],T$6,T$2,FALSE),-100)</f>
        <v>-100</v>
      </c>
      <c r="BM77">
        <f>IF(Table29128[[#This Row],[Caproate '[%']]]&lt;U$10,_xlfn.NORM.DIST(Table29128[[#This Row],[Caproate '[%']]],U$6,U$2,FALSE),-100)</f>
        <v>-100</v>
      </c>
      <c r="BN77">
        <f>IF(Table29128[[#This Row],[Isobutyrate '[%']]]&lt;V$10,_xlfn.NORM.DIST(Table29128[[#This Row],[Isobutyrate '[%']]],V$6,V$2,FALSE),-100)</f>
        <v>-100</v>
      </c>
      <c r="BO77">
        <f>IF(Table29128[[#This Row],[Isovalerate '[%']]]&lt;W$10,_xlfn.NORM.DIST(Table29128[[#This Row],[Isovalerate '[%']]],W$6,W$2,FALSE),-100)</f>
        <v>-100</v>
      </c>
      <c r="BP77">
        <f>IF(Table29128[[#This Row],[CH4 '[g/mmol SCFA']]]&lt;X$10,_xlfn.NORM.DIST(Table29128[[#This Row],[CH4 '[g/mmol SCFA']]],X$6,X$2,FALSE),-100)</f>
        <v>-100</v>
      </c>
      <c r="BQ77" t="e">
        <f>IF(Table29128[[#This Row],[DMD '[mg/g']]]&gt;Y$10,_xlfn.NORM.DIST(Table29128[[#This Row],[DMD '[mg/g']]],Y$6,Y$2,FALSE),-100)</f>
        <v>#REF!</v>
      </c>
      <c r="BR77" t="e">
        <f>IF(Table29128[[#This Row],[CH4 '[ml/g']]]&lt;Z$10,_xlfn.NORM.DIST(Table29128[[#This Row],[CH4 '[ml/g']]],Z$6,Z$2,FALSE),-100)</f>
        <v>#REF!</v>
      </c>
      <c r="BS77" t="e">
        <f>IF(Table29128[[#This Row],[CH4 '[% GP']]]&lt;AA$10,_xlfn.NORM.DIST(Table29128[[#This Row],[CH4 '[% GP']]],AA$6,AA$2,FALSE),-100)</f>
        <v>#REF!</v>
      </c>
      <c r="BT77" t="e">
        <f>IF(Table29128[[#This Row],[CH4 '[g/g DDM']]]&lt;AB$10,_xlfn.NORM.DIST(Table29128[[#This Row],[CH4 '[g/g DDM']]],AB$6,AB$2,FALSE),-100)</f>
        <v>#REF!</v>
      </c>
    </row>
    <row r="78" spans="1:72" x14ac:dyDescent="0.25">
      <c r="A78" s="12" t="s">
        <v>86</v>
      </c>
      <c r="B78" s="13">
        <v>1059</v>
      </c>
      <c r="C78" s="104" t="s">
        <v>120</v>
      </c>
      <c r="D78" s="104" t="s">
        <v>121</v>
      </c>
      <c r="E78" s="104" t="s">
        <v>122</v>
      </c>
      <c r="F78" s="104" t="s">
        <v>123</v>
      </c>
      <c r="G78" s="32" t="s">
        <v>73</v>
      </c>
      <c r="H78" s="32" t="s">
        <v>74</v>
      </c>
      <c r="I78" s="105" t="s">
        <v>44</v>
      </c>
      <c r="J78" s="70">
        <v>1</v>
      </c>
      <c r="K78" s="70"/>
      <c r="L78" s="70"/>
      <c r="M78" t="s">
        <v>123</v>
      </c>
      <c r="N78" t="s">
        <v>145</v>
      </c>
      <c r="O78" s="18"/>
      <c r="P78" s="18"/>
      <c r="Q78" s="97"/>
      <c r="R78" s="97"/>
      <c r="S78" s="97"/>
      <c r="T78" s="97"/>
      <c r="U78" s="97"/>
      <c r="V78" s="97"/>
      <c r="W78" s="97"/>
      <c r="X78" s="51"/>
      <c r="Y78" s="18" t="e">
        <f>AVERAGEIFS([1]!Table2912[DMD '[mg/g']],[1]!Table2912[Substrate ID],Table29128[[#This Row],[Substrate ID]])</f>
        <v>#REF!</v>
      </c>
      <c r="Z78" s="18" t="e">
        <f>AVERAGEIFS([1]!Table2912[CH4 '[ml/g']],[1]!Table2912[Substrate ID],Table29128[[#This Row],[Substrate ID]])</f>
        <v>#REF!</v>
      </c>
      <c r="AA78" s="18" t="e">
        <f>AVERAGEIFS([1]!Table2912[CH4 '[% GP']],[1]!Table2912[Substrate ID],Table29128[[#This Row],[Substrate ID]])</f>
        <v>#REF!</v>
      </c>
      <c r="AB78" s="18" t="e">
        <f>AVERAGEIFS([1]!Table2912[CH4 '[g/g DDM']],[1]!Table2912[Substrate ID],Table29128[[#This Row],[Substrate ID]])</f>
        <v>#REF!</v>
      </c>
      <c r="AC78" s="18" t="e">
        <f>$CP$17*Table29128[[#This Row],[DMD '[mg/g']]]+$CQ$17*Table29128[[#This Row],[CH4 '[g/g DDM']]]</f>
        <v>#REF!</v>
      </c>
      <c r="AD78" s="18" t="e">
        <f>_xlfn.RANK.AVG(Table29128[[#This Row],[Index]],Table29128[Index])</f>
        <v>#REF!</v>
      </c>
      <c r="AE78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78" s="18" t="e">
        <f>Table29128[[#This Row],[CH4 '[ml/g']]]/Table29128[[#This Row],[APB]]</f>
        <v>#REF!</v>
      </c>
      <c r="AG78" s="18" t="e">
        <f>Table29128[[#This Row],[Propionate '[%']]]/Table29128[[#This Row],[Acetate '[%']]]</f>
        <v>#DIV/0!</v>
      </c>
      <c r="AH78" s="51"/>
      <c r="AI78" s="18"/>
      <c r="AJ78" s="18"/>
      <c r="AK78" s="135" t="e">
        <f t="shared" si="4"/>
        <v>#REF!</v>
      </c>
      <c r="AL78" s="18"/>
      <c r="AM78" s="135" t="e">
        <f t="shared" si="5"/>
        <v>#REF!</v>
      </c>
      <c r="AN78" s="18" t="e">
        <f>(Table29128[[#This Row],[CH4 '[g/g DDM']]]-AN$15)/AN$15%</f>
        <v>#REF!</v>
      </c>
      <c r="AO78" s="18"/>
      <c r="AP78" s="18"/>
      <c r="AR78" t="e">
        <f>_xlfn.NORM.DIST(Table29128[[#This Row],[GP '[ml/g']]],O$6,O$2,FALSE)</f>
        <v>#DIV/0!</v>
      </c>
      <c r="AS78" t="e">
        <f>_xlfn.NORM.DIST(Table29128[[#This Row],[SCFA '[mmol/g']]],P$6,P$2,FALSE)</f>
        <v>#DIV/0!</v>
      </c>
      <c r="AT78" t="e">
        <f>_xlfn.NORM.DIST(Table29128[[#This Row],[Acetate '[%']]],Q$6,Q$2,FALSE)</f>
        <v>#DIV/0!</v>
      </c>
      <c r="AU78" t="e">
        <f>_xlfn.NORM.DIST(Table29128[[#This Row],[Propionate '[%']]],R$6,R$2,FALSE)</f>
        <v>#DIV/0!</v>
      </c>
      <c r="AV78" t="e">
        <f>_xlfn.NORM.DIST(Table29128[[#This Row],[Butyrate '[%']]],S$6,S$2,FALSE)</f>
        <v>#DIV/0!</v>
      </c>
      <c r="AW78" t="e">
        <f>_xlfn.NORM.DIST(Table29128[[#This Row],[Valerate '[%']]],T$6,T$2,FALSE)</f>
        <v>#DIV/0!</v>
      </c>
      <c r="AX78" t="e">
        <f>_xlfn.NORM.DIST(Table29128[[#This Row],[Caproate '[%']]],U$6,U$2,FALSE)</f>
        <v>#DIV/0!</v>
      </c>
      <c r="AY78" t="e">
        <f>_xlfn.NORM.DIST(Table29128[[#This Row],[Isobutyrate '[%']]],V$6,V$2,FALSE)</f>
        <v>#DIV/0!</v>
      </c>
      <c r="AZ78" t="e">
        <f>_xlfn.NORM.DIST(Table29128[[#This Row],[Isovalerate '[%']]],W$6,W$2,FALSE)</f>
        <v>#DIV/0!</v>
      </c>
      <c r="BA78" t="e">
        <f>_xlfn.NORM.DIST(Table29128[[#This Row],[CH4 '[g/mmol SCFA']]],X$6,X$2,FALSE)</f>
        <v>#DIV/0!</v>
      </c>
      <c r="BB78" t="e">
        <f>_xlfn.NORM.DIST(Table29128[[#This Row],[DMD '[mg/g']]],Y$6,Y$2,FALSE)</f>
        <v>#REF!</v>
      </c>
      <c r="BC78" t="e">
        <f>_xlfn.NORM.DIST(Table29128[[#This Row],[CH4 '[ml/g']]],Z$6,Z$2,FALSE)</f>
        <v>#REF!</v>
      </c>
      <c r="BD78" t="e">
        <f>_xlfn.NORM.DIST(Table29128[[#This Row],[CH4 '[% GP']]],AA$6,AA$2,FALSE)</f>
        <v>#REF!</v>
      </c>
      <c r="BE78" t="e">
        <f>_xlfn.NORM.DIST(Table29128[[#This Row],[CH4 '[g/g DDM']]],AB$6,AB$2,FALSE)</f>
        <v>#REF!</v>
      </c>
      <c r="BG78">
        <f>IF(Table29128[[#This Row],[GP '[ml/g']]]&lt;O$10,_xlfn.NORM.DIST(Table29128[[#This Row],[GP '[ml/g']]],O$6,O$2,FALSE),-100)</f>
        <v>-100</v>
      </c>
      <c r="BH78">
        <f>IF(Table29128[[#This Row],[SCFA '[mmol/g']]]&lt;P$10,_xlfn.NORM.DIST(Table29128[[#This Row],[SCFA '[mmol/g']]],P$6,P$2,FALSE),-100)</f>
        <v>-100</v>
      </c>
      <c r="BI78">
        <f>IF(Table29128[[#This Row],[Acetate '[%']]]&lt;Q$10,_xlfn.NORM.DIST(Table29128[[#This Row],[Acetate '[%']]],Q$6,Q$2,FALSE),-100)</f>
        <v>-100</v>
      </c>
      <c r="BJ78">
        <f>IF(Table29128[[#This Row],[Propionate '[%']]]&lt;R$10,_xlfn.NORM.DIST(Table29128[[#This Row],[Propionate '[%']]],R$6,R$2,FALSE),-100)</f>
        <v>-100</v>
      </c>
      <c r="BK78">
        <f>IF(Table29128[[#This Row],[Butyrate '[%']]]&lt;S$10,_xlfn.NORM.DIST(Table29128[[#This Row],[Butyrate '[%']]],S$6,S$2,FALSE),-100)</f>
        <v>-100</v>
      </c>
      <c r="BL78">
        <f>IF(Table29128[[#This Row],[Valerate '[%']]]&lt;T$10,_xlfn.NORM.DIST(Table29128[[#This Row],[Valerate '[%']]],T$6,T$2,FALSE),-100)</f>
        <v>-100</v>
      </c>
      <c r="BM78">
        <f>IF(Table29128[[#This Row],[Caproate '[%']]]&lt;U$10,_xlfn.NORM.DIST(Table29128[[#This Row],[Caproate '[%']]],U$6,U$2,FALSE),-100)</f>
        <v>-100</v>
      </c>
      <c r="BN78">
        <f>IF(Table29128[[#This Row],[Isobutyrate '[%']]]&lt;V$10,_xlfn.NORM.DIST(Table29128[[#This Row],[Isobutyrate '[%']]],V$6,V$2,FALSE),-100)</f>
        <v>-100</v>
      </c>
      <c r="BO78">
        <f>IF(Table29128[[#This Row],[Isovalerate '[%']]]&lt;W$10,_xlfn.NORM.DIST(Table29128[[#This Row],[Isovalerate '[%']]],W$6,W$2,FALSE),-100)</f>
        <v>-100</v>
      </c>
      <c r="BP78">
        <f>IF(Table29128[[#This Row],[CH4 '[g/mmol SCFA']]]&lt;X$10,_xlfn.NORM.DIST(Table29128[[#This Row],[CH4 '[g/mmol SCFA']]],X$6,X$2,FALSE),-100)</f>
        <v>-100</v>
      </c>
      <c r="BQ78" t="e">
        <f>IF(Table29128[[#This Row],[DMD '[mg/g']]]&gt;Y$10,_xlfn.NORM.DIST(Table29128[[#This Row],[DMD '[mg/g']]],Y$6,Y$2,FALSE),-100)</f>
        <v>#REF!</v>
      </c>
      <c r="BR78" t="e">
        <f>IF(Table29128[[#This Row],[CH4 '[ml/g']]]&lt;Z$10,_xlfn.NORM.DIST(Table29128[[#This Row],[CH4 '[ml/g']]],Z$6,Z$2,FALSE),-100)</f>
        <v>#REF!</v>
      </c>
      <c r="BS78" t="e">
        <f>IF(Table29128[[#This Row],[CH4 '[% GP']]]&lt;AA$10,_xlfn.NORM.DIST(Table29128[[#This Row],[CH4 '[% GP']]],AA$6,AA$2,FALSE),-100)</f>
        <v>#REF!</v>
      </c>
      <c r="BT78" t="e">
        <f>IF(Table29128[[#This Row],[CH4 '[g/g DDM']]]&lt;AB$10,_xlfn.NORM.DIST(Table29128[[#This Row],[CH4 '[g/g DDM']]],AB$6,AB$2,FALSE),-100)</f>
        <v>#REF!</v>
      </c>
    </row>
    <row r="79" spans="1:72" x14ac:dyDescent="0.25">
      <c r="A79" s="12" t="s">
        <v>200</v>
      </c>
      <c r="B79" s="13">
        <v>1192</v>
      </c>
      <c r="C79" s="113" t="s">
        <v>527</v>
      </c>
      <c r="D79" s="113" t="s">
        <v>528</v>
      </c>
      <c r="E79" s="113" t="s">
        <v>529</v>
      </c>
      <c r="F79" s="113" t="s">
        <v>530</v>
      </c>
      <c r="G79" s="130" t="s">
        <v>349</v>
      </c>
      <c r="H79" s="130" t="s">
        <v>350</v>
      </c>
      <c r="I79" t="s">
        <v>48</v>
      </c>
      <c r="J79" s="70">
        <v>1</v>
      </c>
      <c r="K79" s="70"/>
      <c r="L79" s="70"/>
      <c r="M79" t="s">
        <v>531</v>
      </c>
      <c r="N79" t="s">
        <v>363</v>
      </c>
      <c r="O79" s="18"/>
      <c r="P79" s="18"/>
      <c r="Q79" s="97"/>
      <c r="R79" s="97"/>
      <c r="S79" s="97"/>
      <c r="T79" s="97"/>
      <c r="U79" s="97"/>
      <c r="V79" s="97"/>
      <c r="W79" s="97"/>
      <c r="X79" s="51"/>
      <c r="Y79" s="18" t="e">
        <f>AVERAGEIFS([1]!Table2912[DMD '[mg/g']],[1]!Table2912[Substrate ID],Table29128[[#This Row],[Substrate ID]])</f>
        <v>#REF!</v>
      </c>
      <c r="Z79" s="18" t="e">
        <f>AVERAGEIFS([1]!Table2912[CH4 '[ml/g']],[1]!Table2912[Substrate ID],Table29128[[#This Row],[Substrate ID]])</f>
        <v>#REF!</v>
      </c>
      <c r="AA79" s="18" t="e">
        <f>AVERAGEIFS([1]!Table2912[CH4 '[% GP']],[1]!Table2912[Substrate ID],Table29128[[#This Row],[Substrate ID]])</f>
        <v>#REF!</v>
      </c>
      <c r="AB79" s="18" t="e">
        <f>AVERAGEIFS([1]!Table2912[CH4 '[g/g DDM']],[1]!Table2912[Substrate ID],Table29128[[#This Row],[Substrate ID]])</f>
        <v>#REF!</v>
      </c>
      <c r="AC79" s="18" t="e">
        <f>$CP$17*Table29128[[#This Row],[DMD '[mg/g']]]+$CQ$17*Table29128[[#This Row],[CH4 '[g/g DDM']]]</f>
        <v>#REF!</v>
      </c>
      <c r="AD79" s="18" t="e">
        <f>_xlfn.RANK.AVG(Table29128[[#This Row],[Index]],Table29128[Index])</f>
        <v>#REF!</v>
      </c>
      <c r="AE79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79" s="18" t="e">
        <f>Table29128[[#This Row],[CH4 '[ml/g']]]/Table29128[[#This Row],[APB]]</f>
        <v>#REF!</v>
      </c>
      <c r="AG79" s="18" t="e">
        <f>Table29128[[#This Row],[Propionate '[%']]]/Table29128[[#This Row],[Acetate '[%']]]</f>
        <v>#DIV/0!</v>
      </c>
      <c r="AH79" s="51"/>
      <c r="AI79" s="18"/>
      <c r="AJ79" s="18"/>
      <c r="AK79" s="135" t="e">
        <f t="shared" si="4"/>
        <v>#REF!</v>
      </c>
      <c r="AL79" s="18"/>
      <c r="AM79" s="135" t="e">
        <f t="shared" si="5"/>
        <v>#REF!</v>
      </c>
      <c r="AN79" s="18" t="e">
        <f>(Table29128[[#This Row],[CH4 '[g/g DDM']]]-AN$15)/AN$15%</f>
        <v>#REF!</v>
      </c>
      <c r="AO79" s="18"/>
      <c r="AP79" s="18"/>
      <c r="AR79" t="e">
        <f>_xlfn.NORM.DIST(Table29128[[#This Row],[GP '[ml/g']]],O$6,O$2,FALSE)</f>
        <v>#DIV/0!</v>
      </c>
      <c r="AS79" t="e">
        <f>_xlfn.NORM.DIST(Table29128[[#This Row],[SCFA '[mmol/g']]],P$6,P$2,FALSE)</f>
        <v>#DIV/0!</v>
      </c>
      <c r="AT79" t="e">
        <f>_xlfn.NORM.DIST(Table29128[[#This Row],[Acetate '[%']]],Q$6,Q$2,FALSE)</f>
        <v>#DIV/0!</v>
      </c>
      <c r="AU79" t="e">
        <f>_xlfn.NORM.DIST(Table29128[[#This Row],[Propionate '[%']]],R$6,R$2,FALSE)</f>
        <v>#DIV/0!</v>
      </c>
      <c r="AV79" t="e">
        <f>_xlfn.NORM.DIST(Table29128[[#This Row],[Butyrate '[%']]],S$6,S$2,FALSE)</f>
        <v>#DIV/0!</v>
      </c>
      <c r="AW79" t="e">
        <f>_xlfn.NORM.DIST(Table29128[[#This Row],[Valerate '[%']]],T$6,T$2,FALSE)</f>
        <v>#DIV/0!</v>
      </c>
      <c r="AX79" t="e">
        <f>_xlfn.NORM.DIST(Table29128[[#This Row],[Caproate '[%']]],U$6,U$2,FALSE)</f>
        <v>#DIV/0!</v>
      </c>
      <c r="AY79" t="e">
        <f>_xlfn.NORM.DIST(Table29128[[#This Row],[Isobutyrate '[%']]],V$6,V$2,FALSE)</f>
        <v>#DIV/0!</v>
      </c>
      <c r="AZ79" t="e">
        <f>_xlfn.NORM.DIST(Table29128[[#This Row],[Isovalerate '[%']]],W$6,W$2,FALSE)</f>
        <v>#DIV/0!</v>
      </c>
      <c r="BA79" t="e">
        <f>_xlfn.NORM.DIST(Table29128[[#This Row],[CH4 '[g/mmol SCFA']]],X$6,X$2,FALSE)</f>
        <v>#DIV/0!</v>
      </c>
      <c r="BB79" t="e">
        <f>_xlfn.NORM.DIST(Table29128[[#This Row],[DMD '[mg/g']]],Y$6,Y$2,FALSE)</f>
        <v>#REF!</v>
      </c>
      <c r="BC79" t="e">
        <f>_xlfn.NORM.DIST(Table29128[[#This Row],[CH4 '[ml/g']]],Z$6,Z$2,FALSE)</f>
        <v>#REF!</v>
      </c>
      <c r="BD79" t="e">
        <f>_xlfn.NORM.DIST(Table29128[[#This Row],[CH4 '[% GP']]],AA$6,AA$2,FALSE)</f>
        <v>#REF!</v>
      </c>
      <c r="BE79" t="e">
        <f>_xlfn.NORM.DIST(Table29128[[#This Row],[CH4 '[g/g DDM']]],AB$6,AB$2,FALSE)</f>
        <v>#REF!</v>
      </c>
      <c r="BG79">
        <f>IF(Table29128[[#This Row],[GP '[ml/g']]]&lt;O$10,_xlfn.NORM.DIST(Table29128[[#This Row],[GP '[ml/g']]],O$6,O$2,FALSE),-100)</f>
        <v>-100</v>
      </c>
      <c r="BH79">
        <f>IF(Table29128[[#This Row],[SCFA '[mmol/g']]]&lt;P$10,_xlfn.NORM.DIST(Table29128[[#This Row],[SCFA '[mmol/g']]],P$6,P$2,FALSE),-100)</f>
        <v>-100</v>
      </c>
      <c r="BI79">
        <f>IF(Table29128[[#This Row],[Acetate '[%']]]&lt;Q$10,_xlfn.NORM.DIST(Table29128[[#This Row],[Acetate '[%']]],Q$6,Q$2,FALSE),-100)</f>
        <v>-100</v>
      </c>
      <c r="BJ79">
        <f>IF(Table29128[[#This Row],[Propionate '[%']]]&lt;R$10,_xlfn.NORM.DIST(Table29128[[#This Row],[Propionate '[%']]],R$6,R$2,FALSE),-100)</f>
        <v>-100</v>
      </c>
      <c r="BK79">
        <f>IF(Table29128[[#This Row],[Butyrate '[%']]]&lt;S$10,_xlfn.NORM.DIST(Table29128[[#This Row],[Butyrate '[%']]],S$6,S$2,FALSE),-100)</f>
        <v>-100</v>
      </c>
      <c r="BL79">
        <f>IF(Table29128[[#This Row],[Valerate '[%']]]&lt;T$10,_xlfn.NORM.DIST(Table29128[[#This Row],[Valerate '[%']]],T$6,T$2,FALSE),-100)</f>
        <v>-100</v>
      </c>
      <c r="BM79">
        <f>IF(Table29128[[#This Row],[Caproate '[%']]]&lt;U$10,_xlfn.NORM.DIST(Table29128[[#This Row],[Caproate '[%']]],U$6,U$2,FALSE),-100)</f>
        <v>-100</v>
      </c>
      <c r="BN79">
        <f>IF(Table29128[[#This Row],[Isobutyrate '[%']]]&lt;V$10,_xlfn.NORM.DIST(Table29128[[#This Row],[Isobutyrate '[%']]],V$6,V$2,FALSE),-100)</f>
        <v>-100</v>
      </c>
      <c r="BO79">
        <f>IF(Table29128[[#This Row],[Isovalerate '[%']]]&lt;W$10,_xlfn.NORM.DIST(Table29128[[#This Row],[Isovalerate '[%']]],W$6,W$2,FALSE),-100)</f>
        <v>-100</v>
      </c>
      <c r="BP79">
        <f>IF(Table29128[[#This Row],[CH4 '[g/mmol SCFA']]]&lt;X$10,_xlfn.NORM.DIST(Table29128[[#This Row],[CH4 '[g/mmol SCFA']]],X$6,X$2,FALSE),-100)</f>
        <v>-100</v>
      </c>
      <c r="BQ79" t="e">
        <f>IF(Table29128[[#This Row],[DMD '[mg/g']]]&gt;Y$10,_xlfn.NORM.DIST(Table29128[[#This Row],[DMD '[mg/g']]],Y$6,Y$2,FALSE),-100)</f>
        <v>#REF!</v>
      </c>
      <c r="BR79" t="e">
        <f>IF(Table29128[[#This Row],[CH4 '[ml/g']]]&lt;Z$10,_xlfn.NORM.DIST(Table29128[[#This Row],[CH4 '[ml/g']]],Z$6,Z$2,FALSE),-100)</f>
        <v>#REF!</v>
      </c>
      <c r="BS79" t="e">
        <f>IF(Table29128[[#This Row],[CH4 '[% GP']]]&lt;AA$10,_xlfn.NORM.DIST(Table29128[[#This Row],[CH4 '[% GP']]],AA$6,AA$2,FALSE),-100)</f>
        <v>#REF!</v>
      </c>
      <c r="BT79" t="e">
        <f>IF(Table29128[[#This Row],[CH4 '[g/g DDM']]]&lt;AB$10,_xlfn.NORM.DIST(Table29128[[#This Row],[CH4 '[g/g DDM']]],AB$6,AB$2,FALSE),-100)</f>
        <v>#REF!</v>
      </c>
    </row>
    <row r="80" spans="1:72" x14ac:dyDescent="0.25">
      <c r="A80" s="12" t="s">
        <v>70</v>
      </c>
      <c r="B80" s="13">
        <v>1028</v>
      </c>
      <c r="C80" s="96" t="s">
        <v>129</v>
      </c>
      <c r="D80" s="96"/>
      <c r="E80" s="96"/>
      <c r="F80" s="96" t="s">
        <v>130</v>
      </c>
      <c r="G80" s="15" t="s">
        <v>73</v>
      </c>
      <c r="H80" s="15" t="s">
        <v>74</v>
      </c>
      <c r="I80" s="99" t="s">
        <v>79</v>
      </c>
      <c r="J80" s="70">
        <v>1</v>
      </c>
      <c r="K80" s="70"/>
      <c r="L80" s="141" t="s">
        <v>627</v>
      </c>
      <c r="M80" t="s">
        <v>130</v>
      </c>
      <c r="N80" t="s">
        <v>80</v>
      </c>
      <c r="O80" s="18"/>
      <c r="P80" s="18"/>
      <c r="Q80" s="97"/>
      <c r="R80" s="97"/>
      <c r="S80" s="97"/>
      <c r="T80" s="97"/>
      <c r="U80" s="97"/>
      <c r="V80" s="97"/>
      <c r="W80" s="97"/>
      <c r="X80" s="51"/>
      <c r="Y80" s="18" t="e">
        <f>AVERAGEIFS([1]!Table2912[DMD '[mg/g']],[1]!Table2912[Substrate ID],Table29128[[#This Row],[Substrate ID]])</f>
        <v>#REF!</v>
      </c>
      <c r="Z80" s="18" t="e">
        <f>AVERAGEIFS([1]!Table2912[CH4 '[ml/g']],[1]!Table2912[Substrate ID],Table29128[[#This Row],[Substrate ID]])</f>
        <v>#REF!</v>
      </c>
      <c r="AA80" s="18" t="e">
        <f>AVERAGEIFS([1]!Table2912[CH4 '[% GP']],[1]!Table2912[Substrate ID],Table29128[[#This Row],[Substrate ID]])</f>
        <v>#REF!</v>
      </c>
      <c r="AB80" s="18" t="e">
        <f>AVERAGEIFS([1]!Table2912[CH4 '[g/g DDM']],[1]!Table2912[Substrate ID],Table29128[[#This Row],[Substrate ID]])</f>
        <v>#REF!</v>
      </c>
      <c r="AC80" s="18" t="e">
        <f>$CP$17*Table29128[[#This Row],[DMD '[mg/g']]]+$CQ$17*Table29128[[#This Row],[CH4 '[g/g DDM']]]</f>
        <v>#REF!</v>
      </c>
      <c r="AD80" s="18" t="e">
        <f>_xlfn.RANK.AVG(Table29128[[#This Row],[Index]],Table29128[Index])</f>
        <v>#REF!</v>
      </c>
      <c r="AE80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80" s="18" t="e">
        <f>Table29128[[#This Row],[CH4 '[ml/g']]]/Table29128[[#This Row],[APB]]</f>
        <v>#REF!</v>
      </c>
      <c r="AG80" s="18" t="e">
        <f>Table29128[[#This Row],[Propionate '[%']]]/Table29128[[#This Row],[Acetate '[%']]]</f>
        <v>#DIV/0!</v>
      </c>
      <c r="AH80" s="51"/>
      <c r="AI80" s="18"/>
      <c r="AJ80" s="18"/>
      <c r="AK80" s="135" t="e">
        <f t="shared" si="4"/>
        <v>#REF!</v>
      </c>
      <c r="AL80" s="18"/>
      <c r="AM80" s="135" t="e">
        <f t="shared" si="5"/>
        <v>#REF!</v>
      </c>
      <c r="AN80" s="18" t="e">
        <f>(Table29128[[#This Row],[CH4 '[g/g DDM']]]-AN$15)/AN$15%</f>
        <v>#REF!</v>
      </c>
      <c r="AO80" s="18"/>
      <c r="AP80" s="18"/>
      <c r="AR80" t="e">
        <f>_xlfn.NORM.DIST(Table29128[[#This Row],[GP '[ml/g']]],O$6,O$2,FALSE)</f>
        <v>#DIV/0!</v>
      </c>
      <c r="AS80" t="e">
        <f>_xlfn.NORM.DIST(Table29128[[#This Row],[SCFA '[mmol/g']]],P$6,P$2,FALSE)</f>
        <v>#DIV/0!</v>
      </c>
      <c r="AT80" t="e">
        <f>_xlfn.NORM.DIST(Table29128[[#This Row],[Acetate '[%']]],Q$6,Q$2,FALSE)</f>
        <v>#DIV/0!</v>
      </c>
      <c r="AU80" t="e">
        <f>_xlfn.NORM.DIST(Table29128[[#This Row],[Propionate '[%']]],R$6,R$2,FALSE)</f>
        <v>#DIV/0!</v>
      </c>
      <c r="AV80" t="e">
        <f>_xlfn.NORM.DIST(Table29128[[#This Row],[Butyrate '[%']]],S$6,S$2,FALSE)</f>
        <v>#DIV/0!</v>
      </c>
      <c r="AW80" t="e">
        <f>_xlfn.NORM.DIST(Table29128[[#This Row],[Valerate '[%']]],T$6,T$2,FALSE)</f>
        <v>#DIV/0!</v>
      </c>
      <c r="AX80" t="e">
        <f>_xlfn.NORM.DIST(Table29128[[#This Row],[Caproate '[%']]],U$6,U$2,FALSE)</f>
        <v>#DIV/0!</v>
      </c>
      <c r="AY80" t="e">
        <f>_xlfn.NORM.DIST(Table29128[[#This Row],[Isobutyrate '[%']]],V$6,V$2,FALSE)</f>
        <v>#DIV/0!</v>
      </c>
      <c r="AZ80" t="e">
        <f>_xlfn.NORM.DIST(Table29128[[#This Row],[Isovalerate '[%']]],W$6,W$2,FALSE)</f>
        <v>#DIV/0!</v>
      </c>
      <c r="BA80" t="e">
        <f>_xlfn.NORM.DIST(Table29128[[#This Row],[CH4 '[g/mmol SCFA']]],X$6,X$2,FALSE)</f>
        <v>#DIV/0!</v>
      </c>
      <c r="BB80" t="e">
        <f>_xlfn.NORM.DIST(Table29128[[#This Row],[DMD '[mg/g']]],Y$6,Y$2,FALSE)</f>
        <v>#REF!</v>
      </c>
      <c r="BC80" t="e">
        <f>_xlfn.NORM.DIST(Table29128[[#This Row],[CH4 '[ml/g']]],Z$6,Z$2,FALSE)</f>
        <v>#REF!</v>
      </c>
      <c r="BD80" t="e">
        <f>_xlfn.NORM.DIST(Table29128[[#This Row],[CH4 '[% GP']]],AA$6,AA$2,FALSE)</f>
        <v>#REF!</v>
      </c>
      <c r="BE80" t="e">
        <f>_xlfn.NORM.DIST(Table29128[[#This Row],[CH4 '[g/g DDM']]],AB$6,AB$2,FALSE)</f>
        <v>#REF!</v>
      </c>
      <c r="BG80">
        <f>IF(Table29128[[#This Row],[GP '[ml/g']]]&lt;O$10,_xlfn.NORM.DIST(Table29128[[#This Row],[GP '[ml/g']]],O$6,O$2,FALSE),-100)</f>
        <v>-100</v>
      </c>
      <c r="BH80">
        <f>IF(Table29128[[#This Row],[SCFA '[mmol/g']]]&lt;P$10,_xlfn.NORM.DIST(Table29128[[#This Row],[SCFA '[mmol/g']]],P$6,P$2,FALSE),-100)</f>
        <v>-100</v>
      </c>
      <c r="BI80">
        <f>IF(Table29128[[#This Row],[Acetate '[%']]]&lt;Q$10,_xlfn.NORM.DIST(Table29128[[#This Row],[Acetate '[%']]],Q$6,Q$2,FALSE),-100)</f>
        <v>-100</v>
      </c>
      <c r="BJ80">
        <f>IF(Table29128[[#This Row],[Propionate '[%']]]&lt;R$10,_xlfn.NORM.DIST(Table29128[[#This Row],[Propionate '[%']]],R$6,R$2,FALSE),-100)</f>
        <v>-100</v>
      </c>
      <c r="BK80">
        <f>IF(Table29128[[#This Row],[Butyrate '[%']]]&lt;S$10,_xlfn.NORM.DIST(Table29128[[#This Row],[Butyrate '[%']]],S$6,S$2,FALSE),-100)</f>
        <v>-100</v>
      </c>
      <c r="BL80">
        <f>IF(Table29128[[#This Row],[Valerate '[%']]]&lt;T$10,_xlfn.NORM.DIST(Table29128[[#This Row],[Valerate '[%']]],T$6,T$2,FALSE),-100)</f>
        <v>-100</v>
      </c>
      <c r="BM80">
        <f>IF(Table29128[[#This Row],[Caproate '[%']]]&lt;U$10,_xlfn.NORM.DIST(Table29128[[#This Row],[Caproate '[%']]],U$6,U$2,FALSE),-100)</f>
        <v>-100</v>
      </c>
      <c r="BN80">
        <f>IF(Table29128[[#This Row],[Isobutyrate '[%']]]&lt;V$10,_xlfn.NORM.DIST(Table29128[[#This Row],[Isobutyrate '[%']]],V$6,V$2,FALSE),-100)</f>
        <v>-100</v>
      </c>
      <c r="BO80">
        <f>IF(Table29128[[#This Row],[Isovalerate '[%']]]&lt;W$10,_xlfn.NORM.DIST(Table29128[[#This Row],[Isovalerate '[%']]],W$6,W$2,FALSE),-100)</f>
        <v>-100</v>
      </c>
      <c r="BP80">
        <f>IF(Table29128[[#This Row],[CH4 '[g/mmol SCFA']]]&lt;X$10,_xlfn.NORM.DIST(Table29128[[#This Row],[CH4 '[g/mmol SCFA']]],X$6,X$2,FALSE),-100)</f>
        <v>-100</v>
      </c>
      <c r="BQ80" t="e">
        <f>IF(Table29128[[#This Row],[DMD '[mg/g']]]&gt;Y$10,_xlfn.NORM.DIST(Table29128[[#This Row],[DMD '[mg/g']]],Y$6,Y$2,FALSE),-100)</f>
        <v>#REF!</v>
      </c>
      <c r="BR80" t="e">
        <f>IF(Table29128[[#This Row],[CH4 '[ml/g']]]&lt;Z$10,_xlfn.NORM.DIST(Table29128[[#This Row],[CH4 '[ml/g']]],Z$6,Z$2,FALSE),-100)</f>
        <v>#REF!</v>
      </c>
      <c r="BS80" t="e">
        <f>IF(Table29128[[#This Row],[CH4 '[% GP']]]&lt;AA$10,_xlfn.NORM.DIST(Table29128[[#This Row],[CH4 '[% GP']]],AA$6,AA$2,FALSE),-100)</f>
        <v>#REF!</v>
      </c>
      <c r="BT80" t="e">
        <f>IF(Table29128[[#This Row],[CH4 '[g/g DDM']]]&lt;AB$10,_xlfn.NORM.DIST(Table29128[[#This Row],[CH4 '[g/g DDM']]],AB$6,AB$2,FALSE),-100)</f>
        <v>#REF!</v>
      </c>
    </row>
    <row r="81" spans="1:72" x14ac:dyDescent="0.25">
      <c r="A81" s="12" t="s">
        <v>86</v>
      </c>
      <c r="B81" s="13">
        <v>1061</v>
      </c>
      <c r="C81" s="104" t="s">
        <v>150</v>
      </c>
      <c r="D81" s="104" t="s">
        <v>134</v>
      </c>
      <c r="E81" s="104" t="s">
        <v>151</v>
      </c>
      <c r="F81" s="104" t="s">
        <v>152</v>
      </c>
      <c r="G81" s="23" t="s">
        <v>73</v>
      </c>
      <c r="H81" s="23" t="s">
        <v>74</v>
      </c>
      <c r="I81" s="105" t="s">
        <v>44</v>
      </c>
      <c r="J81" s="70">
        <v>1</v>
      </c>
      <c r="K81" s="70"/>
      <c r="L81" s="70" t="s">
        <v>627</v>
      </c>
      <c r="M81" t="s">
        <v>152</v>
      </c>
      <c r="N81" t="s">
        <v>145</v>
      </c>
      <c r="O81" s="18"/>
      <c r="P81" s="18"/>
      <c r="Q81" s="97"/>
      <c r="R81" s="97"/>
      <c r="S81" s="97"/>
      <c r="T81" s="97"/>
      <c r="U81" s="97"/>
      <c r="V81" s="97"/>
      <c r="W81" s="97"/>
      <c r="X81" s="51"/>
      <c r="Y81" s="18" t="e">
        <f>AVERAGEIFS([1]!Table2912[DMD '[mg/g']],[1]!Table2912[Substrate ID],Table29128[[#This Row],[Substrate ID]])</f>
        <v>#REF!</v>
      </c>
      <c r="Z81" s="18" t="e">
        <f>AVERAGEIFS([1]!Table2912[CH4 '[ml/g']],[1]!Table2912[Substrate ID],Table29128[[#This Row],[Substrate ID]])</f>
        <v>#REF!</v>
      </c>
      <c r="AA81" s="18" t="e">
        <f>AVERAGEIFS([1]!Table2912[CH4 '[% GP']],[1]!Table2912[Substrate ID],Table29128[[#This Row],[Substrate ID]])</f>
        <v>#REF!</v>
      </c>
      <c r="AB81" s="18" t="e">
        <f>AVERAGEIFS([1]!Table2912[CH4 '[g/g DDM']],[1]!Table2912[Substrate ID],Table29128[[#This Row],[Substrate ID]])</f>
        <v>#REF!</v>
      </c>
      <c r="AC81" s="18" t="e">
        <f>$CP$17*Table29128[[#This Row],[DMD '[mg/g']]]+$CQ$17*Table29128[[#This Row],[CH4 '[g/g DDM']]]</f>
        <v>#REF!</v>
      </c>
      <c r="AD81" s="18" t="e">
        <f>_xlfn.RANK.AVG(Table29128[[#This Row],[Index]],Table29128[Index])</f>
        <v>#REF!</v>
      </c>
      <c r="AE81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81" s="18" t="e">
        <f>Table29128[[#This Row],[CH4 '[ml/g']]]/Table29128[[#This Row],[APB]]</f>
        <v>#REF!</v>
      </c>
      <c r="AG81" s="18" t="e">
        <f>Table29128[[#This Row],[Propionate '[%']]]/Table29128[[#This Row],[Acetate '[%']]]</f>
        <v>#DIV/0!</v>
      </c>
      <c r="AH81" s="51"/>
      <c r="AI81" s="18"/>
      <c r="AJ81" s="18"/>
      <c r="AK81" s="135" t="e">
        <f t="shared" si="4"/>
        <v>#REF!</v>
      </c>
      <c r="AL81" s="18"/>
      <c r="AM81" s="135" t="e">
        <f t="shared" si="5"/>
        <v>#REF!</v>
      </c>
      <c r="AN81" s="18" t="e">
        <f>(Table29128[[#This Row],[CH4 '[g/g DDM']]]-AN$15)/AN$15%</f>
        <v>#REF!</v>
      </c>
      <c r="AO81" s="18"/>
      <c r="AP81" s="18"/>
      <c r="AR81" t="e">
        <f>_xlfn.NORM.DIST(Table29128[[#This Row],[GP '[ml/g']]],O$6,O$2,FALSE)</f>
        <v>#DIV/0!</v>
      </c>
      <c r="AS81" t="e">
        <f>_xlfn.NORM.DIST(Table29128[[#This Row],[SCFA '[mmol/g']]],P$6,P$2,FALSE)</f>
        <v>#DIV/0!</v>
      </c>
      <c r="AT81" t="e">
        <f>_xlfn.NORM.DIST(Table29128[[#This Row],[Acetate '[%']]],Q$6,Q$2,FALSE)</f>
        <v>#DIV/0!</v>
      </c>
      <c r="AU81" t="e">
        <f>_xlfn.NORM.DIST(Table29128[[#This Row],[Propionate '[%']]],R$6,R$2,FALSE)</f>
        <v>#DIV/0!</v>
      </c>
      <c r="AV81" t="e">
        <f>_xlfn.NORM.DIST(Table29128[[#This Row],[Butyrate '[%']]],S$6,S$2,FALSE)</f>
        <v>#DIV/0!</v>
      </c>
      <c r="AW81" t="e">
        <f>_xlfn.NORM.DIST(Table29128[[#This Row],[Valerate '[%']]],T$6,T$2,FALSE)</f>
        <v>#DIV/0!</v>
      </c>
      <c r="AX81" t="e">
        <f>_xlfn.NORM.DIST(Table29128[[#This Row],[Caproate '[%']]],U$6,U$2,FALSE)</f>
        <v>#DIV/0!</v>
      </c>
      <c r="AY81" t="e">
        <f>_xlfn.NORM.DIST(Table29128[[#This Row],[Isobutyrate '[%']]],V$6,V$2,FALSE)</f>
        <v>#DIV/0!</v>
      </c>
      <c r="AZ81" t="e">
        <f>_xlfn.NORM.DIST(Table29128[[#This Row],[Isovalerate '[%']]],W$6,W$2,FALSE)</f>
        <v>#DIV/0!</v>
      </c>
      <c r="BA81" t="e">
        <f>_xlfn.NORM.DIST(Table29128[[#This Row],[CH4 '[g/mmol SCFA']]],X$6,X$2,FALSE)</f>
        <v>#DIV/0!</v>
      </c>
      <c r="BB81" t="e">
        <f>_xlfn.NORM.DIST(Table29128[[#This Row],[DMD '[mg/g']]],Y$6,Y$2,FALSE)</f>
        <v>#REF!</v>
      </c>
      <c r="BC81" t="e">
        <f>_xlfn.NORM.DIST(Table29128[[#This Row],[CH4 '[ml/g']]],Z$6,Z$2,FALSE)</f>
        <v>#REF!</v>
      </c>
      <c r="BD81" t="e">
        <f>_xlfn.NORM.DIST(Table29128[[#This Row],[CH4 '[% GP']]],AA$6,AA$2,FALSE)</f>
        <v>#REF!</v>
      </c>
      <c r="BE81" t="e">
        <f>_xlfn.NORM.DIST(Table29128[[#This Row],[CH4 '[g/g DDM']]],AB$6,AB$2,FALSE)</f>
        <v>#REF!</v>
      </c>
      <c r="BG81">
        <f>IF(Table29128[[#This Row],[GP '[ml/g']]]&lt;O$10,_xlfn.NORM.DIST(Table29128[[#This Row],[GP '[ml/g']]],O$6,O$2,FALSE),-100)</f>
        <v>-100</v>
      </c>
      <c r="BH81">
        <f>IF(Table29128[[#This Row],[SCFA '[mmol/g']]]&lt;P$10,_xlfn.NORM.DIST(Table29128[[#This Row],[SCFA '[mmol/g']]],P$6,P$2,FALSE),-100)</f>
        <v>-100</v>
      </c>
      <c r="BI81">
        <f>IF(Table29128[[#This Row],[Acetate '[%']]]&lt;Q$10,_xlfn.NORM.DIST(Table29128[[#This Row],[Acetate '[%']]],Q$6,Q$2,FALSE),-100)</f>
        <v>-100</v>
      </c>
      <c r="BJ81">
        <f>IF(Table29128[[#This Row],[Propionate '[%']]]&lt;R$10,_xlfn.NORM.DIST(Table29128[[#This Row],[Propionate '[%']]],R$6,R$2,FALSE),-100)</f>
        <v>-100</v>
      </c>
      <c r="BK81">
        <f>IF(Table29128[[#This Row],[Butyrate '[%']]]&lt;S$10,_xlfn.NORM.DIST(Table29128[[#This Row],[Butyrate '[%']]],S$6,S$2,FALSE),-100)</f>
        <v>-100</v>
      </c>
      <c r="BL81">
        <f>IF(Table29128[[#This Row],[Valerate '[%']]]&lt;T$10,_xlfn.NORM.DIST(Table29128[[#This Row],[Valerate '[%']]],T$6,T$2,FALSE),-100)</f>
        <v>-100</v>
      </c>
      <c r="BM81">
        <f>IF(Table29128[[#This Row],[Caproate '[%']]]&lt;U$10,_xlfn.NORM.DIST(Table29128[[#This Row],[Caproate '[%']]],U$6,U$2,FALSE),-100)</f>
        <v>-100</v>
      </c>
      <c r="BN81">
        <f>IF(Table29128[[#This Row],[Isobutyrate '[%']]]&lt;V$10,_xlfn.NORM.DIST(Table29128[[#This Row],[Isobutyrate '[%']]],V$6,V$2,FALSE),-100)</f>
        <v>-100</v>
      </c>
      <c r="BO81">
        <f>IF(Table29128[[#This Row],[Isovalerate '[%']]]&lt;W$10,_xlfn.NORM.DIST(Table29128[[#This Row],[Isovalerate '[%']]],W$6,W$2,FALSE),-100)</f>
        <v>-100</v>
      </c>
      <c r="BP81">
        <f>IF(Table29128[[#This Row],[CH4 '[g/mmol SCFA']]]&lt;X$10,_xlfn.NORM.DIST(Table29128[[#This Row],[CH4 '[g/mmol SCFA']]],X$6,X$2,FALSE),-100)</f>
        <v>-100</v>
      </c>
      <c r="BQ81" t="e">
        <f>IF(Table29128[[#This Row],[DMD '[mg/g']]]&gt;Y$10,_xlfn.NORM.DIST(Table29128[[#This Row],[DMD '[mg/g']]],Y$6,Y$2,FALSE),-100)</f>
        <v>#REF!</v>
      </c>
      <c r="BR81" t="e">
        <f>IF(Table29128[[#This Row],[CH4 '[ml/g']]]&lt;Z$10,_xlfn.NORM.DIST(Table29128[[#This Row],[CH4 '[ml/g']]],Z$6,Z$2,FALSE),-100)</f>
        <v>#REF!</v>
      </c>
      <c r="BS81" t="e">
        <f>IF(Table29128[[#This Row],[CH4 '[% GP']]]&lt;AA$10,_xlfn.NORM.DIST(Table29128[[#This Row],[CH4 '[% GP']]],AA$6,AA$2,FALSE),-100)</f>
        <v>#REF!</v>
      </c>
      <c r="BT81" t="e">
        <f>IF(Table29128[[#This Row],[CH4 '[g/g DDM']]]&lt;AB$10,_xlfn.NORM.DIST(Table29128[[#This Row],[CH4 '[g/g DDM']]],AB$6,AB$2,FALSE),-100)</f>
        <v>#REF!</v>
      </c>
    </row>
    <row r="82" spans="1:72" x14ac:dyDescent="0.25">
      <c r="A82" s="12" t="s">
        <v>86</v>
      </c>
      <c r="B82" s="13">
        <v>1060</v>
      </c>
      <c r="C82" s="104" t="s">
        <v>133</v>
      </c>
      <c r="D82" s="104" t="s">
        <v>134</v>
      </c>
      <c r="E82" s="104" t="s">
        <v>135</v>
      </c>
      <c r="F82" s="104" t="s">
        <v>136</v>
      </c>
      <c r="G82" s="32" t="s">
        <v>73</v>
      </c>
      <c r="H82" s="32" t="s">
        <v>74</v>
      </c>
      <c r="I82" s="105" t="s">
        <v>44</v>
      </c>
      <c r="J82" s="70">
        <v>1</v>
      </c>
      <c r="K82" s="70"/>
      <c r="L82" s="70"/>
      <c r="M82" t="s">
        <v>136</v>
      </c>
      <c r="N82" t="s">
        <v>145</v>
      </c>
      <c r="O82" s="18"/>
      <c r="P82" s="18"/>
      <c r="Q82" s="97"/>
      <c r="R82" s="97"/>
      <c r="S82" s="97"/>
      <c r="T82" s="97"/>
      <c r="U82" s="97"/>
      <c r="V82" s="97"/>
      <c r="W82" s="97"/>
      <c r="X82" s="51"/>
      <c r="Y82" s="18" t="e">
        <f>AVERAGEIFS([1]!Table2912[DMD '[mg/g']],[1]!Table2912[Substrate ID],Table29128[[#This Row],[Substrate ID]])</f>
        <v>#REF!</v>
      </c>
      <c r="Z82" s="18" t="e">
        <f>AVERAGEIFS([1]!Table2912[CH4 '[ml/g']],[1]!Table2912[Substrate ID],Table29128[[#This Row],[Substrate ID]])</f>
        <v>#REF!</v>
      </c>
      <c r="AA82" s="18" t="e">
        <f>AVERAGEIFS([1]!Table2912[CH4 '[% GP']],[1]!Table2912[Substrate ID],Table29128[[#This Row],[Substrate ID]])</f>
        <v>#REF!</v>
      </c>
      <c r="AB82" s="18" t="e">
        <f>AVERAGEIFS([1]!Table2912[CH4 '[g/g DDM']],[1]!Table2912[Substrate ID],Table29128[[#This Row],[Substrate ID]])</f>
        <v>#REF!</v>
      </c>
      <c r="AC82" s="18" t="e">
        <f>$CP$17*Table29128[[#This Row],[DMD '[mg/g']]]+$CQ$17*Table29128[[#This Row],[CH4 '[g/g DDM']]]</f>
        <v>#REF!</v>
      </c>
      <c r="AD82" s="18" t="e">
        <f>_xlfn.RANK.AVG(Table29128[[#This Row],[Index]],Table29128[Index])</f>
        <v>#REF!</v>
      </c>
      <c r="AE82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82" s="18" t="e">
        <f>Table29128[[#This Row],[CH4 '[ml/g']]]/Table29128[[#This Row],[APB]]</f>
        <v>#REF!</v>
      </c>
      <c r="AG82" s="18" t="e">
        <f>Table29128[[#This Row],[Propionate '[%']]]/Table29128[[#This Row],[Acetate '[%']]]</f>
        <v>#DIV/0!</v>
      </c>
      <c r="AH82" s="51"/>
      <c r="AI82" s="18"/>
      <c r="AJ82" s="18"/>
      <c r="AK82" s="135" t="e">
        <f t="shared" si="4"/>
        <v>#REF!</v>
      </c>
      <c r="AL82" s="18"/>
      <c r="AM82" s="135" t="e">
        <f t="shared" si="5"/>
        <v>#REF!</v>
      </c>
      <c r="AN82" s="18" t="e">
        <f>(Table29128[[#This Row],[CH4 '[g/g DDM']]]-AN$15)/AN$15%</f>
        <v>#REF!</v>
      </c>
      <c r="AO82" s="18"/>
      <c r="AP82" s="18"/>
      <c r="AR82" t="e">
        <f>_xlfn.NORM.DIST(Table29128[[#This Row],[GP '[ml/g']]],O$6,O$2,FALSE)</f>
        <v>#DIV/0!</v>
      </c>
      <c r="AS82" t="e">
        <f>_xlfn.NORM.DIST(Table29128[[#This Row],[SCFA '[mmol/g']]],P$6,P$2,FALSE)</f>
        <v>#DIV/0!</v>
      </c>
      <c r="AT82" t="e">
        <f>_xlfn.NORM.DIST(Table29128[[#This Row],[Acetate '[%']]],Q$6,Q$2,FALSE)</f>
        <v>#DIV/0!</v>
      </c>
      <c r="AU82" t="e">
        <f>_xlfn.NORM.DIST(Table29128[[#This Row],[Propionate '[%']]],R$6,R$2,FALSE)</f>
        <v>#DIV/0!</v>
      </c>
      <c r="AV82" t="e">
        <f>_xlfn.NORM.DIST(Table29128[[#This Row],[Butyrate '[%']]],S$6,S$2,FALSE)</f>
        <v>#DIV/0!</v>
      </c>
      <c r="AW82" t="e">
        <f>_xlfn.NORM.DIST(Table29128[[#This Row],[Valerate '[%']]],T$6,T$2,FALSE)</f>
        <v>#DIV/0!</v>
      </c>
      <c r="AX82" t="e">
        <f>_xlfn.NORM.DIST(Table29128[[#This Row],[Caproate '[%']]],U$6,U$2,FALSE)</f>
        <v>#DIV/0!</v>
      </c>
      <c r="AY82" t="e">
        <f>_xlfn.NORM.DIST(Table29128[[#This Row],[Isobutyrate '[%']]],V$6,V$2,FALSE)</f>
        <v>#DIV/0!</v>
      </c>
      <c r="AZ82" t="e">
        <f>_xlfn.NORM.DIST(Table29128[[#This Row],[Isovalerate '[%']]],W$6,W$2,FALSE)</f>
        <v>#DIV/0!</v>
      </c>
      <c r="BA82" t="e">
        <f>_xlfn.NORM.DIST(Table29128[[#This Row],[CH4 '[g/mmol SCFA']]],X$6,X$2,FALSE)</f>
        <v>#DIV/0!</v>
      </c>
      <c r="BB82" t="e">
        <f>_xlfn.NORM.DIST(Table29128[[#This Row],[DMD '[mg/g']]],Y$6,Y$2,FALSE)</f>
        <v>#REF!</v>
      </c>
      <c r="BC82" t="e">
        <f>_xlfn.NORM.DIST(Table29128[[#This Row],[CH4 '[ml/g']]],Z$6,Z$2,FALSE)</f>
        <v>#REF!</v>
      </c>
      <c r="BD82" t="e">
        <f>_xlfn.NORM.DIST(Table29128[[#This Row],[CH4 '[% GP']]],AA$6,AA$2,FALSE)</f>
        <v>#REF!</v>
      </c>
      <c r="BE82" t="e">
        <f>_xlfn.NORM.DIST(Table29128[[#This Row],[CH4 '[g/g DDM']]],AB$6,AB$2,FALSE)</f>
        <v>#REF!</v>
      </c>
      <c r="BG82">
        <f>IF(Table29128[[#This Row],[GP '[ml/g']]]&lt;O$10,_xlfn.NORM.DIST(Table29128[[#This Row],[GP '[ml/g']]],O$6,O$2,FALSE),-100)</f>
        <v>-100</v>
      </c>
      <c r="BH82">
        <f>IF(Table29128[[#This Row],[SCFA '[mmol/g']]]&lt;P$10,_xlfn.NORM.DIST(Table29128[[#This Row],[SCFA '[mmol/g']]],P$6,P$2,FALSE),-100)</f>
        <v>-100</v>
      </c>
      <c r="BI82">
        <f>IF(Table29128[[#This Row],[Acetate '[%']]]&lt;Q$10,_xlfn.NORM.DIST(Table29128[[#This Row],[Acetate '[%']]],Q$6,Q$2,FALSE),-100)</f>
        <v>-100</v>
      </c>
      <c r="BJ82">
        <f>IF(Table29128[[#This Row],[Propionate '[%']]]&lt;R$10,_xlfn.NORM.DIST(Table29128[[#This Row],[Propionate '[%']]],R$6,R$2,FALSE),-100)</f>
        <v>-100</v>
      </c>
      <c r="BK82">
        <f>IF(Table29128[[#This Row],[Butyrate '[%']]]&lt;S$10,_xlfn.NORM.DIST(Table29128[[#This Row],[Butyrate '[%']]],S$6,S$2,FALSE),-100)</f>
        <v>-100</v>
      </c>
      <c r="BL82">
        <f>IF(Table29128[[#This Row],[Valerate '[%']]]&lt;T$10,_xlfn.NORM.DIST(Table29128[[#This Row],[Valerate '[%']]],T$6,T$2,FALSE),-100)</f>
        <v>-100</v>
      </c>
      <c r="BM82">
        <f>IF(Table29128[[#This Row],[Caproate '[%']]]&lt;U$10,_xlfn.NORM.DIST(Table29128[[#This Row],[Caproate '[%']]],U$6,U$2,FALSE),-100)</f>
        <v>-100</v>
      </c>
      <c r="BN82">
        <f>IF(Table29128[[#This Row],[Isobutyrate '[%']]]&lt;V$10,_xlfn.NORM.DIST(Table29128[[#This Row],[Isobutyrate '[%']]],V$6,V$2,FALSE),-100)</f>
        <v>-100</v>
      </c>
      <c r="BO82">
        <f>IF(Table29128[[#This Row],[Isovalerate '[%']]]&lt;W$10,_xlfn.NORM.DIST(Table29128[[#This Row],[Isovalerate '[%']]],W$6,W$2,FALSE),-100)</f>
        <v>-100</v>
      </c>
      <c r="BP82">
        <f>IF(Table29128[[#This Row],[CH4 '[g/mmol SCFA']]]&lt;X$10,_xlfn.NORM.DIST(Table29128[[#This Row],[CH4 '[g/mmol SCFA']]],X$6,X$2,FALSE),-100)</f>
        <v>-100</v>
      </c>
      <c r="BQ82" t="e">
        <f>IF(Table29128[[#This Row],[DMD '[mg/g']]]&gt;Y$10,_xlfn.NORM.DIST(Table29128[[#This Row],[DMD '[mg/g']]],Y$6,Y$2,FALSE),-100)</f>
        <v>#REF!</v>
      </c>
      <c r="BR82" t="e">
        <f>IF(Table29128[[#This Row],[CH4 '[ml/g']]]&lt;Z$10,_xlfn.NORM.DIST(Table29128[[#This Row],[CH4 '[ml/g']]],Z$6,Z$2,FALSE),-100)</f>
        <v>#REF!</v>
      </c>
      <c r="BS82" t="e">
        <f>IF(Table29128[[#This Row],[CH4 '[% GP']]]&lt;AA$10,_xlfn.NORM.DIST(Table29128[[#This Row],[CH4 '[% GP']]],AA$6,AA$2,FALSE),-100)</f>
        <v>#REF!</v>
      </c>
      <c r="BT82" t="e">
        <f>IF(Table29128[[#This Row],[CH4 '[g/g DDM']]]&lt;AB$10,_xlfn.NORM.DIST(Table29128[[#This Row],[CH4 '[g/g DDM']]],AB$6,AB$2,FALSE),-100)</f>
        <v>#REF!</v>
      </c>
    </row>
    <row r="83" spans="1:72" x14ac:dyDescent="0.25">
      <c r="A83" s="12" t="s">
        <v>86</v>
      </c>
      <c r="B83" s="13">
        <v>1062</v>
      </c>
      <c r="C83" s="104" t="s">
        <v>444</v>
      </c>
      <c r="D83" s="104" t="s">
        <v>134</v>
      </c>
      <c r="E83" s="104" t="s">
        <v>445</v>
      </c>
      <c r="F83" s="104" t="s">
        <v>446</v>
      </c>
      <c r="G83" s="23" t="s">
        <v>73</v>
      </c>
      <c r="H83" s="23" t="s">
        <v>74</v>
      </c>
      <c r="I83" s="105" t="s">
        <v>44</v>
      </c>
      <c r="J83" s="70">
        <v>1</v>
      </c>
      <c r="K83" s="70"/>
      <c r="L83" s="70"/>
      <c r="M83" t="s">
        <v>446</v>
      </c>
      <c r="N83" t="s">
        <v>124</v>
      </c>
      <c r="O83" s="18"/>
      <c r="P83" s="18"/>
      <c r="Q83" s="97"/>
      <c r="R83" s="97"/>
      <c r="S83" s="97"/>
      <c r="T83" s="97"/>
      <c r="U83" s="97"/>
      <c r="V83" s="97"/>
      <c r="W83" s="97"/>
      <c r="X83" s="51"/>
      <c r="Y83" s="18" t="e">
        <f>AVERAGEIFS([1]!Table2912[DMD '[mg/g']],[1]!Table2912[Substrate ID],Table29128[[#This Row],[Substrate ID]])</f>
        <v>#REF!</v>
      </c>
      <c r="Z83" s="18" t="e">
        <f>AVERAGEIFS([1]!Table2912[CH4 '[ml/g']],[1]!Table2912[Substrate ID],Table29128[[#This Row],[Substrate ID]])</f>
        <v>#REF!</v>
      </c>
      <c r="AA83" s="18" t="e">
        <f>AVERAGEIFS([1]!Table2912[CH4 '[% GP']],[1]!Table2912[Substrate ID],Table29128[[#This Row],[Substrate ID]])</f>
        <v>#REF!</v>
      </c>
      <c r="AB83" s="18" t="e">
        <f>AVERAGEIFS([1]!Table2912[CH4 '[g/g DDM']],[1]!Table2912[Substrate ID],Table29128[[#This Row],[Substrate ID]])</f>
        <v>#REF!</v>
      </c>
      <c r="AC83" s="18" t="e">
        <f>$CP$17*Table29128[[#This Row],[DMD '[mg/g']]]+$CQ$17*Table29128[[#This Row],[CH4 '[g/g DDM']]]</f>
        <v>#REF!</v>
      </c>
      <c r="AD83" s="18" t="e">
        <f>_xlfn.RANK.AVG(Table29128[[#This Row],[Index]],Table29128[Index])</f>
        <v>#REF!</v>
      </c>
      <c r="AE83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83" s="18" t="e">
        <f>Table29128[[#This Row],[CH4 '[ml/g']]]/Table29128[[#This Row],[APB]]</f>
        <v>#REF!</v>
      </c>
      <c r="AG83" s="18" t="e">
        <f>Table29128[[#This Row],[Propionate '[%']]]/Table29128[[#This Row],[Acetate '[%']]]</f>
        <v>#DIV/0!</v>
      </c>
      <c r="AH83" s="51"/>
      <c r="AI83" s="18"/>
      <c r="AJ83" s="18"/>
      <c r="AK83" s="135" t="e">
        <f t="shared" si="4"/>
        <v>#REF!</v>
      </c>
      <c r="AL83" s="18"/>
      <c r="AM83" s="135" t="e">
        <f t="shared" si="5"/>
        <v>#REF!</v>
      </c>
      <c r="AN83" s="18" t="e">
        <f>(Table29128[[#This Row],[CH4 '[g/g DDM']]]-AN$15)/AN$15%</f>
        <v>#REF!</v>
      </c>
      <c r="AO83" s="18"/>
      <c r="AP83" s="18"/>
      <c r="AR83" t="e">
        <f>_xlfn.NORM.DIST(Table29128[[#This Row],[GP '[ml/g']]],O$6,O$2,FALSE)</f>
        <v>#DIV/0!</v>
      </c>
      <c r="AS83" t="e">
        <f>_xlfn.NORM.DIST(Table29128[[#This Row],[SCFA '[mmol/g']]],P$6,P$2,FALSE)</f>
        <v>#DIV/0!</v>
      </c>
      <c r="AT83" t="e">
        <f>_xlfn.NORM.DIST(Table29128[[#This Row],[Acetate '[%']]],Q$6,Q$2,FALSE)</f>
        <v>#DIV/0!</v>
      </c>
      <c r="AU83" t="e">
        <f>_xlfn.NORM.DIST(Table29128[[#This Row],[Propionate '[%']]],R$6,R$2,FALSE)</f>
        <v>#DIV/0!</v>
      </c>
      <c r="AV83" t="e">
        <f>_xlfn.NORM.DIST(Table29128[[#This Row],[Butyrate '[%']]],S$6,S$2,FALSE)</f>
        <v>#DIV/0!</v>
      </c>
      <c r="AW83" t="e">
        <f>_xlfn.NORM.DIST(Table29128[[#This Row],[Valerate '[%']]],T$6,T$2,FALSE)</f>
        <v>#DIV/0!</v>
      </c>
      <c r="AX83" t="e">
        <f>_xlfn.NORM.DIST(Table29128[[#This Row],[Caproate '[%']]],U$6,U$2,FALSE)</f>
        <v>#DIV/0!</v>
      </c>
      <c r="AY83" t="e">
        <f>_xlfn.NORM.DIST(Table29128[[#This Row],[Isobutyrate '[%']]],V$6,V$2,FALSE)</f>
        <v>#DIV/0!</v>
      </c>
      <c r="AZ83" t="e">
        <f>_xlfn.NORM.DIST(Table29128[[#This Row],[Isovalerate '[%']]],W$6,W$2,FALSE)</f>
        <v>#DIV/0!</v>
      </c>
      <c r="BA83" t="e">
        <f>_xlfn.NORM.DIST(Table29128[[#This Row],[CH4 '[g/mmol SCFA']]],X$6,X$2,FALSE)</f>
        <v>#DIV/0!</v>
      </c>
      <c r="BB83" t="e">
        <f>_xlfn.NORM.DIST(Table29128[[#This Row],[DMD '[mg/g']]],Y$6,Y$2,FALSE)</f>
        <v>#REF!</v>
      </c>
      <c r="BC83" t="e">
        <f>_xlfn.NORM.DIST(Table29128[[#This Row],[CH4 '[ml/g']]],Z$6,Z$2,FALSE)</f>
        <v>#REF!</v>
      </c>
      <c r="BD83" t="e">
        <f>_xlfn.NORM.DIST(Table29128[[#This Row],[CH4 '[% GP']]],AA$6,AA$2,FALSE)</f>
        <v>#REF!</v>
      </c>
      <c r="BE83" t="e">
        <f>_xlfn.NORM.DIST(Table29128[[#This Row],[CH4 '[g/g DDM']]],AB$6,AB$2,FALSE)</f>
        <v>#REF!</v>
      </c>
      <c r="BG83">
        <f>IF(Table29128[[#This Row],[GP '[ml/g']]]&lt;O$10,_xlfn.NORM.DIST(Table29128[[#This Row],[GP '[ml/g']]],O$6,O$2,FALSE),-100)</f>
        <v>-100</v>
      </c>
      <c r="BH83">
        <f>IF(Table29128[[#This Row],[SCFA '[mmol/g']]]&lt;P$10,_xlfn.NORM.DIST(Table29128[[#This Row],[SCFA '[mmol/g']]],P$6,P$2,FALSE),-100)</f>
        <v>-100</v>
      </c>
      <c r="BI83">
        <f>IF(Table29128[[#This Row],[Acetate '[%']]]&lt;Q$10,_xlfn.NORM.DIST(Table29128[[#This Row],[Acetate '[%']]],Q$6,Q$2,FALSE),-100)</f>
        <v>-100</v>
      </c>
      <c r="BJ83">
        <f>IF(Table29128[[#This Row],[Propionate '[%']]]&lt;R$10,_xlfn.NORM.DIST(Table29128[[#This Row],[Propionate '[%']]],R$6,R$2,FALSE),-100)</f>
        <v>-100</v>
      </c>
      <c r="BK83">
        <f>IF(Table29128[[#This Row],[Butyrate '[%']]]&lt;S$10,_xlfn.NORM.DIST(Table29128[[#This Row],[Butyrate '[%']]],S$6,S$2,FALSE),-100)</f>
        <v>-100</v>
      </c>
      <c r="BL83">
        <f>IF(Table29128[[#This Row],[Valerate '[%']]]&lt;T$10,_xlfn.NORM.DIST(Table29128[[#This Row],[Valerate '[%']]],T$6,T$2,FALSE),-100)</f>
        <v>-100</v>
      </c>
      <c r="BM83">
        <f>IF(Table29128[[#This Row],[Caproate '[%']]]&lt;U$10,_xlfn.NORM.DIST(Table29128[[#This Row],[Caproate '[%']]],U$6,U$2,FALSE),-100)</f>
        <v>-100</v>
      </c>
      <c r="BN83">
        <f>IF(Table29128[[#This Row],[Isobutyrate '[%']]]&lt;V$10,_xlfn.NORM.DIST(Table29128[[#This Row],[Isobutyrate '[%']]],V$6,V$2,FALSE),-100)</f>
        <v>-100</v>
      </c>
      <c r="BO83">
        <f>IF(Table29128[[#This Row],[Isovalerate '[%']]]&lt;W$10,_xlfn.NORM.DIST(Table29128[[#This Row],[Isovalerate '[%']]],W$6,W$2,FALSE),-100)</f>
        <v>-100</v>
      </c>
      <c r="BP83">
        <f>IF(Table29128[[#This Row],[CH4 '[g/mmol SCFA']]]&lt;X$10,_xlfn.NORM.DIST(Table29128[[#This Row],[CH4 '[g/mmol SCFA']]],X$6,X$2,FALSE),-100)</f>
        <v>-100</v>
      </c>
      <c r="BQ83" t="e">
        <f>IF(Table29128[[#This Row],[DMD '[mg/g']]]&gt;Y$10,_xlfn.NORM.DIST(Table29128[[#This Row],[DMD '[mg/g']]],Y$6,Y$2,FALSE),-100)</f>
        <v>#REF!</v>
      </c>
      <c r="BR83" t="e">
        <f>IF(Table29128[[#This Row],[CH4 '[ml/g']]]&lt;Z$10,_xlfn.NORM.DIST(Table29128[[#This Row],[CH4 '[ml/g']]],Z$6,Z$2,FALSE),-100)</f>
        <v>#REF!</v>
      </c>
      <c r="BS83" t="e">
        <f>IF(Table29128[[#This Row],[CH4 '[% GP']]]&lt;AA$10,_xlfn.NORM.DIST(Table29128[[#This Row],[CH4 '[% GP']]],AA$6,AA$2,FALSE),-100)</f>
        <v>#REF!</v>
      </c>
      <c r="BT83" t="e">
        <f>IF(Table29128[[#This Row],[CH4 '[g/g DDM']]]&lt;AB$10,_xlfn.NORM.DIST(Table29128[[#This Row],[CH4 '[g/g DDM']]],AB$6,AB$2,FALSE),-100)</f>
        <v>#REF!</v>
      </c>
    </row>
    <row r="84" spans="1:72" x14ac:dyDescent="0.25">
      <c r="A84" s="12" t="s">
        <v>86</v>
      </c>
      <c r="B84" s="13">
        <v>1063</v>
      </c>
      <c r="C84" s="32">
        <v>21083</v>
      </c>
      <c r="D84" t="s">
        <v>96</v>
      </c>
      <c r="E84" t="s">
        <v>97</v>
      </c>
      <c r="F84" t="s">
        <v>83</v>
      </c>
      <c r="G84" s="23" t="s">
        <v>73</v>
      </c>
      <c r="H84" s="23" t="s">
        <v>74</v>
      </c>
      <c r="I84" s="105" t="s">
        <v>48</v>
      </c>
      <c r="J84" s="70">
        <v>1</v>
      </c>
      <c r="K84" s="70"/>
      <c r="L84" s="70" t="s">
        <v>627</v>
      </c>
      <c r="M84" t="s">
        <v>83</v>
      </c>
      <c r="N84" t="s">
        <v>124</v>
      </c>
      <c r="O84" s="18"/>
      <c r="P84" s="18"/>
      <c r="Q84" s="97"/>
      <c r="R84" s="97"/>
      <c r="S84" s="97"/>
      <c r="T84" s="97"/>
      <c r="U84" s="97"/>
      <c r="V84" s="97"/>
      <c r="W84" s="97"/>
      <c r="X84" s="51"/>
      <c r="Y84" s="18" t="e">
        <f>AVERAGEIFS([1]!Table2912[DMD '[mg/g']],[1]!Table2912[Substrate ID],Table29128[[#This Row],[Substrate ID]])</f>
        <v>#REF!</v>
      </c>
      <c r="Z84" s="18" t="e">
        <f>AVERAGEIFS([1]!Table2912[CH4 '[ml/g']],[1]!Table2912[Substrate ID],Table29128[[#This Row],[Substrate ID]])</f>
        <v>#REF!</v>
      </c>
      <c r="AA84" s="18" t="e">
        <f>AVERAGEIFS([1]!Table2912[CH4 '[% GP']],[1]!Table2912[Substrate ID],Table29128[[#This Row],[Substrate ID]])</f>
        <v>#REF!</v>
      </c>
      <c r="AB84" s="18" t="e">
        <f>AVERAGEIFS([1]!Table2912[CH4 '[g/g DDM']],[1]!Table2912[Substrate ID],Table29128[[#This Row],[Substrate ID]])</f>
        <v>#REF!</v>
      </c>
      <c r="AC84" s="18" t="e">
        <f>$CP$17*Table29128[[#This Row],[DMD '[mg/g']]]+$CQ$17*Table29128[[#This Row],[CH4 '[g/g DDM']]]</f>
        <v>#REF!</v>
      </c>
      <c r="AD84" s="18" t="e">
        <f>_xlfn.RANK.AVG(Table29128[[#This Row],[Index]],Table29128[Index])</f>
        <v>#REF!</v>
      </c>
      <c r="AE84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84" s="18" t="e">
        <f>Table29128[[#This Row],[CH4 '[ml/g']]]/Table29128[[#This Row],[APB]]</f>
        <v>#REF!</v>
      </c>
      <c r="AG84" s="18" t="e">
        <f>Table29128[[#This Row],[Propionate '[%']]]/Table29128[[#This Row],[Acetate '[%']]]</f>
        <v>#DIV/0!</v>
      </c>
      <c r="AH84" s="51"/>
      <c r="AI84" s="18"/>
      <c r="AJ84" s="18"/>
      <c r="AK84" s="135" t="e">
        <f t="shared" si="4"/>
        <v>#REF!</v>
      </c>
      <c r="AL84" s="18"/>
      <c r="AM84" s="135" t="e">
        <f t="shared" si="5"/>
        <v>#REF!</v>
      </c>
      <c r="AN84" s="18" t="e">
        <f>(Table29128[[#This Row],[CH4 '[g/g DDM']]]-AN$15)/AN$15%</f>
        <v>#REF!</v>
      </c>
      <c r="AO84" s="18"/>
      <c r="AP84" s="18"/>
      <c r="AR84" t="e">
        <f>_xlfn.NORM.DIST(Table29128[[#This Row],[GP '[ml/g']]],O$6,O$2,FALSE)</f>
        <v>#DIV/0!</v>
      </c>
      <c r="AS84" t="e">
        <f>_xlfn.NORM.DIST(Table29128[[#This Row],[SCFA '[mmol/g']]],P$6,P$2,FALSE)</f>
        <v>#DIV/0!</v>
      </c>
      <c r="AT84" t="e">
        <f>_xlfn.NORM.DIST(Table29128[[#This Row],[Acetate '[%']]],Q$6,Q$2,FALSE)</f>
        <v>#DIV/0!</v>
      </c>
      <c r="AU84" t="e">
        <f>_xlfn.NORM.DIST(Table29128[[#This Row],[Propionate '[%']]],R$6,R$2,FALSE)</f>
        <v>#DIV/0!</v>
      </c>
      <c r="AV84" t="e">
        <f>_xlfn.NORM.DIST(Table29128[[#This Row],[Butyrate '[%']]],S$6,S$2,FALSE)</f>
        <v>#DIV/0!</v>
      </c>
      <c r="AW84" t="e">
        <f>_xlfn.NORM.DIST(Table29128[[#This Row],[Valerate '[%']]],T$6,T$2,FALSE)</f>
        <v>#DIV/0!</v>
      </c>
      <c r="AX84" t="e">
        <f>_xlfn.NORM.DIST(Table29128[[#This Row],[Caproate '[%']]],U$6,U$2,FALSE)</f>
        <v>#DIV/0!</v>
      </c>
      <c r="AY84" t="e">
        <f>_xlfn.NORM.DIST(Table29128[[#This Row],[Isobutyrate '[%']]],V$6,V$2,FALSE)</f>
        <v>#DIV/0!</v>
      </c>
      <c r="AZ84" t="e">
        <f>_xlfn.NORM.DIST(Table29128[[#This Row],[Isovalerate '[%']]],W$6,W$2,FALSE)</f>
        <v>#DIV/0!</v>
      </c>
      <c r="BA84" t="e">
        <f>_xlfn.NORM.DIST(Table29128[[#This Row],[CH4 '[g/mmol SCFA']]],X$6,X$2,FALSE)</f>
        <v>#DIV/0!</v>
      </c>
      <c r="BB84" t="e">
        <f>_xlfn.NORM.DIST(Table29128[[#This Row],[DMD '[mg/g']]],Y$6,Y$2,FALSE)</f>
        <v>#REF!</v>
      </c>
      <c r="BC84" t="e">
        <f>_xlfn.NORM.DIST(Table29128[[#This Row],[CH4 '[ml/g']]],Z$6,Z$2,FALSE)</f>
        <v>#REF!</v>
      </c>
      <c r="BD84" t="e">
        <f>_xlfn.NORM.DIST(Table29128[[#This Row],[CH4 '[% GP']]],AA$6,AA$2,FALSE)</f>
        <v>#REF!</v>
      </c>
      <c r="BE84" t="e">
        <f>_xlfn.NORM.DIST(Table29128[[#This Row],[CH4 '[g/g DDM']]],AB$6,AB$2,FALSE)</f>
        <v>#REF!</v>
      </c>
      <c r="BG84">
        <f>IF(Table29128[[#This Row],[GP '[ml/g']]]&lt;O$10,_xlfn.NORM.DIST(Table29128[[#This Row],[GP '[ml/g']]],O$6,O$2,FALSE),-100)</f>
        <v>-100</v>
      </c>
      <c r="BH84">
        <f>IF(Table29128[[#This Row],[SCFA '[mmol/g']]]&lt;P$10,_xlfn.NORM.DIST(Table29128[[#This Row],[SCFA '[mmol/g']]],P$6,P$2,FALSE),-100)</f>
        <v>-100</v>
      </c>
      <c r="BI84">
        <f>IF(Table29128[[#This Row],[Acetate '[%']]]&lt;Q$10,_xlfn.NORM.DIST(Table29128[[#This Row],[Acetate '[%']]],Q$6,Q$2,FALSE),-100)</f>
        <v>-100</v>
      </c>
      <c r="BJ84">
        <f>IF(Table29128[[#This Row],[Propionate '[%']]]&lt;R$10,_xlfn.NORM.DIST(Table29128[[#This Row],[Propionate '[%']]],R$6,R$2,FALSE),-100)</f>
        <v>-100</v>
      </c>
      <c r="BK84">
        <f>IF(Table29128[[#This Row],[Butyrate '[%']]]&lt;S$10,_xlfn.NORM.DIST(Table29128[[#This Row],[Butyrate '[%']]],S$6,S$2,FALSE),-100)</f>
        <v>-100</v>
      </c>
      <c r="BL84">
        <f>IF(Table29128[[#This Row],[Valerate '[%']]]&lt;T$10,_xlfn.NORM.DIST(Table29128[[#This Row],[Valerate '[%']]],T$6,T$2,FALSE),-100)</f>
        <v>-100</v>
      </c>
      <c r="BM84">
        <f>IF(Table29128[[#This Row],[Caproate '[%']]]&lt;U$10,_xlfn.NORM.DIST(Table29128[[#This Row],[Caproate '[%']]],U$6,U$2,FALSE),-100)</f>
        <v>-100</v>
      </c>
      <c r="BN84">
        <f>IF(Table29128[[#This Row],[Isobutyrate '[%']]]&lt;V$10,_xlfn.NORM.DIST(Table29128[[#This Row],[Isobutyrate '[%']]],V$6,V$2,FALSE),-100)</f>
        <v>-100</v>
      </c>
      <c r="BO84">
        <f>IF(Table29128[[#This Row],[Isovalerate '[%']]]&lt;W$10,_xlfn.NORM.DIST(Table29128[[#This Row],[Isovalerate '[%']]],W$6,W$2,FALSE),-100)</f>
        <v>-100</v>
      </c>
      <c r="BP84">
        <f>IF(Table29128[[#This Row],[CH4 '[g/mmol SCFA']]]&lt;X$10,_xlfn.NORM.DIST(Table29128[[#This Row],[CH4 '[g/mmol SCFA']]],X$6,X$2,FALSE),-100)</f>
        <v>-100</v>
      </c>
      <c r="BQ84" t="e">
        <f>IF(Table29128[[#This Row],[DMD '[mg/g']]]&gt;Y$10,_xlfn.NORM.DIST(Table29128[[#This Row],[DMD '[mg/g']]],Y$6,Y$2,FALSE),-100)</f>
        <v>#REF!</v>
      </c>
      <c r="BR84" t="e">
        <f>IF(Table29128[[#This Row],[CH4 '[ml/g']]]&lt;Z$10,_xlfn.NORM.DIST(Table29128[[#This Row],[CH4 '[ml/g']]],Z$6,Z$2,FALSE),-100)</f>
        <v>#REF!</v>
      </c>
      <c r="BS84" t="e">
        <f>IF(Table29128[[#This Row],[CH4 '[% GP']]]&lt;AA$10,_xlfn.NORM.DIST(Table29128[[#This Row],[CH4 '[% GP']]],AA$6,AA$2,FALSE),-100)</f>
        <v>#REF!</v>
      </c>
      <c r="BT84" t="e">
        <f>IF(Table29128[[#This Row],[CH4 '[g/g DDM']]]&lt;AB$10,_xlfn.NORM.DIST(Table29128[[#This Row],[CH4 '[g/g DDM']]],AB$6,AB$2,FALSE),-100)</f>
        <v>#REF!</v>
      </c>
    </row>
    <row r="85" spans="1:72" ht="15" customHeight="1" x14ac:dyDescent="0.25">
      <c r="A85" s="12" t="s">
        <v>86</v>
      </c>
      <c r="B85" s="13">
        <v>1064</v>
      </c>
      <c r="C85" s="32">
        <v>32055</v>
      </c>
      <c r="D85" t="s">
        <v>96</v>
      </c>
      <c r="E85" t="s">
        <v>97</v>
      </c>
      <c r="F85" t="s">
        <v>83</v>
      </c>
      <c r="G85" s="23" t="s">
        <v>73</v>
      </c>
      <c r="H85" s="23" t="s">
        <v>74</v>
      </c>
      <c r="I85" s="105" t="s">
        <v>48</v>
      </c>
      <c r="J85" s="70">
        <v>1</v>
      </c>
      <c r="K85" s="70"/>
      <c r="L85" s="70"/>
      <c r="M85" t="s">
        <v>83</v>
      </c>
      <c r="N85" t="s">
        <v>145</v>
      </c>
      <c r="O85" s="18"/>
      <c r="P85" s="18"/>
      <c r="Q85" s="97"/>
      <c r="R85" s="97"/>
      <c r="S85" s="97"/>
      <c r="T85" s="97"/>
      <c r="U85" s="97"/>
      <c r="V85" s="97"/>
      <c r="W85" s="97"/>
      <c r="X85" s="51"/>
      <c r="Y85" s="18" t="e">
        <f>AVERAGEIFS([1]!Table2912[DMD '[mg/g']],[1]!Table2912[Substrate ID],Table29128[[#This Row],[Substrate ID]])</f>
        <v>#REF!</v>
      </c>
      <c r="Z85" s="18" t="e">
        <f>AVERAGEIFS([1]!Table2912[CH4 '[ml/g']],[1]!Table2912[Substrate ID],Table29128[[#This Row],[Substrate ID]])</f>
        <v>#REF!</v>
      </c>
      <c r="AA85" s="18" t="e">
        <f>AVERAGEIFS([1]!Table2912[CH4 '[% GP']],[1]!Table2912[Substrate ID],Table29128[[#This Row],[Substrate ID]])</f>
        <v>#REF!</v>
      </c>
      <c r="AB85" s="18" t="e">
        <f>AVERAGEIFS([1]!Table2912[CH4 '[g/g DDM']],[1]!Table2912[Substrate ID],Table29128[[#This Row],[Substrate ID]])</f>
        <v>#REF!</v>
      </c>
      <c r="AC85" s="18" t="e">
        <f>$CP$17*Table29128[[#This Row],[DMD '[mg/g']]]+$CQ$17*Table29128[[#This Row],[CH4 '[g/g DDM']]]</f>
        <v>#REF!</v>
      </c>
      <c r="AD85" s="18" t="e">
        <f>_xlfn.RANK.AVG(Table29128[[#This Row],[Index]],Table29128[Index])</f>
        <v>#REF!</v>
      </c>
      <c r="AE85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85" s="18" t="e">
        <f>Table29128[[#This Row],[CH4 '[ml/g']]]/Table29128[[#This Row],[APB]]</f>
        <v>#REF!</v>
      </c>
      <c r="AG85" s="18" t="e">
        <f>Table29128[[#This Row],[Propionate '[%']]]/Table29128[[#This Row],[Acetate '[%']]]</f>
        <v>#DIV/0!</v>
      </c>
      <c r="AH85" s="51"/>
      <c r="AI85" s="18"/>
      <c r="AJ85" s="18"/>
      <c r="AK85" s="135" t="e">
        <f t="shared" ref="AK85:AK148" si="6">(Y85-AK$15)/AK$15%</f>
        <v>#REF!</v>
      </c>
      <c r="AL85" s="18"/>
      <c r="AM85" s="135" t="e">
        <f t="shared" ref="AM85:AM148" si="7">(AA85-AM$15)/AM$15%</f>
        <v>#REF!</v>
      </c>
      <c r="AN85" s="18" t="e">
        <f>(Table29128[[#This Row],[CH4 '[g/g DDM']]]-AN$15)/AN$15%</f>
        <v>#REF!</v>
      </c>
      <c r="AO85" s="18"/>
      <c r="AP85" s="18"/>
      <c r="AR85" t="e">
        <f>_xlfn.NORM.DIST(Table29128[[#This Row],[GP '[ml/g']]],O$6,O$2,FALSE)</f>
        <v>#DIV/0!</v>
      </c>
      <c r="AS85" t="e">
        <f>_xlfn.NORM.DIST(Table29128[[#This Row],[SCFA '[mmol/g']]],P$6,P$2,FALSE)</f>
        <v>#DIV/0!</v>
      </c>
      <c r="AT85" t="e">
        <f>_xlfn.NORM.DIST(Table29128[[#This Row],[Acetate '[%']]],Q$6,Q$2,FALSE)</f>
        <v>#DIV/0!</v>
      </c>
      <c r="AU85" t="e">
        <f>_xlfn.NORM.DIST(Table29128[[#This Row],[Propionate '[%']]],R$6,R$2,FALSE)</f>
        <v>#DIV/0!</v>
      </c>
      <c r="AV85" t="e">
        <f>_xlfn.NORM.DIST(Table29128[[#This Row],[Butyrate '[%']]],S$6,S$2,FALSE)</f>
        <v>#DIV/0!</v>
      </c>
      <c r="AW85" t="e">
        <f>_xlfn.NORM.DIST(Table29128[[#This Row],[Valerate '[%']]],T$6,T$2,FALSE)</f>
        <v>#DIV/0!</v>
      </c>
      <c r="AX85" t="e">
        <f>_xlfn.NORM.DIST(Table29128[[#This Row],[Caproate '[%']]],U$6,U$2,FALSE)</f>
        <v>#DIV/0!</v>
      </c>
      <c r="AY85" t="e">
        <f>_xlfn.NORM.DIST(Table29128[[#This Row],[Isobutyrate '[%']]],V$6,V$2,FALSE)</f>
        <v>#DIV/0!</v>
      </c>
      <c r="AZ85" t="e">
        <f>_xlfn.NORM.DIST(Table29128[[#This Row],[Isovalerate '[%']]],W$6,W$2,FALSE)</f>
        <v>#DIV/0!</v>
      </c>
      <c r="BA85" t="e">
        <f>_xlfn.NORM.DIST(Table29128[[#This Row],[CH4 '[g/mmol SCFA']]],X$6,X$2,FALSE)</f>
        <v>#DIV/0!</v>
      </c>
      <c r="BB85" t="e">
        <f>_xlfn.NORM.DIST(Table29128[[#This Row],[DMD '[mg/g']]],Y$6,Y$2,FALSE)</f>
        <v>#REF!</v>
      </c>
      <c r="BC85" t="e">
        <f>_xlfn.NORM.DIST(Table29128[[#This Row],[CH4 '[ml/g']]],Z$6,Z$2,FALSE)</f>
        <v>#REF!</v>
      </c>
      <c r="BD85" t="e">
        <f>_xlfn.NORM.DIST(Table29128[[#This Row],[CH4 '[% GP']]],AA$6,AA$2,FALSE)</f>
        <v>#REF!</v>
      </c>
      <c r="BE85" t="e">
        <f>_xlfn.NORM.DIST(Table29128[[#This Row],[CH4 '[g/g DDM']]],AB$6,AB$2,FALSE)</f>
        <v>#REF!</v>
      </c>
      <c r="BG85">
        <f>IF(Table29128[[#This Row],[GP '[ml/g']]]&lt;O$10,_xlfn.NORM.DIST(Table29128[[#This Row],[GP '[ml/g']]],O$6,O$2,FALSE),-100)</f>
        <v>-100</v>
      </c>
      <c r="BH85">
        <f>IF(Table29128[[#This Row],[SCFA '[mmol/g']]]&lt;P$10,_xlfn.NORM.DIST(Table29128[[#This Row],[SCFA '[mmol/g']]],P$6,P$2,FALSE),-100)</f>
        <v>-100</v>
      </c>
      <c r="BI85">
        <f>IF(Table29128[[#This Row],[Acetate '[%']]]&lt;Q$10,_xlfn.NORM.DIST(Table29128[[#This Row],[Acetate '[%']]],Q$6,Q$2,FALSE),-100)</f>
        <v>-100</v>
      </c>
      <c r="BJ85">
        <f>IF(Table29128[[#This Row],[Propionate '[%']]]&lt;R$10,_xlfn.NORM.DIST(Table29128[[#This Row],[Propionate '[%']]],R$6,R$2,FALSE),-100)</f>
        <v>-100</v>
      </c>
      <c r="BK85">
        <f>IF(Table29128[[#This Row],[Butyrate '[%']]]&lt;S$10,_xlfn.NORM.DIST(Table29128[[#This Row],[Butyrate '[%']]],S$6,S$2,FALSE),-100)</f>
        <v>-100</v>
      </c>
      <c r="BL85">
        <f>IF(Table29128[[#This Row],[Valerate '[%']]]&lt;T$10,_xlfn.NORM.DIST(Table29128[[#This Row],[Valerate '[%']]],T$6,T$2,FALSE),-100)</f>
        <v>-100</v>
      </c>
      <c r="BM85">
        <f>IF(Table29128[[#This Row],[Caproate '[%']]]&lt;U$10,_xlfn.NORM.DIST(Table29128[[#This Row],[Caproate '[%']]],U$6,U$2,FALSE),-100)</f>
        <v>-100</v>
      </c>
      <c r="BN85">
        <f>IF(Table29128[[#This Row],[Isobutyrate '[%']]]&lt;V$10,_xlfn.NORM.DIST(Table29128[[#This Row],[Isobutyrate '[%']]],V$6,V$2,FALSE),-100)</f>
        <v>-100</v>
      </c>
      <c r="BO85">
        <f>IF(Table29128[[#This Row],[Isovalerate '[%']]]&lt;W$10,_xlfn.NORM.DIST(Table29128[[#This Row],[Isovalerate '[%']]],W$6,W$2,FALSE),-100)</f>
        <v>-100</v>
      </c>
      <c r="BP85">
        <f>IF(Table29128[[#This Row],[CH4 '[g/mmol SCFA']]]&lt;X$10,_xlfn.NORM.DIST(Table29128[[#This Row],[CH4 '[g/mmol SCFA']]],X$6,X$2,FALSE),-100)</f>
        <v>-100</v>
      </c>
      <c r="BQ85" t="e">
        <f>IF(Table29128[[#This Row],[DMD '[mg/g']]]&gt;Y$10,_xlfn.NORM.DIST(Table29128[[#This Row],[DMD '[mg/g']]],Y$6,Y$2,FALSE),-100)</f>
        <v>#REF!</v>
      </c>
      <c r="BR85" t="e">
        <f>IF(Table29128[[#This Row],[CH4 '[ml/g']]]&lt;Z$10,_xlfn.NORM.DIST(Table29128[[#This Row],[CH4 '[ml/g']]],Z$6,Z$2,FALSE),-100)</f>
        <v>#REF!</v>
      </c>
      <c r="BS85" t="e">
        <f>IF(Table29128[[#This Row],[CH4 '[% GP']]]&lt;AA$10,_xlfn.NORM.DIST(Table29128[[#This Row],[CH4 '[% GP']]],AA$6,AA$2,FALSE),-100)</f>
        <v>#REF!</v>
      </c>
      <c r="BT85" t="e">
        <f>IF(Table29128[[#This Row],[CH4 '[g/g DDM']]]&lt;AB$10,_xlfn.NORM.DIST(Table29128[[#This Row],[CH4 '[g/g DDM']]],AB$6,AB$2,FALSE),-100)</f>
        <v>#REF!</v>
      </c>
    </row>
    <row r="86" spans="1:72" ht="15" customHeight="1" x14ac:dyDescent="0.25">
      <c r="A86" s="12" t="s">
        <v>70</v>
      </c>
      <c r="B86" s="13">
        <v>1032</v>
      </c>
      <c r="C86" s="102" t="s">
        <v>82</v>
      </c>
      <c r="D86" s="13"/>
      <c r="E86" s="13"/>
      <c r="F86" t="s">
        <v>83</v>
      </c>
      <c r="G86" s="15" t="s">
        <v>73</v>
      </c>
      <c r="H86" s="15" t="s">
        <v>74</v>
      </c>
      <c r="I86" t="s">
        <v>75</v>
      </c>
      <c r="J86" s="70">
        <v>1</v>
      </c>
      <c r="K86" s="70"/>
      <c r="L86" s="141" t="s">
        <v>627</v>
      </c>
      <c r="M86" s="103" t="s">
        <v>83</v>
      </c>
      <c r="N86" t="s">
        <v>80</v>
      </c>
      <c r="O86" s="18"/>
      <c r="P86" s="18"/>
      <c r="Q86" s="97"/>
      <c r="R86" s="97"/>
      <c r="S86" s="97"/>
      <c r="T86" s="97"/>
      <c r="U86" s="97"/>
      <c r="V86" s="97"/>
      <c r="W86" s="97"/>
      <c r="X86" s="51"/>
      <c r="Y86" s="18" t="e">
        <f>AVERAGEIFS([1]!Table2912[DMD '[mg/g']],[1]!Table2912[Substrate ID],Table29128[[#This Row],[Substrate ID]])</f>
        <v>#REF!</v>
      </c>
      <c r="Z86" s="18" t="e">
        <f>AVERAGEIFS([1]!Table2912[CH4 '[ml/g']],[1]!Table2912[Substrate ID],Table29128[[#This Row],[Substrate ID]])</f>
        <v>#REF!</v>
      </c>
      <c r="AA86" s="18" t="e">
        <f>AVERAGEIFS([1]!Table2912[CH4 '[% GP']],[1]!Table2912[Substrate ID],Table29128[[#This Row],[Substrate ID]])</f>
        <v>#REF!</v>
      </c>
      <c r="AB86" s="18" t="e">
        <f>AVERAGEIFS([1]!Table2912[CH4 '[g/g DDM']],[1]!Table2912[Substrate ID],Table29128[[#This Row],[Substrate ID]])</f>
        <v>#REF!</v>
      </c>
      <c r="AC86" s="18" t="e">
        <f>$CP$17*Table29128[[#This Row],[DMD '[mg/g']]]+$CQ$17*Table29128[[#This Row],[CH4 '[g/g DDM']]]</f>
        <v>#REF!</v>
      </c>
      <c r="AD86" s="18" t="e">
        <f>_xlfn.RANK.AVG(Table29128[[#This Row],[Index]],Table29128[Index])</f>
        <v>#REF!</v>
      </c>
      <c r="AE86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86" s="18" t="e">
        <f>Table29128[[#This Row],[CH4 '[ml/g']]]/Table29128[[#This Row],[APB]]</f>
        <v>#REF!</v>
      </c>
      <c r="AG86" s="18" t="e">
        <f>Table29128[[#This Row],[Propionate '[%']]]/Table29128[[#This Row],[Acetate '[%']]]</f>
        <v>#DIV/0!</v>
      </c>
      <c r="AH86" s="51"/>
      <c r="AI86" s="18"/>
      <c r="AJ86" s="18"/>
      <c r="AK86" s="135" t="e">
        <f t="shared" si="6"/>
        <v>#REF!</v>
      </c>
      <c r="AL86" s="18"/>
      <c r="AM86" s="135" t="e">
        <f t="shared" si="7"/>
        <v>#REF!</v>
      </c>
      <c r="AN86" s="18" t="e">
        <f>(Table29128[[#This Row],[CH4 '[g/g DDM']]]-AN$15)/AN$15%</f>
        <v>#REF!</v>
      </c>
      <c r="AO86" s="18"/>
      <c r="AP86" s="18"/>
      <c r="AR86" t="e">
        <f>_xlfn.NORM.DIST(Table29128[[#This Row],[GP '[ml/g']]],O$6,O$2,FALSE)</f>
        <v>#DIV/0!</v>
      </c>
      <c r="AS86" t="e">
        <f>_xlfn.NORM.DIST(Table29128[[#This Row],[SCFA '[mmol/g']]],P$6,P$2,FALSE)</f>
        <v>#DIV/0!</v>
      </c>
      <c r="AT86" t="e">
        <f>_xlfn.NORM.DIST(Table29128[[#This Row],[Acetate '[%']]],Q$6,Q$2,FALSE)</f>
        <v>#DIV/0!</v>
      </c>
      <c r="AU86" t="e">
        <f>_xlfn.NORM.DIST(Table29128[[#This Row],[Propionate '[%']]],R$6,R$2,FALSE)</f>
        <v>#DIV/0!</v>
      </c>
      <c r="AV86" t="e">
        <f>_xlfn.NORM.DIST(Table29128[[#This Row],[Butyrate '[%']]],S$6,S$2,FALSE)</f>
        <v>#DIV/0!</v>
      </c>
      <c r="AW86" t="e">
        <f>_xlfn.NORM.DIST(Table29128[[#This Row],[Valerate '[%']]],T$6,T$2,FALSE)</f>
        <v>#DIV/0!</v>
      </c>
      <c r="AX86" t="e">
        <f>_xlfn.NORM.DIST(Table29128[[#This Row],[Caproate '[%']]],U$6,U$2,FALSE)</f>
        <v>#DIV/0!</v>
      </c>
      <c r="AY86" t="e">
        <f>_xlfn.NORM.DIST(Table29128[[#This Row],[Isobutyrate '[%']]],V$6,V$2,FALSE)</f>
        <v>#DIV/0!</v>
      </c>
      <c r="AZ86" t="e">
        <f>_xlfn.NORM.DIST(Table29128[[#This Row],[Isovalerate '[%']]],W$6,W$2,FALSE)</f>
        <v>#DIV/0!</v>
      </c>
      <c r="BA86" t="e">
        <f>_xlfn.NORM.DIST(Table29128[[#This Row],[CH4 '[g/mmol SCFA']]],X$6,X$2,FALSE)</f>
        <v>#DIV/0!</v>
      </c>
      <c r="BB86" t="e">
        <f>_xlfn.NORM.DIST(Table29128[[#This Row],[DMD '[mg/g']]],Y$6,Y$2,FALSE)</f>
        <v>#REF!</v>
      </c>
      <c r="BC86" t="e">
        <f>_xlfn.NORM.DIST(Table29128[[#This Row],[CH4 '[ml/g']]],Z$6,Z$2,FALSE)</f>
        <v>#REF!</v>
      </c>
      <c r="BD86" t="e">
        <f>_xlfn.NORM.DIST(Table29128[[#This Row],[CH4 '[% GP']]],AA$6,AA$2,FALSE)</f>
        <v>#REF!</v>
      </c>
      <c r="BE86" t="e">
        <f>_xlfn.NORM.DIST(Table29128[[#This Row],[CH4 '[g/g DDM']]],AB$6,AB$2,FALSE)</f>
        <v>#REF!</v>
      </c>
      <c r="BG86">
        <f>IF(Table29128[[#This Row],[GP '[ml/g']]]&lt;O$10,_xlfn.NORM.DIST(Table29128[[#This Row],[GP '[ml/g']]],O$6,O$2,FALSE),-100)</f>
        <v>-100</v>
      </c>
      <c r="BH86">
        <f>IF(Table29128[[#This Row],[SCFA '[mmol/g']]]&lt;P$10,_xlfn.NORM.DIST(Table29128[[#This Row],[SCFA '[mmol/g']]],P$6,P$2,FALSE),-100)</f>
        <v>-100</v>
      </c>
      <c r="BI86">
        <f>IF(Table29128[[#This Row],[Acetate '[%']]]&lt;Q$10,_xlfn.NORM.DIST(Table29128[[#This Row],[Acetate '[%']]],Q$6,Q$2,FALSE),-100)</f>
        <v>-100</v>
      </c>
      <c r="BJ86">
        <f>IF(Table29128[[#This Row],[Propionate '[%']]]&lt;R$10,_xlfn.NORM.DIST(Table29128[[#This Row],[Propionate '[%']]],R$6,R$2,FALSE),-100)</f>
        <v>-100</v>
      </c>
      <c r="BK86">
        <f>IF(Table29128[[#This Row],[Butyrate '[%']]]&lt;S$10,_xlfn.NORM.DIST(Table29128[[#This Row],[Butyrate '[%']]],S$6,S$2,FALSE),-100)</f>
        <v>-100</v>
      </c>
      <c r="BL86">
        <f>IF(Table29128[[#This Row],[Valerate '[%']]]&lt;T$10,_xlfn.NORM.DIST(Table29128[[#This Row],[Valerate '[%']]],T$6,T$2,FALSE),-100)</f>
        <v>-100</v>
      </c>
      <c r="BM86">
        <f>IF(Table29128[[#This Row],[Caproate '[%']]]&lt;U$10,_xlfn.NORM.DIST(Table29128[[#This Row],[Caproate '[%']]],U$6,U$2,FALSE),-100)</f>
        <v>-100</v>
      </c>
      <c r="BN86">
        <f>IF(Table29128[[#This Row],[Isobutyrate '[%']]]&lt;V$10,_xlfn.NORM.DIST(Table29128[[#This Row],[Isobutyrate '[%']]],V$6,V$2,FALSE),-100)</f>
        <v>-100</v>
      </c>
      <c r="BO86">
        <f>IF(Table29128[[#This Row],[Isovalerate '[%']]]&lt;W$10,_xlfn.NORM.DIST(Table29128[[#This Row],[Isovalerate '[%']]],W$6,W$2,FALSE),-100)</f>
        <v>-100</v>
      </c>
      <c r="BP86">
        <f>IF(Table29128[[#This Row],[CH4 '[g/mmol SCFA']]]&lt;X$10,_xlfn.NORM.DIST(Table29128[[#This Row],[CH4 '[g/mmol SCFA']]],X$6,X$2,FALSE),-100)</f>
        <v>-100</v>
      </c>
      <c r="BQ86" t="e">
        <f>IF(Table29128[[#This Row],[DMD '[mg/g']]]&gt;Y$10,_xlfn.NORM.DIST(Table29128[[#This Row],[DMD '[mg/g']]],Y$6,Y$2,FALSE),-100)</f>
        <v>#REF!</v>
      </c>
      <c r="BR86" t="e">
        <f>IF(Table29128[[#This Row],[CH4 '[ml/g']]]&lt;Z$10,_xlfn.NORM.DIST(Table29128[[#This Row],[CH4 '[ml/g']]],Z$6,Z$2,FALSE),-100)</f>
        <v>#REF!</v>
      </c>
      <c r="BS86" t="e">
        <f>IF(Table29128[[#This Row],[CH4 '[% GP']]]&lt;AA$10,_xlfn.NORM.DIST(Table29128[[#This Row],[CH4 '[% GP']]],AA$6,AA$2,FALSE),-100)</f>
        <v>#REF!</v>
      </c>
      <c r="BT86" t="e">
        <f>IF(Table29128[[#This Row],[CH4 '[g/g DDM']]]&lt;AB$10,_xlfn.NORM.DIST(Table29128[[#This Row],[CH4 '[g/g DDM']]],AB$6,AB$2,FALSE),-100)</f>
        <v>#REF!</v>
      </c>
    </row>
    <row r="87" spans="1:72" x14ac:dyDescent="0.25">
      <c r="A87" s="12" t="s">
        <v>200</v>
      </c>
      <c r="B87" s="13">
        <v>1190</v>
      </c>
      <c r="C87" s="113" t="s">
        <v>486</v>
      </c>
      <c r="D87" s="113" t="s">
        <v>487</v>
      </c>
      <c r="E87" s="113" t="s">
        <v>488</v>
      </c>
      <c r="F87" s="113" t="s">
        <v>489</v>
      </c>
      <c r="G87" s="144" t="s">
        <v>490</v>
      </c>
      <c r="H87" s="144" t="s">
        <v>491</v>
      </c>
      <c r="I87" s="99" t="s">
        <v>48</v>
      </c>
      <c r="J87" s="70">
        <v>1</v>
      </c>
      <c r="K87" s="70" t="s">
        <v>627</v>
      </c>
      <c r="L87" s="70"/>
      <c r="M87" t="s">
        <v>492</v>
      </c>
      <c r="N87" t="s">
        <v>363</v>
      </c>
      <c r="O87" s="18"/>
      <c r="P87" s="18"/>
      <c r="Q87" s="97"/>
      <c r="R87" s="97"/>
      <c r="S87" s="97"/>
      <c r="T87" s="97"/>
      <c r="U87" s="97"/>
      <c r="V87" s="97"/>
      <c r="W87" s="97"/>
      <c r="X87" s="51"/>
      <c r="Y87" s="18" t="e">
        <f>AVERAGEIFS([1]!Table2912[DMD '[mg/g']],[1]!Table2912[Substrate ID],Table29128[[#This Row],[Substrate ID]])</f>
        <v>#REF!</v>
      </c>
      <c r="Z87" s="18" t="e">
        <f>AVERAGEIFS([1]!Table2912[CH4 '[ml/g']],[1]!Table2912[Substrate ID],Table29128[[#This Row],[Substrate ID]])</f>
        <v>#REF!</v>
      </c>
      <c r="AA87" s="18" t="e">
        <f>AVERAGEIFS([1]!Table2912[CH4 '[% GP']],[1]!Table2912[Substrate ID],Table29128[[#This Row],[Substrate ID]])</f>
        <v>#REF!</v>
      </c>
      <c r="AB87" s="18" t="e">
        <f>AVERAGEIFS([1]!Table2912[CH4 '[g/g DDM']],[1]!Table2912[Substrate ID],Table29128[[#This Row],[Substrate ID]])</f>
        <v>#REF!</v>
      </c>
      <c r="AC87" s="18" t="e">
        <f>$CP$17*Table29128[[#This Row],[DMD '[mg/g']]]+$CQ$17*Table29128[[#This Row],[CH4 '[g/g DDM']]]</f>
        <v>#REF!</v>
      </c>
      <c r="AD87" s="18" t="e">
        <f>_xlfn.RANK.AVG(Table29128[[#This Row],[Index]],Table29128[Index])</f>
        <v>#REF!</v>
      </c>
      <c r="AE87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87" s="18" t="e">
        <f>Table29128[[#This Row],[CH4 '[ml/g']]]/Table29128[[#This Row],[APB]]</f>
        <v>#REF!</v>
      </c>
      <c r="AG87" s="18" t="e">
        <f>Table29128[[#This Row],[Propionate '[%']]]/Table29128[[#This Row],[Acetate '[%']]]</f>
        <v>#DIV/0!</v>
      </c>
      <c r="AH87" s="51"/>
      <c r="AI87" s="18"/>
      <c r="AJ87" s="18"/>
      <c r="AK87" s="135" t="e">
        <f t="shared" si="6"/>
        <v>#REF!</v>
      </c>
      <c r="AL87" s="18"/>
      <c r="AM87" s="135" t="e">
        <f t="shared" si="7"/>
        <v>#REF!</v>
      </c>
      <c r="AN87" s="18" t="e">
        <f>(Table29128[[#This Row],[CH4 '[g/g DDM']]]-AN$15)/AN$15%</f>
        <v>#REF!</v>
      </c>
      <c r="AO87" s="18"/>
      <c r="AP87" s="18"/>
      <c r="AR87" t="e">
        <f>_xlfn.NORM.DIST(Table29128[[#This Row],[GP '[ml/g']]],O$6,O$2,FALSE)</f>
        <v>#DIV/0!</v>
      </c>
      <c r="AS87" t="e">
        <f>_xlfn.NORM.DIST(Table29128[[#This Row],[SCFA '[mmol/g']]],P$6,P$2,FALSE)</f>
        <v>#DIV/0!</v>
      </c>
      <c r="AT87" t="e">
        <f>_xlfn.NORM.DIST(Table29128[[#This Row],[Acetate '[%']]],Q$6,Q$2,FALSE)</f>
        <v>#DIV/0!</v>
      </c>
      <c r="AU87" t="e">
        <f>_xlfn.NORM.DIST(Table29128[[#This Row],[Propionate '[%']]],R$6,R$2,FALSE)</f>
        <v>#DIV/0!</v>
      </c>
      <c r="AV87" t="e">
        <f>_xlfn.NORM.DIST(Table29128[[#This Row],[Butyrate '[%']]],S$6,S$2,FALSE)</f>
        <v>#DIV/0!</v>
      </c>
      <c r="AW87" t="e">
        <f>_xlfn.NORM.DIST(Table29128[[#This Row],[Valerate '[%']]],T$6,T$2,FALSE)</f>
        <v>#DIV/0!</v>
      </c>
      <c r="AX87" t="e">
        <f>_xlfn.NORM.DIST(Table29128[[#This Row],[Caproate '[%']]],U$6,U$2,FALSE)</f>
        <v>#DIV/0!</v>
      </c>
      <c r="AY87" t="e">
        <f>_xlfn.NORM.DIST(Table29128[[#This Row],[Isobutyrate '[%']]],V$6,V$2,FALSE)</f>
        <v>#DIV/0!</v>
      </c>
      <c r="AZ87" t="e">
        <f>_xlfn.NORM.DIST(Table29128[[#This Row],[Isovalerate '[%']]],W$6,W$2,FALSE)</f>
        <v>#DIV/0!</v>
      </c>
      <c r="BA87" t="e">
        <f>_xlfn.NORM.DIST(Table29128[[#This Row],[CH4 '[g/mmol SCFA']]],X$6,X$2,FALSE)</f>
        <v>#DIV/0!</v>
      </c>
      <c r="BB87" t="e">
        <f>_xlfn.NORM.DIST(Table29128[[#This Row],[DMD '[mg/g']]],Y$6,Y$2,FALSE)</f>
        <v>#REF!</v>
      </c>
      <c r="BC87" t="e">
        <f>_xlfn.NORM.DIST(Table29128[[#This Row],[CH4 '[ml/g']]],Z$6,Z$2,FALSE)</f>
        <v>#REF!</v>
      </c>
      <c r="BD87" t="e">
        <f>_xlfn.NORM.DIST(Table29128[[#This Row],[CH4 '[% GP']]],AA$6,AA$2,FALSE)</f>
        <v>#REF!</v>
      </c>
      <c r="BE87" t="e">
        <f>_xlfn.NORM.DIST(Table29128[[#This Row],[CH4 '[g/g DDM']]],AB$6,AB$2,FALSE)</f>
        <v>#REF!</v>
      </c>
      <c r="BG87">
        <f>IF(Table29128[[#This Row],[GP '[ml/g']]]&lt;O$10,_xlfn.NORM.DIST(Table29128[[#This Row],[GP '[ml/g']]],O$6,O$2,FALSE),-100)</f>
        <v>-100</v>
      </c>
      <c r="BH87">
        <f>IF(Table29128[[#This Row],[SCFA '[mmol/g']]]&lt;P$10,_xlfn.NORM.DIST(Table29128[[#This Row],[SCFA '[mmol/g']]],P$6,P$2,FALSE),-100)</f>
        <v>-100</v>
      </c>
      <c r="BI87">
        <f>IF(Table29128[[#This Row],[Acetate '[%']]]&lt;Q$10,_xlfn.NORM.DIST(Table29128[[#This Row],[Acetate '[%']]],Q$6,Q$2,FALSE),-100)</f>
        <v>-100</v>
      </c>
      <c r="BJ87">
        <f>IF(Table29128[[#This Row],[Propionate '[%']]]&lt;R$10,_xlfn.NORM.DIST(Table29128[[#This Row],[Propionate '[%']]],R$6,R$2,FALSE),-100)</f>
        <v>-100</v>
      </c>
      <c r="BK87">
        <f>IF(Table29128[[#This Row],[Butyrate '[%']]]&lt;S$10,_xlfn.NORM.DIST(Table29128[[#This Row],[Butyrate '[%']]],S$6,S$2,FALSE),-100)</f>
        <v>-100</v>
      </c>
      <c r="BL87">
        <f>IF(Table29128[[#This Row],[Valerate '[%']]]&lt;T$10,_xlfn.NORM.DIST(Table29128[[#This Row],[Valerate '[%']]],T$6,T$2,FALSE),-100)</f>
        <v>-100</v>
      </c>
      <c r="BM87">
        <f>IF(Table29128[[#This Row],[Caproate '[%']]]&lt;U$10,_xlfn.NORM.DIST(Table29128[[#This Row],[Caproate '[%']]],U$6,U$2,FALSE),-100)</f>
        <v>-100</v>
      </c>
      <c r="BN87">
        <f>IF(Table29128[[#This Row],[Isobutyrate '[%']]]&lt;V$10,_xlfn.NORM.DIST(Table29128[[#This Row],[Isobutyrate '[%']]],V$6,V$2,FALSE),-100)</f>
        <v>-100</v>
      </c>
      <c r="BO87">
        <f>IF(Table29128[[#This Row],[Isovalerate '[%']]]&lt;W$10,_xlfn.NORM.DIST(Table29128[[#This Row],[Isovalerate '[%']]],W$6,W$2,FALSE),-100)</f>
        <v>-100</v>
      </c>
      <c r="BP87">
        <f>IF(Table29128[[#This Row],[CH4 '[g/mmol SCFA']]]&lt;X$10,_xlfn.NORM.DIST(Table29128[[#This Row],[CH4 '[g/mmol SCFA']]],X$6,X$2,FALSE),-100)</f>
        <v>-100</v>
      </c>
      <c r="BQ87" t="e">
        <f>IF(Table29128[[#This Row],[DMD '[mg/g']]]&gt;Y$10,_xlfn.NORM.DIST(Table29128[[#This Row],[DMD '[mg/g']]],Y$6,Y$2,FALSE),-100)</f>
        <v>#REF!</v>
      </c>
      <c r="BR87" t="e">
        <f>IF(Table29128[[#This Row],[CH4 '[ml/g']]]&lt;Z$10,_xlfn.NORM.DIST(Table29128[[#This Row],[CH4 '[ml/g']]],Z$6,Z$2,FALSE),-100)</f>
        <v>#REF!</v>
      </c>
      <c r="BS87" t="e">
        <f>IF(Table29128[[#This Row],[CH4 '[% GP']]]&lt;AA$10,_xlfn.NORM.DIST(Table29128[[#This Row],[CH4 '[% GP']]],AA$6,AA$2,FALSE),-100)</f>
        <v>#REF!</v>
      </c>
      <c r="BT87" t="e">
        <f>IF(Table29128[[#This Row],[CH4 '[g/g DDM']]]&lt;AB$10,_xlfn.NORM.DIST(Table29128[[#This Row],[CH4 '[g/g DDM']]],AB$6,AB$2,FALSE),-100)</f>
        <v>#REF!</v>
      </c>
    </row>
    <row r="88" spans="1:72" ht="15" customHeight="1" x14ac:dyDescent="0.25">
      <c r="A88" s="12" t="s">
        <v>86</v>
      </c>
      <c r="B88" s="13">
        <v>1065</v>
      </c>
      <c r="C88" s="104" t="s">
        <v>275</v>
      </c>
      <c r="D88" s="104" t="s">
        <v>276</v>
      </c>
      <c r="E88" s="104" t="s">
        <v>277</v>
      </c>
      <c r="F88" s="104" t="s">
        <v>278</v>
      </c>
      <c r="G88" s="23" t="s">
        <v>73</v>
      </c>
      <c r="H88" s="23" t="s">
        <v>74</v>
      </c>
      <c r="I88" s="104" t="s">
        <v>106</v>
      </c>
      <c r="J88" s="70">
        <v>1</v>
      </c>
      <c r="K88" s="70"/>
      <c r="L88" s="70"/>
      <c r="M88" t="s">
        <v>278</v>
      </c>
      <c r="N88" t="s">
        <v>145</v>
      </c>
      <c r="O88" s="18"/>
      <c r="P88" s="18"/>
      <c r="Q88" s="97"/>
      <c r="R88" s="97"/>
      <c r="S88" s="97"/>
      <c r="T88" s="97"/>
      <c r="U88" s="97"/>
      <c r="V88" s="97"/>
      <c r="W88" s="97"/>
      <c r="X88" s="51"/>
      <c r="Y88" s="18" t="e">
        <f>AVERAGEIFS([1]!Table2912[DMD '[mg/g']],[1]!Table2912[Substrate ID],Table29128[[#This Row],[Substrate ID]])</f>
        <v>#REF!</v>
      </c>
      <c r="Z88" s="18" t="e">
        <f>AVERAGEIFS([1]!Table2912[CH4 '[ml/g']],[1]!Table2912[Substrate ID],Table29128[[#This Row],[Substrate ID]])</f>
        <v>#REF!</v>
      </c>
      <c r="AA88" s="18" t="e">
        <f>AVERAGEIFS([1]!Table2912[CH4 '[% GP']],[1]!Table2912[Substrate ID],Table29128[[#This Row],[Substrate ID]])</f>
        <v>#REF!</v>
      </c>
      <c r="AB88" s="18" t="e">
        <f>AVERAGEIFS([1]!Table2912[CH4 '[g/g DDM']],[1]!Table2912[Substrate ID],Table29128[[#This Row],[Substrate ID]])</f>
        <v>#REF!</v>
      </c>
      <c r="AC88" s="18" t="e">
        <f>$CP$17*Table29128[[#This Row],[DMD '[mg/g']]]+$CQ$17*Table29128[[#This Row],[CH4 '[g/g DDM']]]</f>
        <v>#REF!</v>
      </c>
      <c r="AD88" s="18" t="e">
        <f>_xlfn.RANK.AVG(Table29128[[#This Row],[Index]],Table29128[Index])</f>
        <v>#REF!</v>
      </c>
      <c r="AE88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88" s="18" t="e">
        <f>Table29128[[#This Row],[CH4 '[ml/g']]]/Table29128[[#This Row],[APB]]</f>
        <v>#REF!</v>
      </c>
      <c r="AG88" s="18" t="e">
        <f>Table29128[[#This Row],[Propionate '[%']]]/Table29128[[#This Row],[Acetate '[%']]]</f>
        <v>#DIV/0!</v>
      </c>
      <c r="AH88" s="51"/>
      <c r="AI88" s="18"/>
      <c r="AJ88" s="18"/>
      <c r="AK88" s="135" t="e">
        <f t="shared" si="6"/>
        <v>#REF!</v>
      </c>
      <c r="AL88" s="18"/>
      <c r="AM88" s="135" t="e">
        <f t="shared" si="7"/>
        <v>#REF!</v>
      </c>
      <c r="AN88" s="18" t="e">
        <f>(Table29128[[#This Row],[CH4 '[g/g DDM']]]-AN$15)/AN$15%</f>
        <v>#REF!</v>
      </c>
      <c r="AO88" s="18"/>
      <c r="AP88" s="18"/>
      <c r="AR88" t="e">
        <f>_xlfn.NORM.DIST(Table29128[[#This Row],[GP '[ml/g']]],O$6,O$2,FALSE)</f>
        <v>#DIV/0!</v>
      </c>
      <c r="AS88" t="e">
        <f>_xlfn.NORM.DIST(Table29128[[#This Row],[SCFA '[mmol/g']]],P$6,P$2,FALSE)</f>
        <v>#DIV/0!</v>
      </c>
      <c r="AT88" t="e">
        <f>_xlfn.NORM.DIST(Table29128[[#This Row],[Acetate '[%']]],Q$6,Q$2,FALSE)</f>
        <v>#DIV/0!</v>
      </c>
      <c r="AU88" t="e">
        <f>_xlfn.NORM.DIST(Table29128[[#This Row],[Propionate '[%']]],R$6,R$2,FALSE)</f>
        <v>#DIV/0!</v>
      </c>
      <c r="AV88" t="e">
        <f>_xlfn.NORM.DIST(Table29128[[#This Row],[Butyrate '[%']]],S$6,S$2,FALSE)</f>
        <v>#DIV/0!</v>
      </c>
      <c r="AW88" t="e">
        <f>_xlfn.NORM.DIST(Table29128[[#This Row],[Valerate '[%']]],T$6,T$2,FALSE)</f>
        <v>#DIV/0!</v>
      </c>
      <c r="AX88" t="e">
        <f>_xlfn.NORM.DIST(Table29128[[#This Row],[Caproate '[%']]],U$6,U$2,FALSE)</f>
        <v>#DIV/0!</v>
      </c>
      <c r="AY88" t="e">
        <f>_xlfn.NORM.DIST(Table29128[[#This Row],[Isobutyrate '[%']]],V$6,V$2,FALSE)</f>
        <v>#DIV/0!</v>
      </c>
      <c r="AZ88" t="e">
        <f>_xlfn.NORM.DIST(Table29128[[#This Row],[Isovalerate '[%']]],W$6,W$2,FALSE)</f>
        <v>#DIV/0!</v>
      </c>
      <c r="BA88" t="e">
        <f>_xlfn.NORM.DIST(Table29128[[#This Row],[CH4 '[g/mmol SCFA']]],X$6,X$2,FALSE)</f>
        <v>#DIV/0!</v>
      </c>
      <c r="BB88" t="e">
        <f>_xlfn.NORM.DIST(Table29128[[#This Row],[DMD '[mg/g']]],Y$6,Y$2,FALSE)</f>
        <v>#REF!</v>
      </c>
      <c r="BC88" t="e">
        <f>_xlfn.NORM.DIST(Table29128[[#This Row],[CH4 '[ml/g']]],Z$6,Z$2,FALSE)</f>
        <v>#REF!</v>
      </c>
      <c r="BD88" t="e">
        <f>_xlfn.NORM.DIST(Table29128[[#This Row],[CH4 '[% GP']]],AA$6,AA$2,FALSE)</f>
        <v>#REF!</v>
      </c>
      <c r="BE88" t="e">
        <f>_xlfn.NORM.DIST(Table29128[[#This Row],[CH4 '[g/g DDM']]],AB$6,AB$2,FALSE)</f>
        <v>#REF!</v>
      </c>
      <c r="BG88">
        <f>IF(Table29128[[#This Row],[GP '[ml/g']]]&lt;O$10,_xlfn.NORM.DIST(Table29128[[#This Row],[GP '[ml/g']]],O$6,O$2,FALSE),-100)</f>
        <v>-100</v>
      </c>
      <c r="BH88">
        <f>IF(Table29128[[#This Row],[SCFA '[mmol/g']]]&lt;P$10,_xlfn.NORM.DIST(Table29128[[#This Row],[SCFA '[mmol/g']]],P$6,P$2,FALSE),-100)</f>
        <v>-100</v>
      </c>
      <c r="BI88">
        <f>IF(Table29128[[#This Row],[Acetate '[%']]]&lt;Q$10,_xlfn.NORM.DIST(Table29128[[#This Row],[Acetate '[%']]],Q$6,Q$2,FALSE),-100)</f>
        <v>-100</v>
      </c>
      <c r="BJ88">
        <f>IF(Table29128[[#This Row],[Propionate '[%']]]&lt;R$10,_xlfn.NORM.DIST(Table29128[[#This Row],[Propionate '[%']]],R$6,R$2,FALSE),-100)</f>
        <v>-100</v>
      </c>
      <c r="BK88">
        <f>IF(Table29128[[#This Row],[Butyrate '[%']]]&lt;S$10,_xlfn.NORM.DIST(Table29128[[#This Row],[Butyrate '[%']]],S$6,S$2,FALSE),-100)</f>
        <v>-100</v>
      </c>
      <c r="BL88">
        <f>IF(Table29128[[#This Row],[Valerate '[%']]]&lt;T$10,_xlfn.NORM.DIST(Table29128[[#This Row],[Valerate '[%']]],T$6,T$2,FALSE),-100)</f>
        <v>-100</v>
      </c>
      <c r="BM88">
        <f>IF(Table29128[[#This Row],[Caproate '[%']]]&lt;U$10,_xlfn.NORM.DIST(Table29128[[#This Row],[Caproate '[%']]],U$6,U$2,FALSE),-100)</f>
        <v>-100</v>
      </c>
      <c r="BN88">
        <f>IF(Table29128[[#This Row],[Isobutyrate '[%']]]&lt;V$10,_xlfn.NORM.DIST(Table29128[[#This Row],[Isobutyrate '[%']]],V$6,V$2,FALSE),-100)</f>
        <v>-100</v>
      </c>
      <c r="BO88">
        <f>IF(Table29128[[#This Row],[Isovalerate '[%']]]&lt;W$10,_xlfn.NORM.DIST(Table29128[[#This Row],[Isovalerate '[%']]],W$6,W$2,FALSE),-100)</f>
        <v>-100</v>
      </c>
      <c r="BP88">
        <f>IF(Table29128[[#This Row],[CH4 '[g/mmol SCFA']]]&lt;X$10,_xlfn.NORM.DIST(Table29128[[#This Row],[CH4 '[g/mmol SCFA']]],X$6,X$2,FALSE),-100)</f>
        <v>-100</v>
      </c>
      <c r="BQ88" t="e">
        <f>IF(Table29128[[#This Row],[DMD '[mg/g']]]&gt;Y$10,_xlfn.NORM.DIST(Table29128[[#This Row],[DMD '[mg/g']]],Y$6,Y$2,FALSE),-100)</f>
        <v>#REF!</v>
      </c>
      <c r="BR88" t="e">
        <f>IF(Table29128[[#This Row],[CH4 '[ml/g']]]&lt;Z$10,_xlfn.NORM.DIST(Table29128[[#This Row],[CH4 '[ml/g']]],Z$6,Z$2,FALSE),-100)</f>
        <v>#REF!</v>
      </c>
      <c r="BS88" t="e">
        <f>IF(Table29128[[#This Row],[CH4 '[% GP']]]&lt;AA$10,_xlfn.NORM.DIST(Table29128[[#This Row],[CH4 '[% GP']]],AA$6,AA$2,FALSE),-100)</f>
        <v>#REF!</v>
      </c>
      <c r="BT88" t="e">
        <f>IF(Table29128[[#This Row],[CH4 '[g/g DDM']]]&lt;AB$10,_xlfn.NORM.DIST(Table29128[[#This Row],[CH4 '[g/g DDM']]],AB$6,AB$2,FALSE),-100)</f>
        <v>#REF!</v>
      </c>
    </row>
    <row r="89" spans="1:72" ht="15" customHeight="1" x14ac:dyDescent="0.25">
      <c r="A89" s="12" t="s">
        <v>200</v>
      </c>
      <c r="B89" s="13">
        <v>1196</v>
      </c>
      <c r="C89" s="113" t="s">
        <v>345</v>
      </c>
      <c r="D89" s="113" t="s">
        <v>346</v>
      </c>
      <c r="E89" s="113" t="s">
        <v>347</v>
      </c>
      <c r="F89" s="113" t="s">
        <v>348</v>
      </c>
      <c r="G89" s="145" t="s">
        <v>349</v>
      </c>
      <c r="H89" s="145" t="s">
        <v>350</v>
      </c>
      <c r="I89" s="99" t="s">
        <v>48</v>
      </c>
      <c r="J89" s="70">
        <v>1</v>
      </c>
      <c r="K89" s="70"/>
      <c r="L89" s="70"/>
      <c r="M89" t="s">
        <v>351</v>
      </c>
      <c r="N89" t="s">
        <v>363</v>
      </c>
      <c r="O89" s="18"/>
      <c r="P89" s="18"/>
      <c r="Q89" s="97"/>
      <c r="R89" s="97"/>
      <c r="S89" s="97"/>
      <c r="T89" s="97"/>
      <c r="U89" s="97"/>
      <c r="V89" s="97"/>
      <c r="W89" s="97"/>
      <c r="X89" s="51"/>
      <c r="Y89" s="18" t="e">
        <f>AVERAGEIFS([1]!Table2912[DMD '[mg/g']],[1]!Table2912[Substrate ID],Table29128[[#This Row],[Substrate ID]])</f>
        <v>#REF!</v>
      </c>
      <c r="Z89" s="18" t="e">
        <f>AVERAGEIFS([1]!Table2912[CH4 '[ml/g']],[1]!Table2912[Substrate ID],Table29128[[#This Row],[Substrate ID]])</f>
        <v>#REF!</v>
      </c>
      <c r="AA89" s="18" t="e">
        <f>AVERAGEIFS([1]!Table2912[CH4 '[% GP']],[1]!Table2912[Substrate ID],Table29128[[#This Row],[Substrate ID]])</f>
        <v>#REF!</v>
      </c>
      <c r="AB89" s="18" t="e">
        <f>AVERAGEIFS([1]!Table2912[CH4 '[g/g DDM']],[1]!Table2912[Substrate ID],Table29128[[#This Row],[Substrate ID]])</f>
        <v>#REF!</v>
      </c>
      <c r="AC89" s="18" t="e">
        <f>$CP$17*Table29128[[#This Row],[DMD '[mg/g']]]+$CQ$17*Table29128[[#This Row],[CH4 '[g/g DDM']]]</f>
        <v>#REF!</v>
      </c>
      <c r="AD89" s="18" t="e">
        <f>_xlfn.RANK.AVG(Table29128[[#This Row],[Index]],Table29128[Index])</f>
        <v>#REF!</v>
      </c>
      <c r="AE89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89" s="18" t="e">
        <f>Table29128[[#This Row],[CH4 '[ml/g']]]/Table29128[[#This Row],[APB]]</f>
        <v>#REF!</v>
      </c>
      <c r="AG89" s="18" t="e">
        <f>Table29128[[#This Row],[Propionate '[%']]]/Table29128[[#This Row],[Acetate '[%']]]</f>
        <v>#DIV/0!</v>
      </c>
      <c r="AH89" s="51"/>
      <c r="AI89" s="18"/>
      <c r="AJ89" s="18"/>
      <c r="AK89" s="135" t="e">
        <f t="shared" si="6"/>
        <v>#REF!</v>
      </c>
      <c r="AL89" s="18"/>
      <c r="AM89" s="135" t="e">
        <f t="shared" si="7"/>
        <v>#REF!</v>
      </c>
      <c r="AN89" s="18" t="e">
        <f>(Table29128[[#This Row],[CH4 '[g/g DDM']]]-AN$15)/AN$15%</f>
        <v>#REF!</v>
      </c>
      <c r="AO89" s="18"/>
      <c r="AP89" s="18"/>
      <c r="AR89" t="e">
        <f>_xlfn.NORM.DIST(Table29128[[#This Row],[GP '[ml/g']]],O$6,O$2,FALSE)</f>
        <v>#DIV/0!</v>
      </c>
      <c r="AS89" t="e">
        <f>_xlfn.NORM.DIST(Table29128[[#This Row],[SCFA '[mmol/g']]],P$6,P$2,FALSE)</f>
        <v>#DIV/0!</v>
      </c>
      <c r="AT89" t="e">
        <f>_xlfn.NORM.DIST(Table29128[[#This Row],[Acetate '[%']]],Q$6,Q$2,FALSE)</f>
        <v>#DIV/0!</v>
      </c>
      <c r="AU89" t="e">
        <f>_xlfn.NORM.DIST(Table29128[[#This Row],[Propionate '[%']]],R$6,R$2,FALSE)</f>
        <v>#DIV/0!</v>
      </c>
      <c r="AV89" t="e">
        <f>_xlfn.NORM.DIST(Table29128[[#This Row],[Butyrate '[%']]],S$6,S$2,FALSE)</f>
        <v>#DIV/0!</v>
      </c>
      <c r="AW89" t="e">
        <f>_xlfn.NORM.DIST(Table29128[[#This Row],[Valerate '[%']]],T$6,T$2,FALSE)</f>
        <v>#DIV/0!</v>
      </c>
      <c r="AX89" t="e">
        <f>_xlfn.NORM.DIST(Table29128[[#This Row],[Caproate '[%']]],U$6,U$2,FALSE)</f>
        <v>#DIV/0!</v>
      </c>
      <c r="AY89" t="e">
        <f>_xlfn.NORM.DIST(Table29128[[#This Row],[Isobutyrate '[%']]],V$6,V$2,FALSE)</f>
        <v>#DIV/0!</v>
      </c>
      <c r="AZ89" t="e">
        <f>_xlfn.NORM.DIST(Table29128[[#This Row],[Isovalerate '[%']]],W$6,W$2,FALSE)</f>
        <v>#DIV/0!</v>
      </c>
      <c r="BA89" t="e">
        <f>_xlfn.NORM.DIST(Table29128[[#This Row],[CH4 '[g/mmol SCFA']]],X$6,X$2,FALSE)</f>
        <v>#DIV/0!</v>
      </c>
      <c r="BB89" t="e">
        <f>_xlfn.NORM.DIST(Table29128[[#This Row],[DMD '[mg/g']]],Y$6,Y$2,FALSE)</f>
        <v>#REF!</v>
      </c>
      <c r="BC89" t="e">
        <f>_xlfn.NORM.DIST(Table29128[[#This Row],[CH4 '[ml/g']]],Z$6,Z$2,FALSE)</f>
        <v>#REF!</v>
      </c>
      <c r="BD89" t="e">
        <f>_xlfn.NORM.DIST(Table29128[[#This Row],[CH4 '[% GP']]],AA$6,AA$2,FALSE)</f>
        <v>#REF!</v>
      </c>
      <c r="BE89" t="e">
        <f>_xlfn.NORM.DIST(Table29128[[#This Row],[CH4 '[g/g DDM']]],AB$6,AB$2,FALSE)</f>
        <v>#REF!</v>
      </c>
      <c r="BG89">
        <f>IF(Table29128[[#This Row],[GP '[ml/g']]]&lt;O$10,_xlfn.NORM.DIST(Table29128[[#This Row],[GP '[ml/g']]],O$6,O$2,FALSE),-100)</f>
        <v>-100</v>
      </c>
      <c r="BH89">
        <f>IF(Table29128[[#This Row],[SCFA '[mmol/g']]]&lt;P$10,_xlfn.NORM.DIST(Table29128[[#This Row],[SCFA '[mmol/g']]],P$6,P$2,FALSE),-100)</f>
        <v>-100</v>
      </c>
      <c r="BI89">
        <f>IF(Table29128[[#This Row],[Acetate '[%']]]&lt;Q$10,_xlfn.NORM.DIST(Table29128[[#This Row],[Acetate '[%']]],Q$6,Q$2,FALSE),-100)</f>
        <v>-100</v>
      </c>
      <c r="BJ89">
        <f>IF(Table29128[[#This Row],[Propionate '[%']]]&lt;R$10,_xlfn.NORM.DIST(Table29128[[#This Row],[Propionate '[%']]],R$6,R$2,FALSE),-100)</f>
        <v>-100</v>
      </c>
      <c r="BK89">
        <f>IF(Table29128[[#This Row],[Butyrate '[%']]]&lt;S$10,_xlfn.NORM.DIST(Table29128[[#This Row],[Butyrate '[%']]],S$6,S$2,FALSE),-100)</f>
        <v>-100</v>
      </c>
      <c r="BL89">
        <f>IF(Table29128[[#This Row],[Valerate '[%']]]&lt;T$10,_xlfn.NORM.DIST(Table29128[[#This Row],[Valerate '[%']]],T$6,T$2,FALSE),-100)</f>
        <v>-100</v>
      </c>
      <c r="BM89">
        <f>IF(Table29128[[#This Row],[Caproate '[%']]]&lt;U$10,_xlfn.NORM.DIST(Table29128[[#This Row],[Caproate '[%']]],U$6,U$2,FALSE),-100)</f>
        <v>-100</v>
      </c>
      <c r="BN89">
        <f>IF(Table29128[[#This Row],[Isobutyrate '[%']]]&lt;V$10,_xlfn.NORM.DIST(Table29128[[#This Row],[Isobutyrate '[%']]],V$6,V$2,FALSE),-100)</f>
        <v>-100</v>
      </c>
      <c r="BO89">
        <f>IF(Table29128[[#This Row],[Isovalerate '[%']]]&lt;W$10,_xlfn.NORM.DIST(Table29128[[#This Row],[Isovalerate '[%']]],W$6,W$2,FALSE),-100)</f>
        <v>-100</v>
      </c>
      <c r="BP89">
        <f>IF(Table29128[[#This Row],[CH4 '[g/mmol SCFA']]]&lt;X$10,_xlfn.NORM.DIST(Table29128[[#This Row],[CH4 '[g/mmol SCFA']]],X$6,X$2,FALSE),-100)</f>
        <v>-100</v>
      </c>
      <c r="BQ89" t="e">
        <f>IF(Table29128[[#This Row],[DMD '[mg/g']]]&gt;Y$10,_xlfn.NORM.DIST(Table29128[[#This Row],[DMD '[mg/g']]],Y$6,Y$2,FALSE),-100)</f>
        <v>#REF!</v>
      </c>
      <c r="BR89" t="e">
        <f>IF(Table29128[[#This Row],[CH4 '[ml/g']]]&lt;Z$10,_xlfn.NORM.DIST(Table29128[[#This Row],[CH4 '[ml/g']]],Z$6,Z$2,FALSE),-100)</f>
        <v>#REF!</v>
      </c>
      <c r="BS89" t="e">
        <f>IF(Table29128[[#This Row],[CH4 '[% GP']]]&lt;AA$10,_xlfn.NORM.DIST(Table29128[[#This Row],[CH4 '[% GP']]],AA$6,AA$2,FALSE),-100)</f>
        <v>#REF!</v>
      </c>
      <c r="BT89" t="e">
        <f>IF(Table29128[[#This Row],[CH4 '[g/g DDM']]]&lt;AB$10,_xlfn.NORM.DIST(Table29128[[#This Row],[CH4 '[g/g DDM']]],AB$6,AB$2,FALSE),-100)</f>
        <v>#REF!</v>
      </c>
    </row>
    <row r="90" spans="1:72" ht="15" customHeight="1" x14ac:dyDescent="0.25">
      <c r="A90" s="12" t="s">
        <v>86</v>
      </c>
      <c r="B90" s="13">
        <v>1068</v>
      </c>
      <c r="C90" s="32">
        <v>32028</v>
      </c>
      <c r="D90" t="s">
        <v>323</v>
      </c>
      <c r="E90" t="s">
        <v>324</v>
      </c>
      <c r="F90" t="s">
        <v>325</v>
      </c>
      <c r="G90" s="23" t="s">
        <v>73</v>
      </c>
      <c r="H90" s="23" t="s">
        <v>74</v>
      </c>
      <c r="I90" s="105" t="s">
        <v>44</v>
      </c>
      <c r="J90" s="70">
        <v>1</v>
      </c>
      <c r="K90" s="70"/>
      <c r="L90" s="70"/>
      <c r="M90" t="s">
        <v>325</v>
      </c>
      <c r="N90" t="s">
        <v>145</v>
      </c>
      <c r="O90" s="18"/>
      <c r="P90" s="18"/>
      <c r="Q90" s="97"/>
      <c r="R90" s="97"/>
      <c r="S90" s="97"/>
      <c r="T90" s="97"/>
      <c r="U90" s="97"/>
      <c r="V90" s="97"/>
      <c r="W90" s="97"/>
      <c r="X90" s="51"/>
      <c r="Y90" s="18" t="e">
        <f>AVERAGEIFS([1]!Table2912[DMD '[mg/g']],[1]!Table2912[Substrate ID],Table29128[[#This Row],[Substrate ID]])</f>
        <v>#REF!</v>
      </c>
      <c r="Z90" s="18" t="e">
        <f>AVERAGEIFS([1]!Table2912[CH4 '[ml/g']],[1]!Table2912[Substrate ID],Table29128[[#This Row],[Substrate ID]])</f>
        <v>#REF!</v>
      </c>
      <c r="AA90" s="18" t="e">
        <f>AVERAGEIFS([1]!Table2912[CH4 '[% GP']],[1]!Table2912[Substrate ID],Table29128[[#This Row],[Substrate ID]])</f>
        <v>#REF!</v>
      </c>
      <c r="AB90" s="18" t="e">
        <f>AVERAGEIFS([1]!Table2912[CH4 '[g/g DDM']],[1]!Table2912[Substrate ID],Table29128[[#This Row],[Substrate ID]])</f>
        <v>#REF!</v>
      </c>
      <c r="AC90" s="18" t="e">
        <f>$CP$17*Table29128[[#This Row],[DMD '[mg/g']]]+$CQ$17*Table29128[[#This Row],[CH4 '[g/g DDM']]]</f>
        <v>#REF!</v>
      </c>
      <c r="AD90" s="18" t="e">
        <f>_xlfn.RANK.AVG(Table29128[[#This Row],[Index]],Table29128[Index])</f>
        <v>#REF!</v>
      </c>
      <c r="AE90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90" s="18" t="e">
        <f>Table29128[[#This Row],[CH4 '[ml/g']]]/Table29128[[#This Row],[APB]]</f>
        <v>#REF!</v>
      </c>
      <c r="AG90" s="18" t="e">
        <f>Table29128[[#This Row],[Propionate '[%']]]/Table29128[[#This Row],[Acetate '[%']]]</f>
        <v>#DIV/0!</v>
      </c>
      <c r="AH90" s="51"/>
      <c r="AI90" s="18"/>
      <c r="AJ90" s="18"/>
      <c r="AK90" s="135" t="e">
        <f t="shared" si="6"/>
        <v>#REF!</v>
      </c>
      <c r="AL90" s="18"/>
      <c r="AM90" s="135" t="e">
        <f t="shared" si="7"/>
        <v>#REF!</v>
      </c>
      <c r="AN90" s="18" t="e">
        <f>(Table29128[[#This Row],[CH4 '[g/g DDM']]]-AN$15)/AN$15%</f>
        <v>#REF!</v>
      </c>
      <c r="AO90" s="18"/>
      <c r="AP90" s="18"/>
      <c r="AR90" t="e">
        <f>_xlfn.NORM.DIST(Table29128[[#This Row],[GP '[ml/g']]],O$6,O$2,FALSE)</f>
        <v>#DIV/0!</v>
      </c>
      <c r="AS90" t="e">
        <f>_xlfn.NORM.DIST(Table29128[[#This Row],[SCFA '[mmol/g']]],P$6,P$2,FALSE)</f>
        <v>#DIV/0!</v>
      </c>
      <c r="AT90" t="e">
        <f>_xlfn.NORM.DIST(Table29128[[#This Row],[Acetate '[%']]],Q$6,Q$2,FALSE)</f>
        <v>#DIV/0!</v>
      </c>
      <c r="AU90" t="e">
        <f>_xlfn.NORM.DIST(Table29128[[#This Row],[Propionate '[%']]],R$6,R$2,FALSE)</f>
        <v>#DIV/0!</v>
      </c>
      <c r="AV90" t="e">
        <f>_xlfn.NORM.DIST(Table29128[[#This Row],[Butyrate '[%']]],S$6,S$2,FALSE)</f>
        <v>#DIV/0!</v>
      </c>
      <c r="AW90" t="e">
        <f>_xlfn.NORM.DIST(Table29128[[#This Row],[Valerate '[%']]],T$6,T$2,FALSE)</f>
        <v>#DIV/0!</v>
      </c>
      <c r="AX90" t="e">
        <f>_xlfn.NORM.DIST(Table29128[[#This Row],[Caproate '[%']]],U$6,U$2,FALSE)</f>
        <v>#DIV/0!</v>
      </c>
      <c r="AY90" t="e">
        <f>_xlfn.NORM.DIST(Table29128[[#This Row],[Isobutyrate '[%']]],V$6,V$2,FALSE)</f>
        <v>#DIV/0!</v>
      </c>
      <c r="AZ90" t="e">
        <f>_xlfn.NORM.DIST(Table29128[[#This Row],[Isovalerate '[%']]],W$6,W$2,FALSE)</f>
        <v>#DIV/0!</v>
      </c>
      <c r="BA90" t="e">
        <f>_xlfn.NORM.DIST(Table29128[[#This Row],[CH4 '[g/mmol SCFA']]],X$6,X$2,FALSE)</f>
        <v>#DIV/0!</v>
      </c>
      <c r="BB90" t="e">
        <f>_xlfn.NORM.DIST(Table29128[[#This Row],[DMD '[mg/g']]],Y$6,Y$2,FALSE)</f>
        <v>#REF!</v>
      </c>
      <c r="BC90" t="e">
        <f>_xlfn.NORM.DIST(Table29128[[#This Row],[CH4 '[ml/g']]],Z$6,Z$2,FALSE)</f>
        <v>#REF!</v>
      </c>
      <c r="BD90" t="e">
        <f>_xlfn.NORM.DIST(Table29128[[#This Row],[CH4 '[% GP']]],AA$6,AA$2,FALSE)</f>
        <v>#REF!</v>
      </c>
      <c r="BE90" t="e">
        <f>_xlfn.NORM.DIST(Table29128[[#This Row],[CH4 '[g/g DDM']]],AB$6,AB$2,FALSE)</f>
        <v>#REF!</v>
      </c>
      <c r="BG90">
        <f>IF(Table29128[[#This Row],[GP '[ml/g']]]&lt;O$10,_xlfn.NORM.DIST(Table29128[[#This Row],[GP '[ml/g']]],O$6,O$2,FALSE),-100)</f>
        <v>-100</v>
      </c>
      <c r="BH90">
        <f>IF(Table29128[[#This Row],[SCFA '[mmol/g']]]&lt;P$10,_xlfn.NORM.DIST(Table29128[[#This Row],[SCFA '[mmol/g']]],P$6,P$2,FALSE),-100)</f>
        <v>-100</v>
      </c>
      <c r="BI90">
        <f>IF(Table29128[[#This Row],[Acetate '[%']]]&lt;Q$10,_xlfn.NORM.DIST(Table29128[[#This Row],[Acetate '[%']]],Q$6,Q$2,FALSE),-100)</f>
        <v>-100</v>
      </c>
      <c r="BJ90">
        <f>IF(Table29128[[#This Row],[Propionate '[%']]]&lt;R$10,_xlfn.NORM.DIST(Table29128[[#This Row],[Propionate '[%']]],R$6,R$2,FALSE),-100)</f>
        <v>-100</v>
      </c>
      <c r="BK90">
        <f>IF(Table29128[[#This Row],[Butyrate '[%']]]&lt;S$10,_xlfn.NORM.DIST(Table29128[[#This Row],[Butyrate '[%']]],S$6,S$2,FALSE),-100)</f>
        <v>-100</v>
      </c>
      <c r="BL90">
        <f>IF(Table29128[[#This Row],[Valerate '[%']]]&lt;T$10,_xlfn.NORM.DIST(Table29128[[#This Row],[Valerate '[%']]],T$6,T$2,FALSE),-100)</f>
        <v>-100</v>
      </c>
      <c r="BM90">
        <f>IF(Table29128[[#This Row],[Caproate '[%']]]&lt;U$10,_xlfn.NORM.DIST(Table29128[[#This Row],[Caproate '[%']]],U$6,U$2,FALSE),-100)</f>
        <v>-100</v>
      </c>
      <c r="BN90">
        <f>IF(Table29128[[#This Row],[Isobutyrate '[%']]]&lt;V$10,_xlfn.NORM.DIST(Table29128[[#This Row],[Isobutyrate '[%']]],V$6,V$2,FALSE),-100)</f>
        <v>-100</v>
      </c>
      <c r="BO90">
        <f>IF(Table29128[[#This Row],[Isovalerate '[%']]]&lt;W$10,_xlfn.NORM.DIST(Table29128[[#This Row],[Isovalerate '[%']]],W$6,W$2,FALSE),-100)</f>
        <v>-100</v>
      </c>
      <c r="BP90">
        <f>IF(Table29128[[#This Row],[CH4 '[g/mmol SCFA']]]&lt;X$10,_xlfn.NORM.DIST(Table29128[[#This Row],[CH4 '[g/mmol SCFA']]],X$6,X$2,FALSE),-100)</f>
        <v>-100</v>
      </c>
      <c r="BQ90" t="e">
        <f>IF(Table29128[[#This Row],[DMD '[mg/g']]]&gt;Y$10,_xlfn.NORM.DIST(Table29128[[#This Row],[DMD '[mg/g']]],Y$6,Y$2,FALSE),-100)</f>
        <v>#REF!</v>
      </c>
      <c r="BR90" t="e">
        <f>IF(Table29128[[#This Row],[CH4 '[ml/g']]]&lt;Z$10,_xlfn.NORM.DIST(Table29128[[#This Row],[CH4 '[ml/g']]],Z$6,Z$2,FALSE),-100)</f>
        <v>#REF!</v>
      </c>
      <c r="BS90" t="e">
        <f>IF(Table29128[[#This Row],[CH4 '[% GP']]]&lt;AA$10,_xlfn.NORM.DIST(Table29128[[#This Row],[CH4 '[% GP']]],AA$6,AA$2,FALSE),-100)</f>
        <v>#REF!</v>
      </c>
      <c r="BT90" t="e">
        <f>IF(Table29128[[#This Row],[CH4 '[g/g DDM']]]&lt;AB$10,_xlfn.NORM.DIST(Table29128[[#This Row],[CH4 '[g/g DDM']]],AB$6,AB$2,FALSE),-100)</f>
        <v>#REF!</v>
      </c>
    </row>
    <row r="91" spans="1:72" x14ac:dyDescent="0.25">
      <c r="A91" s="12" t="s">
        <v>86</v>
      </c>
      <c r="B91" s="13">
        <v>1066</v>
      </c>
      <c r="C91" s="32">
        <v>20417</v>
      </c>
      <c r="D91" t="s">
        <v>323</v>
      </c>
      <c r="E91" t="s">
        <v>324</v>
      </c>
      <c r="F91" t="s">
        <v>325</v>
      </c>
      <c r="G91" s="23" t="s">
        <v>73</v>
      </c>
      <c r="H91" s="23" t="s">
        <v>74</v>
      </c>
      <c r="I91" s="105" t="s">
        <v>44</v>
      </c>
      <c r="J91" s="70">
        <v>1</v>
      </c>
      <c r="K91" s="70"/>
      <c r="L91" s="70"/>
      <c r="M91" t="s">
        <v>325</v>
      </c>
      <c r="N91" t="s">
        <v>145</v>
      </c>
      <c r="O91" s="18"/>
      <c r="P91" s="18"/>
      <c r="Q91" s="97"/>
      <c r="R91" s="97"/>
      <c r="S91" s="97"/>
      <c r="T91" s="97"/>
      <c r="U91" s="97"/>
      <c r="V91" s="97"/>
      <c r="W91" s="97"/>
      <c r="X91" s="51"/>
      <c r="Y91" s="18" t="e">
        <f>AVERAGEIFS([1]!Table2912[DMD '[mg/g']],[1]!Table2912[Substrate ID],Table29128[[#This Row],[Substrate ID]])</f>
        <v>#REF!</v>
      </c>
      <c r="Z91" s="18" t="e">
        <f>AVERAGEIFS([1]!Table2912[CH4 '[ml/g']],[1]!Table2912[Substrate ID],Table29128[[#This Row],[Substrate ID]])</f>
        <v>#REF!</v>
      </c>
      <c r="AA91" s="18" t="e">
        <f>AVERAGEIFS([1]!Table2912[CH4 '[% GP']],[1]!Table2912[Substrate ID],Table29128[[#This Row],[Substrate ID]])</f>
        <v>#REF!</v>
      </c>
      <c r="AB91" s="18" t="e">
        <f>AVERAGEIFS([1]!Table2912[CH4 '[g/g DDM']],[1]!Table2912[Substrate ID],Table29128[[#This Row],[Substrate ID]])</f>
        <v>#REF!</v>
      </c>
      <c r="AC91" s="18" t="e">
        <f>$CP$17*Table29128[[#This Row],[DMD '[mg/g']]]+$CQ$17*Table29128[[#This Row],[CH4 '[g/g DDM']]]</f>
        <v>#REF!</v>
      </c>
      <c r="AD91" s="18" t="e">
        <f>_xlfn.RANK.AVG(Table29128[[#This Row],[Index]],Table29128[Index])</f>
        <v>#REF!</v>
      </c>
      <c r="AE91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91" s="18" t="e">
        <f>Table29128[[#This Row],[CH4 '[ml/g']]]/Table29128[[#This Row],[APB]]</f>
        <v>#REF!</v>
      </c>
      <c r="AG91" s="18" t="e">
        <f>Table29128[[#This Row],[Propionate '[%']]]/Table29128[[#This Row],[Acetate '[%']]]</f>
        <v>#DIV/0!</v>
      </c>
      <c r="AH91" s="51"/>
      <c r="AI91" s="18"/>
      <c r="AJ91" s="18"/>
      <c r="AK91" s="135" t="e">
        <f t="shared" si="6"/>
        <v>#REF!</v>
      </c>
      <c r="AL91" s="18"/>
      <c r="AM91" s="135" t="e">
        <f t="shared" si="7"/>
        <v>#REF!</v>
      </c>
      <c r="AN91" s="18" t="e">
        <f>(Table29128[[#This Row],[CH4 '[g/g DDM']]]-AN$15)/AN$15%</f>
        <v>#REF!</v>
      </c>
      <c r="AO91" s="18"/>
      <c r="AP91" s="18"/>
      <c r="AR91" t="e">
        <f>_xlfn.NORM.DIST(Table29128[[#This Row],[GP '[ml/g']]],O$6,O$2,FALSE)</f>
        <v>#DIV/0!</v>
      </c>
      <c r="AS91" t="e">
        <f>_xlfn.NORM.DIST(Table29128[[#This Row],[SCFA '[mmol/g']]],P$6,P$2,FALSE)</f>
        <v>#DIV/0!</v>
      </c>
      <c r="AT91" t="e">
        <f>_xlfn.NORM.DIST(Table29128[[#This Row],[Acetate '[%']]],Q$6,Q$2,FALSE)</f>
        <v>#DIV/0!</v>
      </c>
      <c r="AU91" t="e">
        <f>_xlfn.NORM.DIST(Table29128[[#This Row],[Propionate '[%']]],R$6,R$2,FALSE)</f>
        <v>#DIV/0!</v>
      </c>
      <c r="AV91" t="e">
        <f>_xlfn.NORM.DIST(Table29128[[#This Row],[Butyrate '[%']]],S$6,S$2,FALSE)</f>
        <v>#DIV/0!</v>
      </c>
      <c r="AW91" t="e">
        <f>_xlfn.NORM.DIST(Table29128[[#This Row],[Valerate '[%']]],T$6,T$2,FALSE)</f>
        <v>#DIV/0!</v>
      </c>
      <c r="AX91" t="e">
        <f>_xlfn.NORM.DIST(Table29128[[#This Row],[Caproate '[%']]],U$6,U$2,FALSE)</f>
        <v>#DIV/0!</v>
      </c>
      <c r="AY91" t="e">
        <f>_xlfn.NORM.DIST(Table29128[[#This Row],[Isobutyrate '[%']]],V$6,V$2,FALSE)</f>
        <v>#DIV/0!</v>
      </c>
      <c r="AZ91" t="e">
        <f>_xlfn.NORM.DIST(Table29128[[#This Row],[Isovalerate '[%']]],W$6,W$2,FALSE)</f>
        <v>#DIV/0!</v>
      </c>
      <c r="BA91" t="e">
        <f>_xlfn.NORM.DIST(Table29128[[#This Row],[CH4 '[g/mmol SCFA']]],X$6,X$2,FALSE)</f>
        <v>#DIV/0!</v>
      </c>
      <c r="BB91" t="e">
        <f>_xlfn.NORM.DIST(Table29128[[#This Row],[DMD '[mg/g']]],Y$6,Y$2,FALSE)</f>
        <v>#REF!</v>
      </c>
      <c r="BC91" t="e">
        <f>_xlfn.NORM.DIST(Table29128[[#This Row],[CH4 '[ml/g']]],Z$6,Z$2,FALSE)</f>
        <v>#REF!</v>
      </c>
      <c r="BD91" t="e">
        <f>_xlfn.NORM.DIST(Table29128[[#This Row],[CH4 '[% GP']]],AA$6,AA$2,FALSE)</f>
        <v>#REF!</v>
      </c>
      <c r="BE91" t="e">
        <f>_xlfn.NORM.DIST(Table29128[[#This Row],[CH4 '[g/g DDM']]],AB$6,AB$2,FALSE)</f>
        <v>#REF!</v>
      </c>
      <c r="BG91">
        <f>IF(Table29128[[#This Row],[GP '[ml/g']]]&lt;O$10,_xlfn.NORM.DIST(Table29128[[#This Row],[GP '[ml/g']]],O$6,O$2,FALSE),-100)</f>
        <v>-100</v>
      </c>
      <c r="BH91">
        <f>IF(Table29128[[#This Row],[SCFA '[mmol/g']]]&lt;P$10,_xlfn.NORM.DIST(Table29128[[#This Row],[SCFA '[mmol/g']]],P$6,P$2,FALSE),-100)</f>
        <v>-100</v>
      </c>
      <c r="BI91">
        <f>IF(Table29128[[#This Row],[Acetate '[%']]]&lt;Q$10,_xlfn.NORM.DIST(Table29128[[#This Row],[Acetate '[%']]],Q$6,Q$2,FALSE),-100)</f>
        <v>-100</v>
      </c>
      <c r="BJ91">
        <f>IF(Table29128[[#This Row],[Propionate '[%']]]&lt;R$10,_xlfn.NORM.DIST(Table29128[[#This Row],[Propionate '[%']]],R$6,R$2,FALSE),-100)</f>
        <v>-100</v>
      </c>
      <c r="BK91">
        <f>IF(Table29128[[#This Row],[Butyrate '[%']]]&lt;S$10,_xlfn.NORM.DIST(Table29128[[#This Row],[Butyrate '[%']]],S$6,S$2,FALSE),-100)</f>
        <v>-100</v>
      </c>
      <c r="BL91">
        <f>IF(Table29128[[#This Row],[Valerate '[%']]]&lt;T$10,_xlfn.NORM.DIST(Table29128[[#This Row],[Valerate '[%']]],T$6,T$2,FALSE),-100)</f>
        <v>-100</v>
      </c>
      <c r="BM91">
        <f>IF(Table29128[[#This Row],[Caproate '[%']]]&lt;U$10,_xlfn.NORM.DIST(Table29128[[#This Row],[Caproate '[%']]],U$6,U$2,FALSE),-100)</f>
        <v>-100</v>
      </c>
      <c r="BN91">
        <f>IF(Table29128[[#This Row],[Isobutyrate '[%']]]&lt;V$10,_xlfn.NORM.DIST(Table29128[[#This Row],[Isobutyrate '[%']]],V$6,V$2,FALSE),-100)</f>
        <v>-100</v>
      </c>
      <c r="BO91">
        <f>IF(Table29128[[#This Row],[Isovalerate '[%']]]&lt;W$10,_xlfn.NORM.DIST(Table29128[[#This Row],[Isovalerate '[%']]],W$6,W$2,FALSE),-100)</f>
        <v>-100</v>
      </c>
      <c r="BP91">
        <f>IF(Table29128[[#This Row],[CH4 '[g/mmol SCFA']]]&lt;X$10,_xlfn.NORM.DIST(Table29128[[#This Row],[CH4 '[g/mmol SCFA']]],X$6,X$2,FALSE),-100)</f>
        <v>-100</v>
      </c>
      <c r="BQ91" t="e">
        <f>IF(Table29128[[#This Row],[DMD '[mg/g']]]&gt;Y$10,_xlfn.NORM.DIST(Table29128[[#This Row],[DMD '[mg/g']]],Y$6,Y$2,FALSE),-100)</f>
        <v>#REF!</v>
      </c>
      <c r="BR91" t="e">
        <f>IF(Table29128[[#This Row],[CH4 '[ml/g']]]&lt;Z$10,_xlfn.NORM.DIST(Table29128[[#This Row],[CH4 '[ml/g']]],Z$6,Z$2,FALSE),-100)</f>
        <v>#REF!</v>
      </c>
      <c r="BS91" t="e">
        <f>IF(Table29128[[#This Row],[CH4 '[% GP']]]&lt;AA$10,_xlfn.NORM.DIST(Table29128[[#This Row],[CH4 '[% GP']]],AA$6,AA$2,FALSE),-100)</f>
        <v>#REF!</v>
      </c>
      <c r="BT91" t="e">
        <f>IF(Table29128[[#This Row],[CH4 '[g/g DDM']]]&lt;AB$10,_xlfn.NORM.DIST(Table29128[[#This Row],[CH4 '[g/g DDM']]],AB$6,AB$2,FALSE),-100)</f>
        <v>#REF!</v>
      </c>
    </row>
    <row r="92" spans="1:72" ht="15" customHeight="1" x14ac:dyDescent="0.25">
      <c r="A92" s="12" t="s">
        <v>86</v>
      </c>
      <c r="B92" s="13">
        <v>1067</v>
      </c>
      <c r="C92" s="32">
        <v>21802</v>
      </c>
      <c r="D92" t="s">
        <v>323</v>
      </c>
      <c r="E92" t="s">
        <v>324</v>
      </c>
      <c r="F92" t="s">
        <v>325</v>
      </c>
      <c r="G92" s="23" t="s">
        <v>73</v>
      </c>
      <c r="H92" s="23" t="s">
        <v>74</v>
      </c>
      <c r="I92" s="105" t="s">
        <v>44</v>
      </c>
      <c r="J92" s="70">
        <v>1</v>
      </c>
      <c r="K92" s="70"/>
      <c r="L92" s="70"/>
      <c r="M92" t="s">
        <v>325</v>
      </c>
      <c r="N92" t="s">
        <v>145</v>
      </c>
      <c r="O92" s="18"/>
      <c r="P92" s="18"/>
      <c r="Q92" s="97"/>
      <c r="R92" s="97"/>
      <c r="S92" s="97"/>
      <c r="T92" s="97"/>
      <c r="U92" s="97"/>
      <c r="V92" s="97"/>
      <c r="W92" s="97"/>
      <c r="X92" s="51"/>
      <c r="Y92" s="18" t="e">
        <f>AVERAGEIFS([1]!Table2912[DMD '[mg/g']],[1]!Table2912[Substrate ID],Table29128[[#This Row],[Substrate ID]])</f>
        <v>#REF!</v>
      </c>
      <c r="Z92" s="18" t="e">
        <f>AVERAGEIFS([1]!Table2912[CH4 '[ml/g']],[1]!Table2912[Substrate ID],Table29128[[#This Row],[Substrate ID]])</f>
        <v>#REF!</v>
      </c>
      <c r="AA92" s="18" t="e">
        <f>AVERAGEIFS([1]!Table2912[CH4 '[% GP']],[1]!Table2912[Substrate ID],Table29128[[#This Row],[Substrate ID]])</f>
        <v>#REF!</v>
      </c>
      <c r="AB92" s="18" t="e">
        <f>AVERAGEIFS([1]!Table2912[CH4 '[g/g DDM']],[1]!Table2912[Substrate ID],Table29128[[#This Row],[Substrate ID]])</f>
        <v>#REF!</v>
      </c>
      <c r="AC92" s="18" t="e">
        <f>$CP$17*Table29128[[#This Row],[DMD '[mg/g']]]+$CQ$17*Table29128[[#This Row],[CH4 '[g/g DDM']]]</f>
        <v>#REF!</v>
      </c>
      <c r="AD92" s="18" t="e">
        <f>_xlfn.RANK.AVG(Table29128[[#This Row],[Index]],Table29128[Index])</f>
        <v>#REF!</v>
      </c>
      <c r="AE92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92" s="18" t="e">
        <f>Table29128[[#This Row],[CH4 '[ml/g']]]/Table29128[[#This Row],[APB]]</f>
        <v>#REF!</v>
      </c>
      <c r="AG92" s="18" t="e">
        <f>Table29128[[#This Row],[Propionate '[%']]]/Table29128[[#This Row],[Acetate '[%']]]</f>
        <v>#DIV/0!</v>
      </c>
      <c r="AH92" s="51"/>
      <c r="AI92" s="18"/>
      <c r="AJ92" s="18"/>
      <c r="AK92" s="135" t="e">
        <f t="shared" si="6"/>
        <v>#REF!</v>
      </c>
      <c r="AL92" s="18"/>
      <c r="AM92" s="135" t="e">
        <f t="shared" si="7"/>
        <v>#REF!</v>
      </c>
      <c r="AN92" s="18" t="e">
        <f>(Table29128[[#This Row],[CH4 '[g/g DDM']]]-AN$15)/AN$15%</f>
        <v>#REF!</v>
      </c>
      <c r="AO92" s="18"/>
      <c r="AP92" s="18"/>
      <c r="AR92" t="e">
        <f>_xlfn.NORM.DIST(Table29128[[#This Row],[GP '[ml/g']]],O$6,O$2,FALSE)</f>
        <v>#DIV/0!</v>
      </c>
      <c r="AS92" t="e">
        <f>_xlfn.NORM.DIST(Table29128[[#This Row],[SCFA '[mmol/g']]],P$6,P$2,FALSE)</f>
        <v>#DIV/0!</v>
      </c>
      <c r="AT92" t="e">
        <f>_xlfn.NORM.DIST(Table29128[[#This Row],[Acetate '[%']]],Q$6,Q$2,FALSE)</f>
        <v>#DIV/0!</v>
      </c>
      <c r="AU92" t="e">
        <f>_xlfn.NORM.DIST(Table29128[[#This Row],[Propionate '[%']]],R$6,R$2,FALSE)</f>
        <v>#DIV/0!</v>
      </c>
      <c r="AV92" t="e">
        <f>_xlfn.NORM.DIST(Table29128[[#This Row],[Butyrate '[%']]],S$6,S$2,FALSE)</f>
        <v>#DIV/0!</v>
      </c>
      <c r="AW92" t="e">
        <f>_xlfn.NORM.DIST(Table29128[[#This Row],[Valerate '[%']]],T$6,T$2,FALSE)</f>
        <v>#DIV/0!</v>
      </c>
      <c r="AX92" t="e">
        <f>_xlfn.NORM.DIST(Table29128[[#This Row],[Caproate '[%']]],U$6,U$2,FALSE)</f>
        <v>#DIV/0!</v>
      </c>
      <c r="AY92" t="e">
        <f>_xlfn.NORM.DIST(Table29128[[#This Row],[Isobutyrate '[%']]],V$6,V$2,FALSE)</f>
        <v>#DIV/0!</v>
      </c>
      <c r="AZ92" t="e">
        <f>_xlfn.NORM.DIST(Table29128[[#This Row],[Isovalerate '[%']]],W$6,W$2,FALSE)</f>
        <v>#DIV/0!</v>
      </c>
      <c r="BA92" t="e">
        <f>_xlfn.NORM.DIST(Table29128[[#This Row],[CH4 '[g/mmol SCFA']]],X$6,X$2,FALSE)</f>
        <v>#DIV/0!</v>
      </c>
      <c r="BB92" t="e">
        <f>_xlfn.NORM.DIST(Table29128[[#This Row],[DMD '[mg/g']]],Y$6,Y$2,FALSE)</f>
        <v>#REF!</v>
      </c>
      <c r="BC92" t="e">
        <f>_xlfn.NORM.DIST(Table29128[[#This Row],[CH4 '[ml/g']]],Z$6,Z$2,FALSE)</f>
        <v>#REF!</v>
      </c>
      <c r="BD92" t="e">
        <f>_xlfn.NORM.DIST(Table29128[[#This Row],[CH4 '[% GP']]],AA$6,AA$2,FALSE)</f>
        <v>#REF!</v>
      </c>
      <c r="BE92" t="e">
        <f>_xlfn.NORM.DIST(Table29128[[#This Row],[CH4 '[g/g DDM']]],AB$6,AB$2,FALSE)</f>
        <v>#REF!</v>
      </c>
      <c r="BG92">
        <f>IF(Table29128[[#This Row],[GP '[ml/g']]]&lt;O$10,_xlfn.NORM.DIST(Table29128[[#This Row],[GP '[ml/g']]],O$6,O$2,FALSE),-100)</f>
        <v>-100</v>
      </c>
      <c r="BH92">
        <f>IF(Table29128[[#This Row],[SCFA '[mmol/g']]]&lt;P$10,_xlfn.NORM.DIST(Table29128[[#This Row],[SCFA '[mmol/g']]],P$6,P$2,FALSE),-100)</f>
        <v>-100</v>
      </c>
      <c r="BI92">
        <f>IF(Table29128[[#This Row],[Acetate '[%']]]&lt;Q$10,_xlfn.NORM.DIST(Table29128[[#This Row],[Acetate '[%']]],Q$6,Q$2,FALSE),-100)</f>
        <v>-100</v>
      </c>
      <c r="BJ92">
        <f>IF(Table29128[[#This Row],[Propionate '[%']]]&lt;R$10,_xlfn.NORM.DIST(Table29128[[#This Row],[Propionate '[%']]],R$6,R$2,FALSE),-100)</f>
        <v>-100</v>
      </c>
      <c r="BK92">
        <f>IF(Table29128[[#This Row],[Butyrate '[%']]]&lt;S$10,_xlfn.NORM.DIST(Table29128[[#This Row],[Butyrate '[%']]],S$6,S$2,FALSE),-100)</f>
        <v>-100</v>
      </c>
      <c r="BL92">
        <f>IF(Table29128[[#This Row],[Valerate '[%']]]&lt;T$10,_xlfn.NORM.DIST(Table29128[[#This Row],[Valerate '[%']]],T$6,T$2,FALSE),-100)</f>
        <v>-100</v>
      </c>
      <c r="BM92">
        <f>IF(Table29128[[#This Row],[Caproate '[%']]]&lt;U$10,_xlfn.NORM.DIST(Table29128[[#This Row],[Caproate '[%']]],U$6,U$2,FALSE),-100)</f>
        <v>-100</v>
      </c>
      <c r="BN92">
        <f>IF(Table29128[[#This Row],[Isobutyrate '[%']]]&lt;V$10,_xlfn.NORM.DIST(Table29128[[#This Row],[Isobutyrate '[%']]],V$6,V$2,FALSE),-100)</f>
        <v>-100</v>
      </c>
      <c r="BO92">
        <f>IF(Table29128[[#This Row],[Isovalerate '[%']]]&lt;W$10,_xlfn.NORM.DIST(Table29128[[#This Row],[Isovalerate '[%']]],W$6,W$2,FALSE),-100)</f>
        <v>-100</v>
      </c>
      <c r="BP92">
        <f>IF(Table29128[[#This Row],[CH4 '[g/mmol SCFA']]]&lt;X$10,_xlfn.NORM.DIST(Table29128[[#This Row],[CH4 '[g/mmol SCFA']]],X$6,X$2,FALSE),-100)</f>
        <v>-100</v>
      </c>
      <c r="BQ92" t="e">
        <f>IF(Table29128[[#This Row],[DMD '[mg/g']]]&gt;Y$10,_xlfn.NORM.DIST(Table29128[[#This Row],[DMD '[mg/g']]],Y$6,Y$2,FALSE),-100)</f>
        <v>#REF!</v>
      </c>
      <c r="BR92" t="e">
        <f>IF(Table29128[[#This Row],[CH4 '[ml/g']]]&lt;Z$10,_xlfn.NORM.DIST(Table29128[[#This Row],[CH4 '[ml/g']]],Z$6,Z$2,FALSE),-100)</f>
        <v>#REF!</v>
      </c>
      <c r="BS92" t="e">
        <f>IF(Table29128[[#This Row],[CH4 '[% GP']]]&lt;AA$10,_xlfn.NORM.DIST(Table29128[[#This Row],[CH4 '[% GP']]],AA$6,AA$2,FALSE),-100)</f>
        <v>#REF!</v>
      </c>
      <c r="BT92" t="e">
        <f>IF(Table29128[[#This Row],[CH4 '[g/g DDM']]]&lt;AB$10,_xlfn.NORM.DIST(Table29128[[#This Row],[CH4 '[g/g DDM']]],AB$6,AB$2,FALSE),-100)</f>
        <v>#REF!</v>
      </c>
    </row>
    <row r="93" spans="1:72" ht="15" customHeight="1" x14ac:dyDescent="0.25">
      <c r="A93" s="12" t="s">
        <v>70</v>
      </c>
      <c r="B93" s="13">
        <v>1035</v>
      </c>
      <c r="C93" s="96" t="s">
        <v>296</v>
      </c>
      <c r="D93" s="96"/>
      <c r="E93" s="96"/>
      <c r="F93" s="96" t="s">
        <v>297</v>
      </c>
      <c r="G93" s="15" t="s">
        <v>73</v>
      </c>
      <c r="H93" s="15" t="s">
        <v>74</v>
      </c>
      <c r="I93" s="99" t="s">
        <v>79</v>
      </c>
      <c r="J93" s="70">
        <v>1</v>
      </c>
      <c r="K93" s="70"/>
      <c r="L93" s="70"/>
      <c r="M93" t="s">
        <v>297</v>
      </c>
      <c r="N93" t="s">
        <v>81</v>
      </c>
      <c r="O93" s="18"/>
      <c r="P93" s="18"/>
      <c r="Q93" s="97"/>
      <c r="R93" s="97"/>
      <c r="S93" s="97"/>
      <c r="T93" s="97"/>
      <c r="U93" s="97"/>
      <c r="V93" s="97"/>
      <c r="W93" s="97"/>
      <c r="X93" s="51"/>
      <c r="Y93" s="18" t="e">
        <f>AVERAGEIFS([1]!Table2912[DMD '[mg/g']],[1]!Table2912[Substrate ID],Table29128[[#This Row],[Substrate ID]])</f>
        <v>#REF!</v>
      </c>
      <c r="Z93" s="18" t="e">
        <f>AVERAGEIFS([1]!Table2912[CH4 '[ml/g']],[1]!Table2912[Substrate ID],Table29128[[#This Row],[Substrate ID]])</f>
        <v>#REF!</v>
      </c>
      <c r="AA93" s="18" t="e">
        <f>AVERAGEIFS([1]!Table2912[CH4 '[% GP']],[1]!Table2912[Substrate ID],Table29128[[#This Row],[Substrate ID]])</f>
        <v>#REF!</v>
      </c>
      <c r="AB93" s="18" t="e">
        <f>AVERAGEIFS([1]!Table2912[CH4 '[g/g DDM']],[1]!Table2912[Substrate ID],Table29128[[#This Row],[Substrate ID]])</f>
        <v>#REF!</v>
      </c>
      <c r="AC93" s="18" t="e">
        <f>$CP$17*Table29128[[#This Row],[DMD '[mg/g']]]+$CQ$17*Table29128[[#This Row],[CH4 '[g/g DDM']]]</f>
        <v>#REF!</v>
      </c>
      <c r="AD93" s="18" t="e">
        <f>_xlfn.RANK.AVG(Table29128[[#This Row],[Index]],Table29128[Index])</f>
        <v>#REF!</v>
      </c>
      <c r="AE93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93" s="18" t="e">
        <f>Table29128[[#This Row],[CH4 '[ml/g']]]/Table29128[[#This Row],[APB]]</f>
        <v>#REF!</v>
      </c>
      <c r="AG93" s="18" t="e">
        <f>Table29128[[#This Row],[Propionate '[%']]]/Table29128[[#This Row],[Acetate '[%']]]</f>
        <v>#DIV/0!</v>
      </c>
      <c r="AH93" s="51"/>
      <c r="AI93" s="18"/>
      <c r="AJ93" s="18"/>
      <c r="AK93" s="135" t="e">
        <f t="shared" si="6"/>
        <v>#REF!</v>
      </c>
      <c r="AL93" s="18"/>
      <c r="AM93" s="135" t="e">
        <f t="shared" si="7"/>
        <v>#REF!</v>
      </c>
      <c r="AN93" s="18" t="e">
        <f>(Table29128[[#This Row],[CH4 '[g/g DDM']]]-AN$15)/AN$15%</f>
        <v>#REF!</v>
      </c>
      <c r="AO93" s="18"/>
      <c r="AP93" s="18"/>
      <c r="AR93" t="e">
        <f>_xlfn.NORM.DIST(Table29128[[#This Row],[GP '[ml/g']]],O$6,O$2,FALSE)</f>
        <v>#DIV/0!</v>
      </c>
      <c r="AS93" t="e">
        <f>_xlfn.NORM.DIST(Table29128[[#This Row],[SCFA '[mmol/g']]],P$6,P$2,FALSE)</f>
        <v>#DIV/0!</v>
      </c>
      <c r="AT93" t="e">
        <f>_xlfn.NORM.DIST(Table29128[[#This Row],[Acetate '[%']]],Q$6,Q$2,FALSE)</f>
        <v>#DIV/0!</v>
      </c>
      <c r="AU93" t="e">
        <f>_xlfn.NORM.DIST(Table29128[[#This Row],[Propionate '[%']]],R$6,R$2,FALSE)</f>
        <v>#DIV/0!</v>
      </c>
      <c r="AV93" t="e">
        <f>_xlfn.NORM.DIST(Table29128[[#This Row],[Butyrate '[%']]],S$6,S$2,FALSE)</f>
        <v>#DIV/0!</v>
      </c>
      <c r="AW93" t="e">
        <f>_xlfn.NORM.DIST(Table29128[[#This Row],[Valerate '[%']]],T$6,T$2,FALSE)</f>
        <v>#DIV/0!</v>
      </c>
      <c r="AX93" t="e">
        <f>_xlfn.NORM.DIST(Table29128[[#This Row],[Caproate '[%']]],U$6,U$2,FALSE)</f>
        <v>#DIV/0!</v>
      </c>
      <c r="AY93" t="e">
        <f>_xlfn.NORM.DIST(Table29128[[#This Row],[Isobutyrate '[%']]],V$6,V$2,FALSE)</f>
        <v>#DIV/0!</v>
      </c>
      <c r="AZ93" t="e">
        <f>_xlfn.NORM.DIST(Table29128[[#This Row],[Isovalerate '[%']]],W$6,W$2,FALSE)</f>
        <v>#DIV/0!</v>
      </c>
      <c r="BA93" t="e">
        <f>_xlfn.NORM.DIST(Table29128[[#This Row],[CH4 '[g/mmol SCFA']]],X$6,X$2,FALSE)</f>
        <v>#DIV/0!</v>
      </c>
      <c r="BB93" t="e">
        <f>_xlfn.NORM.DIST(Table29128[[#This Row],[DMD '[mg/g']]],Y$6,Y$2,FALSE)</f>
        <v>#REF!</v>
      </c>
      <c r="BC93" t="e">
        <f>_xlfn.NORM.DIST(Table29128[[#This Row],[CH4 '[ml/g']]],Z$6,Z$2,FALSE)</f>
        <v>#REF!</v>
      </c>
      <c r="BD93" t="e">
        <f>_xlfn.NORM.DIST(Table29128[[#This Row],[CH4 '[% GP']]],AA$6,AA$2,FALSE)</f>
        <v>#REF!</v>
      </c>
      <c r="BE93" t="e">
        <f>_xlfn.NORM.DIST(Table29128[[#This Row],[CH4 '[g/g DDM']]],AB$6,AB$2,FALSE)</f>
        <v>#REF!</v>
      </c>
      <c r="BG93">
        <f>IF(Table29128[[#This Row],[GP '[ml/g']]]&lt;O$10,_xlfn.NORM.DIST(Table29128[[#This Row],[GP '[ml/g']]],O$6,O$2,FALSE),-100)</f>
        <v>-100</v>
      </c>
      <c r="BH93">
        <f>IF(Table29128[[#This Row],[SCFA '[mmol/g']]]&lt;P$10,_xlfn.NORM.DIST(Table29128[[#This Row],[SCFA '[mmol/g']]],P$6,P$2,FALSE),-100)</f>
        <v>-100</v>
      </c>
      <c r="BI93">
        <f>IF(Table29128[[#This Row],[Acetate '[%']]]&lt;Q$10,_xlfn.NORM.DIST(Table29128[[#This Row],[Acetate '[%']]],Q$6,Q$2,FALSE),-100)</f>
        <v>-100</v>
      </c>
      <c r="BJ93">
        <f>IF(Table29128[[#This Row],[Propionate '[%']]]&lt;R$10,_xlfn.NORM.DIST(Table29128[[#This Row],[Propionate '[%']]],R$6,R$2,FALSE),-100)</f>
        <v>-100</v>
      </c>
      <c r="BK93">
        <f>IF(Table29128[[#This Row],[Butyrate '[%']]]&lt;S$10,_xlfn.NORM.DIST(Table29128[[#This Row],[Butyrate '[%']]],S$6,S$2,FALSE),-100)</f>
        <v>-100</v>
      </c>
      <c r="BL93">
        <f>IF(Table29128[[#This Row],[Valerate '[%']]]&lt;T$10,_xlfn.NORM.DIST(Table29128[[#This Row],[Valerate '[%']]],T$6,T$2,FALSE),-100)</f>
        <v>-100</v>
      </c>
      <c r="BM93">
        <f>IF(Table29128[[#This Row],[Caproate '[%']]]&lt;U$10,_xlfn.NORM.DIST(Table29128[[#This Row],[Caproate '[%']]],U$6,U$2,FALSE),-100)</f>
        <v>-100</v>
      </c>
      <c r="BN93">
        <f>IF(Table29128[[#This Row],[Isobutyrate '[%']]]&lt;V$10,_xlfn.NORM.DIST(Table29128[[#This Row],[Isobutyrate '[%']]],V$6,V$2,FALSE),-100)</f>
        <v>-100</v>
      </c>
      <c r="BO93">
        <f>IF(Table29128[[#This Row],[Isovalerate '[%']]]&lt;W$10,_xlfn.NORM.DIST(Table29128[[#This Row],[Isovalerate '[%']]],W$6,W$2,FALSE),-100)</f>
        <v>-100</v>
      </c>
      <c r="BP93">
        <f>IF(Table29128[[#This Row],[CH4 '[g/mmol SCFA']]]&lt;X$10,_xlfn.NORM.DIST(Table29128[[#This Row],[CH4 '[g/mmol SCFA']]],X$6,X$2,FALSE),-100)</f>
        <v>-100</v>
      </c>
      <c r="BQ93" t="e">
        <f>IF(Table29128[[#This Row],[DMD '[mg/g']]]&gt;Y$10,_xlfn.NORM.DIST(Table29128[[#This Row],[DMD '[mg/g']]],Y$6,Y$2,FALSE),-100)</f>
        <v>#REF!</v>
      </c>
      <c r="BR93" t="e">
        <f>IF(Table29128[[#This Row],[CH4 '[ml/g']]]&lt;Z$10,_xlfn.NORM.DIST(Table29128[[#This Row],[CH4 '[ml/g']]],Z$6,Z$2,FALSE),-100)</f>
        <v>#REF!</v>
      </c>
      <c r="BS93" t="e">
        <f>IF(Table29128[[#This Row],[CH4 '[% GP']]]&lt;AA$10,_xlfn.NORM.DIST(Table29128[[#This Row],[CH4 '[% GP']]],AA$6,AA$2,FALSE),-100)</f>
        <v>#REF!</v>
      </c>
      <c r="BT93" t="e">
        <f>IF(Table29128[[#This Row],[CH4 '[g/g DDM']]]&lt;AB$10,_xlfn.NORM.DIST(Table29128[[#This Row],[CH4 '[g/g DDM']]],AB$6,AB$2,FALSE),-100)</f>
        <v>#REF!</v>
      </c>
    </row>
    <row r="94" spans="1:72" x14ac:dyDescent="0.25">
      <c r="A94" s="12" t="s">
        <v>70</v>
      </c>
      <c r="B94" s="13">
        <v>1016</v>
      </c>
      <c r="C94" s="96" t="s">
        <v>94</v>
      </c>
      <c r="D94" s="96"/>
      <c r="E94" s="96"/>
      <c r="F94" s="98" t="s">
        <v>95</v>
      </c>
      <c r="G94" s="15" t="s">
        <v>73</v>
      </c>
      <c r="H94" s="15" t="s">
        <v>74</v>
      </c>
      <c r="I94" t="s">
        <v>75</v>
      </c>
      <c r="J94" s="70">
        <v>1</v>
      </c>
      <c r="K94" s="70"/>
      <c r="L94" s="141"/>
      <c r="M94" t="s">
        <v>95</v>
      </c>
      <c r="N94" t="s">
        <v>80</v>
      </c>
      <c r="O94" s="18"/>
      <c r="P94" s="18"/>
      <c r="Q94" s="97"/>
      <c r="R94" s="97"/>
      <c r="S94" s="97"/>
      <c r="T94" s="97"/>
      <c r="U94" s="97"/>
      <c r="V94" s="97"/>
      <c r="W94" s="97"/>
      <c r="X94" s="51"/>
      <c r="Y94" s="18" t="e">
        <f>AVERAGEIFS([1]!Table2912[DMD '[mg/g']],[1]!Table2912[Substrate ID],Table29128[[#This Row],[Substrate ID]])</f>
        <v>#REF!</v>
      </c>
      <c r="Z94" s="18" t="e">
        <f>AVERAGEIFS([1]!Table2912[CH4 '[ml/g']],[1]!Table2912[Substrate ID],Table29128[[#This Row],[Substrate ID]])</f>
        <v>#REF!</v>
      </c>
      <c r="AA94" s="18" t="e">
        <f>AVERAGEIFS([1]!Table2912[CH4 '[% GP']],[1]!Table2912[Substrate ID],Table29128[[#This Row],[Substrate ID]])</f>
        <v>#REF!</v>
      </c>
      <c r="AB94" s="18" t="e">
        <f>AVERAGEIFS([1]!Table2912[CH4 '[g/g DDM']],[1]!Table2912[Substrate ID],Table29128[[#This Row],[Substrate ID]])</f>
        <v>#REF!</v>
      </c>
      <c r="AC94" s="18" t="e">
        <f>$CP$17*Table29128[[#This Row],[DMD '[mg/g']]]+$CQ$17*Table29128[[#This Row],[CH4 '[g/g DDM']]]</f>
        <v>#REF!</v>
      </c>
      <c r="AD94" s="18" t="e">
        <f>_xlfn.RANK.AVG(Table29128[[#This Row],[Index]],Table29128[Index])</f>
        <v>#REF!</v>
      </c>
      <c r="AE94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94" s="18" t="e">
        <f>Table29128[[#This Row],[CH4 '[ml/g']]]/Table29128[[#This Row],[APB]]</f>
        <v>#REF!</v>
      </c>
      <c r="AG94" s="18" t="e">
        <f>Table29128[[#This Row],[Propionate '[%']]]/Table29128[[#This Row],[Acetate '[%']]]</f>
        <v>#DIV/0!</v>
      </c>
      <c r="AH94" s="51"/>
      <c r="AI94" s="18"/>
      <c r="AJ94" s="18"/>
      <c r="AK94" s="135" t="e">
        <f t="shared" si="6"/>
        <v>#REF!</v>
      </c>
      <c r="AL94" s="18"/>
      <c r="AM94" s="135" t="e">
        <f t="shared" si="7"/>
        <v>#REF!</v>
      </c>
      <c r="AN94" s="18" t="e">
        <f>(Table29128[[#This Row],[CH4 '[g/g DDM']]]-AN$15)/AN$15%</f>
        <v>#REF!</v>
      </c>
      <c r="AO94" s="18"/>
      <c r="AP94" s="18"/>
      <c r="AR94" t="e">
        <f>_xlfn.NORM.DIST(Table29128[[#This Row],[GP '[ml/g']]],O$6,O$2,FALSE)</f>
        <v>#DIV/0!</v>
      </c>
      <c r="AS94" t="e">
        <f>_xlfn.NORM.DIST(Table29128[[#This Row],[SCFA '[mmol/g']]],P$6,P$2,FALSE)</f>
        <v>#DIV/0!</v>
      </c>
      <c r="AT94" t="e">
        <f>_xlfn.NORM.DIST(Table29128[[#This Row],[Acetate '[%']]],Q$6,Q$2,FALSE)</f>
        <v>#DIV/0!</v>
      </c>
      <c r="AU94" t="e">
        <f>_xlfn.NORM.DIST(Table29128[[#This Row],[Propionate '[%']]],R$6,R$2,FALSE)</f>
        <v>#DIV/0!</v>
      </c>
      <c r="AV94" t="e">
        <f>_xlfn.NORM.DIST(Table29128[[#This Row],[Butyrate '[%']]],S$6,S$2,FALSE)</f>
        <v>#DIV/0!</v>
      </c>
      <c r="AW94" t="e">
        <f>_xlfn.NORM.DIST(Table29128[[#This Row],[Valerate '[%']]],T$6,T$2,FALSE)</f>
        <v>#DIV/0!</v>
      </c>
      <c r="AX94" t="e">
        <f>_xlfn.NORM.DIST(Table29128[[#This Row],[Caproate '[%']]],U$6,U$2,FALSE)</f>
        <v>#DIV/0!</v>
      </c>
      <c r="AY94" t="e">
        <f>_xlfn.NORM.DIST(Table29128[[#This Row],[Isobutyrate '[%']]],V$6,V$2,FALSE)</f>
        <v>#DIV/0!</v>
      </c>
      <c r="AZ94" t="e">
        <f>_xlfn.NORM.DIST(Table29128[[#This Row],[Isovalerate '[%']]],W$6,W$2,FALSE)</f>
        <v>#DIV/0!</v>
      </c>
      <c r="BA94" t="e">
        <f>_xlfn.NORM.DIST(Table29128[[#This Row],[CH4 '[g/mmol SCFA']]],X$6,X$2,FALSE)</f>
        <v>#DIV/0!</v>
      </c>
      <c r="BB94" t="e">
        <f>_xlfn.NORM.DIST(Table29128[[#This Row],[DMD '[mg/g']]],Y$6,Y$2,FALSE)</f>
        <v>#REF!</v>
      </c>
      <c r="BC94" t="e">
        <f>_xlfn.NORM.DIST(Table29128[[#This Row],[CH4 '[ml/g']]],Z$6,Z$2,FALSE)</f>
        <v>#REF!</v>
      </c>
      <c r="BD94" t="e">
        <f>_xlfn.NORM.DIST(Table29128[[#This Row],[CH4 '[% GP']]],AA$6,AA$2,FALSE)</f>
        <v>#REF!</v>
      </c>
      <c r="BE94" t="e">
        <f>_xlfn.NORM.DIST(Table29128[[#This Row],[CH4 '[g/g DDM']]],AB$6,AB$2,FALSE)</f>
        <v>#REF!</v>
      </c>
      <c r="BG94">
        <f>IF(Table29128[[#This Row],[GP '[ml/g']]]&lt;O$10,_xlfn.NORM.DIST(Table29128[[#This Row],[GP '[ml/g']]],O$6,O$2,FALSE),-100)</f>
        <v>-100</v>
      </c>
      <c r="BH94">
        <f>IF(Table29128[[#This Row],[SCFA '[mmol/g']]]&lt;P$10,_xlfn.NORM.DIST(Table29128[[#This Row],[SCFA '[mmol/g']]],P$6,P$2,FALSE),-100)</f>
        <v>-100</v>
      </c>
      <c r="BI94">
        <f>IF(Table29128[[#This Row],[Acetate '[%']]]&lt;Q$10,_xlfn.NORM.DIST(Table29128[[#This Row],[Acetate '[%']]],Q$6,Q$2,FALSE),-100)</f>
        <v>-100</v>
      </c>
      <c r="BJ94">
        <f>IF(Table29128[[#This Row],[Propionate '[%']]]&lt;R$10,_xlfn.NORM.DIST(Table29128[[#This Row],[Propionate '[%']]],R$6,R$2,FALSE),-100)</f>
        <v>-100</v>
      </c>
      <c r="BK94">
        <f>IF(Table29128[[#This Row],[Butyrate '[%']]]&lt;S$10,_xlfn.NORM.DIST(Table29128[[#This Row],[Butyrate '[%']]],S$6,S$2,FALSE),-100)</f>
        <v>-100</v>
      </c>
      <c r="BL94">
        <f>IF(Table29128[[#This Row],[Valerate '[%']]]&lt;T$10,_xlfn.NORM.DIST(Table29128[[#This Row],[Valerate '[%']]],T$6,T$2,FALSE),-100)</f>
        <v>-100</v>
      </c>
      <c r="BM94">
        <f>IF(Table29128[[#This Row],[Caproate '[%']]]&lt;U$10,_xlfn.NORM.DIST(Table29128[[#This Row],[Caproate '[%']]],U$6,U$2,FALSE),-100)</f>
        <v>-100</v>
      </c>
      <c r="BN94">
        <f>IF(Table29128[[#This Row],[Isobutyrate '[%']]]&lt;V$10,_xlfn.NORM.DIST(Table29128[[#This Row],[Isobutyrate '[%']]],V$6,V$2,FALSE),-100)</f>
        <v>-100</v>
      </c>
      <c r="BO94">
        <f>IF(Table29128[[#This Row],[Isovalerate '[%']]]&lt;W$10,_xlfn.NORM.DIST(Table29128[[#This Row],[Isovalerate '[%']]],W$6,W$2,FALSE),-100)</f>
        <v>-100</v>
      </c>
      <c r="BP94">
        <f>IF(Table29128[[#This Row],[CH4 '[g/mmol SCFA']]]&lt;X$10,_xlfn.NORM.DIST(Table29128[[#This Row],[CH4 '[g/mmol SCFA']]],X$6,X$2,FALSE),-100)</f>
        <v>-100</v>
      </c>
      <c r="BQ94" t="e">
        <f>IF(Table29128[[#This Row],[DMD '[mg/g']]]&gt;Y$10,_xlfn.NORM.DIST(Table29128[[#This Row],[DMD '[mg/g']]],Y$6,Y$2,FALSE),-100)</f>
        <v>#REF!</v>
      </c>
      <c r="BR94" t="e">
        <f>IF(Table29128[[#This Row],[CH4 '[ml/g']]]&lt;Z$10,_xlfn.NORM.DIST(Table29128[[#This Row],[CH4 '[ml/g']]],Z$6,Z$2,FALSE),-100)</f>
        <v>#REF!</v>
      </c>
      <c r="BS94" t="e">
        <f>IF(Table29128[[#This Row],[CH4 '[% GP']]]&lt;AA$10,_xlfn.NORM.DIST(Table29128[[#This Row],[CH4 '[% GP']]],AA$6,AA$2,FALSE),-100)</f>
        <v>#REF!</v>
      </c>
      <c r="BT94" t="e">
        <f>IF(Table29128[[#This Row],[CH4 '[g/g DDM']]]&lt;AB$10,_xlfn.NORM.DIST(Table29128[[#This Row],[CH4 '[g/g DDM']]],AB$6,AB$2,FALSE),-100)</f>
        <v>#REF!</v>
      </c>
    </row>
    <row r="95" spans="1:72" x14ac:dyDescent="0.25">
      <c r="A95" s="12" t="s">
        <v>200</v>
      </c>
      <c r="B95" s="13">
        <v>1260</v>
      </c>
      <c r="C95" s="113" t="s">
        <v>546</v>
      </c>
      <c r="D95" s="113" t="s">
        <v>510</v>
      </c>
      <c r="E95" s="113" t="s">
        <v>547</v>
      </c>
      <c r="F95" s="114" t="s">
        <v>548</v>
      </c>
      <c r="G95" t="s">
        <v>73</v>
      </c>
      <c r="H95" t="s">
        <v>74</v>
      </c>
      <c r="I95" t="s">
        <v>75</v>
      </c>
      <c r="J95" s="70">
        <v>1</v>
      </c>
      <c r="K95" s="70"/>
      <c r="L95" s="70"/>
      <c r="M95" s="103" t="s">
        <v>549</v>
      </c>
      <c r="N95" t="s">
        <v>363</v>
      </c>
      <c r="O95" s="18"/>
      <c r="P95" s="18"/>
      <c r="Q95" s="97"/>
      <c r="R95" s="97"/>
      <c r="S95" s="97"/>
      <c r="T95" s="97"/>
      <c r="U95" s="97"/>
      <c r="V95" s="97"/>
      <c r="W95" s="97"/>
      <c r="X95" s="51"/>
      <c r="Y95" s="18" t="e">
        <f>AVERAGEIFS([1]!Table2912[DMD '[mg/g']],[1]!Table2912[Substrate ID],Table29128[[#This Row],[Substrate ID]])</f>
        <v>#REF!</v>
      </c>
      <c r="Z95" s="18" t="e">
        <f>AVERAGEIFS([1]!Table2912[CH4 '[ml/g']],[1]!Table2912[Substrate ID],Table29128[[#This Row],[Substrate ID]])</f>
        <v>#REF!</v>
      </c>
      <c r="AA95" s="18" t="e">
        <f>AVERAGEIFS([1]!Table2912[CH4 '[% GP']],[1]!Table2912[Substrate ID],Table29128[[#This Row],[Substrate ID]])</f>
        <v>#REF!</v>
      </c>
      <c r="AB95" s="18" t="e">
        <f>AVERAGEIFS([1]!Table2912[CH4 '[g/g DDM']],[1]!Table2912[Substrate ID],Table29128[[#This Row],[Substrate ID]])</f>
        <v>#REF!</v>
      </c>
      <c r="AC95" s="18" t="e">
        <f>$CP$17*Table29128[[#This Row],[DMD '[mg/g']]]+$CQ$17*Table29128[[#This Row],[CH4 '[g/g DDM']]]</f>
        <v>#REF!</v>
      </c>
      <c r="AD95" s="18" t="e">
        <f>_xlfn.RANK.AVG(Table29128[[#This Row],[Index]],Table29128[Index])</f>
        <v>#REF!</v>
      </c>
      <c r="AE95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95" s="18" t="e">
        <f>Table29128[[#This Row],[CH4 '[ml/g']]]/Table29128[[#This Row],[APB]]</f>
        <v>#REF!</v>
      </c>
      <c r="AG95" s="18" t="e">
        <f>Table29128[[#This Row],[Propionate '[%']]]/Table29128[[#This Row],[Acetate '[%']]]</f>
        <v>#DIV/0!</v>
      </c>
      <c r="AH95" s="51"/>
      <c r="AI95" s="18"/>
      <c r="AJ95" s="18"/>
      <c r="AK95" s="135" t="e">
        <f t="shared" si="6"/>
        <v>#REF!</v>
      </c>
      <c r="AL95" s="18"/>
      <c r="AM95" s="135" t="e">
        <f t="shared" si="7"/>
        <v>#REF!</v>
      </c>
      <c r="AN95" s="18" t="e">
        <f>(Table29128[[#This Row],[CH4 '[g/g DDM']]]-AN$15)/AN$15%</f>
        <v>#REF!</v>
      </c>
      <c r="AO95" s="18"/>
      <c r="AP95" s="18"/>
      <c r="AR95" t="e">
        <f>_xlfn.NORM.DIST(Table29128[[#This Row],[GP '[ml/g']]],O$6,O$2,FALSE)</f>
        <v>#DIV/0!</v>
      </c>
      <c r="AS95" t="e">
        <f>_xlfn.NORM.DIST(Table29128[[#This Row],[SCFA '[mmol/g']]],P$6,P$2,FALSE)</f>
        <v>#DIV/0!</v>
      </c>
      <c r="AT95" t="e">
        <f>_xlfn.NORM.DIST(Table29128[[#This Row],[Acetate '[%']]],Q$6,Q$2,FALSE)</f>
        <v>#DIV/0!</v>
      </c>
      <c r="AU95" t="e">
        <f>_xlfn.NORM.DIST(Table29128[[#This Row],[Propionate '[%']]],R$6,R$2,FALSE)</f>
        <v>#DIV/0!</v>
      </c>
      <c r="AV95" t="e">
        <f>_xlfn.NORM.DIST(Table29128[[#This Row],[Butyrate '[%']]],S$6,S$2,FALSE)</f>
        <v>#DIV/0!</v>
      </c>
      <c r="AW95" t="e">
        <f>_xlfn.NORM.DIST(Table29128[[#This Row],[Valerate '[%']]],T$6,T$2,FALSE)</f>
        <v>#DIV/0!</v>
      </c>
      <c r="AX95" t="e">
        <f>_xlfn.NORM.DIST(Table29128[[#This Row],[Caproate '[%']]],U$6,U$2,FALSE)</f>
        <v>#DIV/0!</v>
      </c>
      <c r="AY95" t="e">
        <f>_xlfn.NORM.DIST(Table29128[[#This Row],[Isobutyrate '[%']]],V$6,V$2,FALSE)</f>
        <v>#DIV/0!</v>
      </c>
      <c r="AZ95" t="e">
        <f>_xlfn.NORM.DIST(Table29128[[#This Row],[Isovalerate '[%']]],W$6,W$2,FALSE)</f>
        <v>#DIV/0!</v>
      </c>
      <c r="BA95" t="e">
        <f>_xlfn.NORM.DIST(Table29128[[#This Row],[CH4 '[g/mmol SCFA']]],X$6,X$2,FALSE)</f>
        <v>#DIV/0!</v>
      </c>
      <c r="BB95" t="e">
        <f>_xlfn.NORM.DIST(Table29128[[#This Row],[DMD '[mg/g']]],Y$6,Y$2,FALSE)</f>
        <v>#REF!</v>
      </c>
      <c r="BC95" t="e">
        <f>_xlfn.NORM.DIST(Table29128[[#This Row],[CH4 '[ml/g']]],Z$6,Z$2,FALSE)</f>
        <v>#REF!</v>
      </c>
      <c r="BD95" t="e">
        <f>_xlfn.NORM.DIST(Table29128[[#This Row],[CH4 '[% GP']]],AA$6,AA$2,FALSE)</f>
        <v>#REF!</v>
      </c>
      <c r="BE95" t="e">
        <f>_xlfn.NORM.DIST(Table29128[[#This Row],[CH4 '[g/g DDM']]],AB$6,AB$2,FALSE)</f>
        <v>#REF!</v>
      </c>
      <c r="BG95">
        <f>IF(Table29128[[#This Row],[GP '[ml/g']]]&lt;O$10,_xlfn.NORM.DIST(Table29128[[#This Row],[GP '[ml/g']]],O$6,O$2,FALSE),-100)</f>
        <v>-100</v>
      </c>
      <c r="BH95">
        <f>IF(Table29128[[#This Row],[SCFA '[mmol/g']]]&lt;P$10,_xlfn.NORM.DIST(Table29128[[#This Row],[SCFA '[mmol/g']]],P$6,P$2,FALSE),-100)</f>
        <v>-100</v>
      </c>
      <c r="BI95">
        <f>IF(Table29128[[#This Row],[Acetate '[%']]]&lt;Q$10,_xlfn.NORM.DIST(Table29128[[#This Row],[Acetate '[%']]],Q$6,Q$2,FALSE),-100)</f>
        <v>-100</v>
      </c>
      <c r="BJ95">
        <f>IF(Table29128[[#This Row],[Propionate '[%']]]&lt;R$10,_xlfn.NORM.DIST(Table29128[[#This Row],[Propionate '[%']]],R$6,R$2,FALSE),-100)</f>
        <v>-100</v>
      </c>
      <c r="BK95">
        <f>IF(Table29128[[#This Row],[Butyrate '[%']]]&lt;S$10,_xlfn.NORM.DIST(Table29128[[#This Row],[Butyrate '[%']]],S$6,S$2,FALSE),-100)</f>
        <v>-100</v>
      </c>
      <c r="BL95">
        <f>IF(Table29128[[#This Row],[Valerate '[%']]]&lt;T$10,_xlfn.NORM.DIST(Table29128[[#This Row],[Valerate '[%']]],T$6,T$2,FALSE),-100)</f>
        <v>-100</v>
      </c>
      <c r="BM95">
        <f>IF(Table29128[[#This Row],[Caproate '[%']]]&lt;U$10,_xlfn.NORM.DIST(Table29128[[#This Row],[Caproate '[%']]],U$6,U$2,FALSE),-100)</f>
        <v>-100</v>
      </c>
      <c r="BN95">
        <f>IF(Table29128[[#This Row],[Isobutyrate '[%']]]&lt;V$10,_xlfn.NORM.DIST(Table29128[[#This Row],[Isobutyrate '[%']]],V$6,V$2,FALSE),-100)</f>
        <v>-100</v>
      </c>
      <c r="BO95">
        <f>IF(Table29128[[#This Row],[Isovalerate '[%']]]&lt;W$10,_xlfn.NORM.DIST(Table29128[[#This Row],[Isovalerate '[%']]],W$6,W$2,FALSE),-100)</f>
        <v>-100</v>
      </c>
      <c r="BP95">
        <f>IF(Table29128[[#This Row],[CH4 '[g/mmol SCFA']]]&lt;X$10,_xlfn.NORM.DIST(Table29128[[#This Row],[CH4 '[g/mmol SCFA']]],X$6,X$2,FALSE),-100)</f>
        <v>-100</v>
      </c>
      <c r="BQ95" t="e">
        <f>IF(Table29128[[#This Row],[DMD '[mg/g']]]&gt;Y$10,_xlfn.NORM.DIST(Table29128[[#This Row],[DMD '[mg/g']]],Y$6,Y$2,FALSE),-100)</f>
        <v>#REF!</v>
      </c>
      <c r="BR95" t="e">
        <f>IF(Table29128[[#This Row],[CH4 '[ml/g']]]&lt;Z$10,_xlfn.NORM.DIST(Table29128[[#This Row],[CH4 '[ml/g']]],Z$6,Z$2,FALSE),-100)</f>
        <v>#REF!</v>
      </c>
      <c r="BS95" t="e">
        <f>IF(Table29128[[#This Row],[CH4 '[% GP']]]&lt;AA$10,_xlfn.NORM.DIST(Table29128[[#This Row],[CH4 '[% GP']]],AA$6,AA$2,FALSE),-100)</f>
        <v>#REF!</v>
      </c>
      <c r="BT95" t="e">
        <f>IF(Table29128[[#This Row],[CH4 '[g/g DDM']]]&lt;AB$10,_xlfn.NORM.DIST(Table29128[[#This Row],[CH4 '[g/g DDM']]],AB$6,AB$2,FALSE),-100)</f>
        <v>#REF!</v>
      </c>
    </row>
    <row r="96" spans="1:72" x14ac:dyDescent="0.25">
      <c r="A96" s="12" t="s">
        <v>200</v>
      </c>
      <c r="B96" s="13">
        <v>1259</v>
      </c>
      <c r="C96" s="113" t="s">
        <v>509</v>
      </c>
      <c r="D96" s="113" t="s">
        <v>510</v>
      </c>
      <c r="E96" s="113" t="s">
        <v>511</v>
      </c>
      <c r="F96" s="114" t="s">
        <v>512</v>
      </c>
      <c r="G96" s="15" t="s">
        <v>73</v>
      </c>
      <c r="H96" s="15" t="s">
        <v>74</v>
      </c>
      <c r="I96" t="s">
        <v>75</v>
      </c>
      <c r="J96" s="70">
        <v>1</v>
      </c>
      <c r="K96" s="70"/>
      <c r="L96" s="70"/>
      <c r="M96" t="s">
        <v>513</v>
      </c>
      <c r="N96" t="s">
        <v>363</v>
      </c>
      <c r="O96" s="18"/>
      <c r="P96" s="18"/>
      <c r="Q96" s="97"/>
      <c r="R96" s="97"/>
      <c r="S96" s="97"/>
      <c r="T96" s="97"/>
      <c r="U96" s="97"/>
      <c r="V96" s="97"/>
      <c r="W96" s="97"/>
      <c r="X96" s="51"/>
      <c r="Y96" s="18" t="e">
        <f>AVERAGEIFS([1]!Table2912[DMD '[mg/g']],[1]!Table2912[Substrate ID],Table29128[[#This Row],[Substrate ID]])</f>
        <v>#REF!</v>
      </c>
      <c r="Z96" s="18" t="e">
        <f>AVERAGEIFS([1]!Table2912[CH4 '[ml/g']],[1]!Table2912[Substrate ID],Table29128[[#This Row],[Substrate ID]])</f>
        <v>#REF!</v>
      </c>
      <c r="AA96" s="18" t="e">
        <f>AVERAGEIFS([1]!Table2912[CH4 '[% GP']],[1]!Table2912[Substrate ID],Table29128[[#This Row],[Substrate ID]])</f>
        <v>#REF!</v>
      </c>
      <c r="AB96" s="18" t="e">
        <f>AVERAGEIFS([1]!Table2912[CH4 '[g/g DDM']],[1]!Table2912[Substrate ID],Table29128[[#This Row],[Substrate ID]])</f>
        <v>#REF!</v>
      </c>
      <c r="AC96" s="18" t="e">
        <f>$CP$17*Table29128[[#This Row],[DMD '[mg/g']]]+$CQ$17*Table29128[[#This Row],[CH4 '[g/g DDM']]]</f>
        <v>#REF!</v>
      </c>
      <c r="AD96" s="18" t="e">
        <f>_xlfn.RANK.AVG(Table29128[[#This Row],[Index]],Table29128[Index])</f>
        <v>#REF!</v>
      </c>
      <c r="AE96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96" s="18" t="e">
        <f>Table29128[[#This Row],[CH4 '[ml/g']]]/Table29128[[#This Row],[APB]]</f>
        <v>#REF!</v>
      </c>
      <c r="AG96" s="18" t="e">
        <f>Table29128[[#This Row],[Propionate '[%']]]/Table29128[[#This Row],[Acetate '[%']]]</f>
        <v>#DIV/0!</v>
      </c>
      <c r="AH96" s="51"/>
      <c r="AI96" s="18"/>
      <c r="AJ96" s="18"/>
      <c r="AK96" s="135" t="e">
        <f t="shared" si="6"/>
        <v>#REF!</v>
      </c>
      <c r="AL96" s="18"/>
      <c r="AM96" s="135" t="e">
        <f t="shared" si="7"/>
        <v>#REF!</v>
      </c>
      <c r="AN96" s="18" t="e">
        <f>(Table29128[[#This Row],[CH4 '[g/g DDM']]]-AN$15)/AN$15%</f>
        <v>#REF!</v>
      </c>
      <c r="AO96" s="18"/>
      <c r="AP96" s="18"/>
      <c r="AR96" t="e">
        <f>_xlfn.NORM.DIST(Table29128[[#This Row],[GP '[ml/g']]],O$6,O$2,FALSE)</f>
        <v>#DIV/0!</v>
      </c>
      <c r="AS96" t="e">
        <f>_xlfn.NORM.DIST(Table29128[[#This Row],[SCFA '[mmol/g']]],P$6,P$2,FALSE)</f>
        <v>#DIV/0!</v>
      </c>
      <c r="AT96" t="e">
        <f>_xlfn.NORM.DIST(Table29128[[#This Row],[Acetate '[%']]],Q$6,Q$2,FALSE)</f>
        <v>#DIV/0!</v>
      </c>
      <c r="AU96" t="e">
        <f>_xlfn.NORM.DIST(Table29128[[#This Row],[Propionate '[%']]],R$6,R$2,FALSE)</f>
        <v>#DIV/0!</v>
      </c>
      <c r="AV96" t="e">
        <f>_xlfn.NORM.DIST(Table29128[[#This Row],[Butyrate '[%']]],S$6,S$2,FALSE)</f>
        <v>#DIV/0!</v>
      </c>
      <c r="AW96" t="e">
        <f>_xlfn.NORM.DIST(Table29128[[#This Row],[Valerate '[%']]],T$6,T$2,FALSE)</f>
        <v>#DIV/0!</v>
      </c>
      <c r="AX96" t="e">
        <f>_xlfn.NORM.DIST(Table29128[[#This Row],[Caproate '[%']]],U$6,U$2,FALSE)</f>
        <v>#DIV/0!</v>
      </c>
      <c r="AY96" t="e">
        <f>_xlfn.NORM.DIST(Table29128[[#This Row],[Isobutyrate '[%']]],V$6,V$2,FALSE)</f>
        <v>#DIV/0!</v>
      </c>
      <c r="AZ96" t="e">
        <f>_xlfn.NORM.DIST(Table29128[[#This Row],[Isovalerate '[%']]],W$6,W$2,FALSE)</f>
        <v>#DIV/0!</v>
      </c>
      <c r="BA96" t="e">
        <f>_xlfn.NORM.DIST(Table29128[[#This Row],[CH4 '[g/mmol SCFA']]],X$6,X$2,FALSE)</f>
        <v>#DIV/0!</v>
      </c>
      <c r="BB96" t="e">
        <f>_xlfn.NORM.DIST(Table29128[[#This Row],[DMD '[mg/g']]],Y$6,Y$2,FALSE)</f>
        <v>#REF!</v>
      </c>
      <c r="BC96" t="e">
        <f>_xlfn.NORM.DIST(Table29128[[#This Row],[CH4 '[ml/g']]],Z$6,Z$2,FALSE)</f>
        <v>#REF!</v>
      </c>
      <c r="BD96" t="e">
        <f>_xlfn.NORM.DIST(Table29128[[#This Row],[CH4 '[% GP']]],AA$6,AA$2,FALSE)</f>
        <v>#REF!</v>
      </c>
      <c r="BE96" t="e">
        <f>_xlfn.NORM.DIST(Table29128[[#This Row],[CH4 '[g/g DDM']]],AB$6,AB$2,FALSE)</f>
        <v>#REF!</v>
      </c>
      <c r="BG96">
        <f>IF(Table29128[[#This Row],[GP '[ml/g']]]&lt;O$10,_xlfn.NORM.DIST(Table29128[[#This Row],[GP '[ml/g']]],O$6,O$2,FALSE),-100)</f>
        <v>-100</v>
      </c>
      <c r="BH96">
        <f>IF(Table29128[[#This Row],[SCFA '[mmol/g']]]&lt;P$10,_xlfn.NORM.DIST(Table29128[[#This Row],[SCFA '[mmol/g']]],P$6,P$2,FALSE),-100)</f>
        <v>-100</v>
      </c>
      <c r="BI96">
        <f>IF(Table29128[[#This Row],[Acetate '[%']]]&lt;Q$10,_xlfn.NORM.DIST(Table29128[[#This Row],[Acetate '[%']]],Q$6,Q$2,FALSE),-100)</f>
        <v>-100</v>
      </c>
      <c r="BJ96">
        <f>IF(Table29128[[#This Row],[Propionate '[%']]]&lt;R$10,_xlfn.NORM.DIST(Table29128[[#This Row],[Propionate '[%']]],R$6,R$2,FALSE),-100)</f>
        <v>-100</v>
      </c>
      <c r="BK96">
        <f>IF(Table29128[[#This Row],[Butyrate '[%']]]&lt;S$10,_xlfn.NORM.DIST(Table29128[[#This Row],[Butyrate '[%']]],S$6,S$2,FALSE),-100)</f>
        <v>-100</v>
      </c>
      <c r="BL96">
        <f>IF(Table29128[[#This Row],[Valerate '[%']]]&lt;T$10,_xlfn.NORM.DIST(Table29128[[#This Row],[Valerate '[%']]],T$6,T$2,FALSE),-100)</f>
        <v>-100</v>
      </c>
      <c r="BM96">
        <f>IF(Table29128[[#This Row],[Caproate '[%']]]&lt;U$10,_xlfn.NORM.DIST(Table29128[[#This Row],[Caproate '[%']]],U$6,U$2,FALSE),-100)</f>
        <v>-100</v>
      </c>
      <c r="BN96">
        <f>IF(Table29128[[#This Row],[Isobutyrate '[%']]]&lt;V$10,_xlfn.NORM.DIST(Table29128[[#This Row],[Isobutyrate '[%']]],V$6,V$2,FALSE),-100)</f>
        <v>-100</v>
      </c>
      <c r="BO96">
        <f>IF(Table29128[[#This Row],[Isovalerate '[%']]]&lt;W$10,_xlfn.NORM.DIST(Table29128[[#This Row],[Isovalerate '[%']]],W$6,W$2,FALSE),-100)</f>
        <v>-100</v>
      </c>
      <c r="BP96">
        <f>IF(Table29128[[#This Row],[CH4 '[g/mmol SCFA']]]&lt;X$10,_xlfn.NORM.DIST(Table29128[[#This Row],[CH4 '[g/mmol SCFA']]],X$6,X$2,FALSE),-100)</f>
        <v>-100</v>
      </c>
      <c r="BQ96" t="e">
        <f>IF(Table29128[[#This Row],[DMD '[mg/g']]]&gt;Y$10,_xlfn.NORM.DIST(Table29128[[#This Row],[DMD '[mg/g']]],Y$6,Y$2,FALSE),-100)</f>
        <v>#REF!</v>
      </c>
      <c r="BR96" t="e">
        <f>IF(Table29128[[#This Row],[CH4 '[ml/g']]]&lt;Z$10,_xlfn.NORM.DIST(Table29128[[#This Row],[CH4 '[ml/g']]],Z$6,Z$2,FALSE),-100)</f>
        <v>#REF!</v>
      </c>
      <c r="BS96" t="e">
        <f>IF(Table29128[[#This Row],[CH4 '[% GP']]]&lt;AA$10,_xlfn.NORM.DIST(Table29128[[#This Row],[CH4 '[% GP']]],AA$6,AA$2,FALSE),-100)</f>
        <v>#REF!</v>
      </c>
      <c r="BT96" t="e">
        <f>IF(Table29128[[#This Row],[CH4 '[g/g DDM']]]&lt;AB$10,_xlfn.NORM.DIST(Table29128[[#This Row],[CH4 '[g/g DDM']]],AB$6,AB$2,FALSE),-100)</f>
        <v>#REF!</v>
      </c>
    </row>
    <row r="97" spans="1:72" x14ac:dyDescent="0.25">
      <c r="A97" s="12" t="s">
        <v>200</v>
      </c>
      <c r="B97" s="13">
        <v>1216</v>
      </c>
      <c r="C97" s="113" t="s">
        <v>420</v>
      </c>
      <c r="D97" s="113" t="s">
        <v>391</v>
      </c>
      <c r="E97" s="113" t="s">
        <v>392</v>
      </c>
      <c r="F97" s="113" t="s">
        <v>393</v>
      </c>
      <c r="G97" t="s">
        <v>143</v>
      </c>
      <c r="H97" t="s">
        <v>144</v>
      </c>
      <c r="I97" t="s">
        <v>52</v>
      </c>
      <c r="J97" s="70">
        <v>1</v>
      </c>
      <c r="K97" s="70"/>
      <c r="L97" s="70"/>
      <c r="M97" t="s">
        <v>421</v>
      </c>
      <c r="N97" t="s">
        <v>208</v>
      </c>
      <c r="O97" s="18"/>
      <c r="P97" s="18"/>
      <c r="Q97" s="97"/>
      <c r="R97" s="97"/>
      <c r="S97" s="97"/>
      <c r="T97" s="97"/>
      <c r="U97" s="97"/>
      <c r="V97" s="97"/>
      <c r="W97" s="97"/>
      <c r="X97" s="51"/>
      <c r="Y97" s="18" t="e">
        <f>AVERAGEIFS([1]!Table2912[DMD '[mg/g']],[1]!Table2912[Substrate ID],Table29128[[#This Row],[Substrate ID]])</f>
        <v>#REF!</v>
      </c>
      <c r="Z97" s="18" t="e">
        <f>AVERAGEIFS([1]!Table2912[CH4 '[ml/g']],[1]!Table2912[Substrate ID],Table29128[[#This Row],[Substrate ID]])</f>
        <v>#REF!</v>
      </c>
      <c r="AA97" s="18" t="e">
        <f>AVERAGEIFS([1]!Table2912[CH4 '[% GP']],[1]!Table2912[Substrate ID],Table29128[[#This Row],[Substrate ID]])</f>
        <v>#REF!</v>
      </c>
      <c r="AB97" s="18" t="e">
        <f>AVERAGEIFS([1]!Table2912[CH4 '[g/g DDM']],[1]!Table2912[Substrate ID],Table29128[[#This Row],[Substrate ID]])</f>
        <v>#REF!</v>
      </c>
      <c r="AC97" s="18" t="e">
        <f>$CP$17*Table29128[[#This Row],[DMD '[mg/g']]]+$CQ$17*Table29128[[#This Row],[CH4 '[g/g DDM']]]</f>
        <v>#REF!</v>
      </c>
      <c r="AD97" s="18" t="e">
        <f>_xlfn.RANK.AVG(Table29128[[#This Row],[Index]],Table29128[Index])</f>
        <v>#REF!</v>
      </c>
      <c r="AE97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97" s="18" t="e">
        <f>Table29128[[#This Row],[CH4 '[ml/g']]]/Table29128[[#This Row],[APB]]</f>
        <v>#REF!</v>
      </c>
      <c r="AG97" s="18" t="e">
        <f>Table29128[[#This Row],[Propionate '[%']]]/Table29128[[#This Row],[Acetate '[%']]]</f>
        <v>#DIV/0!</v>
      </c>
      <c r="AH97" s="51"/>
      <c r="AI97" s="18"/>
      <c r="AJ97" s="18"/>
      <c r="AK97" s="135" t="e">
        <f t="shared" si="6"/>
        <v>#REF!</v>
      </c>
      <c r="AL97" s="18"/>
      <c r="AM97" s="135" t="e">
        <f t="shared" si="7"/>
        <v>#REF!</v>
      </c>
      <c r="AN97" s="18" t="e">
        <f>(Table29128[[#This Row],[CH4 '[g/g DDM']]]-AN$15)/AN$15%</f>
        <v>#REF!</v>
      </c>
      <c r="AO97" s="18"/>
      <c r="AP97" s="18"/>
      <c r="AR97" t="e">
        <f>_xlfn.NORM.DIST(Table29128[[#This Row],[GP '[ml/g']]],O$6,O$2,FALSE)</f>
        <v>#DIV/0!</v>
      </c>
      <c r="AS97" t="e">
        <f>_xlfn.NORM.DIST(Table29128[[#This Row],[SCFA '[mmol/g']]],P$6,P$2,FALSE)</f>
        <v>#DIV/0!</v>
      </c>
      <c r="AT97" t="e">
        <f>_xlfn.NORM.DIST(Table29128[[#This Row],[Acetate '[%']]],Q$6,Q$2,FALSE)</f>
        <v>#DIV/0!</v>
      </c>
      <c r="AU97" t="e">
        <f>_xlfn.NORM.DIST(Table29128[[#This Row],[Propionate '[%']]],R$6,R$2,FALSE)</f>
        <v>#DIV/0!</v>
      </c>
      <c r="AV97" t="e">
        <f>_xlfn.NORM.DIST(Table29128[[#This Row],[Butyrate '[%']]],S$6,S$2,FALSE)</f>
        <v>#DIV/0!</v>
      </c>
      <c r="AW97" t="e">
        <f>_xlfn.NORM.DIST(Table29128[[#This Row],[Valerate '[%']]],T$6,T$2,FALSE)</f>
        <v>#DIV/0!</v>
      </c>
      <c r="AX97" t="e">
        <f>_xlfn.NORM.DIST(Table29128[[#This Row],[Caproate '[%']]],U$6,U$2,FALSE)</f>
        <v>#DIV/0!</v>
      </c>
      <c r="AY97" t="e">
        <f>_xlfn.NORM.DIST(Table29128[[#This Row],[Isobutyrate '[%']]],V$6,V$2,FALSE)</f>
        <v>#DIV/0!</v>
      </c>
      <c r="AZ97" t="e">
        <f>_xlfn.NORM.DIST(Table29128[[#This Row],[Isovalerate '[%']]],W$6,W$2,FALSE)</f>
        <v>#DIV/0!</v>
      </c>
      <c r="BA97" t="e">
        <f>_xlfn.NORM.DIST(Table29128[[#This Row],[CH4 '[g/mmol SCFA']]],X$6,X$2,FALSE)</f>
        <v>#DIV/0!</v>
      </c>
      <c r="BB97" t="e">
        <f>_xlfn.NORM.DIST(Table29128[[#This Row],[DMD '[mg/g']]],Y$6,Y$2,FALSE)</f>
        <v>#REF!</v>
      </c>
      <c r="BC97" t="e">
        <f>_xlfn.NORM.DIST(Table29128[[#This Row],[CH4 '[ml/g']]],Z$6,Z$2,FALSE)</f>
        <v>#REF!</v>
      </c>
      <c r="BD97" t="e">
        <f>_xlfn.NORM.DIST(Table29128[[#This Row],[CH4 '[% GP']]],AA$6,AA$2,FALSE)</f>
        <v>#REF!</v>
      </c>
      <c r="BE97" t="e">
        <f>_xlfn.NORM.DIST(Table29128[[#This Row],[CH4 '[g/g DDM']]],AB$6,AB$2,FALSE)</f>
        <v>#REF!</v>
      </c>
      <c r="BG97">
        <f>IF(Table29128[[#This Row],[GP '[ml/g']]]&lt;O$10,_xlfn.NORM.DIST(Table29128[[#This Row],[GP '[ml/g']]],O$6,O$2,FALSE),-100)</f>
        <v>-100</v>
      </c>
      <c r="BH97">
        <f>IF(Table29128[[#This Row],[SCFA '[mmol/g']]]&lt;P$10,_xlfn.NORM.DIST(Table29128[[#This Row],[SCFA '[mmol/g']]],P$6,P$2,FALSE),-100)</f>
        <v>-100</v>
      </c>
      <c r="BI97">
        <f>IF(Table29128[[#This Row],[Acetate '[%']]]&lt;Q$10,_xlfn.NORM.DIST(Table29128[[#This Row],[Acetate '[%']]],Q$6,Q$2,FALSE),-100)</f>
        <v>-100</v>
      </c>
      <c r="BJ97">
        <f>IF(Table29128[[#This Row],[Propionate '[%']]]&lt;R$10,_xlfn.NORM.DIST(Table29128[[#This Row],[Propionate '[%']]],R$6,R$2,FALSE),-100)</f>
        <v>-100</v>
      </c>
      <c r="BK97">
        <f>IF(Table29128[[#This Row],[Butyrate '[%']]]&lt;S$10,_xlfn.NORM.DIST(Table29128[[#This Row],[Butyrate '[%']]],S$6,S$2,FALSE),-100)</f>
        <v>-100</v>
      </c>
      <c r="BL97">
        <f>IF(Table29128[[#This Row],[Valerate '[%']]]&lt;T$10,_xlfn.NORM.DIST(Table29128[[#This Row],[Valerate '[%']]],T$6,T$2,FALSE),-100)</f>
        <v>-100</v>
      </c>
      <c r="BM97">
        <f>IF(Table29128[[#This Row],[Caproate '[%']]]&lt;U$10,_xlfn.NORM.DIST(Table29128[[#This Row],[Caproate '[%']]],U$6,U$2,FALSE),-100)</f>
        <v>-100</v>
      </c>
      <c r="BN97">
        <f>IF(Table29128[[#This Row],[Isobutyrate '[%']]]&lt;V$10,_xlfn.NORM.DIST(Table29128[[#This Row],[Isobutyrate '[%']]],V$6,V$2,FALSE),-100)</f>
        <v>-100</v>
      </c>
      <c r="BO97">
        <f>IF(Table29128[[#This Row],[Isovalerate '[%']]]&lt;W$10,_xlfn.NORM.DIST(Table29128[[#This Row],[Isovalerate '[%']]],W$6,W$2,FALSE),-100)</f>
        <v>-100</v>
      </c>
      <c r="BP97">
        <f>IF(Table29128[[#This Row],[CH4 '[g/mmol SCFA']]]&lt;X$10,_xlfn.NORM.DIST(Table29128[[#This Row],[CH4 '[g/mmol SCFA']]],X$6,X$2,FALSE),-100)</f>
        <v>-100</v>
      </c>
      <c r="BQ97" t="e">
        <f>IF(Table29128[[#This Row],[DMD '[mg/g']]]&gt;Y$10,_xlfn.NORM.DIST(Table29128[[#This Row],[DMD '[mg/g']]],Y$6,Y$2,FALSE),-100)</f>
        <v>#REF!</v>
      </c>
      <c r="BR97" t="e">
        <f>IF(Table29128[[#This Row],[CH4 '[ml/g']]]&lt;Z$10,_xlfn.NORM.DIST(Table29128[[#This Row],[CH4 '[ml/g']]],Z$6,Z$2,FALSE),-100)</f>
        <v>#REF!</v>
      </c>
      <c r="BS97" t="e">
        <f>IF(Table29128[[#This Row],[CH4 '[% GP']]]&lt;AA$10,_xlfn.NORM.DIST(Table29128[[#This Row],[CH4 '[% GP']]],AA$6,AA$2,FALSE),-100)</f>
        <v>#REF!</v>
      </c>
      <c r="BT97" t="e">
        <f>IF(Table29128[[#This Row],[CH4 '[g/g DDM']]]&lt;AB$10,_xlfn.NORM.DIST(Table29128[[#This Row],[CH4 '[g/g DDM']]],AB$6,AB$2,FALSE),-100)</f>
        <v>#REF!</v>
      </c>
    </row>
    <row r="98" spans="1:72" x14ac:dyDescent="0.25">
      <c r="A98" s="12" t="s">
        <v>200</v>
      </c>
      <c r="B98" s="13">
        <v>1215</v>
      </c>
      <c r="C98" s="113" t="s">
        <v>429</v>
      </c>
      <c r="D98" s="113" t="s">
        <v>391</v>
      </c>
      <c r="E98" s="113" t="s">
        <v>392</v>
      </c>
      <c r="F98" s="113" t="s">
        <v>393</v>
      </c>
      <c r="G98" t="s">
        <v>143</v>
      </c>
      <c r="H98" t="s">
        <v>144</v>
      </c>
      <c r="I98" t="s">
        <v>52</v>
      </c>
      <c r="J98" s="70">
        <v>1</v>
      </c>
      <c r="K98" s="70"/>
      <c r="L98" s="70"/>
      <c r="M98" t="s">
        <v>430</v>
      </c>
      <c r="N98" t="s">
        <v>352</v>
      </c>
      <c r="O98" s="18"/>
      <c r="P98" s="18"/>
      <c r="Q98" s="97"/>
      <c r="R98" s="97"/>
      <c r="S98" s="97"/>
      <c r="T98" s="97"/>
      <c r="U98" s="97"/>
      <c r="V98" s="97"/>
      <c r="W98" s="97"/>
      <c r="X98" s="51"/>
      <c r="Y98" s="18" t="e">
        <f>AVERAGEIFS([1]!Table2912[DMD '[mg/g']],[1]!Table2912[Substrate ID],Table29128[[#This Row],[Substrate ID]])</f>
        <v>#REF!</v>
      </c>
      <c r="Z98" s="18" t="e">
        <f>AVERAGEIFS([1]!Table2912[CH4 '[ml/g']],[1]!Table2912[Substrate ID],Table29128[[#This Row],[Substrate ID]])</f>
        <v>#REF!</v>
      </c>
      <c r="AA98" s="18" t="e">
        <f>AVERAGEIFS([1]!Table2912[CH4 '[% GP']],[1]!Table2912[Substrate ID],Table29128[[#This Row],[Substrate ID]])</f>
        <v>#REF!</v>
      </c>
      <c r="AB98" s="18" t="e">
        <f>AVERAGEIFS([1]!Table2912[CH4 '[g/g DDM']],[1]!Table2912[Substrate ID],Table29128[[#This Row],[Substrate ID]])</f>
        <v>#REF!</v>
      </c>
      <c r="AC98" s="18" t="e">
        <f>$CP$17*Table29128[[#This Row],[DMD '[mg/g']]]+$CQ$17*Table29128[[#This Row],[CH4 '[g/g DDM']]]</f>
        <v>#REF!</v>
      </c>
      <c r="AD98" s="18" t="e">
        <f>_xlfn.RANK.AVG(Table29128[[#This Row],[Index]],Table29128[Index])</f>
        <v>#REF!</v>
      </c>
      <c r="AE98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98" s="18" t="e">
        <f>Table29128[[#This Row],[CH4 '[ml/g']]]/Table29128[[#This Row],[APB]]</f>
        <v>#REF!</v>
      </c>
      <c r="AG98" s="18" t="e">
        <f>Table29128[[#This Row],[Propionate '[%']]]/Table29128[[#This Row],[Acetate '[%']]]</f>
        <v>#DIV/0!</v>
      </c>
      <c r="AH98" s="51"/>
      <c r="AI98" s="18"/>
      <c r="AJ98" s="18"/>
      <c r="AK98" s="135" t="e">
        <f t="shared" si="6"/>
        <v>#REF!</v>
      </c>
      <c r="AL98" s="18"/>
      <c r="AM98" s="135" t="e">
        <f t="shared" si="7"/>
        <v>#REF!</v>
      </c>
      <c r="AN98" s="18" t="e">
        <f>(Table29128[[#This Row],[CH4 '[g/g DDM']]]-AN$15)/AN$15%</f>
        <v>#REF!</v>
      </c>
      <c r="AO98" s="18"/>
      <c r="AP98" s="18"/>
      <c r="AR98" t="e">
        <f>_xlfn.NORM.DIST(Table29128[[#This Row],[GP '[ml/g']]],O$6,O$2,FALSE)</f>
        <v>#DIV/0!</v>
      </c>
      <c r="AS98" t="e">
        <f>_xlfn.NORM.DIST(Table29128[[#This Row],[SCFA '[mmol/g']]],P$6,P$2,FALSE)</f>
        <v>#DIV/0!</v>
      </c>
      <c r="AT98" t="e">
        <f>_xlfn.NORM.DIST(Table29128[[#This Row],[Acetate '[%']]],Q$6,Q$2,FALSE)</f>
        <v>#DIV/0!</v>
      </c>
      <c r="AU98" t="e">
        <f>_xlfn.NORM.DIST(Table29128[[#This Row],[Propionate '[%']]],R$6,R$2,FALSE)</f>
        <v>#DIV/0!</v>
      </c>
      <c r="AV98" t="e">
        <f>_xlfn.NORM.DIST(Table29128[[#This Row],[Butyrate '[%']]],S$6,S$2,FALSE)</f>
        <v>#DIV/0!</v>
      </c>
      <c r="AW98" t="e">
        <f>_xlfn.NORM.DIST(Table29128[[#This Row],[Valerate '[%']]],T$6,T$2,FALSE)</f>
        <v>#DIV/0!</v>
      </c>
      <c r="AX98" t="e">
        <f>_xlfn.NORM.DIST(Table29128[[#This Row],[Caproate '[%']]],U$6,U$2,FALSE)</f>
        <v>#DIV/0!</v>
      </c>
      <c r="AY98" t="e">
        <f>_xlfn.NORM.DIST(Table29128[[#This Row],[Isobutyrate '[%']]],V$6,V$2,FALSE)</f>
        <v>#DIV/0!</v>
      </c>
      <c r="AZ98" t="e">
        <f>_xlfn.NORM.DIST(Table29128[[#This Row],[Isovalerate '[%']]],W$6,W$2,FALSE)</f>
        <v>#DIV/0!</v>
      </c>
      <c r="BA98" t="e">
        <f>_xlfn.NORM.DIST(Table29128[[#This Row],[CH4 '[g/mmol SCFA']]],X$6,X$2,FALSE)</f>
        <v>#DIV/0!</v>
      </c>
      <c r="BB98" t="e">
        <f>_xlfn.NORM.DIST(Table29128[[#This Row],[DMD '[mg/g']]],Y$6,Y$2,FALSE)</f>
        <v>#REF!</v>
      </c>
      <c r="BC98" t="e">
        <f>_xlfn.NORM.DIST(Table29128[[#This Row],[CH4 '[ml/g']]],Z$6,Z$2,FALSE)</f>
        <v>#REF!</v>
      </c>
      <c r="BD98" t="e">
        <f>_xlfn.NORM.DIST(Table29128[[#This Row],[CH4 '[% GP']]],AA$6,AA$2,FALSE)</f>
        <v>#REF!</v>
      </c>
      <c r="BE98" t="e">
        <f>_xlfn.NORM.DIST(Table29128[[#This Row],[CH4 '[g/g DDM']]],AB$6,AB$2,FALSE)</f>
        <v>#REF!</v>
      </c>
      <c r="BG98">
        <f>IF(Table29128[[#This Row],[GP '[ml/g']]]&lt;O$10,_xlfn.NORM.DIST(Table29128[[#This Row],[GP '[ml/g']]],O$6,O$2,FALSE),-100)</f>
        <v>-100</v>
      </c>
      <c r="BH98">
        <f>IF(Table29128[[#This Row],[SCFA '[mmol/g']]]&lt;P$10,_xlfn.NORM.DIST(Table29128[[#This Row],[SCFA '[mmol/g']]],P$6,P$2,FALSE),-100)</f>
        <v>-100</v>
      </c>
      <c r="BI98">
        <f>IF(Table29128[[#This Row],[Acetate '[%']]]&lt;Q$10,_xlfn.NORM.DIST(Table29128[[#This Row],[Acetate '[%']]],Q$6,Q$2,FALSE),-100)</f>
        <v>-100</v>
      </c>
      <c r="BJ98">
        <f>IF(Table29128[[#This Row],[Propionate '[%']]]&lt;R$10,_xlfn.NORM.DIST(Table29128[[#This Row],[Propionate '[%']]],R$6,R$2,FALSE),-100)</f>
        <v>-100</v>
      </c>
      <c r="BK98">
        <f>IF(Table29128[[#This Row],[Butyrate '[%']]]&lt;S$10,_xlfn.NORM.DIST(Table29128[[#This Row],[Butyrate '[%']]],S$6,S$2,FALSE),-100)</f>
        <v>-100</v>
      </c>
      <c r="BL98">
        <f>IF(Table29128[[#This Row],[Valerate '[%']]]&lt;T$10,_xlfn.NORM.DIST(Table29128[[#This Row],[Valerate '[%']]],T$6,T$2,FALSE),-100)</f>
        <v>-100</v>
      </c>
      <c r="BM98">
        <f>IF(Table29128[[#This Row],[Caproate '[%']]]&lt;U$10,_xlfn.NORM.DIST(Table29128[[#This Row],[Caproate '[%']]],U$6,U$2,FALSE),-100)</f>
        <v>-100</v>
      </c>
      <c r="BN98">
        <f>IF(Table29128[[#This Row],[Isobutyrate '[%']]]&lt;V$10,_xlfn.NORM.DIST(Table29128[[#This Row],[Isobutyrate '[%']]],V$6,V$2,FALSE),-100)</f>
        <v>-100</v>
      </c>
      <c r="BO98">
        <f>IF(Table29128[[#This Row],[Isovalerate '[%']]]&lt;W$10,_xlfn.NORM.DIST(Table29128[[#This Row],[Isovalerate '[%']]],W$6,W$2,FALSE),-100)</f>
        <v>-100</v>
      </c>
      <c r="BP98">
        <f>IF(Table29128[[#This Row],[CH4 '[g/mmol SCFA']]]&lt;X$10,_xlfn.NORM.DIST(Table29128[[#This Row],[CH4 '[g/mmol SCFA']]],X$6,X$2,FALSE),-100)</f>
        <v>-100</v>
      </c>
      <c r="BQ98" t="e">
        <f>IF(Table29128[[#This Row],[DMD '[mg/g']]]&gt;Y$10,_xlfn.NORM.DIST(Table29128[[#This Row],[DMD '[mg/g']]],Y$6,Y$2,FALSE),-100)</f>
        <v>#REF!</v>
      </c>
      <c r="BR98" t="e">
        <f>IF(Table29128[[#This Row],[CH4 '[ml/g']]]&lt;Z$10,_xlfn.NORM.DIST(Table29128[[#This Row],[CH4 '[ml/g']]],Z$6,Z$2,FALSE),-100)</f>
        <v>#REF!</v>
      </c>
      <c r="BS98" t="e">
        <f>IF(Table29128[[#This Row],[CH4 '[% GP']]]&lt;AA$10,_xlfn.NORM.DIST(Table29128[[#This Row],[CH4 '[% GP']]],AA$6,AA$2,FALSE),-100)</f>
        <v>#REF!</v>
      </c>
      <c r="BT98" t="e">
        <f>IF(Table29128[[#This Row],[CH4 '[g/g DDM']]]&lt;AB$10,_xlfn.NORM.DIST(Table29128[[#This Row],[CH4 '[g/g DDM']]],AB$6,AB$2,FALSE),-100)</f>
        <v>#REF!</v>
      </c>
    </row>
    <row r="99" spans="1:72" x14ac:dyDescent="0.25">
      <c r="A99" s="12" t="s">
        <v>200</v>
      </c>
      <c r="B99" s="13">
        <v>1214</v>
      </c>
      <c r="C99" s="113" t="s">
        <v>532</v>
      </c>
      <c r="D99" s="113" t="s">
        <v>391</v>
      </c>
      <c r="E99" s="113" t="s">
        <v>392</v>
      </c>
      <c r="F99" s="113" t="s">
        <v>393</v>
      </c>
      <c r="G99" t="s">
        <v>143</v>
      </c>
      <c r="H99" t="s">
        <v>144</v>
      </c>
      <c r="I99" t="s">
        <v>52</v>
      </c>
      <c r="J99" s="70">
        <v>1</v>
      </c>
      <c r="K99" s="70"/>
      <c r="L99" s="70"/>
      <c r="M99" t="s">
        <v>533</v>
      </c>
      <c r="N99" t="s">
        <v>237</v>
      </c>
      <c r="O99" s="18"/>
      <c r="P99" s="18"/>
      <c r="Q99" s="97"/>
      <c r="R99" s="97"/>
      <c r="S99" s="97"/>
      <c r="T99" s="97"/>
      <c r="U99" s="97"/>
      <c r="V99" s="97"/>
      <c r="W99" s="97"/>
      <c r="X99" s="51"/>
      <c r="Y99" s="18" t="e">
        <f>AVERAGEIFS([1]!Table2912[DMD '[mg/g']],[1]!Table2912[Substrate ID],Table29128[[#This Row],[Substrate ID]])</f>
        <v>#REF!</v>
      </c>
      <c r="Z99" s="18" t="e">
        <f>AVERAGEIFS([1]!Table2912[CH4 '[ml/g']],[1]!Table2912[Substrate ID],Table29128[[#This Row],[Substrate ID]])</f>
        <v>#REF!</v>
      </c>
      <c r="AA99" s="18" t="e">
        <f>AVERAGEIFS([1]!Table2912[CH4 '[% GP']],[1]!Table2912[Substrate ID],Table29128[[#This Row],[Substrate ID]])</f>
        <v>#REF!</v>
      </c>
      <c r="AB99" s="18" t="e">
        <f>AVERAGEIFS([1]!Table2912[CH4 '[g/g DDM']],[1]!Table2912[Substrate ID],Table29128[[#This Row],[Substrate ID]])</f>
        <v>#REF!</v>
      </c>
      <c r="AC99" s="18" t="e">
        <f>$CP$17*Table29128[[#This Row],[DMD '[mg/g']]]+$CQ$17*Table29128[[#This Row],[CH4 '[g/g DDM']]]</f>
        <v>#REF!</v>
      </c>
      <c r="AD99" s="18" t="e">
        <f>_xlfn.RANK.AVG(Table29128[[#This Row],[Index]],Table29128[Index])</f>
        <v>#REF!</v>
      </c>
      <c r="AE99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99" s="18" t="e">
        <f>Table29128[[#This Row],[CH4 '[ml/g']]]/Table29128[[#This Row],[APB]]</f>
        <v>#REF!</v>
      </c>
      <c r="AG99" s="18" t="e">
        <f>Table29128[[#This Row],[Propionate '[%']]]/Table29128[[#This Row],[Acetate '[%']]]</f>
        <v>#DIV/0!</v>
      </c>
      <c r="AH99" s="51"/>
      <c r="AI99" s="18"/>
      <c r="AJ99" s="18"/>
      <c r="AK99" s="135" t="e">
        <f t="shared" si="6"/>
        <v>#REF!</v>
      </c>
      <c r="AL99" s="18"/>
      <c r="AM99" s="135" t="e">
        <f t="shared" si="7"/>
        <v>#REF!</v>
      </c>
      <c r="AN99" s="18" t="e">
        <f>(Table29128[[#This Row],[CH4 '[g/g DDM']]]-AN$15)/AN$15%</f>
        <v>#REF!</v>
      </c>
      <c r="AO99" s="18"/>
      <c r="AP99" s="18"/>
      <c r="AR99" t="e">
        <f>_xlfn.NORM.DIST(Table29128[[#This Row],[GP '[ml/g']]],O$6,O$2,FALSE)</f>
        <v>#DIV/0!</v>
      </c>
      <c r="AS99" t="e">
        <f>_xlfn.NORM.DIST(Table29128[[#This Row],[SCFA '[mmol/g']]],P$6,P$2,FALSE)</f>
        <v>#DIV/0!</v>
      </c>
      <c r="AT99" t="e">
        <f>_xlfn.NORM.DIST(Table29128[[#This Row],[Acetate '[%']]],Q$6,Q$2,FALSE)</f>
        <v>#DIV/0!</v>
      </c>
      <c r="AU99" t="e">
        <f>_xlfn.NORM.DIST(Table29128[[#This Row],[Propionate '[%']]],R$6,R$2,FALSE)</f>
        <v>#DIV/0!</v>
      </c>
      <c r="AV99" t="e">
        <f>_xlfn.NORM.DIST(Table29128[[#This Row],[Butyrate '[%']]],S$6,S$2,FALSE)</f>
        <v>#DIV/0!</v>
      </c>
      <c r="AW99" t="e">
        <f>_xlfn.NORM.DIST(Table29128[[#This Row],[Valerate '[%']]],T$6,T$2,FALSE)</f>
        <v>#DIV/0!</v>
      </c>
      <c r="AX99" t="e">
        <f>_xlfn.NORM.DIST(Table29128[[#This Row],[Caproate '[%']]],U$6,U$2,FALSE)</f>
        <v>#DIV/0!</v>
      </c>
      <c r="AY99" t="e">
        <f>_xlfn.NORM.DIST(Table29128[[#This Row],[Isobutyrate '[%']]],V$6,V$2,FALSE)</f>
        <v>#DIV/0!</v>
      </c>
      <c r="AZ99" t="e">
        <f>_xlfn.NORM.DIST(Table29128[[#This Row],[Isovalerate '[%']]],W$6,W$2,FALSE)</f>
        <v>#DIV/0!</v>
      </c>
      <c r="BA99" t="e">
        <f>_xlfn.NORM.DIST(Table29128[[#This Row],[CH4 '[g/mmol SCFA']]],X$6,X$2,FALSE)</f>
        <v>#DIV/0!</v>
      </c>
      <c r="BB99" t="e">
        <f>_xlfn.NORM.DIST(Table29128[[#This Row],[DMD '[mg/g']]],Y$6,Y$2,FALSE)</f>
        <v>#REF!</v>
      </c>
      <c r="BC99" t="e">
        <f>_xlfn.NORM.DIST(Table29128[[#This Row],[CH4 '[ml/g']]],Z$6,Z$2,FALSE)</f>
        <v>#REF!</v>
      </c>
      <c r="BD99" t="e">
        <f>_xlfn.NORM.DIST(Table29128[[#This Row],[CH4 '[% GP']]],AA$6,AA$2,FALSE)</f>
        <v>#REF!</v>
      </c>
      <c r="BE99" t="e">
        <f>_xlfn.NORM.DIST(Table29128[[#This Row],[CH4 '[g/g DDM']]],AB$6,AB$2,FALSE)</f>
        <v>#REF!</v>
      </c>
      <c r="BG99">
        <f>IF(Table29128[[#This Row],[GP '[ml/g']]]&lt;O$10,_xlfn.NORM.DIST(Table29128[[#This Row],[GP '[ml/g']]],O$6,O$2,FALSE),-100)</f>
        <v>-100</v>
      </c>
      <c r="BH99">
        <f>IF(Table29128[[#This Row],[SCFA '[mmol/g']]]&lt;P$10,_xlfn.NORM.DIST(Table29128[[#This Row],[SCFA '[mmol/g']]],P$6,P$2,FALSE),-100)</f>
        <v>-100</v>
      </c>
      <c r="BI99">
        <f>IF(Table29128[[#This Row],[Acetate '[%']]]&lt;Q$10,_xlfn.NORM.DIST(Table29128[[#This Row],[Acetate '[%']]],Q$6,Q$2,FALSE),-100)</f>
        <v>-100</v>
      </c>
      <c r="BJ99">
        <f>IF(Table29128[[#This Row],[Propionate '[%']]]&lt;R$10,_xlfn.NORM.DIST(Table29128[[#This Row],[Propionate '[%']]],R$6,R$2,FALSE),-100)</f>
        <v>-100</v>
      </c>
      <c r="BK99">
        <f>IF(Table29128[[#This Row],[Butyrate '[%']]]&lt;S$10,_xlfn.NORM.DIST(Table29128[[#This Row],[Butyrate '[%']]],S$6,S$2,FALSE),-100)</f>
        <v>-100</v>
      </c>
      <c r="BL99">
        <f>IF(Table29128[[#This Row],[Valerate '[%']]]&lt;T$10,_xlfn.NORM.DIST(Table29128[[#This Row],[Valerate '[%']]],T$6,T$2,FALSE),-100)</f>
        <v>-100</v>
      </c>
      <c r="BM99">
        <f>IF(Table29128[[#This Row],[Caproate '[%']]]&lt;U$10,_xlfn.NORM.DIST(Table29128[[#This Row],[Caproate '[%']]],U$6,U$2,FALSE),-100)</f>
        <v>-100</v>
      </c>
      <c r="BN99">
        <f>IF(Table29128[[#This Row],[Isobutyrate '[%']]]&lt;V$10,_xlfn.NORM.DIST(Table29128[[#This Row],[Isobutyrate '[%']]],V$6,V$2,FALSE),-100)</f>
        <v>-100</v>
      </c>
      <c r="BO99">
        <f>IF(Table29128[[#This Row],[Isovalerate '[%']]]&lt;W$10,_xlfn.NORM.DIST(Table29128[[#This Row],[Isovalerate '[%']]],W$6,W$2,FALSE),-100)</f>
        <v>-100</v>
      </c>
      <c r="BP99">
        <f>IF(Table29128[[#This Row],[CH4 '[g/mmol SCFA']]]&lt;X$10,_xlfn.NORM.DIST(Table29128[[#This Row],[CH4 '[g/mmol SCFA']]],X$6,X$2,FALSE),-100)</f>
        <v>-100</v>
      </c>
      <c r="BQ99" t="e">
        <f>IF(Table29128[[#This Row],[DMD '[mg/g']]]&gt;Y$10,_xlfn.NORM.DIST(Table29128[[#This Row],[DMD '[mg/g']]],Y$6,Y$2,FALSE),-100)</f>
        <v>#REF!</v>
      </c>
      <c r="BR99" t="e">
        <f>IF(Table29128[[#This Row],[CH4 '[ml/g']]]&lt;Z$10,_xlfn.NORM.DIST(Table29128[[#This Row],[CH4 '[ml/g']]],Z$6,Z$2,FALSE),-100)</f>
        <v>#REF!</v>
      </c>
      <c r="BS99" t="e">
        <f>IF(Table29128[[#This Row],[CH4 '[% GP']]]&lt;AA$10,_xlfn.NORM.DIST(Table29128[[#This Row],[CH4 '[% GP']]],AA$6,AA$2,FALSE),-100)</f>
        <v>#REF!</v>
      </c>
      <c r="BT99" t="e">
        <f>IF(Table29128[[#This Row],[CH4 '[g/g DDM']]]&lt;AB$10,_xlfn.NORM.DIST(Table29128[[#This Row],[CH4 '[g/g DDM']]],AB$6,AB$2,FALSE),-100)</f>
        <v>#REF!</v>
      </c>
    </row>
    <row r="100" spans="1:72" ht="16.5" customHeight="1" x14ac:dyDescent="0.25">
      <c r="A100" s="12" t="s">
        <v>200</v>
      </c>
      <c r="B100" s="13">
        <v>1210</v>
      </c>
      <c r="C100" s="113" t="s">
        <v>414</v>
      </c>
      <c r="D100" s="113" t="s">
        <v>391</v>
      </c>
      <c r="E100" s="113" t="s">
        <v>392</v>
      </c>
      <c r="F100" s="113" t="s">
        <v>393</v>
      </c>
      <c r="G100" s="15" t="s">
        <v>143</v>
      </c>
      <c r="H100" s="15" t="s">
        <v>144</v>
      </c>
      <c r="I100" t="s">
        <v>52</v>
      </c>
      <c r="J100" s="70">
        <v>1</v>
      </c>
      <c r="K100" s="70"/>
      <c r="L100" s="70"/>
      <c r="M100" t="s">
        <v>415</v>
      </c>
      <c r="N100" t="s">
        <v>352</v>
      </c>
      <c r="O100" s="18"/>
      <c r="P100" s="18"/>
      <c r="Q100" s="97"/>
      <c r="R100" s="97"/>
      <c r="S100" s="97"/>
      <c r="T100" s="97"/>
      <c r="U100" s="97"/>
      <c r="V100" s="97"/>
      <c r="W100" s="97"/>
      <c r="X100" s="51"/>
      <c r="Y100" s="18" t="e">
        <f>AVERAGEIFS([1]!Table2912[DMD '[mg/g']],[1]!Table2912[Substrate ID],Table29128[[#This Row],[Substrate ID]])</f>
        <v>#REF!</v>
      </c>
      <c r="Z100" s="18" t="e">
        <f>AVERAGEIFS([1]!Table2912[CH4 '[ml/g']],[1]!Table2912[Substrate ID],Table29128[[#This Row],[Substrate ID]])</f>
        <v>#REF!</v>
      </c>
      <c r="AA100" s="18" t="e">
        <f>AVERAGEIFS([1]!Table2912[CH4 '[% GP']],[1]!Table2912[Substrate ID],Table29128[[#This Row],[Substrate ID]])</f>
        <v>#REF!</v>
      </c>
      <c r="AB100" s="18" t="e">
        <f>AVERAGEIFS([1]!Table2912[CH4 '[g/g DDM']],[1]!Table2912[Substrate ID],Table29128[[#This Row],[Substrate ID]])</f>
        <v>#REF!</v>
      </c>
      <c r="AC100" s="18" t="e">
        <f>$CP$17*Table29128[[#This Row],[DMD '[mg/g']]]+$CQ$17*Table29128[[#This Row],[CH4 '[g/g DDM']]]</f>
        <v>#REF!</v>
      </c>
      <c r="AD100" s="18" t="e">
        <f>_xlfn.RANK.AVG(Table29128[[#This Row],[Index]],Table29128[Index])</f>
        <v>#REF!</v>
      </c>
      <c r="AE100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00" s="18" t="e">
        <f>Table29128[[#This Row],[CH4 '[ml/g']]]/Table29128[[#This Row],[APB]]</f>
        <v>#REF!</v>
      </c>
      <c r="AG100" s="18" t="e">
        <f>Table29128[[#This Row],[Propionate '[%']]]/Table29128[[#This Row],[Acetate '[%']]]</f>
        <v>#DIV/0!</v>
      </c>
      <c r="AH100" s="51"/>
      <c r="AI100" s="18"/>
      <c r="AJ100" s="18"/>
      <c r="AK100" s="135" t="e">
        <f t="shared" si="6"/>
        <v>#REF!</v>
      </c>
      <c r="AL100" s="18"/>
      <c r="AM100" s="135" t="e">
        <f t="shared" si="7"/>
        <v>#REF!</v>
      </c>
      <c r="AN100" s="18" t="e">
        <f>(Table29128[[#This Row],[CH4 '[g/g DDM']]]-AN$15)/AN$15%</f>
        <v>#REF!</v>
      </c>
      <c r="AO100" s="18"/>
      <c r="AP100" s="18"/>
      <c r="AR100" t="e">
        <f>_xlfn.NORM.DIST(Table29128[[#This Row],[GP '[ml/g']]],O$6,O$2,FALSE)</f>
        <v>#DIV/0!</v>
      </c>
      <c r="AS100" t="e">
        <f>_xlfn.NORM.DIST(Table29128[[#This Row],[SCFA '[mmol/g']]],P$6,P$2,FALSE)</f>
        <v>#DIV/0!</v>
      </c>
      <c r="AT100" t="e">
        <f>_xlfn.NORM.DIST(Table29128[[#This Row],[Acetate '[%']]],Q$6,Q$2,FALSE)</f>
        <v>#DIV/0!</v>
      </c>
      <c r="AU100" t="e">
        <f>_xlfn.NORM.DIST(Table29128[[#This Row],[Propionate '[%']]],R$6,R$2,FALSE)</f>
        <v>#DIV/0!</v>
      </c>
      <c r="AV100" t="e">
        <f>_xlfn.NORM.DIST(Table29128[[#This Row],[Butyrate '[%']]],S$6,S$2,FALSE)</f>
        <v>#DIV/0!</v>
      </c>
      <c r="AW100" t="e">
        <f>_xlfn.NORM.DIST(Table29128[[#This Row],[Valerate '[%']]],T$6,T$2,FALSE)</f>
        <v>#DIV/0!</v>
      </c>
      <c r="AX100" t="e">
        <f>_xlfn.NORM.DIST(Table29128[[#This Row],[Caproate '[%']]],U$6,U$2,FALSE)</f>
        <v>#DIV/0!</v>
      </c>
      <c r="AY100" t="e">
        <f>_xlfn.NORM.DIST(Table29128[[#This Row],[Isobutyrate '[%']]],V$6,V$2,FALSE)</f>
        <v>#DIV/0!</v>
      </c>
      <c r="AZ100" t="e">
        <f>_xlfn.NORM.DIST(Table29128[[#This Row],[Isovalerate '[%']]],W$6,W$2,FALSE)</f>
        <v>#DIV/0!</v>
      </c>
      <c r="BA100" t="e">
        <f>_xlfn.NORM.DIST(Table29128[[#This Row],[CH4 '[g/mmol SCFA']]],X$6,X$2,FALSE)</f>
        <v>#DIV/0!</v>
      </c>
      <c r="BB100" t="e">
        <f>_xlfn.NORM.DIST(Table29128[[#This Row],[DMD '[mg/g']]],Y$6,Y$2,FALSE)</f>
        <v>#REF!</v>
      </c>
      <c r="BC100" t="e">
        <f>_xlfn.NORM.DIST(Table29128[[#This Row],[CH4 '[ml/g']]],Z$6,Z$2,FALSE)</f>
        <v>#REF!</v>
      </c>
      <c r="BD100" t="e">
        <f>_xlfn.NORM.DIST(Table29128[[#This Row],[CH4 '[% GP']]],AA$6,AA$2,FALSE)</f>
        <v>#REF!</v>
      </c>
      <c r="BE100" t="e">
        <f>_xlfn.NORM.DIST(Table29128[[#This Row],[CH4 '[g/g DDM']]],AB$6,AB$2,FALSE)</f>
        <v>#REF!</v>
      </c>
      <c r="BG100">
        <f>IF(Table29128[[#This Row],[GP '[ml/g']]]&lt;O$10,_xlfn.NORM.DIST(Table29128[[#This Row],[GP '[ml/g']]],O$6,O$2,FALSE),-100)</f>
        <v>-100</v>
      </c>
      <c r="BH100">
        <f>IF(Table29128[[#This Row],[SCFA '[mmol/g']]]&lt;P$10,_xlfn.NORM.DIST(Table29128[[#This Row],[SCFA '[mmol/g']]],P$6,P$2,FALSE),-100)</f>
        <v>-100</v>
      </c>
      <c r="BI100">
        <f>IF(Table29128[[#This Row],[Acetate '[%']]]&lt;Q$10,_xlfn.NORM.DIST(Table29128[[#This Row],[Acetate '[%']]],Q$6,Q$2,FALSE),-100)</f>
        <v>-100</v>
      </c>
      <c r="BJ100">
        <f>IF(Table29128[[#This Row],[Propionate '[%']]]&lt;R$10,_xlfn.NORM.DIST(Table29128[[#This Row],[Propionate '[%']]],R$6,R$2,FALSE),-100)</f>
        <v>-100</v>
      </c>
      <c r="BK100">
        <f>IF(Table29128[[#This Row],[Butyrate '[%']]]&lt;S$10,_xlfn.NORM.DIST(Table29128[[#This Row],[Butyrate '[%']]],S$6,S$2,FALSE),-100)</f>
        <v>-100</v>
      </c>
      <c r="BL100">
        <f>IF(Table29128[[#This Row],[Valerate '[%']]]&lt;T$10,_xlfn.NORM.DIST(Table29128[[#This Row],[Valerate '[%']]],T$6,T$2,FALSE),-100)</f>
        <v>-100</v>
      </c>
      <c r="BM100">
        <f>IF(Table29128[[#This Row],[Caproate '[%']]]&lt;U$10,_xlfn.NORM.DIST(Table29128[[#This Row],[Caproate '[%']]],U$6,U$2,FALSE),-100)</f>
        <v>-100</v>
      </c>
      <c r="BN100">
        <f>IF(Table29128[[#This Row],[Isobutyrate '[%']]]&lt;V$10,_xlfn.NORM.DIST(Table29128[[#This Row],[Isobutyrate '[%']]],V$6,V$2,FALSE),-100)</f>
        <v>-100</v>
      </c>
      <c r="BO100">
        <f>IF(Table29128[[#This Row],[Isovalerate '[%']]]&lt;W$10,_xlfn.NORM.DIST(Table29128[[#This Row],[Isovalerate '[%']]],W$6,W$2,FALSE),-100)</f>
        <v>-100</v>
      </c>
      <c r="BP100">
        <f>IF(Table29128[[#This Row],[CH4 '[g/mmol SCFA']]]&lt;X$10,_xlfn.NORM.DIST(Table29128[[#This Row],[CH4 '[g/mmol SCFA']]],X$6,X$2,FALSE),-100)</f>
        <v>-100</v>
      </c>
      <c r="BQ100" t="e">
        <f>IF(Table29128[[#This Row],[DMD '[mg/g']]]&gt;Y$10,_xlfn.NORM.DIST(Table29128[[#This Row],[DMD '[mg/g']]],Y$6,Y$2,FALSE),-100)</f>
        <v>#REF!</v>
      </c>
      <c r="BR100" t="e">
        <f>IF(Table29128[[#This Row],[CH4 '[ml/g']]]&lt;Z$10,_xlfn.NORM.DIST(Table29128[[#This Row],[CH4 '[ml/g']]],Z$6,Z$2,FALSE),-100)</f>
        <v>#REF!</v>
      </c>
      <c r="BS100" t="e">
        <f>IF(Table29128[[#This Row],[CH4 '[% GP']]]&lt;AA$10,_xlfn.NORM.DIST(Table29128[[#This Row],[CH4 '[% GP']]],AA$6,AA$2,FALSE),-100)</f>
        <v>#REF!</v>
      </c>
      <c r="BT100" t="e">
        <f>IF(Table29128[[#This Row],[CH4 '[g/g DDM']]]&lt;AB$10,_xlfn.NORM.DIST(Table29128[[#This Row],[CH4 '[g/g DDM']]],AB$6,AB$2,FALSE),-100)</f>
        <v>#REF!</v>
      </c>
    </row>
    <row r="101" spans="1:72" x14ac:dyDescent="0.25">
      <c r="A101" s="12" t="s">
        <v>200</v>
      </c>
      <c r="B101" s="13">
        <v>1211</v>
      </c>
      <c r="C101" s="113" t="s">
        <v>460</v>
      </c>
      <c r="D101" s="113" t="s">
        <v>391</v>
      </c>
      <c r="E101" s="113" t="s">
        <v>392</v>
      </c>
      <c r="F101" s="113" t="s">
        <v>393</v>
      </c>
      <c r="G101" s="15" t="s">
        <v>143</v>
      </c>
      <c r="H101" s="15" t="s">
        <v>144</v>
      </c>
      <c r="I101" t="s">
        <v>52</v>
      </c>
      <c r="J101" s="70">
        <v>1</v>
      </c>
      <c r="K101" s="70"/>
      <c r="L101" s="70"/>
      <c r="M101" t="s">
        <v>461</v>
      </c>
      <c r="N101" t="s">
        <v>237</v>
      </c>
      <c r="O101" s="18"/>
      <c r="P101" s="18"/>
      <c r="Q101" s="97"/>
      <c r="R101" s="97"/>
      <c r="S101" s="97"/>
      <c r="T101" s="97"/>
      <c r="U101" s="97"/>
      <c r="V101" s="97"/>
      <c r="W101" s="97"/>
      <c r="X101" s="51"/>
      <c r="Y101" s="18" t="e">
        <f>AVERAGEIFS([1]!Table2912[DMD '[mg/g']],[1]!Table2912[Substrate ID],Table29128[[#This Row],[Substrate ID]])</f>
        <v>#REF!</v>
      </c>
      <c r="Z101" s="18" t="e">
        <f>AVERAGEIFS([1]!Table2912[CH4 '[ml/g']],[1]!Table2912[Substrate ID],Table29128[[#This Row],[Substrate ID]])</f>
        <v>#REF!</v>
      </c>
      <c r="AA101" s="18" t="e">
        <f>AVERAGEIFS([1]!Table2912[CH4 '[% GP']],[1]!Table2912[Substrate ID],Table29128[[#This Row],[Substrate ID]])</f>
        <v>#REF!</v>
      </c>
      <c r="AB101" s="18" t="e">
        <f>AVERAGEIFS([1]!Table2912[CH4 '[g/g DDM']],[1]!Table2912[Substrate ID],Table29128[[#This Row],[Substrate ID]])</f>
        <v>#REF!</v>
      </c>
      <c r="AC101" s="18" t="e">
        <f>$CP$17*Table29128[[#This Row],[DMD '[mg/g']]]+$CQ$17*Table29128[[#This Row],[CH4 '[g/g DDM']]]</f>
        <v>#REF!</v>
      </c>
      <c r="AD101" s="18" t="e">
        <f>_xlfn.RANK.AVG(Table29128[[#This Row],[Index]],Table29128[Index])</f>
        <v>#REF!</v>
      </c>
      <c r="AE101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01" s="18" t="e">
        <f>Table29128[[#This Row],[CH4 '[ml/g']]]/Table29128[[#This Row],[APB]]</f>
        <v>#REF!</v>
      </c>
      <c r="AG101" s="18" t="e">
        <f>Table29128[[#This Row],[Propionate '[%']]]/Table29128[[#This Row],[Acetate '[%']]]</f>
        <v>#DIV/0!</v>
      </c>
      <c r="AH101" s="51"/>
      <c r="AI101" s="18"/>
      <c r="AJ101" s="18"/>
      <c r="AK101" s="135" t="e">
        <f t="shared" si="6"/>
        <v>#REF!</v>
      </c>
      <c r="AL101" s="18"/>
      <c r="AM101" s="135" t="e">
        <f t="shared" si="7"/>
        <v>#REF!</v>
      </c>
      <c r="AN101" s="18" t="e">
        <f>(Table29128[[#This Row],[CH4 '[g/g DDM']]]-AN$15)/AN$15%</f>
        <v>#REF!</v>
      </c>
      <c r="AO101" s="18"/>
      <c r="AP101" s="18"/>
      <c r="AR101" t="e">
        <f>_xlfn.NORM.DIST(Table29128[[#This Row],[GP '[ml/g']]],O$6,O$2,FALSE)</f>
        <v>#DIV/0!</v>
      </c>
      <c r="AS101" t="e">
        <f>_xlfn.NORM.DIST(Table29128[[#This Row],[SCFA '[mmol/g']]],P$6,P$2,FALSE)</f>
        <v>#DIV/0!</v>
      </c>
      <c r="AT101" t="e">
        <f>_xlfn.NORM.DIST(Table29128[[#This Row],[Acetate '[%']]],Q$6,Q$2,FALSE)</f>
        <v>#DIV/0!</v>
      </c>
      <c r="AU101" t="e">
        <f>_xlfn.NORM.DIST(Table29128[[#This Row],[Propionate '[%']]],R$6,R$2,FALSE)</f>
        <v>#DIV/0!</v>
      </c>
      <c r="AV101" t="e">
        <f>_xlfn.NORM.DIST(Table29128[[#This Row],[Butyrate '[%']]],S$6,S$2,FALSE)</f>
        <v>#DIV/0!</v>
      </c>
      <c r="AW101" t="e">
        <f>_xlfn.NORM.DIST(Table29128[[#This Row],[Valerate '[%']]],T$6,T$2,FALSE)</f>
        <v>#DIV/0!</v>
      </c>
      <c r="AX101" t="e">
        <f>_xlfn.NORM.DIST(Table29128[[#This Row],[Caproate '[%']]],U$6,U$2,FALSE)</f>
        <v>#DIV/0!</v>
      </c>
      <c r="AY101" t="e">
        <f>_xlfn.NORM.DIST(Table29128[[#This Row],[Isobutyrate '[%']]],V$6,V$2,FALSE)</f>
        <v>#DIV/0!</v>
      </c>
      <c r="AZ101" t="e">
        <f>_xlfn.NORM.DIST(Table29128[[#This Row],[Isovalerate '[%']]],W$6,W$2,FALSE)</f>
        <v>#DIV/0!</v>
      </c>
      <c r="BA101" t="e">
        <f>_xlfn.NORM.DIST(Table29128[[#This Row],[CH4 '[g/mmol SCFA']]],X$6,X$2,FALSE)</f>
        <v>#DIV/0!</v>
      </c>
      <c r="BB101" t="e">
        <f>_xlfn.NORM.DIST(Table29128[[#This Row],[DMD '[mg/g']]],Y$6,Y$2,FALSE)</f>
        <v>#REF!</v>
      </c>
      <c r="BC101" t="e">
        <f>_xlfn.NORM.DIST(Table29128[[#This Row],[CH4 '[ml/g']]],Z$6,Z$2,FALSE)</f>
        <v>#REF!</v>
      </c>
      <c r="BD101" t="e">
        <f>_xlfn.NORM.DIST(Table29128[[#This Row],[CH4 '[% GP']]],AA$6,AA$2,FALSE)</f>
        <v>#REF!</v>
      </c>
      <c r="BE101" t="e">
        <f>_xlfn.NORM.DIST(Table29128[[#This Row],[CH4 '[g/g DDM']]],AB$6,AB$2,FALSE)</f>
        <v>#REF!</v>
      </c>
      <c r="BG101">
        <f>IF(Table29128[[#This Row],[GP '[ml/g']]]&lt;O$10,_xlfn.NORM.DIST(Table29128[[#This Row],[GP '[ml/g']]],O$6,O$2,FALSE),-100)</f>
        <v>-100</v>
      </c>
      <c r="BH101">
        <f>IF(Table29128[[#This Row],[SCFA '[mmol/g']]]&lt;P$10,_xlfn.NORM.DIST(Table29128[[#This Row],[SCFA '[mmol/g']]],P$6,P$2,FALSE),-100)</f>
        <v>-100</v>
      </c>
      <c r="BI101">
        <f>IF(Table29128[[#This Row],[Acetate '[%']]]&lt;Q$10,_xlfn.NORM.DIST(Table29128[[#This Row],[Acetate '[%']]],Q$6,Q$2,FALSE),-100)</f>
        <v>-100</v>
      </c>
      <c r="BJ101">
        <f>IF(Table29128[[#This Row],[Propionate '[%']]]&lt;R$10,_xlfn.NORM.DIST(Table29128[[#This Row],[Propionate '[%']]],R$6,R$2,FALSE),-100)</f>
        <v>-100</v>
      </c>
      <c r="BK101">
        <f>IF(Table29128[[#This Row],[Butyrate '[%']]]&lt;S$10,_xlfn.NORM.DIST(Table29128[[#This Row],[Butyrate '[%']]],S$6,S$2,FALSE),-100)</f>
        <v>-100</v>
      </c>
      <c r="BL101">
        <f>IF(Table29128[[#This Row],[Valerate '[%']]]&lt;T$10,_xlfn.NORM.DIST(Table29128[[#This Row],[Valerate '[%']]],T$6,T$2,FALSE),-100)</f>
        <v>-100</v>
      </c>
      <c r="BM101">
        <f>IF(Table29128[[#This Row],[Caproate '[%']]]&lt;U$10,_xlfn.NORM.DIST(Table29128[[#This Row],[Caproate '[%']]],U$6,U$2,FALSE),-100)</f>
        <v>-100</v>
      </c>
      <c r="BN101">
        <f>IF(Table29128[[#This Row],[Isobutyrate '[%']]]&lt;V$10,_xlfn.NORM.DIST(Table29128[[#This Row],[Isobutyrate '[%']]],V$6,V$2,FALSE),-100)</f>
        <v>-100</v>
      </c>
      <c r="BO101">
        <f>IF(Table29128[[#This Row],[Isovalerate '[%']]]&lt;W$10,_xlfn.NORM.DIST(Table29128[[#This Row],[Isovalerate '[%']]],W$6,W$2,FALSE),-100)</f>
        <v>-100</v>
      </c>
      <c r="BP101">
        <f>IF(Table29128[[#This Row],[CH4 '[g/mmol SCFA']]]&lt;X$10,_xlfn.NORM.DIST(Table29128[[#This Row],[CH4 '[g/mmol SCFA']]],X$6,X$2,FALSE),-100)</f>
        <v>-100</v>
      </c>
      <c r="BQ101" t="e">
        <f>IF(Table29128[[#This Row],[DMD '[mg/g']]]&gt;Y$10,_xlfn.NORM.DIST(Table29128[[#This Row],[DMD '[mg/g']]],Y$6,Y$2,FALSE),-100)</f>
        <v>#REF!</v>
      </c>
      <c r="BR101" t="e">
        <f>IF(Table29128[[#This Row],[CH4 '[ml/g']]]&lt;Z$10,_xlfn.NORM.DIST(Table29128[[#This Row],[CH4 '[ml/g']]],Z$6,Z$2,FALSE),-100)</f>
        <v>#REF!</v>
      </c>
      <c r="BS101" t="e">
        <f>IF(Table29128[[#This Row],[CH4 '[% GP']]]&lt;AA$10,_xlfn.NORM.DIST(Table29128[[#This Row],[CH4 '[% GP']]],AA$6,AA$2,FALSE),-100)</f>
        <v>#REF!</v>
      </c>
      <c r="BT101" t="e">
        <f>IF(Table29128[[#This Row],[CH4 '[g/g DDM']]]&lt;AB$10,_xlfn.NORM.DIST(Table29128[[#This Row],[CH4 '[g/g DDM']]],AB$6,AB$2,FALSE),-100)</f>
        <v>#REF!</v>
      </c>
    </row>
    <row r="102" spans="1:72" x14ac:dyDescent="0.25">
      <c r="A102" s="12" t="s">
        <v>200</v>
      </c>
      <c r="B102" s="13">
        <v>1208</v>
      </c>
      <c r="C102" s="113" t="s">
        <v>390</v>
      </c>
      <c r="D102" s="113" t="s">
        <v>391</v>
      </c>
      <c r="E102" s="113" t="s">
        <v>392</v>
      </c>
      <c r="F102" s="113" t="s">
        <v>393</v>
      </c>
      <c r="G102" s="32" t="s">
        <v>73</v>
      </c>
      <c r="H102" s="32" t="s">
        <v>74</v>
      </c>
      <c r="I102" s="105" t="s">
        <v>75</v>
      </c>
      <c r="J102" s="70">
        <v>1</v>
      </c>
      <c r="K102" s="70"/>
      <c r="L102" s="70"/>
      <c r="M102" t="s">
        <v>394</v>
      </c>
      <c r="N102" t="s">
        <v>352</v>
      </c>
      <c r="O102" s="18"/>
      <c r="P102" s="18"/>
      <c r="Q102" s="97"/>
      <c r="R102" s="97"/>
      <c r="S102" s="97"/>
      <c r="T102" s="97"/>
      <c r="U102" s="97"/>
      <c r="V102" s="97"/>
      <c r="W102" s="97"/>
      <c r="X102" s="51"/>
      <c r="Y102" s="18" t="e">
        <f>AVERAGEIFS([1]!Table2912[DMD '[mg/g']],[1]!Table2912[Substrate ID],Table29128[[#This Row],[Substrate ID]])</f>
        <v>#REF!</v>
      </c>
      <c r="Z102" s="18" t="e">
        <f>AVERAGEIFS([1]!Table2912[CH4 '[ml/g']],[1]!Table2912[Substrate ID],Table29128[[#This Row],[Substrate ID]])</f>
        <v>#REF!</v>
      </c>
      <c r="AA102" s="18" t="e">
        <f>AVERAGEIFS([1]!Table2912[CH4 '[% GP']],[1]!Table2912[Substrate ID],Table29128[[#This Row],[Substrate ID]])</f>
        <v>#REF!</v>
      </c>
      <c r="AB102" s="18" t="e">
        <f>AVERAGEIFS([1]!Table2912[CH4 '[g/g DDM']],[1]!Table2912[Substrate ID],Table29128[[#This Row],[Substrate ID]])</f>
        <v>#REF!</v>
      </c>
      <c r="AC102" s="18" t="e">
        <f>$CP$17*Table29128[[#This Row],[DMD '[mg/g']]]+$CQ$17*Table29128[[#This Row],[CH4 '[g/g DDM']]]</f>
        <v>#REF!</v>
      </c>
      <c r="AD102" s="18" t="e">
        <f>_xlfn.RANK.AVG(Table29128[[#This Row],[Index]],Table29128[Index])</f>
        <v>#REF!</v>
      </c>
      <c r="AE102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02" s="18" t="e">
        <f>Table29128[[#This Row],[CH4 '[ml/g']]]/Table29128[[#This Row],[APB]]</f>
        <v>#REF!</v>
      </c>
      <c r="AG102" s="18" t="e">
        <f>Table29128[[#This Row],[Propionate '[%']]]/Table29128[[#This Row],[Acetate '[%']]]</f>
        <v>#DIV/0!</v>
      </c>
      <c r="AH102" s="51"/>
      <c r="AI102" s="18"/>
      <c r="AJ102" s="18"/>
      <c r="AK102" s="135" t="e">
        <f t="shared" si="6"/>
        <v>#REF!</v>
      </c>
      <c r="AL102" s="18"/>
      <c r="AM102" s="135" t="e">
        <f t="shared" si="7"/>
        <v>#REF!</v>
      </c>
      <c r="AN102" s="18" t="e">
        <f>(Table29128[[#This Row],[CH4 '[g/g DDM']]]-AN$15)/AN$15%</f>
        <v>#REF!</v>
      </c>
      <c r="AO102" s="18"/>
      <c r="AP102" s="18"/>
      <c r="AR102" t="e">
        <f>_xlfn.NORM.DIST(Table29128[[#This Row],[GP '[ml/g']]],O$6,O$2,FALSE)</f>
        <v>#DIV/0!</v>
      </c>
      <c r="AS102" t="e">
        <f>_xlfn.NORM.DIST(Table29128[[#This Row],[SCFA '[mmol/g']]],P$6,P$2,FALSE)</f>
        <v>#DIV/0!</v>
      </c>
      <c r="AT102" t="e">
        <f>_xlfn.NORM.DIST(Table29128[[#This Row],[Acetate '[%']]],Q$6,Q$2,FALSE)</f>
        <v>#DIV/0!</v>
      </c>
      <c r="AU102" t="e">
        <f>_xlfn.NORM.DIST(Table29128[[#This Row],[Propionate '[%']]],R$6,R$2,FALSE)</f>
        <v>#DIV/0!</v>
      </c>
      <c r="AV102" t="e">
        <f>_xlfn.NORM.DIST(Table29128[[#This Row],[Butyrate '[%']]],S$6,S$2,FALSE)</f>
        <v>#DIV/0!</v>
      </c>
      <c r="AW102" t="e">
        <f>_xlfn.NORM.DIST(Table29128[[#This Row],[Valerate '[%']]],T$6,T$2,FALSE)</f>
        <v>#DIV/0!</v>
      </c>
      <c r="AX102" t="e">
        <f>_xlfn.NORM.DIST(Table29128[[#This Row],[Caproate '[%']]],U$6,U$2,FALSE)</f>
        <v>#DIV/0!</v>
      </c>
      <c r="AY102" t="e">
        <f>_xlfn.NORM.DIST(Table29128[[#This Row],[Isobutyrate '[%']]],V$6,V$2,FALSE)</f>
        <v>#DIV/0!</v>
      </c>
      <c r="AZ102" t="e">
        <f>_xlfn.NORM.DIST(Table29128[[#This Row],[Isovalerate '[%']]],W$6,W$2,FALSE)</f>
        <v>#DIV/0!</v>
      </c>
      <c r="BA102" t="e">
        <f>_xlfn.NORM.DIST(Table29128[[#This Row],[CH4 '[g/mmol SCFA']]],X$6,X$2,FALSE)</f>
        <v>#DIV/0!</v>
      </c>
      <c r="BB102" t="e">
        <f>_xlfn.NORM.DIST(Table29128[[#This Row],[DMD '[mg/g']]],Y$6,Y$2,FALSE)</f>
        <v>#REF!</v>
      </c>
      <c r="BC102" t="e">
        <f>_xlfn.NORM.DIST(Table29128[[#This Row],[CH4 '[ml/g']]],Z$6,Z$2,FALSE)</f>
        <v>#REF!</v>
      </c>
      <c r="BD102" t="e">
        <f>_xlfn.NORM.DIST(Table29128[[#This Row],[CH4 '[% GP']]],AA$6,AA$2,FALSE)</f>
        <v>#REF!</v>
      </c>
      <c r="BE102" t="e">
        <f>_xlfn.NORM.DIST(Table29128[[#This Row],[CH4 '[g/g DDM']]],AB$6,AB$2,FALSE)</f>
        <v>#REF!</v>
      </c>
      <c r="BG102">
        <f>IF(Table29128[[#This Row],[GP '[ml/g']]]&lt;O$10,_xlfn.NORM.DIST(Table29128[[#This Row],[GP '[ml/g']]],O$6,O$2,FALSE),-100)</f>
        <v>-100</v>
      </c>
      <c r="BH102">
        <f>IF(Table29128[[#This Row],[SCFA '[mmol/g']]]&lt;P$10,_xlfn.NORM.DIST(Table29128[[#This Row],[SCFA '[mmol/g']]],P$6,P$2,FALSE),-100)</f>
        <v>-100</v>
      </c>
      <c r="BI102">
        <f>IF(Table29128[[#This Row],[Acetate '[%']]]&lt;Q$10,_xlfn.NORM.DIST(Table29128[[#This Row],[Acetate '[%']]],Q$6,Q$2,FALSE),-100)</f>
        <v>-100</v>
      </c>
      <c r="BJ102">
        <f>IF(Table29128[[#This Row],[Propionate '[%']]]&lt;R$10,_xlfn.NORM.DIST(Table29128[[#This Row],[Propionate '[%']]],R$6,R$2,FALSE),-100)</f>
        <v>-100</v>
      </c>
      <c r="BK102">
        <f>IF(Table29128[[#This Row],[Butyrate '[%']]]&lt;S$10,_xlfn.NORM.DIST(Table29128[[#This Row],[Butyrate '[%']]],S$6,S$2,FALSE),-100)</f>
        <v>-100</v>
      </c>
      <c r="BL102">
        <f>IF(Table29128[[#This Row],[Valerate '[%']]]&lt;T$10,_xlfn.NORM.DIST(Table29128[[#This Row],[Valerate '[%']]],T$6,T$2,FALSE),-100)</f>
        <v>-100</v>
      </c>
      <c r="BM102">
        <f>IF(Table29128[[#This Row],[Caproate '[%']]]&lt;U$10,_xlfn.NORM.DIST(Table29128[[#This Row],[Caproate '[%']]],U$6,U$2,FALSE),-100)</f>
        <v>-100</v>
      </c>
      <c r="BN102">
        <f>IF(Table29128[[#This Row],[Isobutyrate '[%']]]&lt;V$10,_xlfn.NORM.DIST(Table29128[[#This Row],[Isobutyrate '[%']]],V$6,V$2,FALSE),-100)</f>
        <v>-100</v>
      </c>
      <c r="BO102">
        <f>IF(Table29128[[#This Row],[Isovalerate '[%']]]&lt;W$10,_xlfn.NORM.DIST(Table29128[[#This Row],[Isovalerate '[%']]],W$6,W$2,FALSE),-100)</f>
        <v>-100</v>
      </c>
      <c r="BP102">
        <f>IF(Table29128[[#This Row],[CH4 '[g/mmol SCFA']]]&lt;X$10,_xlfn.NORM.DIST(Table29128[[#This Row],[CH4 '[g/mmol SCFA']]],X$6,X$2,FALSE),-100)</f>
        <v>-100</v>
      </c>
      <c r="BQ102" t="e">
        <f>IF(Table29128[[#This Row],[DMD '[mg/g']]]&gt;Y$10,_xlfn.NORM.DIST(Table29128[[#This Row],[DMD '[mg/g']]],Y$6,Y$2,FALSE),-100)</f>
        <v>#REF!</v>
      </c>
      <c r="BR102" t="e">
        <f>IF(Table29128[[#This Row],[CH4 '[ml/g']]]&lt;Z$10,_xlfn.NORM.DIST(Table29128[[#This Row],[CH4 '[ml/g']]],Z$6,Z$2,FALSE),-100)</f>
        <v>#REF!</v>
      </c>
      <c r="BS102" t="e">
        <f>IF(Table29128[[#This Row],[CH4 '[% GP']]]&lt;AA$10,_xlfn.NORM.DIST(Table29128[[#This Row],[CH4 '[% GP']]],AA$6,AA$2,FALSE),-100)</f>
        <v>#REF!</v>
      </c>
      <c r="BT102" t="e">
        <f>IF(Table29128[[#This Row],[CH4 '[g/g DDM']]]&lt;AB$10,_xlfn.NORM.DIST(Table29128[[#This Row],[CH4 '[g/g DDM']]],AB$6,AB$2,FALSE),-100)</f>
        <v>#REF!</v>
      </c>
    </row>
    <row r="103" spans="1:72" x14ac:dyDescent="0.25">
      <c r="A103" s="12" t="s">
        <v>200</v>
      </c>
      <c r="B103" s="13">
        <v>1212</v>
      </c>
      <c r="C103" s="113" t="s">
        <v>476</v>
      </c>
      <c r="D103" s="113" t="s">
        <v>391</v>
      </c>
      <c r="E103" s="113" t="s">
        <v>392</v>
      </c>
      <c r="F103" s="113" t="s">
        <v>393</v>
      </c>
      <c r="G103" t="s">
        <v>143</v>
      </c>
      <c r="H103" t="s">
        <v>144</v>
      </c>
      <c r="I103" t="s">
        <v>52</v>
      </c>
      <c r="J103" s="70">
        <v>1</v>
      </c>
      <c r="K103" s="70"/>
      <c r="L103" s="70"/>
      <c r="M103" t="s">
        <v>477</v>
      </c>
      <c r="N103" t="s">
        <v>352</v>
      </c>
      <c r="O103" s="18"/>
      <c r="P103" s="18"/>
      <c r="Q103" s="97"/>
      <c r="R103" s="97"/>
      <c r="S103" s="97"/>
      <c r="T103" s="97"/>
      <c r="U103" s="97"/>
      <c r="V103" s="97"/>
      <c r="W103" s="97"/>
      <c r="X103" s="51"/>
      <c r="Y103" s="18" t="e">
        <f>AVERAGEIFS([1]!Table2912[DMD '[mg/g']],[1]!Table2912[Substrate ID],Table29128[[#This Row],[Substrate ID]])</f>
        <v>#REF!</v>
      </c>
      <c r="Z103" s="18" t="e">
        <f>AVERAGEIFS([1]!Table2912[CH4 '[ml/g']],[1]!Table2912[Substrate ID],Table29128[[#This Row],[Substrate ID]])</f>
        <v>#REF!</v>
      </c>
      <c r="AA103" s="18" t="e">
        <f>AVERAGEIFS([1]!Table2912[CH4 '[% GP']],[1]!Table2912[Substrate ID],Table29128[[#This Row],[Substrate ID]])</f>
        <v>#REF!</v>
      </c>
      <c r="AB103" s="18" t="e">
        <f>AVERAGEIFS([1]!Table2912[CH4 '[g/g DDM']],[1]!Table2912[Substrate ID],Table29128[[#This Row],[Substrate ID]])</f>
        <v>#REF!</v>
      </c>
      <c r="AC103" s="18" t="e">
        <f>$CP$17*Table29128[[#This Row],[DMD '[mg/g']]]+$CQ$17*Table29128[[#This Row],[CH4 '[g/g DDM']]]</f>
        <v>#REF!</v>
      </c>
      <c r="AD103" s="18" t="e">
        <f>_xlfn.RANK.AVG(Table29128[[#This Row],[Index]],Table29128[Index])</f>
        <v>#REF!</v>
      </c>
      <c r="AE103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03" s="18" t="e">
        <f>Table29128[[#This Row],[CH4 '[ml/g']]]/Table29128[[#This Row],[APB]]</f>
        <v>#REF!</v>
      </c>
      <c r="AG103" s="18" t="e">
        <f>Table29128[[#This Row],[Propionate '[%']]]/Table29128[[#This Row],[Acetate '[%']]]</f>
        <v>#DIV/0!</v>
      </c>
      <c r="AH103" s="51"/>
      <c r="AI103" s="18"/>
      <c r="AJ103" s="18"/>
      <c r="AK103" s="135" t="e">
        <f t="shared" si="6"/>
        <v>#REF!</v>
      </c>
      <c r="AL103" s="18"/>
      <c r="AM103" s="135" t="e">
        <f t="shared" si="7"/>
        <v>#REF!</v>
      </c>
      <c r="AN103" s="18" t="e">
        <f>(Table29128[[#This Row],[CH4 '[g/g DDM']]]-AN$15)/AN$15%</f>
        <v>#REF!</v>
      </c>
      <c r="AO103" s="18"/>
      <c r="AP103" s="18"/>
      <c r="AR103" t="e">
        <f>_xlfn.NORM.DIST(Table29128[[#This Row],[GP '[ml/g']]],O$6,O$2,FALSE)</f>
        <v>#DIV/0!</v>
      </c>
      <c r="AS103" t="e">
        <f>_xlfn.NORM.DIST(Table29128[[#This Row],[SCFA '[mmol/g']]],P$6,P$2,FALSE)</f>
        <v>#DIV/0!</v>
      </c>
      <c r="AT103" t="e">
        <f>_xlfn.NORM.DIST(Table29128[[#This Row],[Acetate '[%']]],Q$6,Q$2,FALSE)</f>
        <v>#DIV/0!</v>
      </c>
      <c r="AU103" t="e">
        <f>_xlfn.NORM.DIST(Table29128[[#This Row],[Propionate '[%']]],R$6,R$2,FALSE)</f>
        <v>#DIV/0!</v>
      </c>
      <c r="AV103" t="e">
        <f>_xlfn.NORM.DIST(Table29128[[#This Row],[Butyrate '[%']]],S$6,S$2,FALSE)</f>
        <v>#DIV/0!</v>
      </c>
      <c r="AW103" t="e">
        <f>_xlfn.NORM.DIST(Table29128[[#This Row],[Valerate '[%']]],T$6,T$2,FALSE)</f>
        <v>#DIV/0!</v>
      </c>
      <c r="AX103" t="e">
        <f>_xlfn.NORM.DIST(Table29128[[#This Row],[Caproate '[%']]],U$6,U$2,FALSE)</f>
        <v>#DIV/0!</v>
      </c>
      <c r="AY103" t="e">
        <f>_xlfn.NORM.DIST(Table29128[[#This Row],[Isobutyrate '[%']]],V$6,V$2,FALSE)</f>
        <v>#DIV/0!</v>
      </c>
      <c r="AZ103" t="e">
        <f>_xlfn.NORM.DIST(Table29128[[#This Row],[Isovalerate '[%']]],W$6,W$2,FALSE)</f>
        <v>#DIV/0!</v>
      </c>
      <c r="BA103" t="e">
        <f>_xlfn.NORM.DIST(Table29128[[#This Row],[CH4 '[g/mmol SCFA']]],X$6,X$2,FALSE)</f>
        <v>#DIV/0!</v>
      </c>
      <c r="BB103" t="e">
        <f>_xlfn.NORM.DIST(Table29128[[#This Row],[DMD '[mg/g']]],Y$6,Y$2,FALSE)</f>
        <v>#REF!</v>
      </c>
      <c r="BC103" t="e">
        <f>_xlfn.NORM.DIST(Table29128[[#This Row],[CH4 '[ml/g']]],Z$6,Z$2,FALSE)</f>
        <v>#REF!</v>
      </c>
      <c r="BD103" t="e">
        <f>_xlfn.NORM.DIST(Table29128[[#This Row],[CH4 '[% GP']]],AA$6,AA$2,FALSE)</f>
        <v>#REF!</v>
      </c>
      <c r="BE103" t="e">
        <f>_xlfn.NORM.DIST(Table29128[[#This Row],[CH4 '[g/g DDM']]],AB$6,AB$2,FALSE)</f>
        <v>#REF!</v>
      </c>
      <c r="BG103">
        <f>IF(Table29128[[#This Row],[GP '[ml/g']]]&lt;O$10,_xlfn.NORM.DIST(Table29128[[#This Row],[GP '[ml/g']]],O$6,O$2,FALSE),-100)</f>
        <v>-100</v>
      </c>
      <c r="BH103">
        <f>IF(Table29128[[#This Row],[SCFA '[mmol/g']]]&lt;P$10,_xlfn.NORM.DIST(Table29128[[#This Row],[SCFA '[mmol/g']]],P$6,P$2,FALSE),-100)</f>
        <v>-100</v>
      </c>
      <c r="BI103">
        <f>IF(Table29128[[#This Row],[Acetate '[%']]]&lt;Q$10,_xlfn.NORM.DIST(Table29128[[#This Row],[Acetate '[%']]],Q$6,Q$2,FALSE),-100)</f>
        <v>-100</v>
      </c>
      <c r="BJ103">
        <f>IF(Table29128[[#This Row],[Propionate '[%']]]&lt;R$10,_xlfn.NORM.DIST(Table29128[[#This Row],[Propionate '[%']]],R$6,R$2,FALSE),-100)</f>
        <v>-100</v>
      </c>
      <c r="BK103">
        <f>IF(Table29128[[#This Row],[Butyrate '[%']]]&lt;S$10,_xlfn.NORM.DIST(Table29128[[#This Row],[Butyrate '[%']]],S$6,S$2,FALSE),-100)</f>
        <v>-100</v>
      </c>
      <c r="BL103">
        <f>IF(Table29128[[#This Row],[Valerate '[%']]]&lt;T$10,_xlfn.NORM.DIST(Table29128[[#This Row],[Valerate '[%']]],T$6,T$2,FALSE),-100)</f>
        <v>-100</v>
      </c>
      <c r="BM103">
        <f>IF(Table29128[[#This Row],[Caproate '[%']]]&lt;U$10,_xlfn.NORM.DIST(Table29128[[#This Row],[Caproate '[%']]],U$6,U$2,FALSE),-100)</f>
        <v>-100</v>
      </c>
      <c r="BN103">
        <f>IF(Table29128[[#This Row],[Isobutyrate '[%']]]&lt;V$10,_xlfn.NORM.DIST(Table29128[[#This Row],[Isobutyrate '[%']]],V$6,V$2,FALSE),-100)</f>
        <v>-100</v>
      </c>
      <c r="BO103">
        <f>IF(Table29128[[#This Row],[Isovalerate '[%']]]&lt;W$10,_xlfn.NORM.DIST(Table29128[[#This Row],[Isovalerate '[%']]],W$6,W$2,FALSE),-100)</f>
        <v>-100</v>
      </c>
      <c r="BP103">
        <f>IF(Table29128[[#This Row],[CH4 '[g/mmol SCFA']]]&lt;X$10,_xlfn.NORM.DIST(Table29128[[#This Row],[CH4 '[g/mmol SCFA']]],X$6,X$2,FALSE),-100)</f>
        <v>-100</v>
      </c>
      <c r="BQ103" t="e">
        <f>IF(Table29128[[#This Row],[DMD '[mg/g']]]&gt;Y$10,_xlfn.NORM.DIST(Table29128[[#This Row],[DMD '[mg/g']]],Y$6,Y$2,FALSE),-100)</f>
        <v>#REF!</v>
      </c>
      <c r="BR103" t="e">
        <f>IF(Table29128[[#This Row],[CH4 '[ml/g']]]&lt;Z$10,_xlfn.NORM.DIST(Table29128[[#This Row],[CH4 '[ml/g']]],Z$6,Z$2,FALSE),-100)</f>
        <v>#REF!</v>
      </c>
      <c r="BS103" t="e">
        <f>IF(Table29128[[#This Row],[CH4 '[% GP']]]&lt;AA$10,_xlfn.NORM.DIST(Table29128[[#This Row],[CH4 '[% GP']]],AA$6,AA$2,FALSE),-100)</f>
        <v>#REF!</v>
      </c>
      <c r="BT103" t="e">
        <f>IF(Table29128[[#This Row],[CH4 '[g/g DDM']]]&lt;AB$10,_xlfn.NORM.DIST(Table29128[[#This Row],[CH4 '[g/g DDM']]],AB$6,AB$2,FALSE),-100)</f>
        <v>#REF!</v>
      </c>
    </row>
    <row r="104" spans="1:72" x14ac:dyDescent="0.25">
      <c r="A104" s="12" t="s">
        <v>200</v>
      </c>
      <c r="B104" s="13">
        <v>1213</v>
      </c>
      <c r="C104" s="113" t="s">
        <v>478</v>
      </c>
      <c r="D104" s="113" t="s">
        <v>391</v>
      </c>
      <c r="E104" s="113" t="s">
        <v>392</v>
      </c>
      <c r="F104" s="113" t="s">
        <v>393</v>
      </c>
      <c r="G104" s="15" t="s">
        <v>143</v>
      </c>
      <c r="H104" s="15" t="s">
        <v>144</v>
      </c>
      <c r="I104" t="s">
        <v>52</v>
      </c>
      <c r="J104" s="70">
        <v>1</v>
      </c>
      <c r="K104" s="70"/>
      <c r="L104" s="70"/>
      <c r="M104" t="s">
        <v>479</v>
      </c>
      <c r="N104" t="s">
        <v>208</v>
      </c>
      <c r="O104" s="18"/>
      <c r="P104" s="18"/>
      <c r="Q104" s="97"/>
      <c r="R104" s="97"/>
      <c r="S104" s="97"/>
      <c r="T104" s="97"/>
      <c r="U104" s="97"/>
      <c r="V104" s="97"/>
      <c r="W104" s="97"/>
      <c r="X104" s="51"/>
      <c r="Y104" s="18" t="e">
        <f>AVERAGEIFS([1]!Table2912[DMD '[mg/g']],[1]!Table2912[Substrate ID],Table29128[[#This Row],[Substrate ID]])</f>
        <v>#REF!</v>
      </c>
      <c r="Z104" s="18" t="e">
        <f>AVERAGEIFS([1]!Table2912[CH4 '[ml/g']],[1]!Table2912[Substrate ID],Table29128[[#This Row],[Substrate ID]])</f>
        <v>#REF!</v>
      </c>
      <c r="AA104" s="18" t="e">
        <f>AVERAGEIFS([1]!Table2912[CH4 '[% GP']],[1]!Table2912[Substrate ID],Table29128[[#This Row],[Substrate ID]])</f>
        <v>#REF!</v>
      </c>
      <c r="AB104" s="18" t="e">
        <f>AVERAGEIFS([1]!Table2912[CH4 '[g/g DDM']],[1]!Table2912[Substrate ID],Table29128[[#This Row],[Substrate ID]])</f>
        <v>#REF!</v>
      </c>
      <c r="AC104" s="18" t="e">
        <f>$CP$17*Table29128[[#This Row],[DMD '[mg/g']]]+$CQ$17*Table29128[[#This Row],[CH4 '[g/g DDM']]]</f>
        <v>#REF!</v>
      </c>
      <c r="AD104" s="18" t="e">
        <f>_xlfn.RANK.AVG(Table29128[[#This Row],[Index]],Table29128[Index])</f>
        <v>#REF!</v>
      </c>
      <c r="AE104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04" s="18" t="e">
        <f>Table29128[[#This Row],[CH4 '[ml/g']]]/Table29128[[#This Row],[APB]]</f>
        <v>#REF!</v>
      </c>
      <c r="AG104" s="18" t="e">
        <f>Table29128[[#This Row],[Propionate '[%']]]/Table29128[[#This Row],[Acetate '[%']]]</f>
        <v>#DIV/0!</v>
      </c>
      <c r="AH104" s="51"/>
      <c r="AI104" s="18"/>
      <c r="AJ104" s="18"/>
      <c r="AK104" s="135" t="e">
        <f t="shared" si="6"/>
        <v>#REF!</v>
      </c>
      <c r="AL104" s="18"/>
      <c r="AM104" s="135" t="e">
        <f t="shared" si="7"/>
        <v>#REF!</v>
      </c>
      <c r="AN104" s="18" t="e">
        <f>(Table29128[[#This Row],[CH4 '[g/g DDM']]]-AN$15)/AN$15%</f>
        <v>#REF!</v>
      </c>
      <c r="AO104" s="18"/>
      <c r="AP104" s="18"/>
      <c r="AR104" t="e">
        <f>_xlfn.NORM.DIST(Table29128[[#This Row],[GP '[ml/g']]],O$6,O$2,FALSE)</f>
        <v>#DIV/0!</v>
      </c>
      <c r="AS104" t="e">
        <f>_xlfn.NORM.DIST(Table29128[[#This Row],[SCFA '[mmol/g']]],P$6,P$2,FALSE)</f>
        <v>#DIV/0!</v>
      </c>
      <c r="AT104" t="e">
        <f>_xlfn.NORM.DIST(Table29128[[#This Row],[Acetate '[%']]],Q$6,Q$2,FALSE)</f>
        <v>#DIV/0!</v>
      </c>
      <c r="AU104" t="e">
        <f>_xlfn.NORM.DIST(Table29128[[#This Row],[Propionate '[%']]],R$6,R$2,FALSE)</f>
        <v>#DIV/0!</v>
      </c>
      <c r="AV104" t="e">
        <f>_xlfn.NORM.DIST(Table29128[[#This Row],[Butyrate '[%']]],S$6,S$2,FALSE)</f>
        <v>#DIV/0!</v>
      </c>
      <c r="AW104" t="e">
        <f>_xlfn.NORM.DIST(Table29128[[#This Row],[Valerate '[%']]],T$6,T$2,FALSE)</f>
        <v>#DIV/0!</v>
      </c>
      <c r="AX104" t="e">
        <f>_xlfn.NORM.DIST(Table29128[[#This Row],[Caproate '[%']]],U$6,U$2,FALSE)</f>
        <v>#DIV/0!</v>
      </c>
      <c r="AY104" t="e">
        <f>_xlfn.NORM.DIST(Table29128[[#This Row],[Isobutyrate '[%']]],V$6,V$2,FALSE)</f>
        <v>#DIV/0!</v>
      </c>
      <c r="AZ104" t="e">
        <f>_xlfn.NORM.DIST(Table29128[[#This Row],[Isovalerate '[%']]],W$6,W$2,FALSE)</f>
        <v>#DIV/0!</v>
      </c>
      <c r="BA104" t="e">
        <f>_xlfn.NORM.DIST(Table29128[[#This Row],[CH4 '[g/mmol SCFA']]],X$6,X$2,FALSE)</f>
        <v>#DIV/0!</v>
      </c>
      <c r="BB104" t="e">
        <f>_xlfn.NORM.DIST(Table29128[[#This Row],[DMD '[mg/g']]],Y$6,Y$2,FALSE)</f>
        <v>#REF!</v>
      </c>
      <c r="BC104" t="e">
        <f>_xlfn.NORM.DIST(Table29128[[#This Row],[CH4 '[ml/g']]],Z$6,Z$2,FALSE)</f>
        <v>#REF!</v>
      </c>
      <c r="BD104" t="e">
        <f>_xlfn.NORM.DIST(Table29128[[#This Row],[CH4 '[% GP']]],AA$6,AA$2,FALSE)</f>
        <v>#REF!</v>
      </c>
      <c r="BE104" t="e">
        <f>_xlfn.NORM.DIST(Table29128[[#This Row],[CH4 '[g/g DDM']]],AB$6,AB$2,FALSE)</f>
        <v>#REF!</v>
      </c>
      <c r="BG104">
        <f>IF(Table29128[[#This Row],[GP '[ml/g']]]&lt;O$10,_xlfn.NORM.DIST(Table29128[[#This Row],[GP '[ml/g']]],O$6,O$2,FALSE),-100)</f>
        <v>-100</v>
      </c>
      <c r="BH104">
        <f>IF(Table29128[[#This Row],[SCFA '[mmol/g']]]&lt;P$10,_xlfn.NORM.DIST(Table29128[[#This Row],[SCFA '[mmol/g']]],P$6,P$2,FALSE),-100)</f>
        <v>-100</v>
      </c>
      <c r="BI104">
        <f>IF(Table29128[[#This Row],[Acetate '[%']]]&lt;Q$10,_xlfn.NORM.DIST(Table29128[[#This Row],[Acetate '[%']]],Q$6,Q$2,FALSE),-100)</f>
        <v>-100</v>
      </c>
      <c r="BJ104">
        <f>IF(Table29128[[#This Row],[Propionate '[%']]]&lt;R$10,_xlfn.NORM.DIST(Table29128[[#This Row],[Propionate '[%']]],R$6,R$2,FALSE),-100)</f>
        <v>-100</v>
      </c>
      <c r="BK104">
        <f>IF(Table29128[[#This Row],[Butyrate '[%']]]&lt;S$10,_xlfn.NORM.DIST(Table29128[[#This Row],[Butyrate '[%']]],S$6,S$2,FALSE),-100)</f>
        <v>-100</v>
      </c>
      <c r="BL104">
        <f>IF(Table29128[[#This Row],[Valerate '[%']]]&lt;T$10,_xlfn.NORM.DIST(Table29128[[#This Row],[Valerate '[%']]],T$6,T$2,FALSE),-100)</f>
        <v>-100</v>
      </c>
      <c r="BM104">
        <f>IF(Table29128[[#This Row],[Caproate '[%']]]&lt;U$10,_xlfn.NORM.DIST(Table29128[[#This Row],[Caproate '[%']]],U$6,U$2,FALSE),-100)</f>
        <v>-100</v>
      </c>
      <c r="BN104">
        <f>IF(Table29128[[#This Row],[Isobutyrate '[%']]]&lt;V$10,_xlfn.NORM.DIST(Table29128[[#This Row],[Isobutyrate '[%']]],V$6,V$2,FALSE),-100)</f>
        <v>-100</v>
      </c>
      <c r="BO104">
        <f>IF(Table29128[[#This Row],[Isovalerate '[%']]]&lt;W$10,_xlfn.NORM.DIST(Table29128[[#This Row],[Isovalerate '[%']]],W$6,W$2,FALSE),-100)</f>
        <v>-100</v>
      </c>
      <c r="BP104">
        <f>IF(Table29128[[#This Row],[CH4 '[g/mmol SCFA']]]&lt;X$10,_xlfn.NORM.DIST(Table29128[[#This Row],[CH4 '[g/mmol SCFA']]],X$6,X$2,FALSE),-100)</f>
        <v>-100</v>
      </c>
      <c r="BQ104" t="e">
        <f>IF(Table29128[[#This Row],[DMD '[mg/g']]]&gt;Y$10,_xlfn.NORM.DIST(Table29128[[#This Row],[DMD '[mg/g']]],Y$6,Y$2,FALSE),-100)</f>
        <v>#REF!</v>
      </c>
      <c r="BR104" t="e">
        <f>IF(Table29128[[#This Row],[CH4 '[ml/g']]]&lt;Z$10,_xlfn.NORM.DIST(Table29128[[#This Row],[CH4 '[ml/g']]],Z$6,Z$2,FALSE),-100)</f>
        <v>#REF!</v>
      </c>
      <c r="BS104" t="e">
        <f>IF(Table29128[[#This Row],[CH4 '[% GP']]]&lt;AA$10,_xlfn.NORM.DIST(Table29128[[#This Row],[CH4 '[% GP']]],AA$6,AA$2,FALSE),-100)</f>
        <v>#REF!</v>
      </c>
      <c r="BT104" t="e">
        <f>IF(Table29128[[#This Row],[CH4 '[g/g DDM']]]&lt;AB$10,_xlfn.NORM.DIST(Table29128[[#This Row],[CH4 '[g/g DDM']]],AB$6,AB$2,FALSE),-100)</f>
        <v>#REF!</v>
      </c>
    </row>
    <row r="105" spans="1:72" x14ac:dyDescent="0.25">
      <c r="A105" s="12" t="s">
        <v>200</v>
      </c>
      <c r="B105" s="13">
        <v>1209</v>
      </c>
      <c r="C105" s="113" t="s">
        <v>519</v>
      </c>
      <c r="D105" s="113" t="s">
        <v>391</v>
      </c>
      <c r="E105" s="113" t="s">
        <v>392</v>
      </c>
      <c r="F105" s="113" t="s">
        <v>393</v>
      </c>
      <c r="G105" t="s">
        <v>143</v>
      </c>
      <c r="H105" t="s">
        <v>144</v>
      </c>
      <c r="I105" t="s">
        <v>52</v>
      </c>
      <c r="J105" s="70">
        <v>1</v>
      </c>
      <c r="K105" s="70"/>
      <c r="L105" s="70"/>
      <c r="M105" t="s">
        <v>520</v>
      </c>
      <c r="N105" t="s">
        <v>352</v>
      </c>
      <c r="O105" s="18"/>
      <c r="P105" s="18"/>
      <c r="Q105" s="97"/>
      <c r="R105" s="97"/>
      <c r="S105" s="97"/>
      <c r="T105" s="97"/>
      <c r="U105" s="97"/>
      <c r="V105" s="97"/>
      <c r="W105" s="97"/>
      <c r="X105" s="51"/>
      <c r="Y105" s="18" t="e">
        <f>AVERAGEIFS([1]!Table2912[DMD '[mg/g']],[1]!Table2912[Substrate ID],Table29128[[#This Row],[Substrate ID]])</f>
        <v>#REF!</v>
      </c>
      <c r="Z105" s="18" t="e">
        <f>AVERAGEIFS([1]!Table2912[CH4 '[ml/g']],[1]!Table2912[Substrate ID],Table29128[[#This Row],[Substrate ID]])</f>
        <v>#REF!</v>
      </c>
      <c r="AA105" s="18" t="e">
        <f>AVERAGEIFS([1]!Table2912[CH4 '[% GP']],[1]!Table2912[Substrate ID],Table29128[[#This Row],[Substrate ID]])</f>
        <v>#REF!</v>
      </c>
      <c r="AB105" s="18" t="e">
        <f>AVERAGEIFS([1]!Table2912[CH4 '[g/g DDM']],[1]!Table2912[Substrate ID],Table29128[[#This Row],[Substrate ID]])</f>
        <v>#REF!</v>
      </c>
      <c r="AC105" s="18" t="e">
        <f>$CP$17*Table29128[[#This Row],[DMD '[mg/g']]]+$CQ$17*Table29128[[#This Row],[CH4 '[g/g DDM']]]</f>
        <v>#REF!</v>
      </c>
      <c r="AD105" s="18" t="e">
        <f>_xlfn.RANK.AVG(Table29128[[#This Row],[Index]],Table29128[Index])</f>
        <v>#REF!</v>
      </c>
      <c r="AE105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05" s="18" t="e">
        <f>Table29128[[#This Row],[CH4 '[ml/g']]]/Table29128[[#This Row],[APB]]</f>
        <v>#REF!</v>
      </c>
      <c r="AG105" s="18" t="e">
        <f>Table29128[[#This Row],[Propionate '[%']]]/Table29128[[#This Row],[Acetate '[%']]]</f>
        <v>#DIV/0!</v>
      </c>
      <c r="AH105" s="51"/>
      <c r="AI105" s="18"/>
      <c r="AJ105" s="18"/>
      <c r="AK105" s="135" t="e">
        <f t="shared" si="6"/>
        <v>#REF!</v>
      </c>
      <c r="AL105" s="18"/>
      <c r="AM105" s="135" t="e">
        <f t="shared" si="7"/>
        <v>#REF!</v>
      </c>
      <c r="AN105" s="18" t="e">
        <f>(Table29128[[#This Row],[CH4 '[g/g DDM']]]-AN$15)/AN$15%</f>
        <v>#REF!</v>
      </c>
      <c r="AO105" s="18"/>
      <c r="AP105" s="18"/>
      <c r="AR105" t="e">
        <f>_xlfn.NORM.DIST(Table29128[[#This Row],[GP '[ml/g']]],O$6,O$2,FALSE)</f>
        <v>#DIV/0!</v>
      </c>
      <c r="AS105" t="e">
        <f>_xlfn.NORM.DIST(Table29128[[#This Row],[SCFA '[mmol/g']]],P$6,P$2,FALSE)</f>
        <v>#DIV/0!</v>
      </c>
      <c r="AT105" t="e">
        <f>_xlfn.NORM.DIST(Table29128[[#This Row],[Acetate '[%']]],Q$6,Q$2,FALSE)</f>
        <v>#DIV/0!</v>
      </c>
      <c r="AU105" t="e">
        <f>_xlfn.NORM.DIST(Table29128[[#This Row],[Propionate '[%']]],R$6,R$2,FALSE)</f>
        <v>#DIV/0!</v>
      </c>
      <c r="AV105" t="e">
        <f>_xlfn.NORM.DIST(Table29128[[#This Row],[Butyrate '[%']]],S$6,S$2,FALSE)</f>
        <v>#DIV/0!</v>
      </c>
      <c r="AW105" t="e">
        <f>_xlfn.NORM.DIST(Table29128[[#This Row],[Valerate '[%']]],T$6,T$2,FALSE)</f>
        <v>#DIV/0!</v>
      </c>
      <c r="AX105" t="e">
        <f>_xlfn.NORM.DIST(Table29128[[#This Row],[Caproate '[%']]],U$6,U$2,FALSE)</f>
        <v>#DIV/0!</v>
      </c>
      <c r="AY105" t="e">
        <f>_xlfn.NORM.DIST(Table29128[[#This Row],[Isobutyrate '[%']]],V$6,V$2,FALSE)</f>
        <v>#DIV/0!</v>
      </c>
      <c r="AZ105" t="e">
        <f>_xlfn.NORM.DIST(Table29128[[#This Row],[Isovalerate '[%']]],W$6,W$2,FALSE)</f>
        <v>#DIV/0!</v>
      </c>
      <c r="BA105" t="e">
        <f>_xlfn.NORM.DIST(Table29128[[#This Row],[CH4 '[g/mmol SCFA']]],X$6,X$2,FALSE)</f>
        <v>#DIV/0!</v>
      </c>
      <c r="BB105" t="e">
        <f>_xlfn.NORM.DIST(Table29128[[#This Row],[DMD '[mg/g']]],Y$6,Y$2,FALSE)</f>
        <v>#REF!</v>
      </c>
      <c r="BC105" t="e">
        <f>_xlfn.NORM.DIST(Table29128[[#This Row],[CH4 '[ml/g']]],Z$6,Z$2,FALSE)</f>
        <v>#REF!</v>
      </c>
      <c r="BD105" t="e">
        <f>_xlfn.NORM.DIST(Table29128[[#This Row],[CH4 '[% GP']]],AA$6,AA$2,FALSE)</f>
        <v>#REF!</v>
      </c>
      <c r="BE105" t="e">
        <f>_xlfn.NORM.DIST(Table29128[[#This Row],[CH4 '[g/g DDM']]],AB$6,AB$2,FALSE)</f>
        <v>#REF!</v>
      </c>
      <c r="BG105">
        <f>IF(Table29128[[#This Row],[GP '[ml/g']]]&lt;O$10,_xlfn.NORM.DIST(Table29128[[#This Row],[GP '[ml/g']]],O$6,O$2,FALSE),-100)</f>
        <v>-100</v>
      </c>
      <c r="BH105">
        <f>IF(Table29128[[#This Row],[SCFA '[mmol/g']]]&lt;P$10,_xlfn.NORM.DIST(Table29128[[#This Row],[SCFA '[mmol/g']]],P$6,P$2,FALSE),-100)</f>
        <v>-100</v>
      </c>
      <c r="BI105">
        <f>IF(Table29128[[#This Row],[Acetate '[%']]]&lt;Q$10,_xlfn.NORM.DIST(Table29128[[#This Row],[Acetate '[%']]],Q$6,Q$2,FALSE),-100)</f>
        <v>-100</v>
      </c>
      <c r="BJ105">
        <f>IF(Table29128[[#This Row],[Propionate '[%']]]&lt;R$10,_xlfn.NORM.DIST(Table29128[[#This Row],[Propionate '[%']]],R$6,R$2,FALSE),-100)</f>
        <v>-100</v>
      </c>
      <c r="BK105">
        <f>IF(Table29128[[#This Row],[Butyrate '[%']]]&lt;S$10,_xlfn.NORM.DIST(Table29128[[#This Row],[Butyrate '[%']]],S$6,S$2,FALSE),-100)</f>
        <v>-100</v>
      </c>
      <c r="BL105">
        <f>IF(Table29128[[#This Row],[Valerate '[%']]]&lt;T$10,_xlfn.NORM.DIST(Table29128[[#This Row],[Valerate '[%']]],T$6,T$2,FALSE),-100)</f>
        <v>-100</v>
      </c>
      <c r="BM105">
        <f>IF(Table29128[[#This Row],[Caproate '[%']]]&lt;U$10,_xlfn.NORM.DIST(Table29128[[#This Row],[Caproate '[%']]],U$6,U$2,FALSE),-100)</f>
        <v>-100</v>
      </c>
      <c r="BN105">
        <f>IF(Table29128[[#This Row],[Isobutyrate '[%']]]&lt;V$10,_xlfn.NORM.DIST(Table29128[[#This Row],[Isobutyrate '[%']]],V$6,V$2,FALSE),-100)</f>
        <v>-100</v>
      </c>
      <c r="BO105">
        <f>IF(Table29128[[#This Row],[Isovalerate '[%']]]&lt;W$10,_xlfn.NORM.DIST(Table29128[[#This Row],[Isovalerate '[%']]],W$6,W$2,FALSE),-100)</f>
        <v>-100</v>
      </c>
      <c r="BP105">
        <f>IF(Table29128[[#This Row],[CH4 '[g/mmol SCFA']]]&lt;X$10,_xlfn.NORM.DIST(Table29128[[#This Row],[CH4 '[g/mmol SCFA']]],X$6,X$2,FALSE),-100)</f>
        <v>-100</v>
      </c>
      <c r="BQ105" t="e">
        <f>IF(Table29128[[#This Row],[DMD '[mg/g']]]&gt;Y$10,_xlfn.NORM.DIST(Table29128[[#This Row],[DMD '[mg/g']]],Y$6,Y$2,FALSE),-100)</f>
        <v>#REF!</v>
      </c>
      <c r="BR105" t="e">
        <f>IF(Table29128[[#This Row],[CH4 '[ml/g']]]&lt;Z$10,_xlfn.NORM.DIST(Table29128[[#This Row],[CH4 '[ml/g']]],Z$6,Z$2,FALSE),-100)</f>
        <v>#REF!</v>
      </c>
      <c r="BS105" t="e">
        <f>IF(Table29128[[#This Row],[CH4 '[% GP']]]&lt;AA$10,_xlfn.NORM.DIST(Table29128[[#This Row],[CH4 '[% GP']]],AA$6,AA$2,FALSE),-100)</f>
        <v>#REF!</v>
      </c>
      <c r="BT105" t="e">
        <f>IF(Table29128[[#This Row],[CH4 '[g/g DDM']]]&lt;AB$10,_xlfn.NORM.DIST(Table29128[[#This Row],[CH4 '[g/g DDM']]],AB$6,AB$2,FALSE),-100)</f>
        <v>#REF!</v>
      </c>
    </row>
    <row r="106" spans="1:72" x14ac:dyDescent="0.25">
      <c r="A106" s="12" t="s">
        <v>70</v>
      </c>
      <c r="B106" s="13">
        <v>1040</v>
      </c>
      <c r="C106" s="96" t="s">
        <v>169</v>
      </c>
      <c r="D106" s="96"/>
      <c r="E106" s="96"/>
      <c r="F106" s="96" t="s">
        <v>170</v>
      </c>
      <c r="G106" s="15" t="s">
        <v>143</v>
      </c>
      <c r="H106" s="15" t="s">
        <v>144</v>
      </c>
      <c r="I106" t="s">
        <v>52</v>
      </c>
      <c r="J106" s="100">
        <v>1</v>
      </c>
      <c r="K106" s="100"/>
      <c r="L106" s="100"/>
      <c r="M106" t="s">
        <v>170</v>
      </c>
      <c r="N106" t="s">
        <v>80</v>
      </c>
      <c r="O106" s="18"/>
      <c r="P106" s="18"/>
      <c r="Q106" s="97"/>
      <c r="R106" s="97"/>
      <c r="S106" s="97"/>
      <c r="T106" s="97"/>
      <c r="U106" s="97"/>
      <c r="V106" s="97"/>
      <c r="W106" s="97"/>
      <c r="X106" s="51"/>
      <c r="Y106" s="18" t="e">
        <f>AVERAGEIFS([1]!Table2912[DMD '[mg/g']],[1]!Table2912[Substrate ID],Table29128[[#This Row],[Substrate ID]])</f>
        <v>#REF!</v>
      </c>
      <c r="Z106" s="18" t="e">
        <f>AVERAGEIFS([1]!Table2912[CH4 '[ml/g']],[1]!Table2912[Substrate ID],Table29128[[#This Row],[Substrate ID]])</f>
        <v>#REF!</v>
      </c>
      <c r="AA106" s="18" t="e">
        <f>AVERAGEIFS([1]!Table2912[CH4 '[% GP']],[1]!Table2912[Substrate ID],Table29128[[#This Row],[Substrate ID]])</f>
        <v>#REF!</v>
      </c>
      <c r="AB106" s="18" t="e">
        <f>AVERAGEIFS([1]!Table2912[CH4 '[g/g DDM']],[1]!Table2912[Substrate ID],Table29128[[#This Row],[Substrate ID]])</f>
        <v>#REF!</v>
      </c>
      <c r="AC106" s="18" t="e">
        <f>$CP$17*Table29128[[#This Row],[DMD '[mg/g']]]+$CQ$17*Table29128[[#This Row],[CH4 '[g/g DDM']]]</f>
        <v>#REF!</v>
      </c>
      <c r="AD106" s="18" t="e">
        <f>_xlfn.RANK.AVG(Table29128[[#This Row],[Index]],Table29128[Index])</f>
        <v>#REF!</v>
      </c>
      <c r="AE106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06" s="18" t="e">
        <f>Table29128[[#This Row],[CH4 '[ml/g']]]/Table29128[[#This Row],[APB]]</f>
        <v>#REF!</v>
      </c>
      <c r="AG106" s="18" t="e">
        <f>Table29128[[#This Row],[Propionate '[%']]]/Table29128[[#This Row],[Acetate '[%']]]</f>
        <v>#DIV/0!</v>
      </c>
      <c r="AH106" s="51"/>
      <c r="AI106" s="18"/>
      <c r="AJ106" s="18"/>
      <c r="AK106" s="135" t="e">
        <f t="shared" si="6"/>
        <v>#REF!</v>
      </c>
      <c r="AL106" s="18"/>
      <c r="AM106" s="135" t="e">
        <f t="shared" si="7"/>
        <v>#REF!</v>
      </c>
      <c r="AN106" s="18" t="e">
        <f>(Table29128[[#This Row],[CH4 '[g/g DDM']]]-AN$15)/AN$15%</f>
        <v>#REF!</v>
      </c>
      <c r="AO106" s="18"/>
      <c r="AP106" s="18"/>
      <c r="AR106" t="e">
        <f>_xlfn.NORM.DIST(Table29128[[#This Row],[GP '[ml/g']]],O$6,O$2,FALSE)</f>
        <v>#DIV/0!</v>
      </c>
      <c r="AS106" t="e">
        <f>_xlfn.NORM.DIST(Table29128[[#This Row],[SCFA '[mmol/g']]],P$6,P$2,FALSE)</f>
        <v>#DIV/0!</v>
      </c>
      <c r="AT106" t="e">
        <f>_xlfn.NORM.DIST(Table29128[[#This Row],[Acetate '[%']]],Q$6,Q$2,FALSE)</f>
        <v>#DIV/0!</v>
      </c>
      <c r="AU106" t="e">
        <f>_xlfn.NORM.DIST(Table29128[[#This Row],[Propionate '[%']]],R$6,R$2,FALSE)</f>
        <v>#DIV/0!</v>
      </c>
      <c r="AV106" t="e">
        <f>_xlfn.NORM.DIST(Table29128[[#This Row],[Butyrate '[%']]],S$6,S$2,FALSE)</f>
        <v>#DIV/0!</v>
      </c>
      <c r="AW106" t="e">
        <f>_xlfn.NORM.DIST(Table29128[[#This Row],[Valerate '[%']]],T$6,T$2,FALSE)</f>
        <v>#DIV/0!</v>
      </c>
      <c r="AX106" t="e">
        <f>_xlfn.NORM.DIST(Table29128[[#This Row],[Caproate '[%']]],U$6,U$2,FALSE)</f>
        <v>#DIV/0!</v>
      </c>
      <c r="AY106" t="e">
        <f>_xlfn.NORM.DIST(Table29128[[#This Row],[Isobutyrate '[%']]],V$6,V$2,FALSE)</f>
        <v>#DIV/0!</v>
      </c>
      <c r="AZ106" t="e">
        <f>_xlfn.NORM.DIST(Table29128[[#This Row],[Isovalerate '[%']]],W$6,W$2,FALSE)</f>
        <v>#DIV/0!</v>
      </c>
      <c r="BA106" t="e">
        <f>_xlfn.NORM.DIST(Table29128[[#This Row],[CH4 '[g/mmol SCFA']]],X$6,X$2,FALSE)</f>
        <v>#DIV/0!</v>
      </c>
      <c r="BB106" t="e">
        <f>_xlfn.NORM.DIST(Table29128[[#This Row],[DMD '[mg/g']]],Y$6,Y$2,FALSE)</f>
        <v>#REF!</v>
      </c>
      <c r="BC106" t="e">
        <f>_xlfn.NORM.DIST(Table29128[[#This Row],[CH4 '[ml/g']]],Z$6,Z$2,FALSE)</f>
        <v>#REF!</v>
      </c>
      <c r="BD106" t="e">
        <f>_xlfn.NORM.DIST(Table29128[[#This Row],[CH4 '[% GP']]],AA$6,AA$2,FALSE)</f>
        <v>#REF!</v>
      </c>
      <c r="BE106" t="e">
        <f>_xlfn.NORM.DIST(Table29128[[#This Row],[CH4 '[g/g DDM']]],AB$6,AB$2,FALSE)</f>
        <v>#REF!</v>
      </c>
      <c r="BG106">
        <f>IF(Table29128[[#This Row],[GP '[ml/g']]]&lt;O$10,_xlfn.NORM.DIST(Table29128[[#This Row],[GP '[ml/g']]],O$6,O$2,FALSE),-100)</f>
        <v>-100</v>
      </c>
      <c r="BH106">
        <f>IF(Table29128[[#This Row],[SCFA '[mmol/g']]]&lt;P$10,_xlfn.NORM.DIST(Table29128[[#This Row],[SCFA '[mmol/g']]],P$6,P$2,FALSE),-100)</f>
        <v>-100</v>
      </c>
      <c r="BI106">
        <f>IF(Table29128[[#This Row],[Acetate '[%']]]&lt;Q$10,_xlfn.NORM.DIST(Table29128[[#This Row],[Acetate '[%']]],Q$6,Q$2,FALSE),-100)</f>
        <v>-100</v>
      </c>
      <c r="BJ106">
        <f>IF(Table29128[[#This Row],[Propionate '[%']]]&lt;R$10,_xlfn.NORM.DIST(Table29128[[#This Row],[Propionate '[%']]],R$6,R$2,FALSE),-100)</f>
        <v>-100</v>
      </c>
      <c r="BK106">
        <f>IF(Table29128[[#This Row],[Butyrate '[%']]]&lt;S$10,_xlfn.NORM.DIST(Table29128[[#This Row],[Butyrate '[%']]],S$6,S$2,FALSE),-100)</f>
        <v>-100</v>
      </c>
      <c r="BL106">
        <f>IF(Table29128[[#This Row],[Valerate '[%']]]&lt;T$10,_xlfn.NORM.DIST(Table29128[[#This Row],[Valerate '[%']]],T$6,T$2,FALSE),-100)</f>
        <v>-100</v>
      </c>
      <c r="BM106">
        <f>IF(Table29128[[#This Row],[Caproate '[%']]]&lt;U$10,_xlfn.NORM.DIST(Table29128[[#This Row],[Caproate '[%']]],U$6,U$2,FALSE),-100)</f>
        <v>-100</v>
      </c>
      <c r="BN106">
        <f>IF(Table29128[[#This Row],[Isobutyrate '[%']]]&lt;V$10,_xlfn.NORM.DIST(Table29128[[#This Row],[Isobutyrate '[%']]],V$6,V$2,FALSE),-100)</f>
        <v>-100</v>
      </c>
      <c r="BO106">
        <f>IF(Table29128[[#This Row],[Isovalerate '[%']]]&lt;W$10,_xlfn.NORM.DIST(Table29128[[#This Row],[Isovalerate '[%']]],W$6,W$2,FALSE),-100)</f>
        <v>-100</v>
      </c>
      <c r="BP106">
        <f>IF(Table29128[[#This Row],[CH4 '[g/mmol SCFA']]]&lt;X$10,_xlfn.NORM.DIST(Table29128[[#This Row],[CH4 '[g/mmol SCFA']]],X$6,X$2,FALSE),-100)</f>
        <v>-100</v>
      </c>
      <c r="BQ106" t="e">
        <f>IF(Table29128[[#This Row],[DMD '[mg/g']]]&gt;Y$10,_xlfn.NORM.DIST(Table29128[[#This Row],[DMD '[mg/g']]],Y$6,Y$2,FALSE),-100)</f>
        <v>#REF!</v>
      </c>
      <c r="BR106" t="e">
        <f>IF(Table29128[[#This Row],[CH4 '[ml/g']]]&lt;Z$10,_xlfn.NORM.DIST(Table29128[[#This Row],[CH4 '[ml/g']]],Z$6,Z$2,FALSE),-100)</f>
        <v>#REF!</v>
      </c>
      <c r="BS106" t="e">
        <f>IF(Table29128[[#This Row],[CH4 '[% GP']]]&lt;AA$10,_xlfn.NORM.DIST(Table29128[[#This Row],[CH4 '[% GP']]],AA$6,AA$2,FALSE),-100)</f>
        <v>#REF!</v>
      </c>
      <c r="BT106" t="e">
        <f>IF(Table29128[[#This Row],[CH4 '[g/g DDM']]]&lt;AB$10,_xlfn.NORM.DIST(Table29128[[#This Row],[CH4 '[g/g DDM']]],AB$6,AB$2,FALSE),-100)</f>
        <v>#REF!</v>
      </c>
    </row>
    <row r="107" spans="1:72" ht="16.5" customHeight="1" x14ac:dyDescent="0.25">
      <c r="A107" s="12" t="s">
        <v>70</v>
      </c>
      <c r="B107" s="13">
        <v>988</v>
      </c>
      <c r="C107" s="96" t="s">
        <v>436</v>
      </c>
      <c r="D107" s="96"/>
      <c r="E107" s="96"/>
      <c r="F107" s="96" t="s">
        <v>437</v>
      </c>
      <c r="G107" t="s">
        <v>73</v>
      </c>
      <c r="H107" t="s">
        <v>74</v>
      </c>
      <c r="I107" t="s">
        <v>75</v>
      </c>
      <c r="J107" s="100">
        <v>1</v>
      </c>
      <c r="K107" s="100" t="s">
        <v>627</v>
      </c>
      <c r="L107" s="100"/>
      <c r="M107" t="s">
        <v>437</v>
      </c>
      <c r="N107" t="s">
        <v>80</v>
      </c>
      <c r="O107" s="18"/>
      <c r="P107" s="18"/>
      <c r="Q107" s="97"/>
      <c r="R107" s="97"/>
      <c r="S107" s="97"/>
      <c r="T107" s="97"/>
      <c r="U107" s="97"/>
      <c r="V107" s="97"/>
      <c r="W107" s="97"/>
      <c r="X107" s="51"/>
      <c r="Y107" s="18" t="e">
        <f>AVERAGEIFS([1]!Table2912[DMD '[mg/g']],[1]!Table2912[Substrate ID],Table29128[[#This Row],[Substrate ID]])</f>
        <v>#REF!</v>
      </c>
      <c r="Z107" s="18" t="e">
        <f>AVERAGEIFS([1]!Table2912[CH4 '[ml/g']],[1]!Table2912[Substrate ID],Table29128[[#This Row],[Substrate ID]])</f>
        <v>#REF!</v>
      </c>
      <c r="AA107" s="18" t="e">
        <f>AVERAGEIFS([1]!Table2912[CH4 '[% GP']],[1]!Table2912[Substrate ID],Table29128[[#This Row],[Substrate ID]])</f>
        <v>#REF!</v>
      </c>
      <c r="AB107" s="18" t="e">
        <f>AVERAGEIFS([1]!Table2912[CH4 '[g/g DDM']],[1]!Table2912[Substrate ID],Table29128[[#This Row],[Substrate ID]])</f>
        <v>#REF!</v>
      </c>
      <c r="AC107" s="18" t="e">
        <f>$CP$17*Table29128[[#This Row],[DMD '[mg/g']]]+$CQ$17*Table29128[[#This Row],[CH4 '[g/g DDM']]]</f>
        <v>#REF!</v>
      </c>
      <c r="AD107" s="18" t="e">
        <f>_xlfn.RANK.AVG(Table29128[[#This Row],[Index]],Table29128[Index])</f>
        <v>#REF!</v>
      </c>
      <c r="AE107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07" s="18" t="e">
        <f>Table29128[[#This Row],[CH4 '[ml/g']]]/Table29128[[#This Row],[APB]]</f>
        <v>#REF!</v>
      </c>
      <c r="AG107" s="18" t="e">
        <f>Table29128[[#This Row],[Propionate '[%']]]/Table29128[[#This Row],[Acetate '[%']]]</f>
        <v>#DIV/0!</v>
      </c>
      <c r="AH107" s="51"/>
      <c r="AI107" s="18"/>
      <c r="AJ107" s="18"/>
      <c r="AK107" s="135" t="e">
        <f t="shared" si="6"/>
        <v>#REF!</v>
      </c>
      <c r="AL107" s="18"/>
      <c r="AM107" s="135" t="e">
        <f t="shared" si="7"/>
        <v>#REF!</v>
      </c>
      <c r="AN107" s="18" t="e">
        <f>(Table29128[[#This Row],[CH4 '[g/g DDM']]]-AN$15)/AN$15%</f>
        <v>#REF!</v>
      </c>
      <c r="AO107" s="18"/>
      <c r="AP107" s="18"/>
      <c r="AR107" t="e">
        <f>_xlfn.NORM.DIST(Table29128[[#This Row],[GP '[ml/g']]],O$6,O$2,FALSE)</f>
        <v>#DIV/0!</v>
      </c>
      <c r="AS107" t="e">
        <f>_xlfn.NORM.DIST(Table29128[[#This Row],[SCFA '[mmol/g']]],P$6,P$2,FALSE)</f>
        <v>#DIV/0!</v>
      </c>
      <c r="AT107" t="e">
        <f>_xlfn.NORM.DIST(Table29128[[#This Row],[Acetate '[%']]],Q$6,Q$2,FALSE)</f>
        <v>#DIV/0!</v>
      </c>
      <c r="AU107" t="e">
        <f>_xlfn.NORM.DIST(Table29128[[#This Row],[Propionate '[%']]],R$6,R$2,FALSE)</f>
        <v>#DIV/0!</v>
      </c>
      <c r="AV107" t="e">
        <f>_xlfn.NORM.DIST(Table29128[[#This Row],[Butyrate '[%']]],S$6,S$2,FALSE)</f>
        <v>#DIV/0!</v>
      </c>
      <c r="AW107" t="e">
        <f>_xlfn.NORM.DIST(Table29128[[#This Row],[Valerate '[%']]],T$6,T$2,FALSE)</f>
        <v>#DIV/0!</v>
      </c>
      <c r="AX107" t="e">
        <f>_xlfn.NORM.DIST(Table29128[[#This Row],[Caproate '[%']]],U$6,U$2,FALSE)</f>
        <v>#DIV/0!</v>
      </c>
      <c r="AY107" t="e">
        <f>_xlfn.NORM.DIST(Table29128[[#This Row],[Isobutyrate '[%']]],V$6,V$2,FALSE)</f>
        <v>#DIV/0!</v>
      </c>
      <c r="AZ107" t="e">
        <f>_xlfn.NORM.DIST(Table29128[[#This Row],[Isovalerate '[%']]],W$6,W$2,FALSE)</f>
        <v>#DIV/0!</v>
      </c>
      <c r="BA107" t="e">
        <f>_xlfn.NORM.DIST(Table29128[[#This Row],[CH4 '[g/mmol SCFA']]],X$6,X$2,FALSE)</f>
        <v>#DIV/0!</v>
      </c>
      <c r="BB107" t="e">
        <f>_xlfn.NORM.DIST(Table29128[[#This Row],[DMD '[mg/g']]],Y$6,Y$2,FALSE)</f>
        <v>#REF!</v>
      </c>
      <c r="BC107" t="e">
        <f>_xlfn.NORM.DIST(Table29128[[#This Row],[CH4 '[ml/g']]],Z$6,Z$2,FALSE)</f>
        <v>#REF!</v>
      </c>
      <c r="BD107" t="e">
        <f>_xlfn.NORM.DIST(Table29128[[#This Row],[CH4 '[% GP']]],AA$6,AA$2,FALSE)</f>
        <v>#REF!</v>
      </c>
      <c r="BE107" t="e">
        <f>_xlfn.NORM.DIST(Table29128[[#This Row],[CH4 '[g/g DDM']]],AB$6,AB$2,FALSE)</f>
        <v>#REF!</v>
      </c>
      <c r="BG107">
        <f>IF(Table29128[[#This Row],[GP '[ml/g']]]&lt;O$10,_xlfn.NORM.DIST(Table29128[[#This Row],[GP '[ml/g']]],O$6,O$2,FALSE),-100)</f>
        <v>-100</v>
      </c>
      <c r="BH107">
        <f>IF(Table29128[[#This Row],[SCFA '[mmol/g']]]&lt;P$10,_xlfn.NORM.DIST(Table29128[[#This Row],[SCFA '[mmol/g']]],P$6,P$2,FALSE),-100)</f>
        <v>-100</v>
      </c>
      <c r="BI107">
        <f>IF(Table29128[[#This Row],[Acetate '[%']]]&lt;Q$10,_xlfn.NORM.DIST(Table29128[[#This Row],[Acetate '[%']]],Q$6,Q$2,FALSE),-100)</f>
        <v>-100</v>
      </c>
      <c r="BJ107">
        <f>IF(Table29128[[#This Row],[Propionate '[%']]]&lt;R$10,_xlfn.NORM.DIST(Table29128[[#This Row],[Propionate '[%']]],R$6,R$2,FALSE),-100)</f>
        <v>-100</v>
      </c>
      <c r="BK107">
        <f>IF(Table29128[[#This Row],[Butyrate '[%']]]&lt;S$10,_xlfn.NORM.DIST(Table29128[[#This Row],[Butyrate '[%']]],S$6,S$2,FALSE),-100)</f>
        <v>-100</v>
      </c>
      <c r="BL107">
        <f>IF(Table29128[[#This Row],[Valerate '[%']]]&lt;T$10,_xlfn.NORM.DIST(Table29128[[#This Row],[Valerate '[%']]],T$6,T$2,FALSE),-100)</f>
        <v>-100</v>
      </c>
      <c r="BM107">
        <f>IF(Table29128[[#This Row],[Caproate '[%']]]&lt;U$10,_xlfn.NORM.DIST(Table29128[[#This Row],[Caproate '[%']]],U$6,U$2,FALSE),-100)</f>
        <v>-100</v>
      </c>
      <c r="BN107">
        <f>IF(Table29128[[#This Row],[Isobutyrate '[%']]]&lt;V$10,_xlfn.NORM.DIST(Table29128[[#This Row],[Isobutyrate '[%']]],V$6,V$2,FALSE),-100)</f>
        <v>-100</v>
      </c>
      <c r="BO107">
        <f>IF(Table29128[[#This Row],[Isovalerate '[%']]]&lt;W$10,_xlfn.NORM.DIST(Table29128[[#This Row],[Isovalerate '[%']]],W$6,W$2,FALSE),-100)</f>
        <v>-100</v>
      </c>
      <c r="BP107">
        <f>IF(Table29128[[#This Row],[CH4 '[g/mmol SCFA']]]&lt;X$10,_xlfn.NORM.DIST(Table29128[[#This Row],[CH4 '[g/mmol SCFA']]],X$6,X$2,FALSE),-100)</f>
        <v>-100</v>
      </c>
      <c r="BQ107" t="e">
        <f>IF(Table29128[[#This Row],[DMD '[mg/g']]]&gt;Y$10,_xlfn.NORM.DIST(Table29128[[#This Row],[DMD '[mg/g']]],Y$6,Y$2,FALSE),-100)</f>
        <v>#REF!</v>
      </c>
      <c r="BR107" t="e">
        <f>IF(Table29128[[#This Row],[CH4 '[ml/g']]]&lt;Z$10,_xlfn.NORM.DIST(Table29128[[#This Row],[CH4 '[ml/g']]],Z$6,Z$2,FALSE),-100)</f>
        <v>#REF!</v>
      </c>
      <c r="BS107" t="e">
        <f>IF(Table29128[[#This Row],[CH4 '[% GP']]]&lt;AA$10,_xlfn.NORM.DIST(Table29128[[#This Row],[CH4 '[% GP']]],AA$6,AA$2,FALSE),-100)</f>
        <v>#REF!</v>
      </c>
      <c r="BT107" t="e">
        <f>IF(Table29128[[#This Row],[CH4 '[g/g DDM']]]&lt;AB$10,_xlfn.NORM.DIST(Table29128[[#This Row],[CH4 '[g/g DDM']]],AB$6,AB$2,FALSE),-100)</f>
        <v>#REF!</v>
      </c>
    </row>
    <row r="108" spans="1:72" x14ac:dyDescent="0.25">
      <c r="A108" s="12" t="s">
        <v>86</v>
      </c>
      <c r="B108" s="13">
        <v>1069</v>
      </c>
      <c r="C108" s="104" t="s">
        <v>505</v>
      </c>
      <c r="D108" s="104" t="s">
        <v>506</v>
      </c>
      <c r="E108" s="104" t="s">
        <v>507</v>
      </c>
      <c r="F108" s="104" t="s">
        <v>508</v>
      </c>
      <c r="G108" s="23" t="s">
        <v>73</v>
      </c>
      <c r="H108" s="23" t="s">
        <v>74</v>
      </c>
      <c r="I108" s="104" t="s">
        <v>106</v>
      </c>
      <c r="J108" s="100">
        <v>1</v>
      </c>
      <c r="K108" s="100" t="s">
        <v>627</v>
      </c>
      <c r="L108" s="100"/>
      <c r="M108" t="s">
        <v>508</v>
      </c>
      <c r="N108" t="s">
        <v>145</v>
      </c>
      <c r="O108" s="18"/>
      <c r="P108" s="18"/>
      <c r="Q108" s="97"/>
      <c r="R108" s="97"/>
      <c r="S108" s="97"/>
      <c r="T108" s="97"/>
      <c r="U108" s="97"/>
      <c r="V108" s="97"/>
      <c r="W108" s="97"/>
      <c r="X108" s="51"/>
      <c r="Y108" s="18" t="e">
        <f>AVERAGEIFS([1]!Table2912[DMD '[mg/g']],[1]!Table2912[Substrate ID],Table29128[[#This Row],[Substrate ID]])</f>
        <v>#REF!</v>
      </c>
      <c r="Z108" s="18" t="e">
        <f>AVERAGEIFS([1]!Table2912[CH4 '[ml/g']],[1]!Table2912[Substrate ID],Table29128[[#This Row],[Substrate ID]])</f>
        <v>#REF!</v>
      </c>
      <c r="AA108" s="18" t="e">
        <f>AVERAGEIFS([1]!Table2912[CH4 '[% GP']],[1]!Table2912[Substrate ID],Table29128[[#This Row],[Substrate ID]])</f>
        <v>#REF!</v>
      </c>
      <c r="AB108" s="18" t="e">
        <f>AVERAGEIFS([1]!Table2912[CH4 '[g/g DDM']],[1]!Table2912[Substrate ID],Table29128[[#This Row],[Substrate ID]])</f>
        <v>#REF!</v>
      </c>
      <c r="AC108" s="18" t="e">
        <f>$CP$17*Table29128[[#This Row],[DMD '[mg/g']]]+$CQ$17*Table29128[[#This Row],[CH4 '[g/g DDM']]]</f>
        <v>#REF!</v>
      </c>
      <c r="AD108" s="18" t="e">
        <f>_xlfn.RANK.AVG(Table29128[[#This Row],[Index]],Table29128[Index])</f>
        <v>#REF!</v>
      </c>
      <c r="AE108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08" s="18" t="e">
        <f>Table29128[[#This Row],[CH4 '[ml/g']]]/Table29128[[#This Row],[APB]]</f>
        <v>#REF!</v>
      </c>
      <c r="AG108" s="18" t="e">
        <f>Table29128[[#This Row],[Propionate '[%']]]/Table29128[[#This Row],[Acetate '[%']]]</f>
        <v>#DIV/0!</v>
      </c>
      <c r="AH108" s="51"/>
      <c r="AI108" s="18"/>
      <c r="AJ108" s="18"/>
      <c r="AK108" s="135" t="e">
        <f t="shared" si="6"/>
        <v>#REF!</v>
      </c>
      <c r="AL108" s="18"/>
      <c r="AM108" s="135" t="e">
        <f t="shared" si="7"/>
        <v>#REF!</v>
      </c>
      <c r="AN108" s="18" t="e">
        <f>(Table29128[[#This Row],[CH4 '[g/g DDM']]]-AN$15)/AN$15%</f>
        <v>#REF!</v>
      </c>
      <c r="AO108" s="18"/>
      <c r="AP108" s="18"/>
      <c r="AR108" t="e">
        <f>_xlfn.NORM.DIST(Table29128[[#This Row],[GP '[ml/g']]],O$6,O$2,FALSE)</f>
        <v>#DIV/0!</v>
      </c>
      <c r="AS108" t="e">
        <f>_xlfn.NORM.DIST(Table29128[[#This Row],[SCFA '[mmol/g']]],P$6,P$2,FALSE)</f>
        <v>#DIV/0!</v>
      </c>
      <c r="AT108" t="e">
        <f>_xlfn.NORM.DIST(Table29128[[#This Row],[Acetate '[%']]],Q$6,Q$2,FALSE)</f>
        <v>#DIV/0!</v>
      </c>
      <c r="AU108" t="e">
        <f>_xlfn.NORM.DIST(Table29128[[#This Row],[Propionate '[%']]],R$6,R$2,FALSE)</f>
        <v>#DIV/0!</v>
      </c>
      <c r="AV108" t="e">
        <f>_xlfn.NORM.DIST(Table29128[[#This Row],[Butyrate '[%']]],S$6,S$2,FALSE)</f>
        <v>#DIV/0!</v>
      </c>
      <c r="AW108" t="e">
        <f>_xlfn.NORM.DIST(Table29128[[#This Row],[Valerate '[%']]],T$6,T$2,FALSE)</f>
        <v>#DIV/0!</v>
      </c>
      <c r="AX108" t="e">
        <f>_xlfn.NORM.DIST(Table29128[[#This Row],[Caproate '[%']]],U$6,U$2,FALSE)</f>
        <v>#DIV/0!</v>
      </c>
      <c r="AY108" t="e">
        <f>_xlfn.NORM.DIST(Table29128[[#This Row],[Isobutyrate '[%']]],V$6,V$2,FALSE)</f>
        <v>#DIV/0!</v>
      </c>
      <c r="AZ108" t="e">
        <f>_xlfn.NORM.DIST(Table29128[[#This Row],[Isovalerate '[%']]],W$6,W$2,FALSE)</f>
        <v>#DIV/0!</v>
      </c>
      <c r="BA108" t="e">
        <f>_xlfn.NORM.DIST(Table29128[[#This Row],[CH4 '[g/mmol SCFA']]],X$6,X$2,FALSE)</f>
        <v>#DIV/0!</v>
      </c>
      <c r="BB108" t="e">
        <f>_xlfn.NORM.DIST(Table29128[[#This Row],[DMD '[mg/g']]],Y$6,Y$2,FALSE)</f>
        <v>#REF!</v>
      </c>
      <c r="BC108" t="e">
        <f>_xlfn.NORM.DIST(Table29128[[#This Row],[CH4 '[ml/g']]],Z$6,Z$2,FALSE)</f>
        <v>#REF!</v>
      </c>
      <c r="BD108" t="e">
        <f>_xlfn.NORM.DIST(Table29128[[#This Row],[CH4 '[% GP']]],AA$6,AA$2,FALSE)</f>
        <v>#REF!</v>
      </c>
      <c r="BE108" t="e">
        <f>_xlfn.NORM.DIST(Table29128[[#This Row],[CH4 '[g/g DDM']]],AB$6,AB$2,FALSE)</f>
        <v>#REF!</v>
      </c>
      <c r="BG108">
        <f>IF(Table29128[[#This Row],[GP '[ml/g']]]&lt;O$10,_xlfn.NORM.DIST(Table29128[[#This Row],[GP '[ml/g']]],O$6,O$2,FALSE),-100)</f>
        <v>-100</v>
      </c>
      <c r="BH108">
        <f>IF(Table29128[[#This Row],[SCFA '[mmol/g']]]&lt;P$10,_xlfn.NORM.DIST(Table29128[[#This Row],[SCFA '[mmol/g']]],P$6,P$2,FALSE),-100)</f>
        <v>-100</v>
      </c>
      <c r="BI108">
        <f>IF(Table29128[[#This Row],[Acetate '[%']]]&lt;Q$10,_xlfn.NORM.DIST(Table29128[[#This Row],[Acetate '[%']]],Q$6,Q$2,FALSE),-100)</f>
        <v>-100</v>
      </c>
      <c r="BJ108">
        <f>IF(Table29128[[#This Row],[Propionate '[%']]]&lt;R$10,_xlfn.NORM.DIST(Table29128[[#This Row],[Propionate '[%']]],R$6,R$2,FALSE),-100)</f>
        <v>-100</v>
      </c>
      <c r="BK108">
        <f>IF(Table29128[[#This Row],[Butyrate '[%']]]&lt;S$10,_xlfn.NORM.DIST(Table29128[[#This Row],[Butyrate '[%']]],S$6,S$2,FALSE),-100)</f>
        <v>-100</v>
      </c>
      <c r="BL108">
        <f>IF(Table29128[[#This Row],[Valerate '[%']]]&lt;T$10,_xlfn.NORM.DIST(Table29128[[#This Row],[Valerate '[%']]],T$6,T$2,FALSE),-100)</f>
        <v>-100</v>
      </c>
      <c r="BM108">
        <f>IF(Table29128[[#This Row],[Caproate '[%']]]&lt;U$10,_xlfn.NORM.DIST(Table29128[[#This Row],[Caproate '[%']]],U$6,U$2,FALSE),-100)</f>
        <v>-100</v>
      </c>
      <c r="BN108">
        <f>IF(Table29128[[#This Row],[Isobutyrate '[%']]]&lt;V$10,_xlfn.NORM.DIST(Table29128[[#This Row],[Isobutyrate '[%']]],V$6,V$2,FALSE),-100)</f>
        <v>-100</v>
      </c>
      <c r="BO108">
        <f>IF(Table29128[[#This Row],[Isovalerate '[%']]]&lt;W$10,_xlfn.NORM.DIST(Table29128[[#This Row],[Isovalerate '[%']]],W$6,W$2,FALSE),-100)</f>
        <v>-100</v>
      </c>
      <c r="BP108">
        <f>IF(Table29128[[#This Row],[CH4 '[g/mmol SCFA']]]&lt;X$10,_xlfn.NORM.DIST(Table29128[[#This Row],[CH4 '[g/mmol SCFA']]],X$6,X$2,FALSE),-100)</f>
        <v>-100</v>
      </c>
      <c r="BQ108" t="e">
        <f>IF(Table29128[[#This Row],[DMD '[mg/g']]]&gt;Y$10,_xlfn.NORM.DIST(Table29128[[#This Row],[DMD '[mg/g']]],Y$6,Y$2,FALSE),-100)</f>
        <v>#REF!</v>
      </c>
      <c r="BR108" t="e">
        <f>IF(Table29128[[#This Row],[CH4 '[ml/g']]]&lt;Z$10,_xlfn.NORM.DIST(Table29128[[#This Row],[CH4 '[ml/g']]],Z$6,Z$2,FALSE),-100)</f>
        <v>#REF!</v>
      </c>
      <c r="BS108" t="e">
        <f>IF(Table29128[[#This Row],[CH4 '[% GP']]]&lt;AA$10,_xlfn.NORM.DIST(Table29128[[#This Row],[CH4 '[% GP']]],AA$6,AA$2,FALSE),-100)</f>
        <v>#REF!</v>
      </c>
      <c r="BT108" t="e">
        <f>IF(Table29128[[#This Row],[CH4 '[g/g DDM']]]&lt;AB$10,_xlfn.NORM.DIST(Table29128[[#This Row],[CH4 '[g/g DDM']]],AB$6,AB$2,FALSE),-100)</f>
        <v>#REF!</v>
      </c>
    </row>
    <row r="109" spans="1:72" x14ac:dyDescent="0.25">
      <c r="A109" s="12" t="s">
        <v>200</v>
      </c>
      <c r="B109" s="13">
        <v>1195</v>
      </c>
      <c r="C109" s="113" t="s">
        <v>353</v>
      </c>
      <c r="D109" s="113" t="s">
        <v>354</v>
      </c>
      <c r="E109" s="113" t="s">
        <v>355</v>
      </c>
      <c r="F109" s="113" t="s">
        <v>356</v>
      </c>
      <c r="G109" s="146" t="s">
        <v>357</v>
      </c>
      <c r="H109" s="147" t="s">
        <v>358</v>
      </c>
      <c r="I109" t="s">
        <v>48</v>
      </c>
      <c r="J109" s="100">
        <v>1</v>
      </c>
      <c r="K109" s="100"/>
      <c r="L109" s="100"/>
      <c r="M109" t="s">
        <v>359</v>
      </c>
      <c r="N109" t="s">
        <v>363</v>
      </c>
      <c r="O109" s="18"/>
      <c r="P109" s="18"/>
      <c r="Q109" s="97"/>
      <c r="R109" s="97"/>
      <c r="S109" s="97"/>
      <c r="T109" s="97"/>
      <c r="U109" s="97"/>
      <c r="V109" s="97"/>
      <c r="W109" s="97"/>
      <c r="X109" s="51"/>
      <c r="Y109" s="18" t="e">
        <f>AVERAGEIFS([1]!Table2912[DMD '[mg/g']],[1]!Table2912[Substrate ID],Table29128[[#This Row],[Substrate ID]])</f>
        <v>#REF!</v>
      </c>
      <c r="Z109" s="18" t="e">
        <f>AVERAGEIFS([1]!Table2912[CH4 '[ml/g']],[1]!Table2912[Substrate ID],Table29128[[#This Row],[Substrate ID]])</f>
        <v>#REF!</v>
      </c>
      <c r="AA109" s="18" t="e">
        <f>AVERAGEIFS([1]!Table2912[CH4 '[% GP']],[1]!Table2912[Substrate ID],Table29128[[#This Row],[Substrate ID]])</f>
        <v>#REF!</v>
      </c>
      <c r="AB109" s="18" t="e">
        <f>AVERAGEIFS([1]!Table2912[CH4 '[g/g DDM']],[1]!Table2912[Substrate ID],Table29128[[#This Row],[Substrate ID]])</f>
        <v>#REF!</v>
      </c>
      <c r="AC109" s="18" t="e">
        <f>$CP$17*Table29128[[#This Row],[DMD '[mg/g']]]+$CQ$17*Table29128[[#This Row],[CH4 '[g/g DDM']]]</f>
        <v>#REF!</v>
      </c>
      <c r="AD109" s="18" t="e">
        <f>_xlfn.RANK.AVG(Table29128[[#This Row],[Index]],Table29128[Index])</f>
        <v>#REF!</v>
      </c>
      <c r="AE109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09" s="18" t="e">
        <f>Table29128[[#This Row],[CH4 '[ml/g']]]/Table29128[[#This Row],[APB]]</f>
        <v>#REF!</v>
      </c>
      <c r="AG109" s="18" t="e">
        <f>Table29128[[#This Row],[Propionate '[%']]]/Table29128[[#This Row],[Acetate '[%']]]</f>
        <v>#DIV/0!</v>
      </c>
      <c r="AH109" s="51"/>
      <c r="AI109" s="18"/>
      <c r="AJ109" s="18"/>
      <c r="AK109" s="135" t="e">
        <f t="shared" si="6"/>
        <v>#REF!</v>
      </c>
      <c r="AL109" s="18"/>
      <c r="AM109" s="135" t="e">
        <f t="shared" si="7"/>
        <v>#REF!</v>
      </c>
      <c r="AN109" s="18" t="e">
        <f>(Table29128[[#This Row],[CH4 '[g/g DDM']]]-AN$15)/AN$15%</f>
        <v>#REF!</v>
      </c>
      <c r="AO109" s="18"/>
      <c r="AP109" s="18"/>
      <c r="AR109" t="e">
        <f>_xlfn.NORM.DIST(Table29128[[#This Row],[GP '[ml/g']]],O$6,O$2,FALSE)</f>
        <v>#DIV/0!</v>
      </c>
      <c r="AS109" t="e">
        <f>_xlfn.NORM.DIST(Table29128[[#This Row],[SCFA '[mmol/g']]],P$6,P$2,FALSE)</f>
        <v>#DIV/0!</v>
      </c>
      <c r="AT109" t="e">
        <f>_xlfn.NORM.DIST(Table29128[[#This Row],[Acetate '[%']]],Q$6,Q$2,FALSE)</f>
        <v>#DIV/0!</v>
      </c>
      <c r="AU109" t="e">
        <f>_xlfn.NORM.DIST(Table29128[[#This Row],[Propionate '[%']]],R$6,R$2,FALSE)</f>
        <v>#DIV/0!</v>
      </c>
      <c r="AV109" t="e">
        <f>_xlfn.NORM.DIST(Table29128[[#This Row],[Butyrate '[%']]],S$6,S$2,FALSE)</f>
        <v>#DIV/0!</v>
      </c>
      <c r="AW109" t="e">
        <f>_xlfn.NORM.DIST(Table29128[[#This Row],[Valerate '[%']]],T$6,T$2,FALSE)</f>
        <v>#DIV/0!</v>
      </c>
      <c r="AX109" t="e">
        <f>_xlfn.NORM.DIST(Table29128[[#This Row],[Caproate '[%']]],U$6,U$2,FALSE)</f>
        <v>#DIV/0!</v>
      </c>
      <c r="AY109" t="e">
        <f>_xlfn.NORM.DIST(Table29128[[#This Row],[Isobutyrate '[%']]],V$6,V$2,FALSE)</f>
        <v>#DIV/0!</v>
      </c>
      <c r="AZ109" t="e">
        <f>_xlfn.NORM.DIST(Table29128[[#This Row],[Isovalerate '[%']]],W$6,W$2,FALSE)</f>
        <v>#DIV/0!</v>
      </c>
      <c r="BA109" t="e">
        <f>_xlfn.NORM.DIST(Table29128[[#This Row],[CH4 '[g/mmol SCFA']]],X$6,X$2,FALSE)</f>
        <v>#DIV/0!</v>
      </c>
      <c r="BB109" t="e">
        <f>_xlfn.NORM.DIST(Table29128[[#This Row],[DMD '[mg/g']]],Y$6,Y$2,FALSE)</f>
        <v>#REF!</v>
      </c>
      <c r="BC109" t="e">
        <f>_xlfn.NORM.DIST(Table29128[[#This Row],[CH4 '[ml/g']]],Z$6,Z$2,FALSE)</f>
        <v>#REF!</v>
      </c>
      <c r="BD109" t="e">
        <f>_xlfn.NORM.DIST(Table29128[[#This Row],[CH4 '[% GP']]],AA$6,AA$2,FALSE)</f>
        <v>#REF!</v>
      </c>
      <c r="BE109" t="e">
        <f>_xlfn.NORM.DIST(Table29128[[#This Row],[CH4 '[g/g DDM']]],AB$6,AB$2,FALSE)</f>
        <v>#REF!</v>
      </c>
      <c r="BG109">
        <f>IF(Table29128[[#This Row],[GP '[ml/g']]]&lt;O$10,_xlfn.NORM.DIST(Table29128[[#This Row],[GP '[ml/g']]],O$6,O$2,FALSE),-100)</f>
        <v>-100</v>
      </c>
      <c r="BH109">
        <f>IF(Table29128[[#This Row],[SCFA '[mmol/g']]]&lt;P$10,_xlfn.NORM.DIST(Table29128[[#This Row],[SCFA '[mmol/g']]],P$6,P$2,FALSE),-100)</f>
        <v>-100</v>
      </c>
      <c r="BI109">
        <f>IF(Table29128[[#This Row],[Acetate '[%']]]&lt;Q$10,_xlfn.NORM.DIST(Table29128[[#This Row],[Acetate '[%']]],Q$6,Q$2,FALSE),-100)</f>
        <v>-100</v>
      </c>
      <c r="BJ109">
        <f>IF(Table29128[[#This Row],[Propionate '[%']]]&lt;R$10,_xlfn.NORM.DIST(Table29128[[#This Row],[Propionate '[%']]],R$6,R$2,FALSE),-100)</f>
        <v>-100</v>
      </c>
      <c r="BK109">
        <f>IF(Table29128[[#This Row],[Butyrate '[%']]]&lt;S$10,_xlfn.NORM.DIST(Table29128[[#This Row],[Butyrate '[%']]],S$6,S$2,FALSE),-100)</f>
        <v>-100</v>
      </c>
      <c r="BL109">
        <f>IF(Table29128[[#This Row],[Valerate '[%']]]&lt;T$10,_xlfn.NORM.DIST(Table29128[[#This Row],[Valerate '[%']]],T$6,T$2,FALSE),-100)</f>
        <v>-100</v>
      </c>
      <c r="BM109">
        <f>IF(Table29128[[#This Row],[Caproate '[%']]]&lt;U$10,_xlfn.NORM.DIST(Table29128[[#This Row],[Caproate '[%']]],U$6,U$2,FALSE),-100)</f>
        <v>-100</v>
      </c>
      <c r="BN109">
        <f>IF(Table29128[[#This Row],[Isobutyrate '[%']]]&lt;V$10,_xlfn.NORM.DIST(Table29128[[#This Row],[Isobutyrate '[%']]],V$6,V$2,FALSE),-100)</f>
        <v>-100</v>
      </c>
      <c r="BO109">
        <f>IF(Table29128[[#This Row],[Isovalerate '[%']]]&lt;W$10,_xlfn.NORM.DIST(Table29128[[#This Row],[Isovalerate '[%']]],W$6,W$2,FALSE),-100)</f>
        <v>-100</v>
      </c>
      <c r="BP109">
        <f>IF(Table29128[[#This Row],[CH4 '[g/mmol SCFA']]]&lt;X$10,_xlfn.NORM.DIST(Table29128[[#This Row],[CH4 '[g/mmol SCFA']]],X$6,X$2,FALSE),-100)</f>
        <v>-100</v>
      </c>
      <c r="BQ109" t="e">
        <f>IF(Table29128[[#This Row],[DMD '[mg/g']]]&gt;Y$10,_xlfn.NORM.DIST(Table29128[[#This Row],[DMD '[mg/g']]],Y$6,Y$2,FALSE),-100)</f>
        <v>#REF!</v>
      </c>
      <c r="BR109" t="e">
        <f>IF(Table29128[[#This Row],[CH4 '[ml/g']]]&lt;Z$10,_xlfn.NORM.DIST(Table29128[[#This Row],[CH4 '[ml/g']]],Z$6,Z$2,FALSE),-100)</f>
        <v>#REF!</v>
      </c>
      <c r="BS109" t="e">
        <f>IF(Table29128[[#This Row],[CH4 '[% GP']]]&lt;AA$10,_xlfn.NORM.DIST(Table29128[[#This Row],[CH4 '[% GP']]],AA$6,AA$2,FALSE),-100)</f>
        <v>#REF!</v>
      </c>
      <c r="BT109" t="e">
        <f>IF(Table29128[[#This Row],[CH4 '[g/g DDM']]]&lt;AB$10,_xlfn.NORM.DIST(Table29128[[#This Row],[CH4 '[g/g DDM']]],AB$6,AB$2,FALSE),-100)</f>
        <v>#REF!</v>
      </c>
    </row>
    <row r="110" spans="1:72" x14ac:dyDescent="0.25">
      <c r="A110" s="12" t="s">
        <v>200</v>
      </c>
      <c r="B110" s="13">
        <v>1154</v>
      </c>
      <c r="C110" s="117" t="s">
        <v>360</v>
      </c>
      <c r="D110" s="117" t="s">
        <v>262</v>
      </c>
      <c r="E110" s="117" t="s">
        <v>361</v>
      </c>
      <c r="F110" s="117" t="s">
        <v>362</v>
      </c>
      <c r="G110" t="s">
        <v>73</v>
      </c>
      <c r="H110" t="s">
        <v>74</v>
      </c>
      <c r="I110" t="s">
        <v>75</v>
      </c>
      <c r="J110" s="100">
        <v>1</v>
      </c>
      <c r="K110" s="100"/>
      <c r="L110" s="100"/>
      <c r="M110" t="s">
        <v>362</v>
      </c>
      <c r="N110" t="s">
        <v>237</v>
      </c>
      <c r="O110" s="18"/>
      <c r="P110" s="18"/>
      <c r="Q110" s="97"/>
      <c r="R110" s="97"/>
      <c r="S110" s="97"/>
      <c r="T110" s="97"/>
      <c r="U110" s="97"/>
      <c r="V110" s="97"/>
      <c r="W110" s="97"/>
      <c r="X110" s="51"/>
      <c r="Y110" s="18" t="e">
        <f>AVERAGEIFS([1]!Table2912[DMD '[mg/g']],[1]!Table2912[Substrate ID],Table29128[[#This Row],[Substrate ID]])</f>
        <v>#REF!</v>
      </c>
      <c r="Z110" s="18" t="e">
        <f>AVERAGEIFS([1]!Table2912[CH4 '[ml/g']],[1]!Table2912[Substrate ID],Table29128[[#This Row],[Substrate ID]])</f>
        <v>#REF!</v>
      </c>
      <c r="AA110" s="18" t="e">
        <f>AVERAGEIFS([1]!Table2912[CH4 '[% GP']],[1]!Table2912[Substrate ID],Table29128[[#This Row],[Substrate ID]])</f>
        <v>#REF!</v>
      </c>
      <c r="AB110" s="18" t="e">
        <f>AVERAGEIFS([1]!Table2912[CH4 '[g/g DDM']],[1]!Table2912[Substrate ID],Table29128[[#This Row],[Substrate ID]])</f>
        <v>#REF!</v>
      </c>
      <c r="AC110" s="18" t="e">
        <f>$CP$17*Table29128[[#This Row],[DMD '[mg/g']]]+$CQ$17*Table29128[[#This Row],[CH4 '[g/g DDM']]]</f>
        <v>#REF!</v>
      </c>
      <c r="AD110" s="18" t="e">
        <f>_xlfn.RANK.AVG(Table29128[[#This Row],[Index]],Table29128[Index])</f>
        <v>#REF!</v>
      </c>
      <c r="AE110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10" s="18" t="e">
        <f>Table29128[[#This Row],[CH4 '[ml/g']]]/Table29128[[#This Row],[APB]]</f>
        <v>#REF!</v>
      </c>
      <c r="AG110" s="18" t="e">
        <f>Table29128[[#This Row],[Propionate '[%']]]/Table29128[[#This Row],[Acetate '[%']]]</f>
        <v>#DIV/0!</v>
      </c>
      <c r="AH110" s="51"/>
      <c r="AI110" s="18"/>
      <c r="AJ110" s="18"/>
      <c r="AK110" s="135" t="e">
        <f t="shared" si="6"/>
        <v>#REF!</v>
      </c>
      <c r="AL110" s="18"/>
      <c r="AM110" s="135" t="e">
        <f t="shared" si="7"/>
        <v>#REF!</v>
      </c>
      <c r="AN110" s="18" t="e">
        <f>(Table29128[[#This Row],[CH4 '[g/g DDM']]]-AN$15)/AN$15%</f>
        <v>#REF!</v>
      </c>
      <c r="AO110" s="18"/>
      <c r="AP110" s="18"/>
      <c r="AR110" t="e">
        <f>_xlfn.NORM.DIST(Table29128[[#This Row],[GP '[ml/g']]],O$6,O$2,FALSE)</f>
        <v>#DIV/0!</v>
      </c>
      <c r="AS110" t="e">
        <f>_xlfn.NORM.DIST(Table29128[[#This Row],[SCFA '[mmol/g']]],P$6,P$2,FALSE)</f>
        <v>#DIV/0!</v>
      </c>
      <c r="AT110" t="e">
        <f>_xlfn.NORM.DIST(Table29128[[#This Row],[Acetate '[%']]],Q$6,Q$2,FALSE)</f>
        <v>#DIV/0!</v>
      </c>
      <c r="AU110" t="e">
        <f>_xlfn.NORM.DIST(Table29128[[#This Row],[Propionate '[%']]],R$6,R$2,FALSE)</f>
        <v>#DIV/0!</v>
      </c>
      <c r="AV110" t="e">
        <f>_xlfn.NORM.DIST(Table29128[[#This Row],[Butyrate '[%']]],S$6,S$2,FALSE)</f>
        <v>#DIV/0!</v>
      </c>
      <c r="AW110" t="e">
        <f>_xlfn.NORM.DIST(Table29128[[#This Row],[Valerate '[%']]],T$6,T$2,FALSE)</f>
        <v>#DIV/0!</v>
      </c>
      <c r="AX110" t="e">
        <f>_xlfn.NORM.DIST(Table29128[[#This Row],[Caproate '[%']]],U$6,U$2,FALSE)</f>
        <v>#DIV/0!</v>
      </c>
      <c r="AY110" t="e">
        <f>_xlfn.NORM.DIST(Table29128[[#This Row],[Isobutyrate '[%']]],V$6,V$2,FALSE)</f>
        <v>#DIV/0!</v>
      </c>
      <c r="AZ110" t="e">
        <f>_xlfn.NORM.DIST(Table29128[[#This Row],[Isovalerate '[%']]],W$6,W$2,FALSE)</f>
        <v>#DIV/0!</v>
      </c>
      <c r="BA110" t="e">
        <f>_xlfn.NORM.DIST(Table29128[[#This Row],[CH4 '[g/mmol SCFA']]],X$6,X$2,FALSE)</f>
        <v>#DIV/0!</v>
      </c>
      <c r="BB110" t="e">
        <f>_xlfn.NORM.DIST(Table29128[[#This Row],[DMD '[mg/g']]],Y$6,Y$2,FALSE)</f>
        <v>#REF!</v>
      </c>
      <c r="BC110" t="e">
        <f>_xlfn.NORM.DIST(Table29128[[#This Row],[CH4 '[ml/g']]],Z$6,Z$2,FALSE)</f>
        <v>#REF!</v>
      </c>
      <c r="BD110" t="e">
        <f>_xlfn.NORM.DIST(Table29128[[#This Row],[CH4 '[% GP']]],AA$6,AA$2,FALSE)</f>
        <v>#REF!</v>
      </c>
      <c r="BE110" t="e">
        <f>_xlfn.NORM.DIST(Table29128[[#This Row],[CH4 '[g/g DDM']]],AB$6,AB$2,FALSE)</f>
        <v>#REF!</v>
      </c>
      <c r="BG110">
        <f>IF(Table29128[[#This Row],[GP '[ml/g']]]&lt;O$10,_xlfn.NORM.DIST(Table29128[[#This Row],[GP '[ml/g']]],O$6,O$2,FALSE),-100)</f>
        <v>-100</v>
      </c>
      <c r="BH110">
        <f>IF(Table29128[[#This Row],[SCFA '[mmol/g']]]&lt;P$10,_xlfn.NORM.DIST(Table29128[[#This Row],[SCFA '[mmol/g']]],P$6,P$2,FALSE),-100)</f>
        <v>-100</v>
      </c>
      <c r="BI110">
        <f>IF(Table29128[[#This Row],[Acetate '[%']]]&lt;Q$10,_xlfn.NORM.DIST(Table29128[[#This Row],[Acetate '[%']]],Q$6,Q$2,FALSE),-100)</f>
        <v>-100</v>
      </c>
      <c r="BJ110">
        <f>IF(Table29128[[#This Row],[Propionate '[%']]]&lt;R$10,_xlfn.NORM.DIST(Table29128[[#This Row],[Propionate '[%']]],R$6,R$2,FALSE),-100)</f>
        <v>-100</v>
      </c>
      <c r="BK110">
        <f>IF(Table29128[[#This Row],[Butyrate '[%']]]&lt;S$10,_xlfn.NORM.DIST(Table29128[[#This Row],[Butyrate '[%']]],S$6,S$2,FALSE),-100)</f>
        <v>-100</v>
      </c>
      <c r="BL110">
        <f>IF(Table29128[[#This Row],[Valerate '[%']]]&lt;T$10,_xlfn.NORM.DIST(Table29128[[#This Row],[Valerate '[%']]],T$6,T$2,FALSE),-100)</f>
        <v>-100</v>
      </c>
      <c r="BM110">
        <f>IF(Table29128[[#This Row],[Caproate '[%']]]&lt;U$10,_xlfn.NORM.DIST(Table29128[[#This Row],[Caproate '[%']]],U$6,U$2,FALSE),-100)</f>
        <v>-100</v>
      </c>
      <c r="BN110">
        <f>IF(Table29128[[#This Row],[Isobutyrate '[%']]]&lt;V$10,_xlfn.NORM.DIST(Table29128[[#This Row],[Isobutyrate '[%']]],V$6,V$2,FALSE),-100)</f>
        <v>-100</v>
      </c>
      <c r="BO110">
        <f>IF(Table29128[[#This Row],[Isovalerate '[%']]]&lt;W$10,_xlfn.NORM.DIST(Table29128[[#This Row],[Isovalerate '[%']]],W$6,W$2,FALSE),-100)</f>
        <v>-100</v>
      </c>
      <c r="BP110">
        <f>IF(Table29128[[#This Row],[CH4 '[g/mmol SCFA']]]&lt;X$10,_xlfn.NORM.DIST(Table29128[[#This Row],[CH4 '[g/mmol SCFA']]],X$6,X$2,FALSE),-100)</f>
        <v>-100</v>
      </c>
      <c r="BQ110" t="e">
        <f>IF(Table29128[[#This Row],[DMD '[mg/g']]]&gt;Y$10,_xlfn.NORM.DIST(Table29128[[#This Row],[DMD '[mg/g']]],Y$6,Y$2,FALSE),-100)</f>
        <v>#REF!</v>
      </c>
      <c r="BR110" t="e">
        <f>IF(Table29128[[#This Row],[CH4 '[ml/g']]]&lt;Z$10,_xlfn.NORM.DIST(Table29128[[#This Row],[CH4 '[ml/g']]],Z$6,Z$2,FALSE),-100)</f>
        <v>#REF!</v>
      </c>
      <c r="BS110" t="e">
        <f>IF(Table29128[[#This Row],[CH4 '[% GP']]]&lt;AA$10,_xlfn.NORM.DIST(Table29128[[#This Row],[CH4 '[% GP']]],AA$6,AA$2,FALSE),-100)</f>
        <v>#REF!</v>
      </c>
      <c r="BT110" t="e">
        <f>IF(Table29128[[#This Row],[CH4 '[g/g DDM']]]&lt;AB$10,_xlfn.NORM.DIST(Table29128[[#This Row],[CH4 '[g/g DDM']]],AB$6,AB$2,FALSE),-100)</f>
        <v>#REF!</v>
      </c>
    </row>
    <row r="111" spans="1:72" x14ac:dyDescent="0.25">
      <c r="A111" s="12" t="s">
        <v>200</v>
      </c>
      <c r="B111" s="13">
        <v>1155</v>
      </c>
      <c r="C111" s="117" t="s">
        <v>261</v>
      </c>
      <c r="D111" s="117" t="s">
        <v>262</v>
      </c>
      <c r="E111" s="117" t="s">
        <v>263</v>
      </c>
      <c r="F111" s="117" t="s">
        <v>264</v>
      </c>
      <c r="G111" t="s">
        <v>73</v>
      </c>
      <c r="H111" t="s">
        <v>74</v>
      </c>
      <c r="I111" t="s">
        <v>75</v>
      </c>
      <c r="J111" s="100">
        <v>1</v>
      </c>
      <c r="K111" s="100"/>
      <c r="L111" s="100"/>
      <c r="M111" t="s">
        <v>264</v>
      </c>
      <c r="N111" t="s">
        <v>171</v>
      </c>
      <c r="O111" s="18"/>
      <c r="P111" s="18"/>
      <c r="Q111" s="97"/>
      <c r="R111" s="97"/>
      <c r="S111" s="97"/>
      <c r="T111" s="97"/>
      <c r="U111" s="97"/>
      <c r="V111" s="97"/>
      <c r="W111" s="97"/>
      <c r="X111" s="51"/>
      <c r="Y111" s="18" t="e">
        <f>AVERAGEIFS([1]!Table2912[DMD '[mg/g']],[1]!Table2912[Substrate ID],Table29128[[#This Row],[Substrate ID]])</f>
        <v>#REF!</v>
      </c>
      <c r="Z111" s="18" t="e">
        <f>AVERAGEIFS([1]!Table2912[CH4 '[ml/g']],[1]!Table2912[Substrate ID],Table29128[[#This Row],[Substrate ID]])</f>
        <v>#REF!</v>
      </c>
      <c r="AA111" s="18" t="e">
        <f>AVERAGEIFS([1]!Table2912[CH4 '[% GP']],[1]!Table2912[Substrate ID],Table29128[[#This Row],[Substrate ID]])</f>
        <v>#REF!</v>
      </c>
      <c r="AB111" s="18" t="e">
        <f>AVERAGEIFS([1]!Table2912[CH4 '[g/g DDM']],[1]!Table2912[Substrate ID],Table29128[[#This Row],[Substrate ID]])</f>
        <v>#REF!</v>
      </c>
      <c r="AC111" s="18" t="e">
        <f>$CP$17*Table29128[[#This Row],[DMD '[mg/g']]]+$CQ$17*Table29128[[#This Row],[CH4 '[g/g DDM']]]</f>
        <v>#REF!</v>
      </c>
      <c r="AD111" s="18" t="e">
        <f>_xlfn.RANK.AVG(Table29128[[#This Row],[Index]],Table29128[Index])</f>
        <v>#REF!</v>
      </c>
      <c r="AE111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11" s="18" t="e">
        <f>Table29128[[#This Row],[CH4 '[ml/g']]]/Table29128[[#This Row],[APB]]</f>
        <v>#REF!</v>
      </c>
      <c r="AG111" s="18" t="e">
        <f>Table29128[[#This Row],[Propionate '[%']]]/Table29128[[#This Row],[Acetate '[%']]]</f>
        <v>#DIV/0!</v>
      </c>
      <c r="AH111" s="51"/>
      <c r="AI111" s="18"/>
      <c r="AJ111" s="18"/>
      <c r="AK111" s="135" t="e">
        <f t="shared" si="6"/>
        <v>#REF!</v>
      </c>
      <c r="AL111" s="18"/>
      <c r="AM111" s="135" t="e">
        <f t="shared" si="7"/>
        <v>#REF!</v>
      </c>
      <c r="AN111" s="18" t="e">
        <f>(Table29128[[#This Row],[CH4 '[g/g DDM']]]-AN$15)/AN$15%</f>
        <v>#REF!</v>
      </c>
      <c r="AO111" s="18"/>
      <c r="AP111" s="18"/>
      <c r="AR111" t="e">
        <f>_xlfn.NORM.DIST(Table29128[[#This Row],[GP '[ml/g']]],O$6,O$2,FALSE)</f>
        <v>#DIV/0!</v>
      </c>
      <c r="AS111" t="e">
        <f>_xlfn.NORM.DIST(Table29128[[#This Row],[SCFA '[mmol/g']]],P$6,P$2,FALSE)</f>
        <v>#DIV/0!</v>
      </c>
      <c r="AT111" t="e">
        <f>_xlfn.NORM.DIST(Table29128[[#This Row],[Acetate '[%']]],Q$6,Q$2,FALSE)</f>
        <v>#DIV/0!</v>
      </c>
      <c r="AU111" t="e">
        <f>_xlfn.NORM.DIST(Table29128[[#This Row],[Propionate '[%']]],R$6,R$2,FALSE)</f>
        <v>#DIV/0!</v>
      </c>
      <c r="AV111" t="e">
        <f>_xlfn.NORM.DIST(Table29128[[#This Row],[Butyrate '[%']]],S$6,S$2,FALSE)</f>
        <v>#DIV/0!</v>
      </c>
      <c r="AW111" t="e">
        <f>_xlfn.NORM.DIST(Table29128[[#This Row],[Valerate '[%']]],T$6,T$2,FALSE)</f>
        <v>#DIV/0!</v>
      </c>
      <c r="AX111" t="e">
        <f>_xlfn.NORM.DIST(Table29128[[#This Row],[Caproate '[%']]],U$6,U$2,FALSE)</f>
        <v>#DIV/0!</v>
      </c>
      <c r="AY111" t="e">
        <f>_xlfn.NORM.DIST(Table29128[[#This Row],[Isobutyrate '[%']]],V$6,V$2,FALSE)</f>
        <v>#DIV/0!</v>
      </c>
      <c r="AZ111" t="e">
        <f>_xlfn.NORM.DIST(Table29128[[#This Row],[Isovalerate '[%']]],W$6,W$2,FALSE)</f>
        <v>#DIV/0!</v>
      </c>
      <c r="BA111" t="e">
        <f>_xlfn.NORM.DIST(Table29128[[#This Row],[CH4 '[g/mmol SCFA']]],X$6,X$2,FALSE)</f>
        <v>#DIV/0!</v>
      </c>
      <c r="BB111" t="e">
        <f>_xlfn.NORM.DIST(Table29128[[#This Row],[DMD '[mg/g']]],Y$6,Y$2,FALSE)</f>
        <v>#REF!</v>
      </c>
      <c r="BC111" t="e">
        <f>_xlfn.NORM.DIST(Table29128[[#This Row],[CH4 '[ml/g']]],Z$6,Z$2,FALSE)</f>
        <v>#REF!</v>
      </c>
      <c r="BD111" t="e">
        <f>_xlfn.NORM.DIST(Table29128[[#This Row],[CH4 '[% GP']]],AA$6,AA$2,FALSE)</f>
        <v>#REF!</v>
      </c>
      <c r="BE111" t="e">
        <f>_xlfn.NORM.DIST(Table29128[[#This Row],[CH4 '[g/g DDM']]],AB$6,AB$2,FALSE)</f>
        <v>#REF!</v>
      </c>
      <c r="BG111">
        <f>IF(Table29128[[#This Row],[GP '[ml/g']]]&lt;O$10,_xlfn.NORM.DIST(Table29128[[#This Row],[GP '[ml/g']]],O$6,O$2,FALSE),-100)</f>
        <v>-100</v>
      </c>
      <c r="BH111">
        <f>IF(Table29128[[#This Row],[SCFA '[mmol/g']]]&lt;P$10,_xlfn.NORM.DIST(Table29128[[#This Row],[SCFA '[mmol/g']]],P$6,P$2,FALSE),-100)</f>
        <v>-100</v>
      </c>
      <c r="BI111">
        <f>IF(Table29128[[#This Row],[Acetate '[%']]]&lt;Q$10,_xlfn.NORM.DIST(Table29128[[#This Row],[Acetate '[%']]],Q$6,Q$2,FALSE),-100)</f>
        <v>-100</v>
      </c>
      <c r="BJ111">
        <f>IF(Table29128[[#This Row],[Propionate '[%']]]&lt;R$10,_xlfn.NORM.DIST(Table29128[[#This Row],[Propionate '[%']]],R$6,R$2,FALSE),-100)</f>
        <v>-100</v>
      </c>
      <c r="BK111">
        <f>IF(Table29128[[#This Row],[Butyrate '[%']]]&lt;S$10,_xlfn.NORM.DIST(Table29128[[#This Row],[Butyrate '[%']]],S$6,S$2,FALSE),-100)</f>
        <v>-100</v>
      </c>
      <c r="BL111">
        <f>IF(Table29128[[#This Row],[Valerate '[%']]]&lt;T$10,_xlfn.NORM.DIST(Table29128[[#This Row],[Valerate '[%']]],T$6,T$2,FALSE),-100)</f>
        <v>-100</v>
      </c>
      <c r="BM111">
        <f>IF(Table29128[[#This Row],[Caproate '[%']]]&lt;U$10,_xlfn.NORM.DIST(Table29128[[#This Row],[Caproate '[%']]],U$6,U$2,FALSE),-100)</f>
        <v>-100</v>
      </c>
      <c r="BN111">
        <f>IF(Table29128[[#This Row],[Isobutyrate '[%']]]&lt;V$10,_xlfn.NORM.DIST(Table29128[[#This Row],[Isobutyrate '[%']]],V$6,V$2,FALSE),-100)</f>
        <v>-100</v>
      </c>
      <c r="BO111">
        <f>IF(Table29128[[#This Row],[Isovalerate '[%']]]&lt;W$10,_xlfn.NORM.DIST(Table29128[[#This Row],[Isovalerate '[%']]],W$6,W$2,FALSE),-100)</f>
        <v>-100</v>
      </c>
      <c r="BP111">
        <f>IF(Table29128[[#This Row],[CH4 '[g/mmol SCFA']]]&lt;X$10,_xlfn.NORM.DIST(Table29128[[#This Row],[CH4 '[g/mmol SCFA']]],X$6,X$2,FALSE),-100)</f>
        <v>-100</v>
      </c>
      <c r="BQ111" t="e">
        <f>IF(Table29128[[#This Row],[DMD '[mg/g']]]&gt;Y$10,_xlfn.NORM.DIST(Table29128[[#This Row],[DMD '[mg/g']]],Y$6,Y$2,FALSE),-100)</f>
        <v>#REF!</v>
      </c>
      <c r="BR111" t="e">
        <f>IF(Table29128[[#This Row],[CH4 '[ml/g']]]&lt;Z$10,_xlfn.NORM.DIST(Table29128[[#This Row],[CH4 '[ml/g']]],Z$6,Z$2,FALSE),-100)</f>
        <v>#REF!</v>
      </c>
      <c r="BS111" t="e">
        <f>IF(Table29128[[#This Row],[CH4 '[% GP']]]&lt;AA$10,_xlfn.NORM.DIST(Table29128[[#This Row],[CH4 '[% GP']]],AA$6,AA$2,FALSE),-100)</f>
        <v>#REF!</v>
      </c>
      <c r="BT111" t="e">
        <f>IF(Table29128[[#This Row],[CH4 '[g/g DDM']]]&lt;AB$10,_xlfn.NORM.DIST(Table29128[[#This Row],[CH4 '[g/g DDM']]],AB$6,AB$2,FALSE),-100)</f>
        <v>#REF!</v>
      </c>
    </row>
    <row r="112" spans="1:72" x14ac:dyDescent="0.25">
      <c r="A112" s="12" t="s">
        <v>200</v>
      </c>
      <c r="B112" s="13">
        <v>1202</v>
      </c>
      <c r="C112" s="113" t="s">
        <v>427</v>
      </c>
      <c r="D112" s="113" t="s">
        <v>262</v>
      </c>
      <c r="E112" s="113" t="s">
        <v>411</v>
      </c>
      <c r="F112" s="113" t="s">
        <v>412</v>
      </c>
      <c r="G112" t="s">
        <v>73</v>
      </c>
      <c r="H112" t="s">
        <v>74</v>
      </c>
      <c r="I112" t="s">
        <v>75</v>
      </c>
      <c r="J112" s="70">
        <v>1</v>
      </c>
      <c r="K112" s="70"/>
      <c r="L112" s="70"/>
      <c r="M112" t="s">
        <v>428</v>
      </c>
      <c r="N112" t="s">
        <v>245</v>
      </c>
      <c r="O112" s="18"/>
      <c r="P112" s="18"/>
      <c r="Q112" s="97"/>
      <c r="R112" s="97"/>
      <c r="S112" s="97"/>
      <c r="T112" s="97"/>
      <c r="U112" s="97"/>
      <c r="V112" s="97"/>
      <c r="W112" s="97"/>
      <c r="X112" s="51"/>
      <c r="Y112" s="18" t="e">
        <f>AVERAGEIFS([1]!Table2912[DMD '[mg/g']],[1]!Table2912[Substrate ID],Table29128[[#This Row],[Substrate ID]])</f>
        <v>#REF!</v>
      </c>
      <c r="Z112" s="18" t="e">
        <f>AVERAGEIFS([1]!Table2912[CH4 '[ml/g']],[1]!Table2912[Substrate ID],Table29128[[#This Row],[Substrate ID]])</f>
        <v>#REF!</v>
      </c>
      <c r="AA112" s="18" t="e">
        <f>AVERAGEIFS([1]!Table2912[CH4 '[% GP']],[1]!Table2912[Substrate ID],Table29128[[#This Row],[Substrate ID]])</f>
        <v>#REF!</v>
      </c>
      <c r="AB112" s="18" t="e">
        <f>AVERAGEIFS([1]!Table2912[CH4 '[g/g DDM']],[1]!Table2912[Substrate ID],Table29128[[#This Row],[Substrate ID]])</f>
        <v>#REF!</v>
      </c>
      <c r="AC112" s="18" t="e">
        <f>$CP$17*Table29128[[#This Row],[DMD '[mg/g']]]+$CQ$17*Table29128[[#This Row],[CH4 '[g/g DDM']]]</f>
        <v>#REF!</v>
      </c>
      <c r="AD112" s="18" t="e">
        <f>_xlfn.RANK.AVG(Table29128[[#This Row],[Index]],Table29128[Index])</f>
        <v>#REF!</v>
      </c>
      <c r="AE112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12" s="18" t="e">
        <f>Table29128[[#This Row],[CH4 '[ml/g']]]/Table29128[[#This Row],[APB]]</f>
        <v>#REF!</v>
      </c>
      <c r="AG112" s="18" t="e">
        <f>Table29128[[#This Row],[Propionate '[%']]]/Table29128[[#This Row],[Acetate '[%']]]</f>
        <v>#DIV/0!</v>
      </c>
      <c r="AH112" s="51"/>
      <c r="AI112" s="18"/>
      <c r="AJ112" s="18"/>
      <c r="AK112" s="135" t="e">
        <f t="shared" si="6"/>
        <v>#REF!</v>
      </c>
      <c r="AL112" s="18"/>
      <c r="AM112" s="135" t="e">
        <f t="shared" si="7"/>
        <v>#REF!</v>
      </c>
      <c r="AN112" s="18" t="e">
        <f>(Table29128[[#This Row],[CH4 '[g/g DDM']]]-AN$15)/AN$15%</f>
        <v>#REF!</v>
      </c>
      <c r="AO112" s="18"/>
      <c r="AP112" s="18"/>
      <c r="AR112" t="e">
        <f>_xlfn.NORM.DIST(Table29128[[#This Row],[GP '[ml/g']]],O$6,O$2,FALSE)</f>
        <v>#DIV/0!</v>
      </c>
      <c r="AS112" t="e">
        <f>_xlfn.NORM.DIST(Table29128[[#This Row],[SCFA '[mmol/g']]],P$6,P$2,FALSE)</f>
        <v>#DIV/0!</v>
      </c>
      <c r="AT112" t="e">
        <f>_xlfn.NORM.DIST(Table29128[[#This Row],[Acetate '[%']]],Q$6,Q$2,FALSE)</f>
        <v>#DIV/0!</v>
      </c>
      <c r="AU112" t="e">
        <f>_xlfn.NORM.DIST(Table29128[[#This Row],[Propionate '[%']]],R$6,R$2,FALSE)</f>
        <v>#DIV/0!</v>
      </c>
      <c r="AV112" t="e">
        <f>_xlfn.NORM.DIST(Table29128[[#This Row],[Butyrate '[%']]],S$6,S$2,FALSE)</f>
        <v>#DIV/0!</v>
      </c>
      <c r="AW112" t="e">
        <f>_xlfn.NORM.DIST(Table29128[[#This Row],[Valerate '[%']]],T$6,T$2,FALSE)</f>
        <v>#DIV/0!</v>
      </c>
      <c r="AX112" t="e">
        <f>_xlfn.NORM.DIST(Table29128[[#This Row],[Caproate '[%']]],U$6,U$2,FALSE)</f>
        <v>#DIV/0!</v>
      </c>
      <c r="AY112" t="e">
        <f>_xlfn.NORM.DIST(Table29128[[#This Row],[Isobutyrate '[%']]],V$6,V$2,FALSE)</f>
        <v>#DIV/0!</v>
      </c>
      <c r="AZ112" t="e">
        <f>_xlfn.NORM.DIST(Table29128[[#This Row],[Isovalerate '[%']]],W$6,W$2,FALSE)</f>
        <v>#DIV/0!</v>
      </c>
      <c r="BA112" t="e">
        <f>_xlfn.NORM.DIST(Table29128[[#This Row],[CH4 '[g/mmol SCFA']]],X$6,X$2,FALSE)</f>
        <v>#DIV/0!</v>
      </c>
      <c r="BB112" t="e">
        <f>_xlfn.NORM.DIST(Table29128[[#This Row],[DMD '[mg/g']]],Y$6,Y$2,FALSE)</f>
        <v>#REF!</v>
      </c>
      <c r="BC112" t="e">
        <f>_xlfn.NORM.DIST(Table29128[[#This Row],[CH4 '[ml/g']]],Z$6,Z$2,FALSE)</f>
        <v>#REF!</v>
      </c>
      <c r="BD112" t="e">
        <f>_xlfn.NORM.DIST(Table29128[[#This Row],[CH4 '[% GP']]],AA$6,AA$2,FALSE)</f>
        <v>#REF!</v>
      </c>
      <c r="BE112" t="e">
        <f>_xlfn.NORM.DIST(Table29128[[#This Row],[CH4 '[g/g DDM']]],AB$6,AB$2,FALSE)</f>
        <v>#REF!</v>
      </c>
      <c r="BG112">
        <f>IF(Table29128[[#This Row],[GP '[ml/g']]]&lt;O$10,_xlfn.NORM.DIST(Table29128[[#This Row],[GP '[ml/g']]],O$6,O$2,FALSE),-100)</f>
        <v>-100</v>
      </c>
      <c r="BH112">
        <f>IF(Table29128[[#This Row],[SCFA '[mmol/g']]]&lt;P$10,_xlfn.NORM.DIST(Table29128[[#This Row],[SCFA '[mmol/g']]],P$6,P$2,FALSE),-100)</f>
        <v>-100</v>
      </c>
      <c r="BI112">
        <f>IF(Table29128[[#This Row],[Acetate '[%']]]&lt;Q$10,_xlfn.NORM.DIST(Table29128[[#This Row],[Acetate '[%']]],Q$6,Q$2,FALSE),-100)</f>
        <v>-100</v>
      </c>
      <c r="BJ112">
        <f>IF(Table29128[[#This Row],[Propionate '[%']]]&lt;R$10,_xlfn.NORM.DIST(Table29128[[#This Row],[Propionate '[%']]],R$6,R$2,FALSE),-100)</f>
        <v>-100</v>
      </c>
      <c r="BK112">
        <f>IF(Table29128[[#This Row],[Butyrate '[%']]]&lt;S$10,_xlfn.NORM.DIST(Table29128[[#This Row],[Butyrate '[%']]],S$6,S$2,FALSE),-100)</f>
        <v>-100</v>
      </c>
      <c r="BL112">
        <f>IF(Table29128[[#This Row],[Valerate '[%']]]&lt;T$10,_xlfn.NORM.DIST(Table29128[[#This Row],[Valerate '[%']]],T$6,T$2,FALSE),-100)</f>
        <v>-100</v>
      </c>
      <c r="BM112">
        <f>IF(Table29128[[#This Row],[Caproate '[%']]]&lt;U$10,_xlfn.NORM.DIST(Table29128[[#This Row],[Caproate '[%']]],U$6,U$2,FALSE),-100)</f>
        <v>-100</v>
      </c>
      <c r="BN112">
        <f>IF(Table29128[[#This Row],[Isobutyrate '[%']]]&lt;V$10,_xlfn.NORM.DIST(Table29128[[#This Row],[Isobutyrate '[%']]],V$6,V$2,FALSE),-100)</f>
        <v>-100</v>
      </c>
      <c r="BO112">
        <f>IF(Table29128[[#This Row],[Isovalerate '[%']]]&lt;W$10,_xlfn.NORM.DIST(Table29128[[#This Row],[Isovalerate '[%']]],W$6,W$2,FALSE),-100)</f>
        <v>-100</v>
      </c>
      <c r="BP112">
        <f>IF(Table29128[[#This Row],[CH4 '[g/mmol SCFA']]]&lt;X$10,_xlfn.NORM.DIST(Table29128[[#This Row],[CH4 '[g/mmol SCFA']]],X$6,X$2,FALSE),-100)</f>
        <v>-100</v>
      </c>
      <c r="BQ112" t="e">
        <f>IF(Table29128[[#This Row],[DMD '[mg/g']]]&gt;Y$10,_xlfn.NORM.DIST(Table29128[[#This Row],[DMD '[mg/g']]],Y$6,Y$2,FALSE),-100)</f>
        <v>#REF!</v>
      </c>
      <c r="BR112" t="e">
        <f>IF(Table29128[[#This Row],[CH4 '[ml/g']]]&lt;Z$10,_xlfn.NORM.DIST(Table29128[[#This Row],[CH4 '[ml/g']]],Z$6,Z$2,FALSE),-100)</f>
        <v>#REF!</v>
      </c>
      <c r="BS112" t="e">
        <f>IF(Table29128[[#This Row],[CH4 '[% GP']]]&lt;AA$10,_xlfn.NORM.DIST(Table29128[[#This Row],[CH4 '[% GP']]],AA$6,AA$2,FALSE),-100)</f>
        <v>#REF!</v>
      </c>
      <c r="BT112" t="e">
        <f>IF(Table29128[[#This Row],[CH4 '[g/g DDM']]]&lt;AB$10,_xlfn.NORM.DIST(Table29128[[#This Row],[CH4 '[g/g DDM']]],AB$6,AB$2,FALSE),-100)</f>
        <v>#REF!</v>
      </c>
    </row>
    <row r="113" spans="1:72" x14ac:dyDescent="0.25">
      <c r="A113" s="12" t="s">
        <v>200</v>
      </c>
      <c r="B113" s="13">
        <v>1203</v>
      </c>
      <c r="C113" s="113" t="s">
        <v>410</v>
      </c>
      <c r="D113" s="113" t="s">
        <v>262</v>
      </c>
      <c r="E113" s="113" t="s">
        <v>411</v>
      </c>
      <c r="F113" s="113" t="s">
        <v>412</v>
      </c>
      <c r="G113" t="s">
        <v>73</v>
      </c>
      <c r="H113" t="s">
        <v>74</v>
      </c>
      <c r="I113" t="s">
        <v>75</v>
      </c>
      <c r="J113" s="70">
        <v>1</v>
      </c>
      <c r="K113" s="70"/>
      <c r="L113" s="70"/>
      <c r="M113" t="s">
        <v>413</v>
      </c>
      <c r="N113" t="s">
        <v>237</v>
      </c>
      <c r="O113" s="18"/>
      <c r="P113" s="18"/>
      <c r="Q113" s="97"/>
      <c r="R113" s="97"/>
      <c r="S113" s="97"/>
      <c r="T113" s="97"/>
      <c r="U113" s="97"/>
      <c r="V113" s="97"/>
      <c r="W113" s="97"/>
      <c r="X113" s="51"/>
      <c r="Y113" s="18" t="e">
        <f>AVERAGEIFS([1]!Table2912[DMD '[mg/g']],[1]!Table2912[Substrate ID],Table29128[[#This Row],[Substrate ID]])</f>
        <v>#REF!</v>
      </c>
      <c r="Z113" s="18" t="e">
        <f>AVERAGEIFS([1]!Table2912[CH4 '[ml/g']],[1]!Table2912[Substrate ID],Table29128[[#This Row],[Substrate ID]])</f>
        <v>#REF!</v>
      </c>
      <c r="AA113" s="18" t="e">
        <f>AVERAGEIFS([1]!Table2912[CH4 '[% GP']],[1]!Table2912[Substrate ID],Table29128[[#This Row],[Substrate ID]])</f>
        <v>#REF!</v>
      </c>
      <c r="AB113" s="18" t="e">
        <f>AVERAGEIFS([1]!Table2912[CH4 '[g/g DDM']],[1]!Table2912[Substrate ID],Table29128[[#This Row],[Substrate ID]])</f>
        <v>#REF!</v>
      </c>
      <c r="AC113" s="18" t="e">
        <f>$CP$17*Table29128[[#This Row],[DMD '[mg/g']]]+$CQ$17*Table29128[[#This Row],[CH4 '[g/g DDM']]]</f>
        <v>#REF!</v>
      </c>
      <c r="AD113" s="18" t="e">
        <f>_xlfn.RANK.AVG(Table29128[[#This Row],[Index]],Table29128[Index])</f>
        <v>#REF!</v>
      </c>
      <c r="AE113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13" s="18" t="e">
        <f>Table29128[[#This Row],[CH4 '[ml/g']]]/Table29128[[#This Row],[APB]]</f>
        <v>#REF!</v>
      </c>
      <c r="AG113" s="18" t="e">
        <f>Table29128[[#This Row],[Propionate '[%']]]/Table29128[[#This Row],[Acetate '[%']]]</f>
        <v>#DIV/0!</v>
      </c>
      <c r="AH113" s="51"/>
      <c r="AI113" s="18"/>
      <c r="AJ113" s="18"/>
      <c r="AK113" s="135" t="e">
        <f t="shared" si="6"/>
        <v>#REF!</v>
      </c>
      <c r="AL113" s="18"/>
      <c r="AM113" s="135" t="e">
        <f t="shared" si="7"/>
        <v>#REF!</v>
      </c>
      <c r="AN113" s="18" t="e">
        <f>(Table29128[[#This Row],[CH4 '[g/g DDM']]]-AN$15)/AN$15%</f>
        <v>#REF!</v>
      </c>
      <c r="AO113" s="18"/>
      <c r="AP113" s="18"/>
      <c r="AR113" t="e">
        <f>_xlfn.NORM.DIST(Table29128[[#This Row],[GP '[ml/g']]],O$6,O$2,FALSE)</f>
        <v>#DIV/0!</v>
      </c>
      <c r="AS113" t="e">
        <f>_xlfn.NORM.DIST(Table29128[[#This Row],[SCFA '[mmol/g']]],P$6,P$2,FALSE)</f>
        <v>#DIV/0!</v>
      </c>
      <c r="AT113" t="e">
        <f>_xlfn.NORM.DIST(Table29128[[#This Row],[Acetate '[%']]],Q$6,Q$2,FALSE)</f>
        <v>#DIV/0!</v>
      </c>
      <c r="AU113" t="e">
        <f>_xlfn.NORM.DIST(Table29128[[#This Row],[Propionate '[%']]],R$6,R$2,FALSE)</f>
        <v>#DIV/0!</v>
      </c>
      <c r="AV113" t="e">
        <f>_xlfn.NORM.DIST(Table29128[[#This Row],[Butyrate '[%']]],S$6,S$2,FALSE)</f>
        <v>#DIV/0!</v>
      </c>
      <c r="AW113" t="e">
        <f>_xlfn.NORM.DIST(Table29128[[#This Row],[Valerate '[%']]],T$6,T$2,FALSE)</f>
        <v>#DIV/0!</v>
      </c>
      <c r="AX113" t="e">
        <f>_xlfn.NORM.DIST(Table29128[[#This Row],[Caproate '[%']]],U$6,U$2,FALSE)</f>
        <v>#DIV/0!</v>
      </c>
      <c r="AY113" t="e">
        <f>_xlfn.NORM.DIST(Table29128[[#This Row],[Isobutyrate '[%']]],V$6,V$2,FALSE)</f>
        <v>#DIV/0!</v>
      </c>
      <c r="AZ113" t="e">
        <f>_xlfn.NORM.DIST(Table29128[[#This Row],[Isovalerate '[%']]],W$6,W$2,FALSE)</f>
        <v>#DIV/0!</v>
      </c>
      <c r="BA113" t="e">
        <f>_xlfn.NORM.DIST(Table29128[[#This Row],[CH4 '[g/mmol SCFA']]],X$6,X$2,FALSE)</f>
        <v>#DIV/0!</v>
      </c>
      <c r="BB113" t="e">
        <f>_xlfn.NORM.DIST(Table29128[[#This Row],[DMD '[mg/g']]],Y$6,Y$2,FALSE)</f>
        <v>#REF!</v>
      </c>
      <c r="BC113" t="e">
        <f>_xlfn.NORM.DIST(Table29128[[#This Row],[CH4 '[ml/g']]],Z$6,Z$2,FALSE)</f>
        <v>#REF!</v>
      </c>
      <c r="BD113" t="e">
        <f>_xlfn.NORM.DIST(Table29128[[#This Row],[CH4 '[% GP']]],AA$6,AA$2,FALSE)</f>
        <v>#REF!</v>
      </c>
      <c r="BE113" t="e">
        <f>_xlfn.NORM.DIST(Table29128[[#This Row],[CH4 '[g/g DDM']]],AB$6,AB$2,FALSE)</f>
        <v>#REF!</v>
      </c>
      <c r="BG113">
        <f>IF(Table29128[[#This Row],[GP '[ml/g']]]&lt;O$10,_xlfn.NORM.DIST(Table29128[[#This Row],[GP '[ml/g']]],O$6,O$2,FALSE),-100)</f>
        <v>-100</v>
      </c>
      <c r="BH113">
        <f>IF(Table29128[[#This Row],[SCFA '[mmol/g']]]&lt;P$10,_xlfn.NORM.DIST(Table29128[[#This Row],[SCFA '[mmol/g']]],P$6,P$2,FALSE),-100)</f>
        <v>-100</v>
      </c>
      <c r="BI113">
        <f>IF(Table29128[[#This Row],[Acetate '[%']]]&lt;Q$10,_xlfn.NORM.DIST(Table29128[[#This Row],[Acetate '[%']]],Q$6,Q$2,FALSE),-100)</f>
        <v>-100</v>
      </c>
      <c r="BJ113">
        <f>IF(Table29128[[#This Row],[Propionate '[%']]]&lt;R$10,_xlfn.NORM.DIST(Table29128[[#This Row],[Propionate '[%']]],R$6,R$2,FALSE),-100)</f>
        <v>-100</v>
      </c>
      <c r="BK113">
        <f>IF(Table29128[[#This Row],[Butyrate '[%']]]&lt;S$10,_xlfn.NORM.DIST(Table29128[[#This Row],[Butyrate '[%']]],S$6,S$2,FALSE),-100)</f>
        <v>-100</v>
      </c>
      <c r="BL113">
        <f>IF(Table29128[[#This Row],[Valerate '[%']]]&lt;T$10,_xlfn.NORM.DIST(Table29128[[#This Row],[Valerate '[%']]],T$6,T$2,FALSE),-100)</f>
        <v>-100</v>
      </c>
      <c r="BM113">
        <f>IF(Table29128[[#This Row],[Caproate '[%']]]&lt;U$10,_xlfn.NORM.DIST(Table29128[[#This Row],[Caproate '[%']]],U$6,U$2,FALSE),-100)</f>
        <v>-100</v>
      </c>
      <c r="BN113">
        <f>IF(Table29128[[#This Row],[Isobutyrate '[%']]]&lt;V$10,_xlfn.NORM.DIST(Table29128[[#This Row],[Isobutyrate '[%']]],V$6,V$2,FALSE),-100)</f>
        <v>-100</v>
      </c>
      <c r="BO113">
        <f>IF(Table29128[[#This Row],[Isovalerate '[%']]]&lt;W$10,_xlfn.NORM.DIST(Table29128[[#This Row],[Isovalerate '[%']]],W$6,W$2,FALSE),-100)</f>
        <v>-100</v>
      </c>
      <c r="BP113">
        <f>IF(Table29128[[#This Row],[CH4 '[g/mmol SCFA']]]&lt;X$10,_xlfn.NORM.DIST(Table29128[[#This Row],[CH4 '[g/mmol SCFA']]],X$6,X$2,FALSE),-100)</f>
        <v>-100</v>
      </c>
      <c r="BQ113" t="e">
        <f>IF(Table29128[[#This Row],[DMD '[mg/g']]]&gt;Y$10,_xlfn.NORM.DIST(Table29128[[#This Row],[DMD '[mg/g']]],Y$6,Y$2,FALSE),-100)</f>
        <v>#REF!</v>
      </c>
      <c r="BR113" t="e">
        <f>IF(Table29128[[#This Row],[CH4 '[ml/g']]]&lt;Z$10,_xlfn.NORM.DIST(Table29128[[#This Row],[CH4 '[ml/g']]],Z$6,Z$2,FALSE),-100)</f>
        <v>#REF!</v>
      </c>
      <c r="BS113" t="e">
        <f>IF(Table29128[[#This Row],[CH4 '[% GP']]]&lt;AA$10,_xlfn.NORM.DIST(Table29128[[#This Row],[CH4 '[% GP']]],AA$6,AA$2,FALSE),-100)</f>
        <v>#REF!</v>
      </c>
      <c r="BT113" t="e">
        <f>IF(Table29128[[#This Row],[CH4 '[g/g DDM']]]&lt;AB$10,_xlfn.NORM.DIST(Table29128[[#This Row],[CH4 '[g/g DDM']]],AB$6,AB$2,FALSE),-100)</f>
        <v>#REF!</v>
      </c>
    </row>
    <row r="114" spans="1:72" x14ac:dyDescent="0.25">
      <c r="A114" s="12" t="s">
        <v>200</v>
      </c>
      <c r="B114" s="13">
        <v>1200</v>
      </c>
      <c r="C114" s="113" t="s">
        <v>551</v>
      </c>
      <c r="D114" s="113" t="s">
        <v>262</v>
      </c>
      <c r="E114" s="113" t="s">
        <v>411</v>
      </c>
      <c r="F114" s="113" t="s">
        <v>412</v>
      </c>
      <c r="G114" s="15" t="s">
        <v>73</v>
      </c>
      <c r="H114" s="15" t="s">
        <v>74</v>
      </c>
      <c r="I114" t="s">
        <v>75</v>
      </c>
      <c r="J114" s="70">
        <v>1</v>
      </c>
      <c r="K114" s="70"/>
      <c r="L114" s="70"/>
      <c r="M114" t="s">
        <v>552</v>
      </c>
      <c r="N114" t="s">
        <v>171</v>
      </c>
      <c r="O114" s="18"/>
      <c r="P114" s="18"/>
      <c r="Q114" s="97"/>
      <c r="R114" s="97"/>
      <c r="S114" s="97"/>
      <c r="T114" s="97"/>
      <c r="U114" s="97"/>
      <c r="V114" s="97"/>
      <c r="W114" s="97"/>
      <c r="X114" s="51"/>
      <c r="Y114" s="18" t="e">
        <f>AVERAGEIFS([1]!Table2912[DMD '[mg/g']],[1]!Table2912[Substrate ID],Table29128[[#This Row],[Substrate ID]])</f>
        <v>#REF!</v>
      </c>
      <c r="Z114" s="18" t="e">
        <f>AVERAGEIFS([1]!Table2912[CH4 '[ml/g']],[1]!Table2912[Substrate ID],Table29128[[#This Row],[Substrate ID]])</f>
        <v>#REF!</v>
      </c>
      <c r="AA114" s="18" t="e">
        <f>AVERAGEIFS([1]!Table2912[CH4 '[% GP']],[1]!Table2912[Substrate ID],Table29128[[#This Row],[Substrate ID]])</f>
        <v>#REF!</v>
      </c>
      <c r="AB114" s="18" t="e">
        <f>AVERAGEIFS([1]!Table2912[CH4 '[g/g DDM']],[1]!Table2912[Substrate ID],Table29128[[#This Row],[Substrate ID]])</f>
        <v>#REF!</v>
      </c>
      <c r="AC114" s="18" t="e">
        <f>$CP$17*Table29128[[#This Row],[DMD '[mg/g']]]+$CQ$17*Table29128[[#This Row],[CH4 '[g/g DDM']]]</f>
        <v>#REF!</v>
      </c>
      <c r="AD114" s="18" t="e">
        <f>_xlfn.RANK.AVG(Table29128[[#This Row],[Index]],Table29128[Index])</f>
        <v>#REF!</v>
      </c>
      <c r="AE114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14" s="18" t="e">
        <f>Table29128[[#This Row],[CH4 '[ml/g']]]/Table29128[[#This Row],[APB]]</f>
        <v>#REF!</v>
      </c>
      <c r="AG114" s="18" t="e">
        <f>Table29128[[#This Row],[Propionate '[%']]]/Table29128[[#This Row],[Acetate '[%']]]</f>
        <v>#DIV/0!</v>
      </c>
      <c r="AH114" s="51"/>
      <c r="AI114" s="18"/>
      <c r="AJ114" s="18"/>
      <c r="AK114" s="135" t="e">
        <f t="shared" si="6"/>
        <v>#REF!</v>
      </c>
      <c r="AL114" s="18"/>
      <c r="AM114" s="135" t="e">
        <f t="shared" si="7"/>
        <v>#REF!</v>
      </c>
      <c r="AN114" s="18" t="e">
        <f>(Table29128[[#This Row],[CH4 '[g/g DDM']]]-AN$15)/AN$15%</f>
        <v>#REF!</v>
      </c>
      <c r="AO114" s="18"/>
      <c r="AP114" s="18"/>
      <c r="AR114" t="e">
        <f>_xlfn.NORM.DIST(Table29128[[#This Row],[GP '[ml/g']]],O$6,O$2,FALSE)</f>
        <v>#DIV/0!</v>
      </c>
      <c r="AS114" t="e">
        <f>_xlfn.NORM.DIST(Table29128[[#This Row],[SCFA '[mmol/g']]],P$6,P$2,FALSE)</f>
        <v>#DIV/0!</v>
      </c>
      <c r="AT114" t="e">
        <f>_xlfn.NORM.DIST(Table29128[[#This Row],[Acetate '[%']]],Q$6,Q$2,FALSE)</f>
        <v>#DIV/0!</v>
      </c>
      <c r="AU114" t="e">
        <f>_xlfn.NORM.DIST(Table29128[[#This Row],[Propionate '[%']]],R$6,R$2,FALSE)</f>
        <v>#DIV/0!</v>
      </c>
      <c r="AV114" t="e">
        <f>_xlfn.NORM.DIST(Table29128[[#This Row],[Butyrate '[%']]],S$6,S$2,FALSE)</f>
        <v>#DIV/0!</v>
      </c>
      <c r="AW114" t="e">
        <f>_xlfn.NORM.DIST(Table29128[[#This Row],[Valerate '[%']]],T$6,T$2,FALSE)</f>
        <v>#DIV/0!</v>
      </c>
      <c r="AX114" t="e">
        <f>_xlfn.NORM.DIST(Table29128[[#This Row],[Caproate '[%']]],U$6,U$2,FALSE)</f>
        <v>#DIV/0!</v>
      </c>
      <c r="AY114" t="e">
        <f>_xlfn.NORM.DIST(Table29128[[#This Row],[Isobutyrate '[%']]],V$6,V$2,FALSE)</f>
        <v>#DIV/0!</v>
      </c>
      <c r="AZ114" t="e">
        <f>_xlfn.NORM.DIST(Table29128[[#This Row],[Isovalerate '[%']]],W$6,W$2,FALSE)</f>
        <v>#DIV/0!</v>
      </c>
      <c r="BA114" t="e">
        <f>_xlfn.NORM.DIST(Table29128[[#This Row],[CH4 '[g/mmol SCFA']]],X$6,X$2,FALSE)</f>
        <v>#DIV/0!</v>
      </c>
      <c r="BB114" t="e">
        <f>_xlfn.NORM.DIST(Table29128[[#This Row],[DMD '[mg/g']]],Y$6,Y$2,FALSE)</f>
        <v>#REF!</v>
      </c>
      <c r="BC114" t="e">
        <f>_xlfn.NORM.DIST(Table29128[[#This Row],[CH4 '[ml/g']]],Z$6,Z$2,FALSE)</f>
        <v>#REF!</v>
      </c>
      <c r="BD114" t="e">
        <f>_xlfn.NORM.DIST(Table29128[[#This Row],[CH4 '[% GP']]],AA$6,AA$2,FALSE)</f>
        <v>#REF!</v>
      </c>
      <c r="BE114" t="e">
        <f>_xlfn.NORM.DIST(Table29128[[#This Row],[CH4 '[g/g DDM']]],AB$6,AB$2,FALSE)</f>
        <v>#REF!</v>
      </c>
      <c r="BG114">
        <f>IF(Table29128[[#This Row],[GP '[ml/g']]]&lt;O$10,_xlfn.NORM.DIST(Table29128[[#This Row],[GP '[ml/g']]],O$6,O$2,FALSE),-100)</f>
        <v>-100</v>
      </c>
      <c r="BH114">
        <f>IF(Table29128[[#This Row],[SCFA '[mmol/g']]]&lt;P$10,_xlfn.NORM.DIST(Table29128[[#This Row],[SCFA '[mmol/g']]],P$6,P$2,FALSE),-100)</f>
        <v>-100</v>
      </c>
      <c r="BI114">
        <f>IF(Table29128[[#This Row],[Acetate '[%']]]&lt;Q$10,_xlfn.NORM.DIST(Table29128[[#This Row],[Acetate '[%']]],Q$6,Q$2,FALSE),-100)</f>
        <v>-100</v>
      </c>
      <c r="BJ114">
        <f>IF(Table29128[[#This Row],[Propionate '[%']]]&lt;R$10,_xlfn.NORM.DIST(Table29128[[#This Row],[Propionate '[%']]],R$6,R$2,FALSE),-100)</f>
        <v>-100</v>
      </c>
      <c r="BK114">
        <f>IF(Table29128[[#This Row],[Butyrate '[%']]]&lt;S$10,_xlfn.NORM.DIST(Table29128[[#This Row],[Butyrate '[%']]],S$6,S$2,FALSE),-100)</f>
        <v>-100</v>
      </c>
      <c r="BL114">
        <f>IF(Table29128[[#This Row],[Valerate '[%']]]&lt;T$10,_xlfn.NORM.DIST(Table29128[[#This Row],[Valerate '[%']]],T$6,T$2,FALSE),-100)</f>
        <v>-100</v>
      </c>
      <c r="BM114">
        <f>IF(Table29128[[#This Row],[Caproate '[%']]]&lt;U$10,_xlfn.NORM.DIST(Table29128[[#This Row],[Caproate '[%']]],U$6,U$2,FALSE),-100)</f>
        <v>-100</v>
      </c>
      <c r="BN114">
        <f>IF(Table29128[[#This Row],[Isobutyrate '[%']]]&lt;V$10,_xlfn.NORM.DIST(Table29128[[#This Row],[Isobutyrate '[%']]],V$6,V$2,FALSE),-100)</f>
        <v>-100</v>
      </c>
      <c r="BO114">
        <f>IF(Table29128[[#This Row],[Isovalerate '[%']]]&lt;W$10,_xlfn.NORM.DIST(Table29128[[#This Row],[Isovalerate '[%']]],W$6,W$2,FALSE),-100)</f>
        <v>-100</v>
      </c>
      <c r="BP114">
        <f>IF(Table29128[[#This Row],[CH4 '[g/mmol SCFA']]]&lt;X$10,_xlfn.NORM.DIST(Table29128[[#This Row],[CH4 '[g/mmol SCFA']]],X$6,X$2,FALSE),-100)</f>
        <v>-100</v>
      </c>
      <c r="BQ114" t="e">
        <f>IF(Table29128[[#This Row],[DMD '[mg/g']]]&gt;Y$10,_xlfn.NORM.DIST(Table29128[[#This Row],[DMD '[mg/g']]],Y$6,Y$2,FALSE),-100)</f>
        <v>#REF!</v>
      </c>
      <c r="BR114" t="e">
        <f>IF(Table29128[[#This Row],[CH4 '[ml/g']]]&lt;Z$10,_xlfn.NORM.DIST(Table29128[[#This Row],[CH4 '[ml/g']]],Z$6,Z$2,FALSE),-100)</f>
        <v>#REF!</v>
      </c>
      <c r="BS114" t="e">
        <f>IF(Table29128[[#This Row],[CH4 '[% GP']]]&lt;AA$10,_xlfn.NORM.DIST(Table29128[[#This Row],[CH4 '[% GP']]],AA$6,AA$2,FALSE),-100)</f>
        <v>#REF!</v>
      </c>
      <c r="BT114" t="e">
        <f>IF(Table29128[[#This Row],[CH4 '[g/g DDM']]]&lt;AB$10,_xlfn.NORM.DIST(Table29128[[#This Row],[CH4 '[g/g DDM']]],AB$6,AB$2,FALSE),-100)</f>
        <v>#REF!</v>
      </c>
    </row>
    <row r="115" spans="1:72" x14ac:dyDescent="0.25">
      <c r="A115" s="12" t="s">
        <v>200</v>
      </c>
      <c r="B115" s="13">
        <v>1204</v>
      </c>
      <c r="C115" s="113" t="s">
        <v>482</v>
      </c>
      <c r="D115" s="113" t="s">
        <v>262</v>
      </c>
      <c r="E115" s="113" t="s">
        <v>411</v>
      </c>
      <c r="F115" s="113" t="s">
        <v>412</v>
      </c>
      <c r="G115" t="s">
        <v>73</v>
      </c>
      <c r="H115" t="s">
        <v>74</v>
      </c>
      <c r="I115" t="s">
        <v>75</v>
      </c>
      <c r="J115" s="70">
        <v>1</v>
      </c>
      <c r="K115" s="70"/>
      <c r="L115" s="70"/>
      <c r="M115" t="s">
        <v>483</v>
      </c>
      <c r="N115" t="s">
        <v>352</v>
      </c>
      <c r="O115" s="18"/>
      <c r="P115" s="18"/>
      <c r="Q115" s="97"/>
      <c r="R115" s="97"/>
      <c r="S115" s="97"/>
      <c r="T115" s="97"/>
      <c r="U115" s="97"/>
      <c r="V115" s="97"/>
      <c r="W115" s="97"/>
      <c r="X115" s="51"/>
      <c r="Y115" s="18" t="e">
        <f>AVERAGEIFS([1]!Table2912[DMD '[mg/g']],[1]!Table2912[Substrate ID],Table29128[[#This Row],[Substrate ID]])</f>
        <v>#REF!</v>
      </c>
      <c r="Z115" s="18" t="e">
        <f>AVERAGEIFS([1]!Table2912[CH4 '[ml/g']],[1]!Table2912[Substrate ID],Table29128[[#This Row],[Substrate ID]])</f>
        <v>#REF!</v>
      </c>
      <c r="AA115" s="18" t="e">
        <f>AVERAGEIFS([1]!Table2912[CH4 '[% GP']],[1]!Table2912[Substrate ID],Table29128[[#This Row],[Substrate ID]])</f>
        <v>#REF!</v>
      </c>
      <c r="AB115" s="18" t="e">
        <f>AVERAGEIFS([1]!Table2912[CH4 '[g/g DDM']],[1]!Table2912[Substrate ID],Table29128[[#This Row],[Substrate ID]])</f>
        <v>#REF!</v>
      </c>
      <c r="AC115" s="18" t="e">
        <f>$CP$17*Table29128[[#This Row],[DMD '[mg/g']]]+$CQ$17*Table29128[[#This Row],[CH4 '[g/g DDM']]]</f>
        <v>#REF!</v>
      </c>
      <c r="AD115" s="18" t="e">
        <f>_xlfn.RANK.AVG(Table29128[[#This Row],[Index]],Table29128[Index])</f>
        <v>#REF!</v>
      </c>
      <c r="AE115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15" s="18" t="e">
        <f>Table29128[[#This Row],[CH4 '[ml/g']]]/Table29128[[#This Row],[APB]]</f>
        <v>#REF!</v>
      </c>
      <c r="AG115" s="18" t="e">
        <f>Table29128[[#This Row],[Propionate '[%']]]/Table29128[[#This Row],[Acetate '[%']]]</f>
        <v>#DIV/0!</v>
      </c>
      <c r="AH115" s="51"/>
      <c r="AI115" s="18"/>
      <c r="AJ115" s="18"/>
      <c r="AK115" s="135" t="e">
        <f t="shared" si="6"/>
        <v>#REF!</v>
      </c>
      <c r="AL115" s="18"/>
      <c r="AM115" s="135" t="e">
        <f t="shared" si="7"/>
        <v>#REF!</v>
      </c>
      <c r="AN115" s="18" t="e">
        <f>(Table29128[[#This Row],[CH4 '[g/g DDM']]]-AN$15)/AN$15%</f>
        <v>#REF!</v>
      </c>
      <c r="AO115" s="18"/>
      <c r="AP115" s="18"/>
      <c r="AR115" t="e">
        <f>_xlfn.NORM.DIST(Table29128[[#This Row],[GP '[ml/g']]],O$6,O$2,FALSE)</f>
        <v>#DIV/0!</v>
      </c>
      <c r="AS115" t="e">
        <f>_xlfn.NORM.DIST(Table29128[[#This Row],[SCFA '[mmol/g']]],P$6,P$2,FALSE)</f>
        <v>#DIV/0!</v>
      </c>
      <c r="AT115" t="e">
        <f>_xlfn.NORM.DIST(Table29128[[#This Row],[Acetate '[%']]],Q$6,Q$2,FALSE)</f>
        <v>#DIV/0!</v>
      </c>
      <c r="AU115" t="e">
        <f>_xlfn.NORM.DIST(Table29128[[#This Row],[Propionate '[%']]],R$6,R$2,FALSE)</f>
        <v>#DIV/0!</v>
      </c>
      <c r="AV115" t="e">
        <f>_xlfn.NORM.DIST(Table29128[[#This Row],[Butyrate '[%']]],S$6,S$2,FALSE)</f>
        <v>#DIV/0!</v>
      </c>
      <c r="AW115" t="e">
        <f>_xlfn.NORM.DIST(Table29128[[#This Row],[Valerate '[%']]],T$6,T$2,FALSE)</f>
        <v>#DIV/0!</v>
      </c>
      <c r="AX115" t="e">
        <f>_xlfn.NORM.DIST(Table29128[[#This Row],[Caproate '[%']]],U$6,U$2,FALSE)</f>
        <v>#DIV/0!</v>
      </c>
      <c r="AY115" t="e">
        <f>_xlfn.NORM.DIST(Table29128[[#This Row],[Isobutyrate '[%']]],V$6,V$2,FALSE)</f>
        <v>#DIV/0!</v>
      </c>
      <c r="AZ115" t="e">
        <f>_xlfn.NORM.DIST(Table29128[[#This Row],[Isovalerate '[%']]],W$6,W$2,FALSE)</f>
        <v>#DIV/0!</v>
      </c>
      <c r="BA115" t="e">
        <f>_xlfn.NORM.DIST(Table29128[[#This Row],[CH4 '[g/mmol SCFA']]],X$6,X$2,FALSE)</f>
        <v>#DIV/0!</v>
      </c>
      <c r="BB115" t="e">
        <f>_xlfn.NORM.DIST(Table29128[[#This Row],[DMD '[mg/g']]],Y$6,Y$2,FALSE)</f>
        <v>#REF!</v>
      </c>
      <c r="BC115" t="e">
        <f>_xlfn.NORM.DIST(Table29128[[#This Row],[CH4 '[ml/g']]],Z$6,Z$2,FALSE)</f>
        <v>#REF!</v>
      </c>
      <c r="BD115" t="e">
        <f>_xlfn.NORM.DIST(Table29128[[#This Row],[CH4 '[% GP']]],AA$6,AA$2,FALSE)</f>
        <v>#REF!</v>
      </c>
      <c r="BE115" t="e">
        <f>_xlfn.NORM.DIST(Table29128[[#This Row],[CH4 '[g/g DDM']]],AB$6,AB$2,FALSE)</f>
        <v>#REF!</v>
      </c>
      <c r="BG115">
        <f>IF(Table29128[[#This Row],[GP '[ml/g']]]&lt;O$10,_xlfn.NORM.DIST(Table29128[[#This Row],[GP '[ml/g']]],O$6,O$2,FALSE),-100)</f>
        <v>-100</v>
      </c>
      <c r="BH115">
        <f>IF(Table29128[[#This Row],[SCFA '[mmol/g']]]&lt;P$10,_xlfn.NORM.DIST(Table29128[[#This Row],[SCFA '[mmol/g']]],P$6,P$2,FALSE),-100)</f>
        <v>-100</v>
      </c>
      <c r="BI115">
        <f>IF(Table29128[[#This Row],[Acetate '[%']]]&lt;Q$10,_xlfn.NORM.DIST(Table29128[[#This Row],[Acetate '[%']]],Q$6,Q$2,FALSE),-100)</f>
        <v>-100</v>
      </c>
      <c r="BJ115">
        <f>IF(Table29128[[#This Row],[Propionate '[%']]]&lt;R$10,_xlfn.NORM.DIST(Table29128[[#This Row],[Propionate '[%']]],R$6,R$2,FALSE),-100)</f>
        <v>-100</v>
      </c>
      <c r="BK115">
        <f>IF(Table29128[[#This Row],[Butyrate '[%']]]&lt;S$10,_xlfn.NORM.DIST(Table29128[[#This Row],[Butyrate '[%']]],S$6,S$2,FALSE),-100)</f>
        <v>-100</v>
      </c>
      <c r="BL115">
        <f>IF(Table29128[[#This Row],[Valerate '[%']]]&lt;T$10,_xlfn.NORM.DIST(Table29128[[#This Row],[Valerate '[%']]],T$6,T$2,FALSE),-100)</f>
        <v>-100</v>
      </c>
      <c r="BM115">
        <f>IF(Table29128[[#This Row],[Caproate '[%']]]&lt;U$10,_xlfn.NORM.DIST(Table29128[[#This Row],[Caproate '[%']]],U$6,U$2,FALSE),-100)</f>
        <v>-100</v>
      </c>
      <c r="BN115">
        <f>IF(Table29128[[#This Row],[Isobutyrate '[%']]]&lt;V$10,_xlfn.NORM.DIST(Table29128[[#This Row],[Isobutyrate '[%']]],V$6,V$2,FALSE),-100)</f>
        <v>-100</v>
      </c>
      <c r="BO115">
        <f>IF(Table29128[[#This Row],[Isovalerate '[%']]]&lt;W$10,_xlfn.NORM.DIST(Table29128[[#This Row],[Isovalerate '[%']]],W$6,W$2,FALSE),-100)</f>
        <v>-100</v>
      </c>
      <c r="BP115">
        <f>IF(Table29128[[#This Row],[CH4 '[g/mmol SCFA']]]&lt;X$10,_xlfn.NORM.DIST(Table29128[[#This Row],[CH4 '[g/mmol SCFA']]],X$6,X$2,FALSE),-100)</f>
        <v>-100</v>
      </c>
      <c r="BQ115" t="e">
        <f>IF(Table29128[[#This Row],[DMD '[mg/g']]]&gt;Y$10,_xlfn.NORM.DIST(Table29128[[#This Row],[DMD '[mg/g']]],Y$6,Y$2,FALSE),-100)</f>
        <v>#REF!</v>
      </c>
      <c r="BR115" t="e">
        <f>IF(Table29128[[#This Row],[CH4 '[ml/g']]]&lt;Z$10,_xlfn.NORM.DIST(Table29128[[#This Row],[CH4 '[ml/g']]],Z$6,Z$2,FALSE),-100)</f>
        <v>#REF!</v>
      </c>
      <c r="BS115" t="e">
        <f>IF(Table29128[[#This Row],[CH4 '[% GP']]]&lt;AA$10,_xlfn.NORM.DIST(Table29128[[#This Row],[CH4 '[% GP']]],AA$6,AA$2,FALSE),-100)</f>
        <v>#REF!</v>
      </c>
      <c r="BT115" t="e">
        <f>IF(Table29128[[#This Row],[CH4 '[g/g DDM']]]&lt;AB$10,_xlfn.NORM.DIST(Table29128[[#This Row],[CH4 '[g/g DDM']]],AB$6,AB$2,FALSE),-100)</f>
        <v>#REF!</v>
      </c>
    </row>
    <row r="116" spans="1:72" x14ac:dyDescent="0.25">
      <c r="A116" s="12" t="s">
        <v>200</v>
      </c>
      <c r="B116" s="13">
        <v>1205</v>
      </c>
      <c r="C116" s="113" t="s">
        <v>514</v>
      </c>
      <c r="D116" s="113" t="s">
        <v>262</v>
      </c>
      <c r="E116" s="113" t="s">
        <v>411</v>
      </c>
      <c r="F116" s="113" t="s">
        <v>412</v>
      </c>
      <c r="G116" t="s">
        <v>73</v>
      </c>
      <c r="H116" t="s">
        <v>74</v>
      </c>
      <c r="I116" t="s">
        <v>75</v>
      </c>
      <c r="J116" s="70">
        <v>1</v>
      </c>
      <c r="K116" s="70"/>
      <c r="L116" s="70"/>
      <c r="M116" t="s">
        <v>515</v>
      </c>
      <c r="N116" t="s">
        <v>171</v>
      </c>
      <c r="O116" s="18"/>
      <c r="P116" s="18"/>
      <c r="Q116" s="97"/>
      <c r="R116" s="97"/>
      <c r="S116" s="97"/>
      <c r="T116" s="97"/>
      <c r="U116" s="97"/>
      <c r="V116" s="97"/>
      <c r="W116" s="97"/>
      <c r="X116" s="51"/>
      <c r="Y116" s="18" t="e">
        <f>AVERAGEIFS([1]!Table2912[DMD '[mg/g']],[1]!Table2912[Substrate ID],Table29128[[#This Row],[Substrate ID]])</f>
        <v>#REF!</v>
      </c>
      <c r="Z116" s="18" t="e">
        <f>AVERAGEIFS([1]!Table2912[CH4 '[ml/g']],[1]!Table2912[Substrate ID],Table29128[[#This Row],[Substrate ID]])</f>
        <v>#REF!</v>
      </c>
      <c r="AA116" s="18" t="e">
        <f>AVERAGEIFS([1]!Table2912[CH4 '[% GP']],[1]!Table2912[Substrate ID],Table29128[[#This Row],[Substrate ID]])</f>
        <v>#REF!</v>
      </c>
      <c r="AB116" s="18" t="e">
        <f>AVERAGEIFS([1]!Table2912[CH4 '[g/g DDM']],[1]!Table2912[Substrate ID],Table29128[[#This Row],[Substrate ID]])</f>
        <v>#REF!</v>
      </c>
      <c r="AC116" s="18" t="e">
        <f>$CP$17*Table29128[[#This Row],[DMD '[mg/g']]]+$CQ$17*Table29128[[#This Row],[CH4 '[g/g DDM']]]</f>
        <v>#REF!</v>
      </c>
      <c r="AD116" s="18" t="e">
        <f>_xlfn.RANK.AVG(Table29128[[#This Row],[Index]],Table29128[Index])</f>
        <v>#REF!</v>
      </c>
      <c r="AE116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16" s="18" t="e">
        <f>Table29128[[#This Row],[CH4 '[ml/g']]]/Table29128[[#This Row],[APB]]</f>
        <v>#REF!</v>
      </c>
      <c r="AG116" s="18" t="e">
        <f>Table29128[[#This Row],[Propionate '[%']]]/Table29128[[#This Row],[Acetate '[%']]]</f>
        <v>#DIV/0!</v>
      </c>
      <c r="AH116" s="51"/>
      <c r="AI116" s="18"/>
      <c r="AJ116" s="18"/>
      <c r="AK116" s="135" t="e">
        <f t="shared" si="6"/>
        <v>#REF!</v>
      </c>
      <c r="AL116" s="18"/>
      <c r="AM116" s="135" t="e">
        <f t="shared" si="7"/>
        <v>#REF!</v>
      </c>
      <c r="AN116" s="18" t="e">
        <f>(Table29128[[#This Row],[CH4 '[g/g DDM']]]-AN$15)/AN$15%</f>
        <v>#REF!</v>
      </c>
      <c r="AO116" s="18"/>
      <c r="AP116" s="18"/>
      <c r="AR116" t="e">
        <f>_xlfn.NORM.DIST(Table29128[[#This Row],[GP '[ml/g']]],O$6,O$2,FALSE)</f>
        <v>#DIV/0!</v>
      </c>
      <c r="AS116" t="e">
        <f>_xlfn.NORM.DIST(Table29128[[#This Row],[SCFA '[mmol/g']]],P$6,P$2,FALSE)</f>
        <v>#DIV/0!</v>
      </c>
      <c r="AT116" t="e">
        <f>_xlfn.NORM.DIST(Table29128[[#This Row],[Acetate '[%']]],Q$6,Q$2,FALSE)</f>
        <v>#DIV/0!</v>
      </c>
      <c r="AU116" t="e">
        <f>_xlfn.NORM.DIST(Table29128[[#This Row],[Propionate '[%']]],R$6,R$2,FALSE)</f>
        <v>#DIV/0!</v>
      </c>
      <c r="AV116" t="e">
        <f>_xlfn.NORM.DIST(Table29128[[#This Row],[Butyrate '[%']]],S$6,S$2,FALSE)</f>
        <v>#DIV/0!</v>
      </c>
      <c r="AW116" t="e">
        <f>_xlfn.NORM.DIST(Table29128[[#This Row],[Valerate '[%']]],T$6,T$2,FALSE)</f>
        <v>#DIV/0!</v>
      </c>
      <c r="AX116" t="e">
        <f>_xlfn.NORM.DIST(Table29128[[#This Row],[Caproate '[%']]],U$6,U$2,FALSE)</f>
        <v>#DIV/0!</v>
      </c>
      <c r="AY116" t="e">
        <f>_xlfn.NORM.DIST(Table29128[[#This Row],[Isobutyrate '[%']]],V$6,V$2,FALSE)</f>
        <v>#DIV/0!</v>
      </c>
      <c r="AZ116" t="e">
        <f>_xlfn.NORM.DIST(Table29128[[#This Row],[Isovalerate '[%']]],W$6,W$2,FALSE)</f>
        <v>#DIV/0!</v>
      </c>
      <c r="BA116" t="e">
        <f>_xlfn.NORM.DIST(Table29128[[#This Row],[CH4 '[g/mmol SCFA']]],X$6,X$2,FALSE)</f>
        <v>#DIV/0!</v>
      </c>
      <c r="BB116" t="e">
        <f>_xlfn.NORM.DIST(Table29128[[#This Row],[DMD '[mg/g']]],Y$6,Y$2,FALSE)</f>
        <v>#REF!</v>
      </c>
      <c r="BC116" t="e">
        <f>_xlfn.NORM.DIST(Table29128[[#This Row],[CH4 '[ml/g']]],Z$6,Z$2,FALSE)</f>
        <v>#REF!</v>
      </c>
      <c r="BD116" t="e">
        <f>_xlfn.NORM.DIST(Table29128[[#This Row],[CH4 '[% GP']]],AA$6,AA$2,FALSE)</f>
        <v>#REF!</v>
      </c>
      <c r="BE116" t="e">
        <f>_xlfn.NORM.DIST(Table29128[[#This Row],[CH4 '[g/g DDM']]],AB$6,AB$2,FALSE)</f>
        <v>#REF!</v>
      </c>
      <c r="BG116">
        <f>IF(Table29128[[#This Row],[GP '[ml/g']]]&lt;O$10,_xlfn.NORM.DIST(Table29128[[#This Row],[GP '[ml/g']]],O$6,O$2,FALSE),-100)</f>
        <v>-100</v>
      </c>
      <c r="BH116">
        <f>IF(Table29128[[#This Row],[SCFA '[mmol/g']]]&lt;P$10,_xlfn.NORM.DIST(Table29128[[#This Row],[SCFA '[mmol/g']]],P$6,P$2,FALSE),-100)</f>
        <v>-100</v>
      </c>
      <c r="BI116">
        <f>IF(Table29128[[#This Row],[Acetate '[%']]]&lt;Q$10,_xlfn.NORM.DIST(Table29128[[#This Row],[Acetate '[%']]],Q$6,Q$2,FALSE),-100)</f>
        <v>-100</v>
      </c>
      <c r="BJ116">
        <f>IF(Table29128[[#This Row],[Propionate '[%']]]&lt;R$10,_xlfn.NORM.DIST(Table29128[[#This Row],[Propionate '[%']]],R$6,R$2,FALSE),-100)</f>
        <v>-100</v>
      </c>
      <c r="BK116">
        <f>IF(Table29128[[#This Row],[Butyrate '[%']]]&lt;S$10,_xlfn.NORM.DIST(Table29128[[#This Row],[Butyrate '[%']]],S$6,S$2,FALSE),-100)</f>
        <v>-100</v>
      </c>
      <c r="BL116">
        <f>IF(Table29128[[#This Row],[Valerate '[%']]]&lt;T$10,_xlfn.NORM.DIST(Table29128[[#This Row],[Valerate '[%']]],T$6,T$2,FALSE),-100)</f>
        <v>-100</v>
      </c>
      <c r="BM116">
        <f>IF(Table29128[[#This Row],[Caproate '[%']]]&lt;U$10,_xlfn.NORM.DIST(Table29128[[#This Row],[Caproate '[%']]],U$6,U$2,FALSE),-100)</f>
        <v>-100</v>
      </c>
      <c r="BN116">
        <f>IF(Table29128[[#This Row],[Isobutyrate '[%']]]&lt;V$10,_xlfn.NORM.DIST(Table29128[[#This Row],[Isobutyrate '[%']]],V$6,V$2,FALSE),-100)</f>
        <v>-100</v>
      </c>
      <c r="BO116">
        <f>IF(Table29128[[#This Row],[Isovalerate '[%']]]&lt;W$10,_xlfn.NORM.DIST(Table29128[[#This Row],[Isovalerate '[%']]],W$6,W$2,FALSE),-100)</f>
        <v>-100</v>
      </c>
      <c r="BP116">
        <f>IF(Table29128[[#This Row],[CH4 '[g/mmol SCFA']]]&lt;X$10,_xlfn.NORM.DIST(Table29128[[#This Row],[CH4 '[g/mmol SCFA']]],X$6,X$2,FALSE),-100)</f>
        <v>-100</v>
      </c>
      <c r="BQ116" t="e">
        <f>IF(Table29128[[#This Row],[DMD '[mg/g']]]&gt;Y$10,_xlfn.NORM.DIST(Table29128[[#This Row],[DMD '[mg/g']]],Y$6,Y$2,FALSE),-100)</f>
        <v>#REF!</v>
      </c>
      <c r="BR116" t="e">
        <f>IF(Table29128[[#This Row],[CH4 '[ml/g']]]&lt;Z$10,_xlfn.NORM.DIST(Table29128[[#This Row],[CH4 '[ml/g']]],Z$6,Z$2,FALSE),-100)</f>
        <v>#REF!</v>
      </c>
      <c r="BS116" t="e">
        <f>IF(Table29128[[#This Row],[CH4 '[% GP']]]&lt;AA$10,_xlfn.NORM.DIST(Table29128[[#This Row],[CH4 '[% GP']]],AA$6,AA$2,FALSE),-100)</f>
        <v>#REF!</v>
      </c>
      <c r="BT116" t="e">
        <f>IF(Table29128[[#This Row],[CH4 '[g/g DDM']]]&lt;AB$10,_xlfn.NORM.DIST(Table29128[[#This Row],[CH4 '[g/g DDM']]],AB$6,AB$2,FALSE),-100)</f>
        <v>#REF!</v>
      </c>
    </row>
    <row r="117" spans="1:72" x14ac:dyDescent="0.25">
      <c r="A117" s="12" t="s">
        <v>200</v>
      </c>
      <c r="B117" s="13">
        <v>1201</v>
      </c>
      <c r="C117" s="113" t="s">
        <v>484</v>
      </c>
      <c r="D117" s="113" t="s">
        <v>262</v>
      </c>
      <c r="E117" s="113" t="s">
        <v>411</v>
      </c>
      <c r="F117" s="113" t="s">
        <v>412</v>
      </c>
      <c r="G117" t="s">
        <v>73</v>
      </c>
      <c r="H117" t="s">
        <v>74</v>
      </c>
      <c r="I117" t="s">
        <v>75</v>
      </c>
      <c r="J117" s="70">
        <v>1</v>
      </c>
      <c r="K117" s="70"/>
      <c r="L117" s="70"/>
      <c r="M117" t="s">
        <v>485</v>
      </c>
      <c r="N117" t="s">
        <v>245</v>
      </c>
      <c r="O117" s="18"/>
      <c r="P117" s="18"/>
      <c r="Q117" s="97"/>
      <c r="R117" s="97"/>
      <c r="S117" s="97"/>
      <c r="T117" s="97"/>
      <c r="U117" s="97"/>
      <c r="V117" s="97"/>
      <c r="W117" s="97"/>
      <c r="X117" s="51"/>
      <c r="Y117" s="18" t="e">
        <f>AVERAGEIFS([1]!Table2912[DMD '[mg/g']],[1]!Table2912[Substrate ID],Table29128[[#This Row],[Substrate ID]])</f>
        <v>#REF!</v>
      </c>
      <c r="Z117" s="18" t="e">
        <f>AVERAGEIFS([1]!Table2912[CH4 '[ml/g']],[1]!Table2912[Substrate ID],Table29128[[#This Row],[Substrate ID]])</f>
        <v>#REF!</v>
      </c>
      <c r="AA117" s="18" t="e">
        <f>AVERAGEIFS([1]!Table2912[CH4 '[% GP']],[1]!Table2912[Substrate ID],Table29128[[#This Row],[Substrate ID]])</f>
        <v>#REF!</v>
      </c>
      <c r="AB117" s="18" t="e">
        <f>AVERAGEIFS([1]!Table2912[CH4 '[g/g DDM']],[1]!Table2912[Substrate ID],Table29128[[#This Row],[Substrate ID]])</f>
        <v>#REF!</v>
      </c>
      <c r="AC117" s="18" t="e">
        <f>$CP$17*Table29128[[#This Row],[DMD '[mg/g']]]+$CQ$17*Table29128[[#This Row],[CH4 '[g/g DDM']]]</f>
        <v>#REF!</v>
      </c>
      <c r="AD117" s="18" t="e">
        <f>_xlfn.RANK.AVG(Table29128[[#This Row],[Index]],Table29128[Index])</f>
        <v>#REF!</v>
      </c>
      <c r="AE117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17" s="18" t="e">
        <f>Table29128[[#This Row],[CH4 '[ml/g']]]/Table29128[[#This Row],[APB]]</f>
        <v>#REF!</v>
      </c>
      <c r="AG117" s="18" t="e">
        <f>Table29128[[#This Row],[Propionate '[%']]]/Table29128[[#This Row],[Acetate '[%']]]</f>
        <v>#DIV/0!</v>
      </c>
      <c r="AH117" s="51"/>
      <c r="AI117" s="18"/>
      <c r="AJ117" s="18"/>
      <c r="AK117" s="135" t="e">
        <f t="shared" si="6"/>
        <v>#REF!</v>
      </c>
      <c r="AL117" s="18"/>
      <c r="AM117" s="135" t="e">
        <f t="shared" si="7"/>
        <v>#REF!</v>
      </c>
      <c r="AN117" s="18" t="e">
        <f>(Table29128[[#This Row],[CH4 '[g/g DDM']]]-AN$15)/AN$15%</f>
        <v>#REF!</v>
      </c>
      <c r="AO117" s="18"/>
      <c r="AP117" s="18"/>
      <c r="AR117" t="e">
        <f>_xlfn.NORM.DIST(Table29128[[#This Row],[GP '[ml/g']]],O$6,O$2,FALSE)</f>
        <v>#DIV/0!</v>
      </c>
      <c r="AS117" t="e">
        <f>_xlfn.NORM.DIST(Table29128[[#This Row],[SCFA '[mmol/g']]],P$6,P$2,FALSE)</f>
        <v>#DIV/0!</v>
      </c>
      <c r="AT117" t="e">
        <f>_xlfn.NORM.DIST(Table29128[[#This Row],[Acetate '[%']]],Q$6,Q$2,FALSE)</f>
        <v>#DIV/0!</v>
      </c>
      <c r="AU117" t="e">
        <f>_xlfn.NORM.DIST(Table29128[[#This Row],[Propionate '[%']]],R$6,R$2,FALSE)</f>
        <v>#DIV/0!</v>
      </c>
      <c r="AV117" t="e">
        <f>_xlfn.NORM.DIST(Table29128[[#This Row],[Butyrate '[%']]],S$6,S$2,FALSE)</f>
        <v>#DIV/0!</v>
      </c>
      <c r="AW117" t="e">
        <f>_xlfn.NORM.DIST(Table29128[[#This Row],[Valerate '[%']]],T$6,T$2,FALSE)</f>
        <v>#DIV/0!</v>
      </c>
      <c r="AX117" t="e">
        <f>_xlfn.NORM.DIST(Table29128[[#This Row],[Caproate '[%']]],U$6,U$2,FALSE)</f>
        <v>#DIV/0!</v>
      </c>
      <c r="AY117" t="e">
        <f>_xlfn.NORM.DIST(Table29128[[#This Row],[Isobutyrate '[%']]],V$6,V$2,FALSE)</f>
        <v>#DIV/0!</v>
      </c>
      <c r="AZ117" t="e">
        <f>_xlfn.NORM.DIST(Table29128[[#This Row],[Isovalerate '[%']]],W$6,W$2,FALSE)</f>
        <v>#DIV/0!</v>
      </c>
      <c r="BA117" t="e">
        <f>_xlfn.NORM.DIST(Table29128[[#This Row],[CH4 '[g/mmol SCFA']]],X$6,X$2,FALSE)</f>
        <v>#DIV/0!</v>
      </c>
      <c r="BB117" t="e">
        <f>_xlfn.NORM.DIST(Table29128[[#This Row],[DMD '[mg/g']]],Y$6,Y$2,FALSE)</f>
        <v>#REF!</v>
      </c>
      <c r="BC117" t="e">
        <f>_xlfn.NORM.DIST(Table29128[[#This Row],[CH4 '[ml/g']]],Z$6,Z$2,FALSE)</f>
        <v>#REF!</v>
      </c>
      <c r="BD117" t="e">
        <f>_xlfn.NORM.DIST(Table29128[[#This Row],[CH4 '[% GP']]],AA$6,AA$2,FALSE)</f>
        <v>#REF!</v>
      </c>
      <c r="BE117" t="e">
        <f>_xlfn.NORM.DIST(Table29128[[#This Row],[CH4 '[g/g DDM']]],AB$6,AB$2,FALSE)</f>
        <v>#REF!</v>
      </c>
      <c r="BG117">
        <f>IF(Table29128[[#This Row],[GP '[ml/g']]]&lt;O$10,_xlfn.NORM.DIST(Table29128[[#This Row],[GP '[ml/g']]],O$6,O$2,FALSE),-100)</f>
        <v>-100</v>
      </c>
      <c r="BH117">
        <f>IF(Table29128[[#This Row],[SCFA '[mmol/g']]]&lt;P$10,_xlfn.NORM.DIST(Table29128[[#This Row],[SCFA '[mmol/g']]],P$6,P$2,FALSE),-100)</f>
        <v>-100</v>
      </c>
      <c r="BI117">
        <f>IF(Table29128[[#This Row],[Acetate '[%']]]&lt;Q$10,_xlfn.NORM.DIST(Table29128[[#This Row],[Acetate '[%']]],Q$6,Q$2,FALSE),-100)</f>
        <v>-100</v>
      </c>
      <c r="BJ117">
        <f>IF(Table29128[[#This Row],[Propionate '[%']]]&lt;R$10,_xlfn.NORM.DIST(Table29128[[#This Row],[Propionate '[%']]],R$6,R$2,FALSE),-100)</f>
        <v>-100</v>
      </c>
      <c r="BK117">
        <f>IF(Table29128[[#This Row],[Butyrate '[%']]]&lt;S$10,_xlfn.NORM.DIST(Table29128[[#This Row],[Butyrate '[%']]],S$6,S$2,FALSE),-100)</f>
        <v>-100</v>
      </c>
      <c r="BL117">
        <f>IF(Table29128[[#This Row],[Valerate '[%']]]&lt;T$10,_xlfn.NORM.DIST(Table29128[[#This Row],[Valerate '[%']]],T$6,T$2,FALSE),-100)</f>
        <v>-100</v>
      </c>
      <c r="BM117">
        <f>IF(Table29128[[#This Row],[Caproate '[%']]]&lt;U$10,_xlfn.NORM.DIST(Table29128[[#This Row],[Caproate '[%']]],U$6,U$2,FALSE),-100)</f>
        <v>-100</v>
      </c>
      <c r="BN117">
        <f>IF(Table29128[[#This Row],[Isobutyrate '[%']]]&lt;V$10,_xlfn.NORM.DIST(Table29128[[#This Row],[Isobutyrate '[%']]],V$6,V$2,FALSE),-100)</f>
        <v>-100</v>
      </c>
      <c r="BO117">
        <f>IF(Table29128[[#This Row],[Isovalerate '[%']]]&lt;W$10,_xlfn.NORM.DIST(Table29128[[#This Row],[Isovalerate '[%']]],W$6,W$2,FALSE),-100)</f>
        <v>-100</v>
      </c>
      <c r="BP117">
        <f>IF(Table29128[[#This Row],[CH4 '[g/mmol SCFA']]]&lt;X$10,_xlfn.NORM.DIST(Table29128[[#This Row],[CH4 '[g/mmol SCFA']]],X$6,X$2,FALSE),-100)</f>
        <v>-100</v>
      </c>
      <c r="BQ117" t="e">
        <f>IF(Table29128[[#This Row],[DMD '[mg/g']]]&gt;Y$10,_xlfn.NORM.DIST(Table29128[[#This Row],[DMD '[mg/g']]],Y$6,Y$2,FALSE),-100)</f>
        <v>#REF!</v>
      </c>
      <c r="BR117" t="e">
        <f>IF(Table29128[[#This Row],[CH4 '[ml/g']]]&lt;Z$10,_xlfn.NORM.DIST(Table29128[[#This Row],[CH4 '[ml/g']]],Z$6,Z$2,FALSE),-100)</f>
        <v>#REF!</v>
      </c>
      <c r="BS117" t="e">
        <f>IF(Table29128[[#This Row],[CH4 '[% GP']]]&lt;AA$10,_xlfn.NORM.DIST(Table29128[[#This Row],[CH4 '[% GP']]],AA$6,AA$2,FALSE),-100)</f>
        <v>#REF!</v>
      </c>
      <c r="BT117" t="e">
        <f>IF(Table29128[[#This Row],[CH4 '[g/g DDM']]]&lt;AB$10,_xlfn.NORM.DIST(Table29128[[#This Row],[CH4 '[g/g DDM']]],AB$6,AB$2,FALSE),-100)</f>
        <v>#REF!</v>
      </c>
    </row>
    <row r="118" spans="1:72" x14ac:dyDescent="0.25">
      <c r="A118" s="12" t="s">
        <v>200</v>
      </c>
      <c r="B118" s="13">
        <v>1207</v>
      </c>
      <c r="C118" s="113" t="s">
        <v>480</v>
      </c>
      <c r="D118" s="113" t="s">
        <v>262</v>
      </c>
      <c r="E118" s="113" t="s">
        <v>411</v>
      </c>
      <c r="F118" s="113" t="s">
        <v>412</v>
      </c>
      <c r="G118" s="15" t="s">
        <v>73</v>
      </c>
      <c r="H118" s="15" t="s">
        <v>74</v>
      </c>
      <c r="I118" t="s">
        <v>75</v>
      </c>
      <c r="J118" s="70">
        <v>1</v>
      </c>
      <c r="K118" s="70"/>
      <c r="L118" s="70"/>
      <c r="M118" t="s">
        <v>481</v>
      </c>
      <c r="N118" t="s">
        <v>245</v>
      </c>
      <c r="O118" s="18"/>
      <c r="P118" s="18"/>
      <c r="Q118" s="97"/>
      <c r="R118" s="97"/>
      <c r="S118" s="97"/>
      <c r="T118" s="97"/>
      <c r="U118" s="97"/>
      <c r="V118" s="97"/>
      <c r="W118" s="97"/>
      <c r="X118" s="51"/>
      <c r="Y118" s="18" t="e">
        <f>AVERAGEIFS([1]!Table2912[DMD '[mg/g']],[1]!Table2912[Substrate ID],Table29128[[#This Row],[Substrate ID]])</f>
        <v>#REF!</v>
      </c>
      <c r="Z118" s="18" t="e">
        <f>AVERAGEIFS([1]!Table2912[CH4 '[ml/g']],[1]!Table2912[Substrate ID],Table29128[[#This Row],[Substrate ID]])</f>
        <v>#REF!</v>
      </c>
      <c r="AA118" s="18" t="e">
        <f>AVERAGEIFS([1]!Table2912[CH4 '[% GP']],[1]!Table2912[Substrate ID],Table29128[[#This Row],[Substrate ID]])</f>
        <v>#REF!</v>
      </c>
      <c r="AB118" s="18" t="e">
        <f>AVERAGEIFS([1]!Table2912[CH4 '[g/g DDM']],[1]!Table2912[Substrate ID],Table29128[[#This Row],[Substrate ID]])</f>
        <v>#REF!</v>
      </c>
      <c r="AC118" s="18" t="e">
        <f>$CP$17*Table29128[[#This Row],[DMD '[mg/g']]]+$CQ$17*Table29128[[#This Row],[CH4 '[g/g DDM']]]</f>
        <v>#REF!</v>
      </c>
      <c r="AD118" s="18" t="e">
        <f>_xlfn.RANK.AVG(Table29128[[#This Row],[Index]],Table29128[Index])</f>
        <v>#REF!</v>
      </c>
      <c r="AE118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18" s="18" t="e">
        <f>Table29128[[#This Row],[CH4 '[ml/g']]]/Table29128[[#This Row],[APB]]</f>
        <v>#REF!</v>
      </c>
      <c r="AG118" s="18" t="e">
        <f>Table29128[[#This Row],[Propionate '[%']]]/Table29128[[#This Row],[Acetate '[%']]]</f>
        <v>#DIV/0!</v>
      </c>
      <c r="AH118" s="51"/>
      <c r="AI118" s="18"/>
      <c r="AJ118" s="18"/>
      <c r="AK118" s="135" t="e">
        <f t="shared" si="6"/>
        <v>#REF!</v>
      </c>
      <c r="AL118" s="18"/>
      <c r="AM118" s="135" t="e">
        <f t="shared" si="7"/>
        <v>#REF!</v>
      </c>
      <c r="AN118" s="18" t="e">
        <f>(Table29128[[#This Row],[CH4 '[g/g DDM']]]-AN$15)/AN$15%</f>
        <v>#REF!</v>
      </c>
      <c r="AO118" s="18"/>
      <c r="AP118" s="18"/>
      <c r="AR118" t="e">
        <f>_xlfn.NORM.DIST(Table29128[[#This Row],[GP '[ml/g']]],O$6,O$2,FALSE)</f>
        <v>#DIV/0!</v>
      </c>
      <c r="AS118" t="e">
        <f>_xlfn.NORM.DIST(Table29128[[#This Row],[SCFA '[mmol/g']]],P$6,P$2,FALSE)</f>
        <v>#DIV/0!</v>
      </c>
      <c r="AT118" t="e">
        <f>_xlfn.NORM.DIST(Table29128[[#This Row],[Acetate '[%']]],Q$6,Q$2,FALSE)</f>
        <v>#DIV/0!</v>
      </c>
      <c r="AU118" t="e">
        <f>_xlfn.NORM.DIST(Table29128[[#This Row],[Propionate '[%']]],R$6,R$2,FALSE)</f>
        <v>#DIV/0!</v>
      </c>
      <c r="AV118" t="e">
        <f>_xlfn.NORM.DIST(Table29128[[#This Row],[Butyrate '[%']]],S$6,S$2,FALSE)</f>
        <v>#DIV/0!</v>
      </c>
      <c r="AW118" t="e">
        <f>_xlfn.NORM.DIST(Table29128[[#This Row],[Valerate '[%']]],T$6,T$2,FALSE)</f>
        <v>#DIV/0!</v>
      </c>
      <c r="AX118" t="e">
        <f>_xlfn.NORM.DIST(Table29128[[#This Row],[Caproate '[%']]],U$6,U$2,FALSE)</f>
        <v>#DIV/0!</v>
      </c>
      <c r="AY118" t="e">
        <f>_xlfn.NORM.DIST(Table29128[[#This Row],[Isobutyrate '[%']]],V$6,V$2,FALSE)</f>
        <v>#DIV/0!</v>
      </c>
      <c r="AZ118" t="e">
        <f>_xlfn.NORM.DIST(Table29128[[#This Row],[Isovalerate '[%']]],W$6,W$2,FALSE)</f>
        <v>#DIV/0!</v>
      </c>
      <c r="BA118" t="e">
        <f>_xlfn.NORM.DIST(Table29128[[#This Row],[CH4 '[g/mmol SCFA']]],X$6,X$2,FALSE)</f>
        <v>#DIV/0!</v>
      </c>
      <c r="BB118" t="e">
        <f>_xlfn.NORM.DIST(Table29128[[#This Row],[DMD '[mg/g']]],Y$6,Y$2,FALSE)</f>
        <v>#REF!</v>
      </c>
      <c r="BC118" t="e">
        <f>_xlfn.NORM.DIST(Table29128[[#This Row],[CH4 '[ml/g']]],Z$6,Z$2,FALSE)</f>
        <v>#REF!</v>
      </c>
      <c r="BD118" t="e">
        <f>_xlfn.NORM.DIST(Table29128[[#This Row],[CH4 '[% GP']]],AA$6,AA$2,FALSE)</f>
        <v>#REF!</v>
      </c>
      <c r="BE118" t="e">
        <f>_xlfn.NORM.DIST(Table29128[[#This Row],[CH4 '[g/g DDM']]],AB$6,AB$2,FALSE)</f>
        <v>#REF!</v>
      </c>
      <c r="BG118">
        <f>IF(Table29128[[#This Row],[GP '[ml/g']]]&lt;O$10,_xlfn.NORM.DIST(Table29128[[#This Row],[GP '[ml/g']]],O$6,O$2,FALSE),-100)</f>
        <v>-100</v>
      </c>
      <c r="BH118">
        <f>IF(Table29128[[#This Row],[SCFA '[mmol/g']]]&lt;P$10,_xlfn.NORM.DIST(Table29128[[#This Row],[SCFA '[mmol/g']]],P$6,P$2,FALSE),-100)</f>
        <v>-100</v>
      </c>
      <c r="BI118">
        <f>IF(Table29128[[#This Row],[Acetate '[%']]]&lt;Q$10,_xlfn.NORM.DIST(Table29128[[#This Row],[Acetate '[%']]],Q$6,Q$2,FALSE),-100)</f>
        <v>-100</v>
      </c>
      <c r="BJ118">
        <f>IF(Table29128[[#This Row],[Propionate '[%']]]&lt;R$10,_xlfn.NORM.DIST(Table29128[[#This Row],[Propionate '[%']]],R$6,R$2,FALSE),-100)</f>
        <v>-100</v>
      </c>
      <c r="BK118">
        <f>IF(Table29128[[#This Row],[Butyrate '[%']]]&lt;S$10,_xlfn.NORM.DIST(Table29128[[#This Row],[Butyrate '[%']]],S$6,S$2,FALSE),-100)</f>
        <v>-100</v>
      </c>
      <c r="BL118">
        <f>IF(Table29128[[#This Row],[Valerate '[%']]]&lt;T$10,_xlfn.NORM.DIST(Table29128[[#This Row],[Valerate '[%']]],T$6,T$2,FALSE),-100)</f>
        <v>-100</v>
      </c>
      <c r="BM118">
        <f>IF(Table29128[[#This Row],[Caproate '[%']]]&lt;U$10,_xlfn.NORM.DIST(Table29128[[#This Row],[Caproate '[%']]],U$6,U$2,FALSE),-100)</f>
        <v>-100</v>
      </c>
      <c r="BN118">
        <f>IF(Table29128[[#This Row],[Isobutyrate '[%']]]&lt;V$10,_xlfn.NORM.DIST(Table29128[[#This Row],[Isobutyrate '[%']]],V$6,V$2,FALSE),-100)</f>
        <v>-100</v>
      </c>
      <c r="BO118">
        <f>IF(Table29128[[#This Row],[Isovalerate '[%']]]&lt;W$10,_xlfn.NORM.DIST(Table29128[[#This Row],[Isovalerate '[%']]],W$6,W$2,FALSE),-100)</f>
        <v>-100</v>
      </c>
      <c r="BP118">
        <f>IF(Table29128[[#This Row],[CH4 '[g/mmol SCFA']]]&lt;X$10,_xlfn.NORM.DIST(Table29128[[#This Row],[CH4 '[g/mmol SCFA']]],X$6,X$2,FALSE),-100)</f>
        <v>-100</v>
      </c>
      <c r="BQ118" t="e">
        <f>IF(Table29128[[#This Row],[DMD '[mg/g']]]&gt;Y$10,_xlfn.NORM.DIST(Table29128[[#This Row],[DMD '[mg/g']]],Y$6,Y$2,FALSE),-100)</f>
        <v>#REF!</v>
      </c>
      <c r="BR118" t="e">
        <f>IF(Table29128[[#This Row],[CH4 '[ml/g']]]&lt;Z$10,_xlfn.NORM.DIST(Table29128[[#This Row],[CH4 '[ml/g']]],Z$6,Z$2,FALSE),-100)</f>
        <v>#REF!</v>
      </c>
      <c r="BS118" t="e">
        <f>IF(Table29128[[#This Row],[CH4 '[% GP']]]&lt;AA$10,_xlfn.NORM.DIST(Table29128[[#This Row],[CH4 '[% GP']]],AA$6,AA$2,FALSE),-100)</f>
        <v>#REF!</v>
      </c>
      <c r="BT118" t="e">
        <f>IF(Table29128[[#This Row],[CH4 '[g/g DDM']]]&lt;AB$10,_xlfn.NORM.DIST(Table29128[[#This Row],[CH4 '[g/g DDM']]],AB$6,AB$2,FALSE),-100)</f>
        <v>#REF!</v>
      </c>
    </row>
    <row r="119" spans="1:72" x14ac:dyDescent="0.25">
      <c r="A119" s="12" t="s">
        <v>200</v>
      </c>
      <c r="B119" s="13">
        <v>1206</v>
      </c>
      <c r="C119" s="113" t="s">
        <v>525</v>
      </c>
      <c r="D119" s="113" t="s">
        <v>262</v>
      </c>
      <c r="E119" s="113" t="s">
        <v>411</v>
      </c>
      <c r="F119" s="113" t="s">
        <v>412</v>
      </c>
      <c r="G119" t="s">
        <v>73</v>
      </c>
      <c r="H119" t="s">
        <v>74</v>
      </c>
      <c r="I119" t="s">
        <v>75</v>
      </c>
      <c r="J119" s="70">
        <v>1</v>
      </c>
      <c r="K119" s="70"/>
      <c r="L119" s="70"/>
      <c r="M119" t="s">
        <v>526</v>
      </c>
      <c r="N119" t="s">
        <v>171</v>
      </c>
      <c r="O119" s="18"/>
      <c r="P119" s="18"/>
      <c r="Q119" s="97"/>
      <c r="R119" s="97"/>
      <c r="S119" s="97"/>
      <c r="T119" s="97"/>
      <c r="U119" s="97"/>
      <c r="V119" s="97"/>
      <c r="W119" s="97"/>
      <c r="X119" s="51"/>
      <c r="Y119" s="18" t="e">
        <f>AVERAGEIFS([1]!Table2912[DMD '[mg/g']],[1]!Table2912[Substrate ID],Table29128[[#This Row],[Substrate ID]])</f>
        <v>#REF!</v>
      </c>
      <c r="Z119" s="18" t="e">
        <f>AVERAGEIFS([1]!Table2912[CH4 '[ml/g']],[1]!Table2912[Substrate ID],Table29128[[#This Row],[Substrate ID]])</f>
        <v>#REF!</v>
      </c>
      <c r="AA119" s="18" t="e">
        <f>AVERAGEIFS([1]!Table2912[CH4 '[% GP']],[1]!Table2912[Substrate ID],Table29128[[#This Row],[Substrate ID]])</f>
        <v>#REF!</v>
      </c>
      <c r="AB119" s="18" t="e">
        <f>AVERAGEIFS([1]!Table2912[CH4 '[g/g DDM']],[1]!Table2912[Substrate ID],Table29128[[#This Row],[Substrate ID]])</f>
        <v>#REF!</v>
      </c>
      <c r="AC119" s="18" t="e">
        <f>$CP$17*Table29128[[#This Row],[DMD '[mg/g']]]+$CQ$17*Table29128[[#This Row],[CH4 '[g/g DDM']]]</f>
        <v>#REF!</v>
      </c>
      <c r="AD119" s="18" t="e">
        <f>_xlfn.RANK.AVG(Table29128[[#This Row],[Index]],Table29128[Index])</f>
        <v>#REF!</v>
      </c>
      <c r="AE119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19" s="18" t="e">
        <f>Table29128[[#This Row],[CH4 '[ml/g']]]/Table29128[[#This Row],[APB]]</f>
        <v>#REF!</v>
      </c>
      <c r="AG119" s="18" t="e">
        <f>Table29128[[#This Row],[Propionate '[%']]]/Table29128[[#This Row],[Acetate '[%']]]</f>
        <v>#DIV/0!</v>
      </c>
      <c r="AH119" s="51"/>
      <c r="AI119" s="18"/>
      <c r="AJ119" s="18"/>
      <c r="AK119" s="135" t="e">
        <f t="shared" si="6"/>
        <v>#REF!</v>
      </c>
      <c r="AL119" s="18"/>
      <c r="AM119" s="135" t="e">
        <f t="shared" si="7"/>
        <v>#REF!</v>
      </c>
      <c r="AN119" s="18" t="e">
        <f>(Table29128[[#This Row],[CH4 '[g/g DDM']]]-AN$15)/AN$15%</f>
        <v>#REF!</v>
      </c>
      <c r="AO119" s="18"/>
      <c r="AP119" s="18"/>
      <c r="AR119" t="e">
        <f>_xlfn.NORM.DIST(Table29128[[#This Row],[GP '[ml/g']]],O$6,O$2,FALSE)</f>
        <v>#DIV/0!</v>
      </c>
      <c r="AS119" t="e">
        <f>_xlfn.NORM.DIST(Table29128[[#This Row],[SCFA '[mmol/g']]],P$6,P$2,FALSE)</f>
        <v>#DIV/0!</v>
      </c>
      <c r="AT119" t="e">
        <f>_xlfn.NORM.DIST(Table29128[[#This Row],[Acetate '[%']]],Q$6,Q$2,FALSE)</f>
        <v>#DIV/0!</v>
      </c>
      <c r="AU119" t="e">
        <f>_xlfn.NORM.DIST(Table29128[[#This Row],[Propionate '[%']]],R$6,R$2,FALSE)</f>
        <v>#DIV/0!</v>
      </c>
      <c r="AV119" t="e">
        <f>_xlfn.NORM.DIST(Table29128[[#This Row],[Butyrate '[%']]],S$6,S$2,FALSE)</f>
        <v>#DIV/0!</v>
      </c>
      <c r="AW119" t="e">
        <f>_xlfn.NORM.DIST(Table29128[[#This Row],[Valerate '[%']]],T$6,T$2,FALSE)</f>
        <v>#DIV/0!</v>
      </c>
      <c r="AX119" t="e">
        <f>_xlfn.NORM.DIST(Table29128[[#This Row],[Caproate '[%']]],U$6,U$2,FALSE)</f>
        <v>#DIV/0!</v>
      </c>
      <c r="AY119" t="e">
        <f>_xlfn.NORM.DIST(Table29128[[#This Row],[Isobutyrate '[%']]],V$6,V$2,FALSE)</f>
        <v>#DIV/0!</v>
      </c>
      <c r="AZ119" t="e">
        <f>_xlfn.NORM.DIST(Table29128[[#This Row],[Isovalerate '[%']]],W$6,W$2,FALSE)</f>
        <v>#DIV/0!</v>
      </c>
      <c r="BA119" t="e">
        <f>_xlfn.NORM.DIST(Table29128[[#This Row],[CH4 '[g/mmol SCFA']]],X$6,X$2,FALSE)</f>
        <v>#DIV/0!</v>
      </c>
      <c r="BB119" t="e">
        <f>_xlfn.NORM.DIST(Table29128[[#This Row],[DMD '[mg/g']]],Y$6,Y$2,FALSE)</f>
        <v>#REF!</v>
      </c>
      <c r="BC119" t="e">
        <f>_xlfn.NORM.DIST(Table29128[[#This Row],[CH4 '[ml/g']]],Z$6,Z$2,FALSE)</f>
        <v>#REF!</v>
      </c>
      <c r="BD119" t="e">
        <f>_xlfn.NORM.DIST(Table29128[[#This Row],[CH4 '[% GP']]],AA$6,AA$2,FALSE)</f>
        <v>#REF!</v>
      </c>
      <c r="BE119" t="e">
        <f>_xlfn.NORM.DIST(Table29128[[#This Row],[CH4 '[g/g DDM']]],AB$6,AB$2,FALSE)</f>
        <v>#REF!</v>
      </c>
      <c r="BG119">
        <f>IF(Table29128[[#This Row],[GP '[ml/g']]]&lt;O$10,_xlfn.NORM.DIST(Table29128[[#This Row],[GP '[ml/g']]],O$6,O$2,FALSE),-100)</f>
        <v>-100</v>
      </c>
      <c r="BH119">
        <f>IF(Table29128[[#This Row],[SCFA '[mmol/g']]]&lt;P$10,_xlfn.NORM.DIST(Table29128[[#This Row],[SCFA '[mmol/g']]],P$6,P$2,FALSE),-100)</f>
        <v>-100</v>
      </c>
      <c r="BI119">
        <f>IF(Table29128[[#This Row],[Acetate '[%']]]&lt;Q$10,_xlfn.NORM.DIST(Table29128[[#This Row],[Acetate '[%']]],Q$6,Q$2,FALSE),-100)</f>
        <v>-100</v>
      </c>
      <c r="BJ119">
        <f>IF(Table29128[[#This Row],[Propionate '[%']]]&lt;R$10,_xlfn.NORM.DIST(Table29128[[#This Row],[Propionate '[%']]],R$6,R$2,FALSE),-100)</f>
        <v>-100</v>
      </c>
      <c r="BK119">
        <f>IF(Table29128[[#This Row],[Butyrate '[%']]]&lt;S$10,_xlfn.NORM.DIST(Table29128[[#This Row],[Butyrate '[%']]],S$6,S$2,FALSE),-100)</f>
        <v>-100</v>
      </c>
      <c r="BL119">
        <f>IF(Table29128[[#This Row],[Valerate '[%']]]&lt;T$10,_xlfn.NORM.DIST(Table29128[[#This Row],[Valerate '[%']]],T$6,T$2,FALSE),-100)</f>
        <v>-100</v>
      </c>
      <c r="BM119">
        <f>IF(Table29128[[#This Row],[Caproate '[%']]]&lt;U$10,_xlfn.NORM.DIST(Table29128[[#This Row],[Caproate '[%']]],U$6,U$2,FALSE),-100)</f>
        <v>-100</v>
      </c>
      <c r="BN119">
        <f>IF(Table29128[[#This Row],[Isobutyrate '[%']]]&lt;V$10,_xlfn.NORM.DIST(Table29128[[#This Row],[Isobutyrate '[%']]],V$6,V$2,FALSE),-100)</f>
        <v>-100</v>
      </c>
      <c r="BO119">
        <f>IF(Table29128[[#This Row],[Isovalerate '[%']]]&lt;W$10,_xlfn.NORM.DIST(Table29128[[#This Row],[Isovalerate '[%']]],W$6,W$2,FALSE),-100)</f>
        <v>-100</v>
      </c>
      <c r="BP119">
        <f>IF(Table29128[[#This Row],[CH4 '[g/mmol SCFA']]]&lt;X$10,_xlfn.NORM.DIST(Table29128[[#This Row],[CH4 '[g/mmol SCFA']]],X$6,X$2,FALSE),-100)</f>
        <v>-100</v>
      </c>
      <c r="BQ119" t="e">
        <f>IF(Table29128[[#This Row],[DMD '[mg/g']]]&gt;Y$10,_xlfn.NORM.DIST(Table29128[[#This Row],[DMD '[mg/g']]],Y$6,Y$2,FALSE),-100)</f>
        <v>#REF!</v>
      </c>
      <c r="BR119" t="e">
        <f>IF(Table29128[[#This Row],[CH4 '[ml/g']]]&lt;Z$10,_xlfn.NORM.DIST(Table29128[[#This Row],[CH4 '[ml/g']]],Z$6,Z$2,FALSE),-100)</f>
        <v>#REF!</v>
      </c>
      <c r="BS119" t="e">
        <f>IF(Table29128[[#This Row],[CH4 '[% GP']]]&lt;AA$10,_xlfn.NORM.DIST(Table29128[[#This Row],[CH4 '[% GP']]],AA$6,AA$2,FALSE),-100)</f>
        <v>#REF!</v>
      </c>
      <c r="BT119" t="e">
        <f>IF(Table29128[[#This Row],[CH4 '[g/g DDM']]]&lt;AB$10,_xlfn.NORM.DIST(Table29128[[#This Row],[CH4 '[g/g DDM']]],AB$6,AB$2,FALSE),-100)</f>
        <v>#REF!</v>
      </c>
    </row>
    <row r="120" spans="1:72" x14ac:dyDescent="0.25">
      <c r="A120" s="12" t="s">
        <v>200</v>
      </c>
      <c r="B120" s="13">
        <v>1153</v>
      </c>
      <c r="C120" s="117" t="s">
        <v>281</v>
      </c>
      <c r="D120" s="117" t="s">
        <v>262</v>
      </c>
      <c r="E120" s="117" t="s">
        <v>282</v>
      </c>
      <c r="F120" s="117" t="s">
        <v>283</v>
      </c>
      <c r="G120" s="15" t="s">
        <v>73</v>
      </c>
      <c r="H120" s="15" t="s">
        <v>74</v>
      </c>
      <c r="I120" t="s">
        <v>75</v>
      </c>
      <c r="J120" s="70">
        <v>1</v>
      </c>
      <c r="K120" s="70"/>
      <c r="L120" s="70"/>
      <c r="M120" t="s">
        <v>283</v>
      </c>
      <c r="N120" t="s">
        <v>171</v>
      </c>
      <c r="O120" s="18"/>
      <c r="P120" s="18"/>
      <c r="Q120" s="97"/>
      <c r="R120" s="97"/>
      <c r="S120" s="97"/>
      <c r="T120" s="97"/>
      <c r="U120" s="97"/>
      <c r="V120" s="97"/>
      <c r="W120" s="97"/>
      <c r="X120" s="51"/>
      <c r="Y120" s="18" t="e">
        <f>AVERAGEIFS([1]!Table2912[DMD '[mg/g']],[1]!Table2912[Substrate ID],Table29128[[#This Row],[Substrate ID]])</f>
        <v>#REF!</v>
      </c>
      <c r="Z120" s="18" t="e">
        <f>AVERAGEIFS([1]!Table2912[CH4 '[ml/g']],[1]!Table2912[Substrate ID],Table29128[[#This Row],[Substrate ID]])</f>
        <v>#REF!</v>
      </c>
      <c r="AA120" s="18" t="e">
        <f>AVERAGEIFS([1]!Table2912[CH4 '[% GP']],[1]!Table2912[Substrate ID],Table29128[[#This Row],[Substrate ID]])</f>
        <v>#REF!</v>
      </c>
      <c r="AB120" s="18" t="e">
        <f>AVERAGEIFS([1]!Table2912[CH4 '[g/g DDM']],[1]!Table2912[Substrate ID],Table29128[[#This Row],[Substrate ID]])</f>
        <v>#REF!</v>
      </c>
      <c r="AC120" s="18" t="e">
        <f>$CP$17*Table29128[[#This Row],[DMD '[mg/g']]]+$CQ$17*Table29128[[#This Row],[CH4 '[g/g DDM']]]</f>
        <v>#REF!</v>
      </c>
      <c r="AD120" s="18" t="e">
        <f>_xlfn.RANK.AVG(Table29128[[#This Row],[Index]],Table29128[Index])</f>
        <v>#REF!</v>
      </c>
      <c r="AE120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20" s="18" t="e">
        <f>Table29128[[#This Row],[CH4 '[ml/g']]]/Table29128[[#This Row],[APB]]</f>
        <v>#REF!</v>
      </c>
      <c r="AG120" s="18" t="e">
        <f>Table29128[[#This Row],[Propionate '[%']]]/Table29128[[#This Row],[Acetate '[%']]]</f>
        <v>#DIV/0!</v>
      </c>
      <c r="AH120" s="51"/>
      <c r="AI120" s="18"/>
      <c r="AJ120" s="18"/>
      <c r="AK120" s="135" t="e">
        <f t="shared" si="6"/>
        <v>#REF!</v>
      </c>
      <c r="AL120" s="18"/>
      <c r="AM120" s="135" t="e">
        <f t="shared" si="7"/>
        <v>#REF!</v>
      </c>
      <c r="AN120" s="18" t="e">
        <f>(Table29128[[#This Row],[CH4 '[g/g DDM']]]-AN$15)/AN$15%</f>
        <v>#REF!</v>
      </c>
      <c r="AO120" s="18"/>
      <c r="AP120" s="18"/>
      <c r="AR120" t="e">
        <f>_xlfn.NORM.DIST(Table29128[[#This Row],[GP '[ml/g']]],O$6,O$2,FALSE)</f>
        <v>#DIV/0!</v>
      </c>
      <c r="AS120" t="e">
        <f>_xlfn.NORM.DIST(Table29128[[#This Row],[SCFA '[mmol/g']]],P$6,P$2,FALSE)</f>
        <v>#DIV/0!</v>
      </c>
      <c r="AT120" t="e">
        <f>_xlfn.NORM.DIST(Table29128[[#This Row],[Acetate '[%']]],Q$6,Q$2,FALSE)</f>
        <v>#DIV/0!</v>
      </c>
      <c r="AU120" t="e">
        <f>_xlfn.NORM.DIST(Table29128[[#This Row],[Propionate '[%']]],R$6,R$2,FALSE)</f>
        <v>#DIV/0!</v>
      </c>
      <c r="AV120" t="e">
        <f>_xlfn.NORM.DIST(Table29128[[#This Row],[Butyrate '[%']]],S$6,S$2,FALSE)</f>
        <v>#DIV/0!</v>
      </c>
      <c r="AW120" t="e">
        <f>_xlfn.NORM.DIST(Table29128[[#This Row],[Valerate '[%']]],T$6,T$2,FALSE)</f>
        <v>#DIV/0!</v>
      </c>
      <c r="AX120" t="e">
        <f>_xlfn.NORM.DIST(Table29128[[#This Row],[Caproate '[%']]],U$6,U$2,FALSE)</f>
        <v>#DIV/0!</v>
      </c>
      <c r="AY120" t="e">
        <f>_xlfn.NORM.DIST(Table29128[[#This Row],[Isobutyrate '[%']]],V$6,V$2,FALSE)</f>
        <v>#DIV/0!</v>
      </c>
      <c r="AZ120" t="e">
        <f>_xlfn.NORM.DIST(Table29128[[#This Row],[Isovalerate '[%']]],W$6,W$2,FALSE)</f>
        <v>#DIV/0!</v>
      </c>
      <c r="BA120" t="e">
        <f>_xlfn.NORM.DIST(Table29128[[#This Row],[CH4 '[g/mmol SCFA']]],X$6,X$2,FALSE)</f>
        <v>#DIV/0!</v>
      </c>
      <c r="BB120" t="e">
        <f>_xlfn.NORM.DIST(Table29128[[#This Row],[DMD '[mg/g']]],Y$6,Y$2,FALSE)</f>
        <v>#REF!</v>
      </c>
      <c r="BC120" t="e">
        <f>_xlfn.NORM.DIST(Table29128[[#This Row],[CH4 '[ml/g']]],Z$6,Z$2,FALSE)</f>
        <v>#REF!</v>
      </c>
      <c r="BD120" t="e">
        <f>_xlfn.NORM.DIST(Table29128[[#This Row],[CH4 '[% GP']]],AA$6,AA$2,FALSE)</f>
        <v>#REF!</v>
      </c>
      <c r="BE120" t="e">
        <f>_xlfn.NORM.DIST(Table29128[[#This Row],[CH4 '[g/g DDM']]],AB$6,AB$2,FALSE)</f>
        <v>#REF!</v>
      </c>
      <c r="BG120">
        <f>IF(Table29128[[#This Row],[GP '[ml/g']]]&lt;O$10,_xlfn.NORM.DIST(Table29128[[#This Row],[GP '[ml/g']]],O$6,O$2,FALSE),-100)</f>
        <v>-100</v>
      </c>
      <c r="BH120">
        <f>IF(Table29128[[#This Row],[SCFA '[mmol/g']]]&lt;P$10,_xlfn.NORM.DIST(Table29128[[#This Row],[SCFA '[mmol/g']]],P$6,P$2,FALSE),-100)</f>
        <v>-100</v>
      </c>
      <c r="BI120">
        <f>IF(Table29128[[#This Row],[Acetate '[%']]]&lt;Q$10,_xlfn.NORM.DIST(Table29128[[#This Row],[Acetate '[%']]],Q$6,Q$2,FALSE),-100)</f>
        <v>-100</v>
      </c>
      <c r="BJ120">
        <f>IF(Table29128[[#This Row],[Propionate '[%']]]&lt;R$10,_xlfn.NORM.DIST(Table29128[[#This Row],[Propionate '[%']]],R$6,R$2,FALSE),-100)</f>
        <v>-100</v>
      </c>
      <c r="BK120">
        <f>IF(Table29128[[#This Row],[Butyrate '[%']]]&lt;S$10,_xlfn.NORM.DIST(Table29128[[#This Row],[Butyrate '[%']]],S$6,S$2,FALSE),-100)</f>
        <v>-100</v>
      </c>
      <c r="BL120">
        <f>IF(Table29128[[#This Row],[Valerate '[%']]]&lt;T$10,_xlfn.NORM.DIST(Table29128[[#This Row],[Valerate '[%']]],T$6,T$2,FALSE),-100)</f>
        <v>-100</v>
      </c>
      <c r="BM120">
        <f>IF(Table29128[[#This Row],[Caproate '[%']]]&lt;U$10,_xlfn.NORM.DIST(Table29128[[#This Row],[Caproate '[%']]],U$6,U$2,FALSE),-100)</f>
        <v>-100</v>
      </c>
      <c r="BN120">
        <f>IF(Table29128[[#This Row],[Isobutyrate '[%']]]&lt;V$10,_xlfn.NORM.DIST(Table29128[[#This Row],[Isobutyrate '[%']]],V$6,V$2,FALSE),-100)</f>
        <v>-100</v>
      </c>
      <c r="BO120">
        <f>IF(Table29128[[#This Row],[Isovalerate '[%']]]&lt;W$10,_xlfn.NORM.DIST(Table29128[[#This Row],[Isovalerate '[%']]],W$6,W$2,FALSE),-100)</f>
        <v>-100</v>
      </c>
      <c r="BP120">
        <f>IF(Table29128[[#This Row],[CH4 '[g/mmol SCFA']]]&lt;X$10,_xlfn.NORM.DIST(Table29128[[#This Row],[CH4 '[g/mmol SCFA']]],X$6,X$2,FALSE),-100)</f>
        <v>-100</v>
      </c>
      <c r="BQ120" t="e">
        <f>IF(Table29128[[#This Row],[DMD '[mg/g']]]&gt;Y$10,_xlfn.NORM.DIST(Table29128[[#This Row],[DMD '[mg/g']]],Y$6,Y$2,FALSE),-100)</f>
        <v>#REF!</v>
      </c>
      <c r="BR120" t="e">
        <f>IF(Table29128[[#This Row],[CH4 '[ml/g']]]&lt;Z$10,_xlfn.NORM.DIST(Table29128[[#This Row],[CH4 '[ml/g']]],Z$6,Z$2,FALSE),-100)</f>
        <v>#REF!</v>
      </c>
      <c r="BS120" t="e">
        <f>IF(Table29128[[#This Row],[CH4 '[% GP']]]&lt;AA$10,_xlfn.NORM.DIST(Table29128[[#This Row],[CH4 '[% GP']]],AA$6,AA$2,FALSE),-100)</f>
        <v>#REF!</v>
      </c>
      <c r="BT120" t="e">
        <f>IF(Table29128[[#This Row],[CH4 '[g/g DDM']]]&lt;AB$10,_xlfn.NORM.DIST(Table29128[[#This Row],[CH4 '[g/g DDM']]],AB$6,AB$2,FALSE),-100)</f>
        <v>#REF!</v>
      </c>
    </row>
    <row r="121" spans="1:72" x14ac:dyDescent="0.25">
      <c r="A121" s="12" t="s">
        <v>70</v>
      </c>
      <c r="B121" s="13">
        <v>1008</v>
      </c>
      <c r="C121" s="96" t="s">
        <v>259</v>
      </c>
      <c r="D121" s="96"/>
      <c r="E121" s="96"/>
      <c r="F121" s="96" t="s">
        <v>260</v>
      </c>
      <c r="G121" s="15" t="s">
        <v>73</v>
      </c>
      <c r="H121" s="15" t="s">
        <v>74</v>
      </c>
      <c r="I121" t="s">
        <v>75</v>
      </c>
      <c r="J121" s="70">
        <v>1</v>
      </c>
      <c r="K121" s="70"/>
      <c r="L121" s="70"/>
      <c r="M121" t="s">
        <v>260</v>
      </c>
      <c r="N121" t="s">
        <v>85</v>
      </c>
      <c r="O121" s="18"/>
      <c r="P121" s="18"/>
      <c r="Q121" s="97"/>
      <c r="R121" s="97"/>
      <c r="S121" s="97"/>
      <c r="T121" s="97"/>
      <c r="U121" s="97"/>
      <c r="V121" s="97"/>
      <c r="W121" s="97"/>
      <c r="X121" s="51"/>
      <c r="Y121" s="18" t="e">
        <f>AVERAGEIFS([1]!Table2912[DMD '[mg/g']],[1]!Table2912[Substrate ID],Table29128[[#This Row],[Substrate ID]])</f>
        <v>#REF!</v>
      </c>
      <c r="Z121" s="18" t="e">
        <f>AVERAGEIFS([1]!Table2912[CH4 '[ml/g']],[1]!Table2912[Substrate ID],Table29128[[#This Row],[Substrate ID]])</f>
        <v>#REF!</v>
      </c>
      <c r="AA121" s="18" t="e">
        <f>AVERAGEIFS([1]!Table2912[CH4 '[% GP']],[1]!Table2912[Substrate ID],Table29128[[#This Row],[Substrate ID]])</f>
        <v>#REF!</v>
      </c>
      <c r="AB121" s="18" t="e">
        <f>AVERAGEIFS([1]!Table2912[CH4 '[g/g DDM']],[1]!Table2912[Substrate ID],Table29128[[#This Row],[Substrate ID]])</f>
        <v>#REF!</v>
      </c>
      <c r="AC121" s="18" t="e">
        <f>$CP$17*Table29128[[#This Row],[DMD '[mg/g']]]+$CQ$17*Table29128[[#This Row],[CH4 '[g/g DDM']]]</f>
        <v>#REF!</v>
      </c>
      <c r="AD121" s="18" t="e">
        <f>_xlfn.RANK.AVG(Table29128[[#This Row],[Index]],Table29128[Index])</f>
        <v>#REF!</v>
      </c>
      <c r="AE121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21" s="18" t="e">
        <f>Table29128[[#This Row],[CH4 '[ml/g']]]/Table29128[[#This Row],[APB]]</f>
        <v>#REF!</v>
      </c>
      <c r="AG121" s="18" t="e">
        <f>Table29128[[#This Row],[Propionate '[%']]]/Table29128[[#This Row],[Acetate '[%']]]</f>
        <v>#DIV/0!</v>
      </c>
      <c r="AH121" s="51"/>
      <c r="AI121" s="18"/>
      <c r="AJ121" s="18"/>
      <c r="AK121" s="135" t="e">
        <f t="shared" si="6"/>
        <v>#REF!</v>
      </c>
      <c r="AL121" s="18"/>
      <c r="AM121" s="135" t="e">
        <f t="shared" si="7"/>
        <v>#REF!</v>
      </c>
      <c r="AN121" s="18" t="e">
        <f>(Table29128[[#This Row],[CH4 '[g/g DDM']]]-AN$15)/AN$15%</f>
        <v>#REF!</v>
      </c>
      <c r="AO121" s="18"/>
      <c r="AP121" s="18"/>
      <c r="AR121" t="e">
        <f>_xlfn.NORM.DIST(Table29128[[#This Row],[GP '[ml/g']]],O$6,O$2,FALSE)</f>
        <v>#DIV/0!</v>
      </c>
      <c r="AS121" t="e">
        <f>_xlfn.NORM.DIST(Table29128[[#This Row],[SCFA '[mmol/g']]],P$6,P$2,FALSE)</f>
        <v>#DIV/0!</v>
      </c>
      <c r="AT121" t="e">
        <f>_xlfn.NORM.DIST(Table29128[[#This Row],[Acetate '[%']]],Q$6,Q$2,FALSE)</f>
        <v>#DIV/0!</v>
      </c>
      <c r="AU121" t="e">
        <f>_xlfn.NORM.DIST(Table29128[[#This Row],[Propionate '[%']]],R$6,R$2,FALSE)</f>
        <v>#DIV/0!</v>
      </c>
      <c r="AV121" t="e">
        <f>_xlfn.NORM.DIST(Table29128[[#This Row],[Butyrate '[%']]],S$6,S$2,FALSE)</f>
        <v>#DIV/0!</v>
      </c>
      <c r="AW121" t="e">
        <f>_xlfn.NORM.DIST(Table29128[[#This Row],[Valerate '[%']]],T$6,T$2,FALSE)</f>
        <v>#DIV/0!</v>
      </c>
      <c r="AX121" t="e">
        <f>_xlfn.NORM.DIST(Table29128[[#This Row],[Caproate '[%']]],U$6,U$2,FALSE)</f>
        <v>#DIV/0!</v>
      </c>
      <c r="AY121" t="e">
        <f>_xlfn.NORM.DIST(Table29128[[#This Row],[Isobutyrate '[%']]],V$6,V$2,FALSE)</f>
        <v>#DIV/0!</v>
      </c>
      <c r="AZ121" t="e">
        <f>_xlfn.NORM.DIST(Table29128[[#This Row],[Isovalerate '[%']]],W$6,W$2,FALSE)</f>
        <v>#DIV/0!</v>
      </c>
      <c r="BA121" t="e">
        <f>_xlfn.NORM.DIST(Table29128[[#This Row],[CH4 '[g/mmol SCFA']]],X$6,X$2,FALSE)</f>
        <v>#DIV/0!</v>
      </c>
      <c r="BB121" t="e">
        <f>_xlfn.NORM.DIST(Table29128[[#This Row],[DMD '[mg/g']]],Y$6,Y$2,FALSE)</f>
        <v>#REF!</v>
      </c>
      <c r="BC121" t="e">
        <f>_xlfn.NORM.DIST(Table29128[[#This Row],[CH4 '[ml/g']]],Z$6,Z$2,FALSE)</f>
        <v>#REF!</v>
      </c>
      <c r="BD121" t="e">
        <f>_xlfn.NORM.DIST(Table29128[[#This Row],[CH4 '[% GP']]],AA$6,AA$2,FALSE)</f>
        <v>#REF!</v>
      </c>
      <c r="BE121" t="e">
        <f>_xlfn.NORM.DIST(Table29128[[#This Row],[CH4 '[g/g DDM']]],AB$6,AB$2,FALSE)</f>
        <v>#REF!</v>
      </c>
      <c r="BG121">
        <f>IF(Table29128[[#This Row],[GP '[ml/g']]]&lt;O$10,_xlfn.NORM.DIST(Table29128[[#This Row],[GP '[ml/g']]],O$6,O$2,FALSE),-100)</f>
        <v>-100</v>
      </c>
      <c r="BH121">
        <f>IF(Table29128[[#This Row],[SCFA '[mmol/g']]]&lt;P$10,_xlfn.NORM.DIST(Table29128[[#This Row],[SCFA '[mmol/g']]],P$6,P$2,FALSE),-100)</f>
        <v>-100</v>
      </c>
      <c r="BI121">
        <f>IF(Table29128[[#This Row],[Acetate '[%']]]&lt;Q$10,_xlfn.NORM.DIST(Table29128[[#This Row],[Acetate '[%']]],Q$6,Q$2,FALSE),-100)</f>
        <v>-100</v>
      </c>
      <c r="BJ121">
        <f>IF(Table29128[[#This Row],[Propionate '[%']]]&lt;R$10,_xlfn.NORM.DIST(Table29128[[#This Row],[Propionate '[%']]],R$6,R$2,FALSE),-100)</f>
        <v>-100</v>
      </c>
      <c r="BK121">
        <f>IF(Table29128[[#This Row],[Butyrate '[%']]]&lt;S$10,_xlfn.NORM.DIST(Table29128[[#This Row],[Butyrate '[%']]],S$6,S$2,FALSE),-100)</f>
        <v>-100</v>
      </c>
      <c r="BL121">
        <f>IF(Table29128[[#This Row],[Valerate '[%']]]&lt;T$10,_xlfn.NORM.DIST(Table29128[[#This Row],[Valerate '[%']]],T$6,T$2,FALSE),-100)</f>
        <v>-100</v>
      </c>
      <c r="BM121">
        <f>IF(Table29128[[#This Row],[Caproate '[%']]]&lt;U$10,_xlfn.NORM.DIST(Table29128[[#This Row],[Caproate '[%']]],U$6,U$2,FALSE),-100)</f>
        <v>-100</v>
      </c>
      <c r="BN121">
        <f>IF(Table29128[[#This Row],[Isobutyrate '[%']]]&lt;V$10,_xlfn.NORM.DIST(Table29128[[#This Row],[Isobutyrate '[%']]],V$6,V$2,FALSE),-100)</f>
        <v>-100</v>
      </c>
      <c r="BO121">
        <f>IF(Table29128[[#This Row],[Isovalerate '[%']]]&lt;W$10,_xlfn.NORM.DIST(Table29128[[#This Row],[Isovalerate '[%']]],W$6,W$2,FALSE),-100)</f>
        <v>-100</v>
      </c>
      <c r="BP121">
        <f>IF(Table29128[[#This Row],[CH4 '[g/mmol SCFA']]]&lt;X$10,_xlfn.NORM.DIST(Table29128[[#This Row],[CH4 '[g/mmol SCFA']]],X$6,X$2,FALSE),-100)</f>
        <v>-100</v>
      </c>
      <c r="BQ121" t="e">
        <f>IF(Table29128[[#This Row],[DMD '[mg/g']]]&gt;Y$10,_xlfn.NORM.DIST(Table29128[[#This Row],[DMD '[mg/g']]],Y$6,Y$2,FALSE),-100)</f>
        <v>#REF!</v>
      </c>
      <c r="BR121" t="e">
        <f>IF(Table29128[[#This Row],[CH4 '[ml/g']]]&lt;Z$10,_xlfn.NORM.DIST(Table29128[[#This Row],[CH4 '[ml/g']]],Z$6,Z$2,FALSE),-100)</f>
        <v>#REF!</v>
      </c>
      <c r="BS121" t="e">
        <f>IF(Table29128[[#This Row],[CH4 '[% GP']]]&lt;AA$10,_xlfn.NORM.DIST(Table29128[[#This Row],[CH4 '[% GP']]],AA$6,AA$2,FALSE),-100)</f>
        <v>#REF!</v>
      </c>
      <c r="BT121" t="e">
        <f>IF(Table29128[[#This Row],[CH4 '[g/g DDM']]]&lt;AB$10,_xlfn.NORM.DIST(Table29128[[#This Row],[CH4 '[g/g DDM']]],AB$6,AB$2,FALSE),-100)</f>
        <v>#REF!</v>
      </c>
    </row>
    <row r="122" spans="1:72" x14ac:dyDescent="0.25">
      <c r="A122" s="12" t="s">
        <v>86</v>
      </c>
      <c r="B122" s="13">
        <v>1073</v>
      </c>
      <c r="C122" s="104" t="s">
        <v>125</v>
      </c>
      <c r="D122" s="104" t="s">
        <v>126</v>
      </c>
      <c r="E122" s="104" t="s">
        <v>127</v>
      </c>
      <c r="F122" s="104" t="s">
        <v>128</v>
      </c>
      <c r="G122" s="32" t="s">
        <v>73</v>
      </c>
      <c r="H122" s="32" t="s">
        <v>74</v>
      </c>
      <c r="I122" s="105" t="s">
        <v>44</v>
      </c>
      <c r="J122" s="70">
        <v>1</v>
      </c>
      <c r="K122" s="70"/>
      <c r="L122" s="141"/>
      <c r="M122" t="s">
        <v>128</v>
      </c>
      <c r="N122" t="s">
        <v>124</v>
      </c>
      <c r="O122" s="18"/>
      <c r="P122" s="18"/>
      <c r="Q122" s="97"/>
      <c r="R122" s="97"/>
      <c r="S122" s="97"/>
      <c r="T122" s="97"/>
      <c r="U122" s="97"/>
      <c r="V122" s="97"/>
      <c r="W122" s="97"/>
      <c r="X122" s="51"/>
      <c r="Y122" s="18" t="e">
        <f>AVERAGEIFS([1]!Table2912[DMD '[mg/g']],[1]!Table2912[Substrate ID],Table29128[[#This Row],[Substrate ID]])</f>
        <v>#REF!</v>
      </c>
      <c r="Z122" s="18" t="e">
        <f>AVERAGEIFS([1]!Table2912[CH4 '[ml/g']],[1]!Table2912[Substrate ID],Table29128[[#This Row],[Substrate ID]])</f>
        <v>#REF!</v>
      </c>
      <c r="AA122" s="18" t="e">
        <f>AVERAGEIFS([1]!Table2912[CH4 '[% GP']],[1]!Table2912[Substrate ID],Table29128[[#This Row],[Substrate ID]])</f>
        <v>#REF!</v>
      </c>
      <c r="AB122" s="18" t="e">
        <f>AVERAGEIFS([1]!Table2912[CH4 '[g/g DDM']],[1]!Table2912[Substrate ID],Table29128[[#This Row],[Substrate ID]])</f>
        <v>#REF!</v>
      </c>
      <c r="AC122" s="18" t="e">
        <f>$CP$17*Table29128[[#This Row],[DMD '[mg/g']]]+$CQ$17*Table29128[[#This Row],[CH4 '[g/g DDM']]]</f>
        <v>#REF!</v>
      </c>
      <c r="AD122" s="18" t="e">
        <f>_xlfn.RANK.AVG(Table29128[[#This Row],[Index]],Table29128[Index])</f>
        <v>#REF!</v>
      </c>
      <c r="AE122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22" s="18" t="e">
        <f>Table29128[[#This Row],[CH4 '[ml/g']]]/Table29128[[#This Row],[APB]]</f>
        <v>#REF!</v>
      </c>
      <c r="AG122" s="18" t="e">
        <f>Table29128[[#This Row],[Propionate '[%']]]/Table29128[[#This Row],[Acetate '[%']]]</f>
        <v>#DIV/0!</v>
      </c>
      <c r="AH122" s="51"/>
      <c r="AI122" s="18"/>
      <c r="AJ122" s="18"/>
      <c r="AK122" s="135" t="e">
        <f t="shared" si="6"/>
        <v>#REF!</v>
      </c>
      <c r="AL122" s="18"/>
      <c r="AM122" s="135" t="e">
        <f t="shared" si="7"/>
        <v>#REF!</v>
      </c>
      <c r="AN122" s="18" t="e">
        <f>(Table29128[[#This Row],[CH4 '[g/g DDM']]]-AN$15)/AN$15%</f>
        <v>#REF!</v>
      </c>
      <c r="AO122" s="18"/>
      <c r="AP122" s="18"/>
      <c r="AR122" t="e">
        <f>_xlfn.NORM.DIST(Table29128[[#This Row],[GP '[ml/g']]],O$6,O$2,FALSE)</f>
        <v>#DIV/0!</v>
      </c>
      <c r="AS122" t="e">
        <f>_xlfn.NORM.DIST(Table29128[[#This Row],[SCFA '[mmol/g']]],P$6,P$2,FALSE)</f>
        <v>#DIV/0!</v>
      </c>
      <c r="AT122" t="e">
        <f>_xlfn.NORM.DIST(Table29128[[#This Row],[Acetate '[%']]],Q$6,Q$2,FALSE)</f>
        <v>#DIV/0!</v>
      </c>
      <c r="AU122" t="e">
        <f>_xlfn.NORM.DIST(Table29128[[#This Row],[Propionate '[%']]],R$6,R$2,FALSE)</f>
        <v>#DIV/0!</v>
      </c>
      <c r="AV122" t="e">
        <f>_xlfn.NORM.DIST(Table29128[[#This Row],[Butyrate '[%']]],S$6,S$2,FALSE)</f>
        <v>#DIV/0!</v>
      </c>
      <c r="AW122" t="e">
        <f>_xlfn.NORM.DIST(Table29128[[#This Row],[Valerate '[%']]],T$6,T$2,FALSE)</f>
        <v>#DIV/0!</v>
      </c>
      <c r="AX122" t="e">
        <f>_xlfn.NORM.DIST(Table29128[[#This Row],[Caproate '[%']]],U$6,U$2,FALSE)</f>
        <v>#DIV/0!</v>
      </c>
      <c r="AY122" t="e">
        <f>_xlfn.NORM.DIST(Table29128[[#This Row],[Isobutyrate '[%']]],V$6,V$2,FALSE)</f>
        <v>#DIV/0!</v>
      </c>
      <c r="AZ122" t="e">
        <f>_xlfn.NORM.DIST(Table29128[[#This Row],[Isovalerate '[%']]],W$6,W$2,FALSE)</f>
        <v>#DIV/0!</v>
      </c>
      <c r="BA122" t="e">
        <f>_xlfn.NORM.DIST(Table29128[[#This Row],[CH4 '[g/mmol SCFA']]],X$6,X$2,FALSE)</f>
        <v>#DIV/0!</v>
      </c>
      <c r="BB122" t="e">
        <f>_xlfn.NORM.DIST(Table29128[[#This Row],[DMD '[mg/g']]],Y$6,Y$2,FALSE)</f>
        <v>#REF!</v>
      </c>
      <c r="BC122" t="e">
        <f>_xlfn.NORM.DIST(Table29128[[#This Row],[CH4 '[ml/g']]],Z$6,Z$2,FALSE)</f>
        <v>#REF!</v>
      </c>
      <c r="BD122" t="e">
        <f>_xlfn.NORM.DIST(Table29128[[#This Row],[CH4 '[% GP']]],AA$6,AA$2,FALSE)</f>
        <v>#REF!</v>
      </c>
      <c r="BE122" t="e">
        <f>_xlfn.NORM.DIST(Table29128[[#This Row],[CH4 '[g/g DDM']]],AB$6,AB$2,FALSE)</f>
        <v>#REF!</v>
      </c>
      <c r="BG122">
        <f>IF(Table29128[[#This Row],[GP '[ml/g']]]&lt;O$10,_xlfn.NORM.DIST(Table29128[[#This Row],[GP '[ml/g']]],O$6,O$2,FALSE),-100)</f>
        <v>-100</v>
      </c>
      <c r="BH122">
        <f>IF(Table29128[[#This Row],[SCFA '[mmol/g']]]&lt;P$10,_xlfn.NORM.DIST(Table29128[[#This Row],[SCFA '[mmol/g']]],P$6,P$2,FALSE),-100)</f>
        <v>-100</v>
      </c>
      <c r="BI122">
        <f>IF(Table29128[[#This Row],[Acetate '[%']]]&lt;Q$10,_xlfn.NORM.DIST(Table29128[[#This Row],[Acetate '[%']]],Q$6,Q$2,FALSE),-100)</f>
        <v>-100</v>
      </c>
      <c r="BJ122">
        <f>IF(Table29128[[#This Row],[Propionate '[%']]]&lt;R$10,_xlfn.NORM.DIST(Table29128[[#This Row],[Propionate '[%']]],R$6,R$2,FALSE),-100)</f>
        <v>-100</v>
      </c>
      <c r="BK122">
        <f>IF(Table29128[[#This Row],[Butyrate '[%']]]&lt;S$10,_xlfn.NORM.DIST(Table29128[[#This Row],[Butyrate '[%']]],S$6,S$2,FALSE),-100)</f>
        <v>-100</v>
      </c>
      <c r="BL122">
        <f>IF(Table29128[[#This Row],[Valerate '[%']]]&lt;T$10,_xlfn.NORM.DIST(Table29128[[#This Row],[Valerate '[%']]],T$6,T$2,FALSE),-100)</f>
        <v>-100</v>
      </c>
      <c r="BM122">
        <f>IF(Table29128[[#This Row],[Caproate '[%']]]&lt;U$10,_xlfn.NORM.DIST(Table29128[[#This Row],[Caproate '[%']]],U$6,U$2,FALSE),-100)</f>
        <v>-100</v>
      </c>
      <c r="BN122">
        <f>IF(Table29128[[#This Row],[Isobutyrate '[%']]]&lt;V$10,_xlfn.NORM.DIST(Table29128[[#This Row],[Isobutyrate '[%']]],V$6,V$2,FALSE),-100)</f>
        <v>-100</v>
      </c>
      <c r="BO122">
        <f>IF(Table29128[[#This Row],[Isovalerate '[%']]]&lt;W$10,_xlfn.NORM.DIST(Table29128[[#This Row],[Isovalerate '[%']]],W$6,W$2,FALSE),-100)</f>
        <v>-100</v>
      </c>
      <c r="BP122">
        <f>IF(Table29128[[#This Row],[CH4 '[g/mmol SCFA']]]&lt;X$10,_xlfn.NORM.DIST(Table29128[[#This Row],[CH4 '[g/mmol SCFA']]],X$6,X$2,FALSE),-100)</f>
        <v>-100</v>
      </c>
      <c r="BQ122" t="e">
        <f>IF(Table29128[[#This Row],[DMD '[mg/g']]]&gt;Y$10,_xlfn.NORM.DIST(Table29128[[#This Row],[DMD '[mg/g']]],Y$6,Y$2,FALSE),-100)</f>
        <v>#REF!</v>
      </c>
      <c r="BR122" t="e">
        <f>IF(Table29128[[#This Row],[CH4 '[ml/g']]]&lt;Z$10,_xlfn.NORM.DIST(Table29128[[#This Row],[CH4 '[ml/g']]],Z$6,Z$2,FALSE),-100)</f>
        <v>#REF!</v>
      </c>
      <c r="BS122" t="e">
        <f>IF(Table29128[[#This Row],[CH4 '[% GP']]]&lt;AA$10,_xlfn.NORM.DIST(Table29128[[#This Row],[CH4 '[% GP']]],AA$6,AA$2,FALSE),-100)</f>
        <v>#REF!</v>
      </c>
      <c r="BT122" t="e">
        <f>IF(Table29128[[#This Row],[CH4 '[g/g DDM']]]&lt;AB$10,_xlfn.NORM.DIST(Table29128[[#This Row],[CH4 '[g/g DDM']]],AB$6,AB$2,FALSE),-100)</f>
        <v>#REF!</v>
      </c>
    </row>
    <row r="123" spans="1:72" x14ac:dyDescent="0.25">
      <c r="A123" s="12" t="s">
        <v>70</v>
      </c>
      <c r="B123" s="13">
        <v>1025</v>
      </c>
      <c r="C123" s="96" t="s">
        <v>92</v>
      </c>
      <c r="D123" s="96"/>
      <c r="E123" s="96"/>
      <c r="F123" s="98" t="s">
        <v>93</v>
      </c>
      <c r="G123" s="15" t="s">
        <v>73</v>
      </c>
      <c r="H123" s="15" t="s">
        <v>74</v>
      </c>
      <c r="I123" t="s">
        <v>75</v>
      </c>
      <c r="J123" s="70">
        <v>1</v>
      </c>
      <c r="K123" s="70"/>
      <c r="L123" s="141"/>
      <c r="M123" t="s">
        <v>93</v>
      </c>
      <c r="N123" t="s">
        <v>80</v>
      </c>
      <c r="O123" s="18"/>
      <c r="P123" s="18"/>
      <c r="Q123" s="97"/>
      <c r="R123" s="97"/>
      <c r="S123" s="97"/>
      <c r="T123" s="97"/>
      <c r="U123" s="97"/>
      <c r="V123" s="97"/>
      <c r="W123" s="97"/>
      <c r="X123" s="51"/>
      <c r="Y123" s="18" t="e">
        <f>AVERAGEIFS([1]!Table2912[DMD '[mg/g']],[1]!Table2912[Substrate ID],Table29128[[#This Row],[Substrate ID]])</f>
        <v>#REF!</v>
      </c>
      <c r="Z123" s="18" t="e">
        <f>AVERAGEIFS([1]!Table2912[CH4 '[ml/g']],[1]!Table2912[Substrate ID],Table29128[[#This Row],[Substrate ID]])</f>
        <v>#REF!</v>
      </c>
      <c r="AA123" s="18" t="e">
        <f>AVERAGEIFS([1]!Table2912[CH4 '[% GP']],[1]!Table2912[Substrate ID],Table29128[[#This Row],[Substrate ID]])</f>
        <v>#REF!</v>
      </c>
      <c r="AB123" s="18" t="e">
        <f>AVERAGEIFS([1]!Table2912[CH4 '[g/g DDM']],[1]!Table2912[Substrate ID],Table29128[[#This Row],[Substrate ID]])</f>
        <v>#REF!</v>
      </c>
      <c r="AC123" s="18" t="e">
        <f>$CP$17*Table29128[[#This Row],[DMD '[mg/g']]]+$CQ$17*Table29128[[#This Row],[CH4 '[g/g DDM']]]</f>
        <v>#REF!</v>
      </c>
      <c r="AD123" s="18" t="e">
        <f>_xlfn.RANK.AVG(Table29128[[#This Row],[Index]],Table29128[Index])</f>
        <v>#REF!</v>
      </c>
      <c r="AE123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23" s="18" t="e">
        <f>Table29128[[#This Row],[CH4 '[ml/g']]]/Table29128[[#This Row],[APB]]</f>
        <v>#REF!</v>
      </c>
      <c r="AG123" s="18" t="e">
        <f>Table29128[[#This Row],[Propionate '[%']]]/Table29128[[#This Row],[Acetate '[%']]]</f>
        <v>#DIV/0!</v>
      </c>
      <c r="AH123" s="51"/>
      <c r="AI123" s="18"/>
      <c r="AJ123" s="18"/>
      <c r="AK123" s="135" t="e">
        <f t="shared" si="6"/>
        <v>#REF!</v>
      </c>
      <c r="AL123" s="18"/>
      <c r="AM123" s="135" t="e">
        <f t="shared" si="7"/>
        <v>#REF!</v>
      </c>
      <c r="AN123" s="18" t="e">
        <f>(Table29128[[#This Row],[CH4 '[g/g DDM']]]-AN$15)/AN$15%</f>
        <v>#REF!</v>
      </c>
      <c r="AO123" s="18"/>
      <c r="AP123" s="18"/>
      <c r="AR123" t="e">
        <f>_xlfn.NORM.DIST(Table29128[[#This Row],[GP '[ml/g']]],O$6,O$2,FALSE)</f>
        <v>#DIV/0!</v>
      </c>
      <c r="AS123" t="e">
        <f>_xlfn.NORM.DIST(Table29128[[#This Row],[SCFA '[mmol/g']]],P$6,P$2,FALSE)</f>
        <v>#DIV/0!</v>
      </c>
      <c r="AT123" t="e">
        <f>_xlfn.NORM.DIST(Table29128[[#This Row],[Acetate '[%']]],Q$6,Q$2,FALSE)</f>
        <v>#DIV/0!</v>
      </c>
      <c r="AU123" t="e">
        <f>_xlfn.NORM.DIST(Table29128[[#This Row],[Propionate '[%']]],R$6,R$2,FALSE)</f>
        <v>#DIV/0!</v>
      </c>
      <c r="AV123" t="e">
        <f>_xlfn.NORM.DIST(Table29128[[#This Row],[Butyrate '[%']]],S$6,S$2,FALSE)</f>
        <v>#DIV/0!</v>
      </c>
      <c r="AW123" t="e">
        <f>_xlfn.NORM.DIST(Table29128[[#This Row],[Valerate '[%']]],T$6,T$2,FALSE)</f>
        <v>#DIV/0!</v>
      </c>
      <c r="AX123" t="e">
        <f>_xlfn.NORM.DIST(Table29128[[#This Row],[Caproate '[%']]],U$6,U$2,FALSE)</f>
        <v>#DIV/0!</v>
      </c>
      <c r="AY123" t="e">
        <f>_xlfn.NORM.DIST(Table29128[[#This Row],[Isobutyrate '[%']]],V$6,V$2,FALSE)</f>
        <v>#DIV/0!</v>
      </c>
      <c r="AZ123" t="e">
        <f>_xlfn.NORM.DIST(Table29128[[#This Row],[Isovalerate '[%']]],W$6,W$2,FALSE)</f>
        <v>#DIV/0!</v>
      </c>
      <c r="BA123" t="e">
        <f>_xlfn.NORM.DIST(Table29128[[#This Row],[CH4 '[g/mmol SCFA']]],X$6,X$2,FALSE)</f>
        <v>#DIV/0!</v>
      </c>
      <c r="BB123" t="e">
        <f>_xlfn.NORM.DIST(Table29128[[#This Row],[DMD '[mg/g']]],Y$6,Y$2,FALSE)</f>
        <v>#REF!</v>
      </c>
      <c r="BC123" t="e">
        <f>_xlfn.NORM.DIST(Table29128[[#This Row],[CH4 '[ml/g']]],Z$6,Z$2,FALSE)</f>
        <v>#REF!</v>
      </c>
      <c r="BD123" t="e">
        <f>_xlfn.NORM.DIST(Table29128[[#This Row],[CH4 '[% GP']]],AA$6,AA$2,FALSE)</f>
        <v>#REF!</v>
      </c>
      <c r="BE123" t="e">
        <f>_xlfn.NORM.DIST(Table29128[[#This Row],[CH4 '[g/g DDM']]],AB$6,AB$2,FALSE)</f>
        <v>#REF!</v>
      </c>
      <c r="BG123">
        <f>IF(Table29128[[#This Row],[GP '[ml/g']]]&lt;O$10,_xlfn.NORM.DIST(Table29128[[#This Row],[GP '[ml/g']]],O$6,O$2,FALSE),-100)</f>
        <v>-100</v>
      </c>
      <c r="BH123">
        <f>IF(Table29128[[#This Row],[SCFA '[mmol/g']]]&lt;P$10,_xlfn.NORM.DIST(Table29128[[#This Row],[SCFA '[mmol/g']]],P$6,P$2,FALSE),-100)</f>
        <v>-100</v>
      </c>
      <c r="BI123">
        <f>IF(Table29128[[#This Row],[Acetate '[%']]]&lt;Q$10,_xlfn.NORM.DIST(Table29128[[#This Row],[Acetate '[%']]],Q$6,Q$2,FALSE),-100)</f>
        <v>-100</v>
      </c>
      <c r="BJ123">
        <f>IF(Table29128[[#This Row],[Propionate '[%']]]&lt;R$10,_xlfn.NORM.DIST(Table29128[[#This Row],[Propionate '[%']]],R$6,R$2,FALSE),-100)</f>
        <v>-100</v>
      </c>
      <c r="BK123">
        <f>IF(Table29128[[#This Row],[Butyrate '[%']]]&lt;S$10,_xlfn.NORM.DIST(Table29128[[#This Row],[Butyrate '[%']]],S$6,S$2,FALSE),-100)</f>
        <v>-100</v>
      </c>
      <c r="BL123">
        <f>IF(Table29128[[#This Row],[Valerate '[%']]]&lt;T$10,_xlfn.NORM.DIST(Table29128[[#This Row],[Valerate '[%']]],T$6,T$2,FALSE),-100)</f>
        <v>-100</v>
      </c>
      <c r="BM123">
        <f>IF(Table29128[[#This Row],[Caproate '[%']]]&lt;U$10,_xlfn.NORM.DIST(Table29128[[#This Row],[Caproate '[%']]],U$6,U$2,FALSE),-100)</f>
        <v>-100</v>
      </c>
      <c r="BN123">
        <f>IF(Table29128[[#This Row],[Isobutyrate '[%']]]&lt;V$10,_xlfn.NORM.DIST(Table29128[[#This Row],[Isobutyrate '[%']]],V$6,V$2,FALSE),-100)</f>
        <v>-100</v>
      </c>
      <c r="BO123">
        <f>IF(Table29128[[#This Row],[Isovalerate '[%']]]&lt;W$10,_xlfn.NORM.DIST(Table29128[[#This Row],[Isovalerate '[%']]],W$6,W$2,FALSE),-100)</f>
        <v>-100</v>
      </c>
      <c r="BP123">
        <f>IF(Table29128[[#This Row],[CH4 '[g/mmol SCFA']]]&lt;X$10,_xlfn.NORM.DIST(Table29128[[#This Row],[CH4 '[g/mmol SCFA']]],X$6,X$2,FALSE),-100)</f>
        <v>-100</v>
      </c>
      <c r="BQ123" t="e">
        <f>IF(Table29128[[#This Row],[DMD '[mg/g']]]&gt;Y$10,_xlfn.NORM.DIST(Table29128[[#This Row],[DMD '[mg/g']]],Y$6,Y$2,FALSE),-100)</f>
        <v>#REF!</v>
      </c>
      <c r="BR123" t="e">
        <f>IF(Table29128[[#This Row],[CH4 '[ml/g']]]&lt;Z$10,_xlfn.NORM.DIST(Table29128[[#This Row],[CH4 '[ml/g']]],Z$6,Z$2,FALSE),-100)</f>
        <v>#REF!</v>
      </c>
      <c r="BS123" t="e">
        <f>IF(Table29128[[#This Row],[CH4 '[% GP']]]&lt;AA$10,_xlfn.NORM.DIST(Table29128[[#This Row],[CH4 '[% GP']]],AA$6,AA$2,FALSE),-100)</f>
        <v>#REF!</v>
      </c>
      <c r="BT123" t="e">
        <f>IF(Table29128[[#This Row],[CH4 '[g/g DDM']]]&lt;AB$10,_xlfn.NORM.DIST(Table29128[[#This Row],[CH4 '[g/g DDM']]],AB$6,AB$2,FALSE),-100)</f>
        <v>#REF!</v>
      </c>
    </row>
    <row r="124" spans="1:72" x14ac:dyDescent="0.25">
      <c r="A124" s="12" t="s">
        <v>86</v>
      </c>
      <c r="B124" s="13">
        <v>1070</v>
      </c>
      <c r="C124" s="32">
        <v>7985</v>
      </c>
      <c r="D124" s="104" t="s">
        <v>161</v>
      </c>
      <c r="E124" t="s">
        <v>242</v>
      </c>
      <c r="F124" t="s">
        <v>147</v>
      </c>
      <c r="G124" s="32" t="s">
        <v>73</v>
      </c>
      <c r="H124" s="32" t="s">
        <v>74</v>
      </c>
      <c r="I124" s="105" t="s">
        <v>44</v>
      </c>
      <c r="J124" s="70">
        <v>1</v>
      </c>
      <c r="K124" s="70"/>
      <c r="L124" s="70"/>
      <c r="M124" t="s">
        <v>147</v>
      </c>
      <c r="N124" t="s">
        <v>145</v>
      </c>
      <c r="O124" s="18"/>
      <c r="P124" s="18"/>
      <c r="Q124" s="97"/>
      <c r="R124" s="97"/>
      <c r="S124" s="97"/>
      <c r="T124" s="97"/>
      <c r="U124" s="97"/>
      <c r="V124" s="97"/>
      <c r="W124" s="97"/>
      <c r="X124" s="51"/>
      <c r="Y124" s="18" t="e">
        <f>AVERAGEIFS([1]!Table2912[DMD '[mg/g']],[1]!Table2912[Substrate ID],Table29128[[#This Row],[Substrate ID]])</f>
        <v>#REF!</v>
      </c>
      <c r="Z124" s="18" t="e">
        <f>AVERAGEIFS([1]!Table2912[CH4 '[ml/g']],[1]!Table2912[Substrate ID],Table29128[[#This Row],[Substrate ID]])</f>
        <v>#REF!</v>
      </c>
      <c r="AA124" s="18" t="e">
        <f>AVERAGEIFS([1]!Table2912[CH4 '[% GP']],[1]!Table2912[Substrate ID],Table29128[[#This Row],[Substrate ID]])</f>
        <v>#REF!</v>
      </c>
      <c r="AB124" s="18" t="e">
        <f>AVERAGEIFS([1]!Table2912[CH4 '[g/g DDM']],[1]!Table2912[Substrate ID],Table29128[[#This Row],[Substrate ID]])</f>
        <v>#REF!</v>
      </c>
      <c r="AC124" s="18" t="e">
        <f>$CP$17*Table29128[[#This Row],[DMD '[mg/g']]]+$CQ$17*Table29128[[#This Row],[CH4 '[g/g DDM']]]</f>
        <v>#REF!</v>
      </c>
      <c r="AD124" s="18" t="e">
        <f>_xlfn.RANK.AVG(Table29128[[#This Row],[Index]],Table29128[Index])</f>
        <v>#REF!</v>
      </c>
      <c r="AE124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24" s="18" t="e">
        <f>Table29128[[#This Row],[CH4 '[ml/g']]]/Table29128[[#This Row],[APB]]</f>
        <v>#REF!</v>
      </c>
      <c r="AG124" s="18" t="e">
        <f>Table29128[[#This Row],[Propionate '[%']]]/Table29128[[#This Row],[Acetate '[%']]]</f>
        <v>#DIV/0!</v>
      </c>
      <c r="AH124" s="51"/>
      <c r="AI124" s="18"/>
      <c r="AJ124" s="18"/>
      <c r="AK124" s="135" t="e">
        <f t="shared" si="6"/>
        <v>#REF!</v>
      </c>
      <c r="AL124" s="18"/>
      <c r="AM124" s="135" t="e">
        <f t="shared" si="7"/>
        <v>#REF!</v>
      </c>
      <c r="AN124" s="18" t="e">
        <f>(Table29128[[#This Row],[CH4 '[g/g DDM']]]-AN$15)/AN$15%</f>
        <v>#REF!</v>
      </c>
      <c r="AO124" s="18"/>
      <c r="AP124" s="18"/>
      <c r="AR124" t="e">
        <f>_xlfn.NORM.DIST(Table29128[[#This Row],[GP '[ml/g']]],O$6,O$2,FALSE)</f>
        <v>#DIV/0!</v>
      </c>
      <c r="AS124" t="e">
        <f>_xlfn.NORM.DIST(Table29128[[#This Row],[SCFA '[mmol/g']]],P$6,P$2,FALSE)</f>
        <v>#DIV/0!</v>
      </c>
      <c r="AT124" t="e">
        <f>_xlfn.NORM.DIST(Table29128[[#This Row],[Acetate '[%']]],Q$6,Q$2,FALSE)</f>
        <v>#DIV/0!</v>
      </c>
      <c r="AU124" t="e">
        <f>_xlfn.NORM.DIST(Table29128[[#This Row],[Propionate '[%']]],R$6,R$2,FALSE)</f>
        <v>#DIV/0!</v>
      </c>
      <c r="AV124" t="e">
        <f>_xlfn.NORM.DIST(Table29128[[#This Row],[Butyrate '[%']]],S$6,S$2,FALSE)</f>
        <v>#DIV/0!</v>
      </c>
      <c r="AW124" t="e">
        <f>_xlfn.NORM.DIST(Table29128[[#This Row],[Valerate '[%']]],T$6,T$2,FALSE)</f>
        <v>#DIV/0!</v>
      </c>
      <c r="AX124" t="e">
        <f>_xlfn.NORM.DIST(Table29128[[#This Row],[Caproate '[%']]],U$6,U$2,FALSE)</f>
        <v>#DIV/0!</v>
      </c>
      <c r="AY124" t="e">
        <f>_xlfn.NORM.DIST(Table29128[[#This Row],[Isobutyrate '[%']]],V$6,V$2,FALSE)</f>
        <v>#DIV/0!</v>
      </c>
      <c r="AZ124" t="e">
        <f>_xlfn.NORM.DIST(Table29128[[#This Row],[Isovalerate '[%']]],W$6,W$2,FALSE)</f>
        <v>#DIV/0!</v>
      </c>
      <c r="BA124" t="e">
        <f>_xlfn.NORM.DIST(Table29128[[#This Row],[CH4 '[g/mmol SCFA']]],X$6,X$2,FALSE)</f>
        <v>#DIV/0!</v>
      </c>
      <c r="BB124" t="e">
        <f>_xlfn.NORM.DIST(Table29128[[#This Row],[DMD '[mg/g']]],Y$6,Y$2,FALSE)</f>
        <v>#REF!</v>
      </c>
      <c r="BC124" t="e">
        <f>_xlfn.NORM.DIST(Table29128[[#This Row],[CH4 '[ml/g']]],Z$6,Z$2,FALSE)</f>
        <v>#REF!</v>
      </c>
      <c r="BD124" t="e">
        <f>_xlfn.NORM.DIST(Table29128[[#This Row],[CH4 '[% GP']]],AA$6,AA$2,FALSE)</f>
        <v>#REF!</v>
      </c>
      <c r="BE124" t="e">
        <f>_xlfn.NORM.DIST(Table29128[[#This Row],[CH4 '[g/g DDM']]],AB$6,AB$2,FALSE)</f>
        <v>#REF!</v>
      </c>
      <c r="BG124">
        <f>IF(Table29128[[#This Row],[GP '[ml/g']]]&lt;O$10,_xlfn.NORM.DIST(Table29128[[#This Row],[GP '[ml/g']]],O$6,O$2,FALSE),-100)</f>
        <v>-100</v>
      </c>
      <c r="BH124">
        <f>IF(Table29128[[#This Row],[SCFA '[mmol/g']]]&lt;P$10,_xlfn.NORM.DIST(Table29128[[#This Row],[SCFA '[mmol/g']]],P$6,P$2,FALSE),-100)</f>
        <v>-100</v>
      </c>
      <c r="BI124">
        <f>IF(Table29128[[#This Row],[Acetate '[%']]]&lt;Q$10,_xlfn.NORM.DIST(Table29128[[#This Row],[Acetate '[%']]],Q$6,Q$2,FALSE),-100)</f>
        <v>-100</v>
      </c>
      <c r="BJ124">
        <f>IF(Table29128[[#This Row],[Propionate '[%']]]&lt;R$10,_xlfn.NORM.DIST(Table29128[[#This Row],[Propionate '[%']]],R$6,R$2,FALSE),-100)</f>
        <v>-100</v>
      </c>
      <c r="BK124">
        <f>IF(Table29128[[#This Row],[Butyrate '[%']]]&lt;S$10,_xlfn.NORM.DIST(Table29128[[#This Row],[Butyrate '[%']]],S$6,S$2,FALSE),-100)</f>
        <v>-100</v>
      </c>
      <c r="BL124">
        <f>IF(Table29128[[#This Row],[Valerate '[%']]]&lt;T$10,_xlfn.NORM.DIST(Table29128[[#This Row],[Valerate '[%']]],T$6,T$2,FALSE),-100)</f>
        <v>-100</v>
      </c>
      <c r="BM124">
        <f>IF(Table29128[[#This Row],[Caproate '[%']]]&lt;U$10,_xlfn.NORM.DIST(Table29128[[#This Row],[Caproate '[%']]],U$6,U$2,FALSE),-100)</f>
        <v>-100</v>
      </c>
      <c r="BN124">
        <f>IF(Table29128[[#This Row],[Isobutyrate '[%']]]&lt;V$10,_xlfn.NORM.DIST(Table29128[[#This Row],[Isobutyrate '[%']]],V$6,V$2,FALSE),-100)</f>
        <v>-100</v>
      </c>
      <c r="BO124">
        <f>IF(Table29128[[#This Row],[Isovalerate '[%']]]&lt;W$10,_xlfn.NORM.DIST(Table29128[[#This Row],[Isovalerate '[%']]],W$6,W$2,FALSE),-100)</f>
        <v>-100</v>
      </c>
      <c r="BP124">
        <f>IF(Table29128[[#This Row],[CH4 '[g/mmol SCFA']]]&lt;X$10,_xlfn.NORM.DIST(Table29128[[#This Row],[CH4 '[g/mmol SCFA']]],X$6,X$2,FALSE),-100)</f>
        <v>-100</v>
      </c>
      <c r="BQ124" t="e">
        <f>IF(Table29128[[#This Row],[DMD '[mg/g']]]&gt;Y$10,_xlfn.NORM.DIST(Table29128[[#This Row],[DMD '[mg/g']]],Y$6,Y$2,FALSE),-100)</f>
        <v>#REF!</v>
      </c>
      <c r="BR124" t="e">
        <f>IF(Table29128[[#This Row],[CH4 '[ml/g']]]&lt;Z$10,_xlfn.NORM.DIST(Table29128[[#This Row],[CH4 '[ml/g']]],Z$6,Z$2,FALSE),-100)</f>
        <v>#REF!</v>
      </c>
      <c r="BS124" t="e">
        <f>IF(Table29128[[#This Row],[CH4 '[% GP']]]&lt;AA$10,_xlfn.NORM.DIST(Table29128[[#This Row],[CH4 '[% GP']]],AA$6,AA$2,FALSE),-100)</f>
        <v>#REF!</v>
      </c>
      <c r="BT124" t="e">
        <f>IF(Table29128[[#This Row],[CH4 '[g/g DDM']]]&lt;AB$10,_xlfn.NORM.DIST(Table29128[[#This Row],[CH4 '[g/g DDM']]],AB$6,AB$2,FALSE),-100)</f>
        <v>#REF!</v>
      </c>
    </row>
    <row r="125" spans="1:72" x14ac:dyDescent="0.25">
      <c r="A125" s="12" t="s">
        <v>86</v>
      </c>
      <c r="B125" s="13">
        <v>1072</v>
      </c>
      <c r="C125" s="32">
        <v>17488</v>
      </c>
      <c r="D125" s="104" t="s">
        <v>161</v>
      </c>
      <c r="E125" t="s">
        <v>242</v>
      </c>
      <c r="F125" t="s">
        <v>147</v>
      </c>
      <c r="G125" s="23" t="s">
        <v>73</v>
      </c>
      <c r="H125" s="23" t="s">
        <v>74</v>
      </c>
      <c r="I125" s="105" t="s">
        <v>44</v>
      </c>
      <c r="J125" s="70">
        <v>1</v>
      </c>
      <c r="K125" s="70"/>
      <c r="L125" s="70" t="s">
        <v>627</v>
      </c>
      <c r="M125" t="s">
        <v>147</v>
      </c>
      <c r="N125" t="s">
        <v>145</v>
      </c>
      <c r="O125" s="18"/>
      <c r="P125" s="18"/>
      <c r="Q125" s="97"/>
      <c r="R125" s="97"/>
      <c r="S125" s="97"/>
      <c r="T125" s="97"/>
      <c r="U125" s="97"/>
      <c r="V125" s="97"/>
      <c r="W125" s="97"/>
      <c r="X125" s="51"/>
      <c r="Y125" s="18" t="e">
        <f>AVERAGEIFS([1]!Table2912[DMD '[mg/g']],[1]!Table2912[Substrate ID],Table29128[[#This Row],[Substrate ID]])</f>
        <v>#REF!</v>
      </c>
      <c r="Z125" s="18" t="e">
        <f>AVERAGEIFS([1]!Table2912[CH4 '[ml/g']],[1]!Table2912[Substrate ID],Table29128[[#This Row],[Substrate ID]])</f>
        <v>#REF!</v>
      </c>
      <c r="AA125" s="18" t="e">
        <f>AVERAGEIFS([1]!Table2912[CH4 '[% GP']],[1]!Table2912[Substrate ID],Table29128[[#This Row],[Substrate ID]])</f>
        <v>#REF!</v>
      </c>
      <c r="AB125" s="18" t="e">
        <f>AVERAGEIFS([1]!Table2912[CH4 '[g/g DDM']],[1]!Table2912[Substrate ID],Table29128[[#This Row],[Substrate ID]])</f>
        <v>#REF!</v>
      </c>
      <c r="AC125" s="18" t="e">
        <f>$CP$17*Table29128[[#This Row],[DMD '[mg/g']]]+$CQ$17*Table29128[[#This Row],[CH4 '[g/g DDM']]]</f>
        <v>#REF!</v>
      </c>
      <c r="AD125" s="18" t="e">
        <f>_xlfn.RANK.AVG(Table29128[[#This Row],[Index]],Table29128[Index])</f>
        <v>#REF!</v>
      </c>
      <c r="AE125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25" s="18" t="e">
        <f>Table29128[[#This Row],[CH4 '[ml/g']]]/Table29128[[#This Row],[APB]]</f>
        <v>#REF!</v>
      </c>
      <c r="AG125" s="18" t="e">
        <f>Table29128[[#This Row],[Propionate '[%']]]/Table29128[[#This Row],[Acetate '[%']]]</f>
        <v>#DIV/0!</v>
      </c>
      <c r="AH125" s="51"/>
      <c r="AI125" s="18"/>
      <c r="AJ125" s="18"/>
      <c r="AK125" s="135" t="e">
        <f t="shared" si="6"/>
        <v>#REF!</v>
      </c>
      <c r="AL125" s="18"/>
      <c r="AM125" s="135" t="e">
        <f t="shared" si="7"/>
        <v>#REF!</v>
      </c>
      <c r="AN125" s="18" t="e">
        <f>(Table29128[[#This Row],[CH4 '[g/g DDM']]]-AN$15)/AN$15%</f>
        <v>#REF!</v>
      </c>
      <c r="AO125" s="18"/>
      <c r="AP125" s="18"/>
      <c r="AR125" t="e">
        <f>_xlfn.NORM.DIST(Table29128[[#This Row],[GP '[ml/g']]],O$6,O$2,FALSE)</f>
        <v>#DIV/0!</v>
      </c>
      <c r="AS125" t="e">
        <f>_xlfn.NORM.DIST(Table29128[[#This Row],[SCFA '[mmol/g']]],P$6,P$2,FALSE)</f>
        <v>#DIV/0!</v>
      </c>
      <c r="AT125" t="e">
        <f>_xlfn.NORM.DIST(Table29128[[#This Row],[Acetate '[%']]],Q$6,Q$2,FALSE)</f>
        <v>#DIV/0!</v>
      </c>
      <c r="AU125" t="e">
        <f>_xlfn.NORM.DIST(Table29128[[#This Row],[Propionate '[%']]],R$6,R$2,FALSE)</f>
        <v>#DIV/0!</v>
      </c>
      <c r="AV125" t="e">
        <f>_xlfn.NORM.DIST(Table29128[[#This Row],[Butyrate '[%']]],S$6,S$2,FALSE)</f>
        <v>#DIV/0!</v>
      </c>
      <c r="AW125" t="e">
        <f>_xlfn.NORM.DIST(Table29128[[#This Row],[Valerate '[%']]],T$6,T$2,FALSE)</f>
        <v>#DIV/0!</v>
      </c>
      <c r="AX125" t="e">
        <f>_xlfn.NORM.DIST(Table29128[[#This Row],[Caproate '[%']]],U$6,U$2,FALSE)</f>
        <v>#DIV/0!</v>
      </c>
      <c r="AY125" t="e">
        <f>_xlfn.NORM.DIST(Table29128[[#This Row],[Isobutyrate '[%']]],V$6,V$2,FALSE)</f>
        <v>#DIV/0!</v>
      </c>
      <c r="AZ125" t="e">
        <f>_xlfn.NORM.DIST(Table29128[[#This Row],[Isovalerate '[%']]],W$6,W$2,FALSE)</f>
        <v>#DIV/0!</v>
      </c>
      <c r="BA125" t="e">
        <f>_xlfn.NORM.DIST(Table29128[[#This Row],[CH4 '[g/mmol SCFA']]],X$6,X$2,FALSE)</f>
        <v>#DIV/0!</v>
      </c>
      <c r="BB125" t="e">
        <f>_xlfn.NORM.DIST(Table29128[[#This Row],[DMD '[mg/g']]],Y$6,Y$2,FALSE)</f>
        <v>#REF!</v>
      </c>
      <c r="BC125" t="e">
        <f>_xlfn.NORM.DIST(Table29128[[#This Row],[CH4 '[ml/g']]],Z$6,Z$2,FALSE)</f>
        <v>#REF!</v>
      </c>
      <c r="BD125" t="e">
        <f>_xlfn.NORM.DIST(Table29128[[#This Row],[CH4 '[% GP']]],AA$6,AA$2,FALSE)</f>
        <v>#REF!</v>
      </c>
      <c r="BE125" t="e">
        <f>_xlfn.NORM.DIST(Table29128[[#This Row],[CH4 '[g/g DDM']]],AB$6,AB$2,FALSE)</f>
        <v>#REF!</v>
      </c>
      <c r="BG125">
        <f>IF(Table29128[[#This Row],[GP '[ml/g']]]&lt;O$10,_xlfn.NORM.DIST(Table29128[[#This Row],[GP '[ml/g']]],O$6,O$2,FALSE),-100)</f>
        <v>-100</v>
      </c>
      <c r="BH125">
        <f>IF(Table29128[[#This Row],[SCFA '[mmol/g']]]&lt;P$10,_xlfn.NORM.DIST(Table29128[[#This Row],[SCFA '[mmol/g']]],P$6,P$2,FALSE),-100)</f>
        <v>-100</v>
      </c>
      <c r="BI125">
        <f>IF(Table29128[[#This Row],[Acetate '[%']]]&lt;Q$10,_xlfn.NORM.DIST(Table29128[[#This Row],[Acetate '[%']]],Q$6,Q$2,FALSE),-100)</f>
        <v>-100</v>
      </c>
      <c r="BJ125">
        <f>IF(Table29128[[#This Row],[Propionate '[%']]]&lt;R$10,_xlfn.NORM.DIST(Table29128[[#This Row],[Propionate '[%']]],R$6,R$2,FALSE),-100)</f>
        <v>-100</v>
      </c>
      <c r="BK125">
        <f>IF(Table29128[[#This Row],[Butyrate '[%']]]&lt;S$10,_xlfn.NORM.DIST(Table29128[[#This Row],[Butyrate '[%']]],S$6,S$2,FALSE),-100)</f>
        <v>-100</v>
      </c>
      <c r="BL125">
        <f>IF(Table29128[[#This Row],[Valerate '[%']]]&lt;T$10,_xlfn.NORM.DIST(Table29128[[#This Row],[Valerate '[%']]],T$6,T$2,FALSE),-100)</f>
        <v>-100</v>
      </c>
      <c r="BM125">
        <f>IF(Table29128[[#This Row],[Caproate '[%']]]&lt;U$10,_xlfn.NORM.DIST(Table29128[[#This Row],[Caproate '[%']]],U$6,U$2,FALSE),-100)</f>
        <v>-100</v>
      </c>
      <c r="BN125">
        <f>IF(Table29128[[#This Row],[Isobutyrate '[%']]]&lt;V$10,_xlfn.NORM.DIST(Table29128[[#This Row],[Isobutyrate '[%']]],V$6,V$2,FALSE),-100)</f>
        <v>-100</v>
      </c>
      <c r="BO125">
        <f>IF(Table29128[[#This Row],[Isovalerate '[%']]]&lt;W$10,_xlfn.NORM.DIST(Table29128[[#This Row],[Isovalerate '[%']]],W$6,W$2,FALSE),-100)</f>
        <v>-100</v>
      </c>
      <c r="BP125">
        <f>IF(Table29128[[#This Row],[CH4 '[g/mmol SCFA']]]&lt;X$10,_xlfn.NORM.DIST(Table29128[[#This Row],[CH4 '[g/mmol SCFA']]],X$6,X$2,FALSE),-100)</f>
        <v>-100</v>
      </c>
      <c r="BQ125" t="e">
        <f>IF(Table29128[[#This Row],[DMD '[mg/g']]]&gt;Y$10,_xlfn.NORM.DIST(Table29128[[#This Row],[DMD '[mg/g']]],Y$6,Y$2,FALSE),-100)</f>
        <v>#REF!</v>
      </c>
      <c r="BR125" t="e">
        <f>IF(Table29128[[#This Row],[CH4 '[ml/g']]]&lt;Z$10,_xlfn.NORM.DIST(Table29128[[#This Row],[CH4 '[ml/g']]],Z$6,Z$2,FALSE),-100)</f>
        <v>#REF!</v>
      </c>
      <c r="BS125" t="e">
        <f>IF(Table29128[[#This Row],[CH4 '[% GP']]]&lt;AA$10,_xlfn.NORM.DIST(Table29128[[#This Row],[CH4 '[% GP']]],AA$6,AA$2,FALSE),-100)</f>
        <v>#REF!</v>
      </c>
      <c r="BT125" t="e">
        <f>IF(Table29128[[#This Row],[CH4 '[g/g DDM']]]&lt;AB$10,_xlfn.NORM.DIST(Table29128[[#This Row],[CH4 '[g/g DDM']]],AB$6,AB$2,FALSE),-100)</f>
        <v>#REF!</v>
      </c>
    </row>
    <row r="126" spans="1:72" x14ac:dyDescent="0.25">
      <c r="A126" s="12" t="s">
        <v>70</v>
      </c>
      <c r="B126" s="13">
        <v>1033</v>
      </c>
      <c r="C126" s="96" t="s">
        <v>146</v>
      </c>
      <c r="D126" s="96"/>
      <c r="E126" s="96"/>
      <c r="F126" s="96" t="s">
        <v>147</v>
      </c>
      <c r="G126" t="s">
        <v>73</v>
      </c>
      <c r="H126" t="s">
        <v>74</v>
      </c>
      <c r="I126" t="s">
        <v>75</v>
      </c>
      <c r="J126" s="70">
        <v>1</v>
      </c>
      <c r="K126" s="70"/>
      <c r="L126" s="70"/>
      <c r="M126" t="s">
        <v>147</v>
      </c>
      <c r="N126" t="s">
        <v>80</v>
      </c>
      <c r="O126" s="18"/>
      <c r="P126" s="18"/>
      <c r="Q126" s="97"/>
      <c r="R126" s="97"/>
      <c r="S126" s="97"/>
      <c r="T126" s="97"/>
      <c r="U126" s="97"/>
      <c r="V126" s="97"/>
      <c r="W126" s="97"/>
      <c r="X126" s="51"/>
      <c r="Y126" s="18" t="e">
        <f>AVERAGEIFS([1]!Table2912[DMD '[mg/g']],[1]!Table2912[Substrate ID],Table29128[[#This Row],[Substrate ID]])</f>
        <v>#REF!</v>
      </c>
      <c r="Z126" s="18" t="e">
        <f>AVERAGEIFS([1]!Table2912[CH4 '[ml/g']],[1]!Table2912[Substrate ID],Table29128[[#This Row],[Substrate ID]])</f>
        <v>#REF!</v>
      </c>
      <c r="AA126" s="18" t="e">
        <f>AVERAGEIFS([1]!Table2912[CH4 '[% GP']],[1]!Table2912[Substrate ID],Table29128[[#This Row],[Substrate ID]])</f>
        <v>#REF!</v>
      </c>
      <c r="AB126" s="18" t="e">
        <f>AVERAGEIFS([1]!Table2912[CH4 '[g/g DDM']],[1]!Table2912[Substrate ID],Table29128[[#This Row],[Substrate ID]])</f>
        <v>#REF!</v>
      </c>
      <c r="AC126" s="18" t="e">
        <f>$CP$17*Table29128[[#This Row],[DMD '[mg/g']]]+$CQ$17*Table29128[[#This Row],[CH4 '[g/g DDM']]]</f>
        <v>#REF!</v>
      </c>
      <c r="AD126" s="18" t="e">
        <f>_xlfn.RANK.AVG(Table29128[[#This Row],[Index]],Table29128[Index])</f>
        <v>#REF!</v>
      </c>
      <c r="AE126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26" s="18" t="e">
        <f>Table29128[[#This Row],[CH4 '[ml/g']]]/Table29128[[#This Row],[APB]]</f>
        <v>#REF!</v>
      </c>
      <c r="AG126" s="18" t="e">
        <f>Table29128[[#This Row],[Propionate '[%']]]/Table29128[[#This Row],[Acetate '[%']]]</f>
        <v>#DIV/0!</v>
      </c>
      <c r="AH126" s="51"/>
      <c r="AI126" s="18"/>
      <c r="AJ126" s="18"/>
      <c r="AK126" s="135" t="e">
        <f t="shared" si="6"/>
        <v>#REF!</v>
      </c>
      <c r="AL126" s="18"/>
      <c r="AM126" s="135" t="e">
        <f t="shared" si="7"/>
        <v>#REF!</v>
      </c>
      <c r="AN126" s="18" t="e">
        <f>(Table29128[[#This Row],[CH4 '[g/g DDM']]]-AN$15)/AN$15%</f>
        <v>#REF!</v>
      </c>
      <c r="AO126" s="18"/>
      <c r="AP126" s="18"/>
      <c r="AR126" t="e">
        <f>_xlfn.NORM.DIST(Table29128[[#This Row],[GP '[ml/g']]],O$6,O$2,FALSE)</f>
        <v>#DIV/0!</v>
      </c>
      <c r="AS126" t="e">
        <f>_xlfn.NORM.DIST(Table29128[[#This Row],[SCFA '[mmol/g']]],P$6,P$2,FALSE)</f>
        <v>#DIV/0!</v>
      </c>
      <c r="AT126" t="e">
        <f>_xlfn.NORM.DIST(Table29128[[#This Row],[Acetate '[%']]],Q$6,Q$2,FALSE)</f>
        <v>#DIV/0!</v>
      </c>
      <c r="AU126" t="e">
        <f>_xlfn.NORM.DIST(Table29128[[#This Row],[Propionate '[%']]],R$6,R$2,FALSE)</f>
        <v>#DIV/0!</v>
      </c>
      <c r="AV126" t="e">
        <f>_xlfn.NORM.DIST(Table29128[[#This Row],[Butyrate '[%']]],S$6,S$2,FALSE)</f>
        <v>#DIV/0!</v>
      </c>
      <c r="AW126" t="e">
        <f>_xlfn.NORM.DIST(Table29128[[#This Row],[Valerate '[%']]],T$6,T$2,FALSE)</f>
        <v>#DIV/0!</v>
      </c>
      <c r="AX126" t="e">
        <f>_xlfn.NORM.DIST(Table29128[[#This Row],[Caproate '[%']]],U$6,U$2,FALSE)</f>
        <v>#DIV/0!</v>
      </c>
      <c r="AY126" t="e">
        <f>_xlfn.NORM.DIST(Table29128[[#This Row],[Isobutyrate '[%']]],V$6,V$2,FALSE)</f>
        <v>#DIV/0!</v>
      </c>
      <c r="AZ126" t="e">
        <f>_xlfn.NORM.DIST(Table29128[[#This Row],[Isovalerate '[%']]],W$6,W$2,FALSE)</f>
        <v>#DIV/0!</v>
      </c>
      <c r="BA126" t="e">
        <f>_xlfn.NORM.DIST(Table29128[[#This Row],[CH4 '[g/mmol SCFA']]],X$6,X$2,FALSE)</f>
        <v>#DIV/0!</v>
      </c>
      <c r="BB126" t="e">
        <f>_xlfn.NORM.DIST(Table29128[[#This Row],[DMD '[mg/g']]],Y$6,Y$2,FALSE)</f>
        <v>#REF!</v>
      </c>
      <c r="BC126" t="e">
        <f>_xlfn.NORM.DIST(Table29128[[#This Row],[CH4 '[ml/g']]],Z$6,Z$2,FALSE)</f>
        <v>#REF!</v>
      </c>
      <c r="BD126" t="e">
        <f>_xlfn.NORM.DIST(Table29128[[#This Row],[CH4 '[% GP']]],AA$6,AA$2,FALSE)</f>
        <v>#REF!</v>
      </c>
      <c r="BE126" t="e">
        <f>_xlfn.NORM.DIST(Table29128[[#This Row],[CH4 '[g/g DDM']]],AB$6,AB$2,FALSE)</f>
        <v>#REF!</v>
      </c>
      <c r="BG126">
        <f>IF(Table29128[[#This Row],[GP '[ml/g']]]&lt;O$10,_xlfn.NORM.DIST(Table29128[[#This Row],[GP '[ml/g']]],O$6,O$2,FALSE),-100)</f>
        <v>-100</v>
      </c>
      <c r="BH126">
        <f>IF(Table29128[[#This Row],[SCFA '[mmol/g']]]&lt;P$10,_xlfn.NORM.DIST(Table29128[[#This Row],[SCFA '[mmol/g']]],P$6,P$2,FALSE),-100)</f>
        <v>-100</v>
      </c>
      <c r="BI126">
        <f>IF(Table29128[[#This Row],[Acetate '[%']]]&lt;Q$10,_xlfn.NORM.DIST(Table29128[[#This Row],[Acetate '[%']]],Q$6,Q$2,FALSE),-100)</f>
        <v>-100</v>
      </c>
      <c r="BJ126">
        <f>IF(Table29128[[#This Row],[Propionate '[%']]]&lt;R$10,_xlfn.NORM.DIST(Table29128[[#This Row],[Propionate '[%']]],R$6,R$2,FALSE),-100)</f>
        <v>-100</v>
      </c>
      <c r="BK126">
        <f>IF(Table29128[[#This Row],[Butyrate '[%']]]&lt;S$10,_xlfn.NORM.DIST(Table29128[[#This Row],[Butyrate '[%']]],S$6,S$2,FALSE),-100)</f>
        <v>-100</v>
      </c>
      <c r="BL126">
        <f>IF(Table29128[[#This Row],[Valerate '[%']]]&lt;T$10,_xlfn.NORM.DIST(Table29128[[#This Row],[Valerate '[%']]],T$6,T$2,FALSE),-100)</f>
        <v>-100</v>
      </c>
      <c r="BM126">
        <f>IF(Table29128[[#This Row],[Caproate '[%']]]&lt;U$10,_xlfn.NORM.DIST(Table29128[[#This Row],[Caproate '[%']]],U$6,U$2,FALSE),-100)</f>
        <v>-100</v>
      </c>
      <c r="BN126">
        <f>IF(Table29128[[#This Row],[Isobutyrate '[%']]]&lt;V$10,_xlfn.NORM.DIST(Table29128[[#This Row],[Isobutyrate '[%']]],V$6,V$2,FALSE),-100)</f>
        <v>-100</v>
      </c>
      <c r="BO126">
        <f>IF(Table29128[[#This Row],[Isovalerate '[%']]]&lt;W$10,_xlfn.NORM.DIST(Table29128[[#This Row],[Isovalerate '[%']]],W$6,W$2,FALSE),-100)</f>
        <v>-100</v>
      </c>
      <c r="BP126">
        <f>IF(Table29128[[#This Row],[CH4 '[g/mmol SCFA']]]&lt;X$10,_xlfn.NORM.DIST(Table29128[[#This Row],[CH4 '[g/mmol SCFA']]],X$6,X$2,FALSE),-100)</f>
        <v>-100</v>
      </c>
      <c r="BQ126" t="e">
        <f>IF(Table29128[[#This Row],[DMD '[mg/g']]]&gt;Y$10,_xlfn.NORM.DIST(Table29128[[#This Row],[DMD '[mg/g']]],Y$6,Y$2,FALSE),-100)</f>
        <v>#REF!</v>
      </c>
      <c r="BR126" t="e">
        <f>IF(Table29128[[#This Row],[CH4 '[ml/g']]]&lt;Z$10,_xlfn.NORM.DIST(Table29128[[#This Row],[CH4 '[ml/g']]],Z$6,Z$2,FALSE),-100)</f>
        <v>#REF!</v>
      </c>
      <c r="BS126" t="e">
        <f>IF(Table29128[[#This Row],[CH4 '[% GP']]]&lt;AA$10,_xlfn.NORM.DIST(Table29128[[#This Row],[CH4 '[% GP']]],AA$6,AA$2,FALSE),-100)</f>
        <v>#REF!</v>
      </c>
      <c r="BT126" t="e">
        <f>IF(Table29128[[#This Row],[CH4 '[g/g DDM']]]&lt;AB$10,_xlfn.NORM.DIST(Table29128[[#This Row],[CH4 '[g/g DDM']]],AB$6,AB$2,FALSE),-100)</f>
        <v>#REF!</v>
      </c>
    </row>
    <row r="127" spans="1:72" x14ac:dyDescent="0.25">
      <c r="A127" s="12" t="s">
        <v>86</v>
      </c>
      <c r="B127" s="13">
        <v>1071</v>
      </c>
      <c r="C127" s="32">
        <v>17238</v>
      </c>
      <c r="D127" s="104" t="s">
        <v>161</v>
      </c>
      <c r="E127" s="104" t="s">
        <v>97</v>
      </c>
      <c r="F127" s="104" t="s">
        <v>162</v>
      </c>
      <c r="G127" s="32" t="s">
        <v>73</v>
      </c>
      <c r="H127" s="32" t="s">
        <v>74</v>
      </c>
      <c r="I127" s="105" t="s">
        <v>44</v>
      </c>
      <c r="J127" s="70">
        <v>1</v>
      </c>
      <c r="K127" s="70"/>
      <c r="L127" s="143" t="s">
        <v>627</v>
      </c>
      <c r="M127" t="s">
        <v>163</v>
      </c>
      <c r="N127" t="s">
        <v>124</v>
      </c>
      <c r="O127" s="18"/>
      <c r="P127" s="18"/>
      <c r="Q127" s="97"/>
      <c r="R127" s="97"/>
      <c r="S127" s="97"/>
      <c r="T127" s="97"/>
      <c r="U127" s="97"/>
      <c r="V127" s="97"/>
      <c r="W127" s="97"/>
      <c r="X127" s="51"/>
      <c r="Y127" s="18" t="e">
        <f>AVERAGEIFS([1]!Table2912[DMD '[mg/g']],[1]!Table2912[Substrate ID],Table29128[[#This Row],[Substrate ID]])</f>
        <v>#REF!</v>
      </c>
      <c r="Z127" s="18" t="e">
        <f>AVERAGEIFS([1]!Table2912[CH4 '[ml/g']],[1]!Table2912[Substrate ID],Table29128[[#This Row],[Substrate ID]])</f>
        <v>#REF!</v>
      </c>
      <c r="AA127" s="18" t="e">
        <f>AVERAGEIFS([1]!Table2912[CH4 '[% GP']],[1]!Table2912[Substrate ID],Table29128[[#This Row],[Substrate ID]])</f>
        <v>#REF!</v>
      </c>
      <c r="AB127" s="18" t="e">
        <f>AVERAGEIFS([1]!Table2912[CH4 '[g/g DDM']],[1]!Table2912[Substrate ID],Table29128[[#This Row],[Substrate ID]])</f>
        <v>#REF!</v>
      </c>
      <c r="AC127" s="18" t="e">
        <f>$CP$17*Table29128[[#This Row],[DMD '[mg/g']]]+$CQ$17*Table29128[[#This Row],[CH4 '[g/g DDM']]]</f>
        <v>#REF!</v>
      </c>
      <c r="AD127" s="18" t="e">
        <f>_xlfn.RANK.AVG(Table29128[[#This Row],[Index]],Table29128[Index])</f>
        <v>#REF!</v>
      </c>
      <c r="AE127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27" s="18" t="e">
        <f>Table29128[[#This Row],[CH4 '[ml/g']]]/Table29128[[#This Row],[APB]]</f>
        <v>#REF!</v>
      </c>
      <c r="AG127" s="18" t="e">
        <f>Table29128[[#This Row],[Propionate '[%']]]/Table29128[[#This Row],[Acetate '[%']]]</f>
        <v>#DIV/0!</v>
      </c>
      <c r="AH127" s="51"/>
      <c r="AI127" s="18"/>
      <c r="AJ127" s="18"/>
      <c r="AK127" s="135" t="e">
        <f t="shared" si="6"/>
        <v>#REF!</v>
      </c>
      <c r="AL127" s="18"/>
      <c r="AM127" s="135" t="e">
        <f t="shared" si="7"/>
        <v>#REF!</v>
      </c>
      <c r="AN127" s="18" t="e">
        <f>(Table29128[[#This Row],[CH4 '[g/g DDM']]]-AN$15)/AN$15%</f>
        <v>#REF!</v>
      </c>
      <c r="AO127" s="18"/>
      <c r="AP127" s="18"/>
      <c r="AR127" t="e">
        <f>_xlfn.NORM.DIST(Table29128[[#This Row],[GP '[ml/g']]],O$6,O$2,FALSE)</f>
        <v>#DIV/0!</v>
      </c>
      <c r="AS127" t="e">
        <f>_xlfn.NORM.DIST(Table29128[[#This Row],[SCFA '[mmol/g']]],P$6,P$2,FALSE)</f>
        <v>#DIV/0!</v>
      </c>
      <c r="AT127" t="e">
        <f>_xlfn.NORM.DIST(Table29128[[#This Row],[Acetate '[%']]],Q$6,Q$2,FALSE)</f>
        <v>#DIV/0!</v>
      </c>
      <c r="AU127" t="e">
        <f>_xlfn.NORM.DIST(Table29128[[#This Row],[Propionate '[%']]],R$6,R$2,FALSE)</f>
        <v>#DIV/0!</v>
      </c>
      <c r="AV127" t="e">
        <f>_xlfn.NORM.DIST(Table29128[[#This Row],[Butyrate '[%']]],S$6,S$2,FALSE)</f>
        <v>#DIV/0!</v>
      </c>
      <c r="AW127" t="e">
        <f>_xlfn.NORM.DIST(Table29128[[#This Row],[Valerate '[%']]],T$6,T$2,FALSE)</f>
        <v>#DIV/0!</v>
      </c>
      <c r="AX127" t="e">
        <f>_xlfn.NORM.DIST(Table29128[[#This Row],[Caproate '[%']]],U$6,U$2,FALSE)</f>
        <v>#DIV/0!</v>
      </c>
      <c r="AY127" t="e">
        <f>_xlfn.NORM.DIST(Table29128[[#This Row],[Isobutyrate '[%']]],V$6,V$2,FALSE)</f>
        <v>#DIV/0!</v>
      </c>
      <c r="AZ127" t="e">
        <f>_xlfn.NORM.DIST(Table29128[[#This Row],[Isovalerate '[%']]],W$6,W$2,FALSE)</f>
        <v>#DIV/0!</v>
      </c>
      <c r="BA127" t="e">
        <f>_xlfn.NORM.DIST(Table29128[[#This Row],[CH4 '[g/mmol SCFA']]],X$6,X$2,FALSE)</f>
        <v>#DIV/0!</v>
      </c>
      <c r="BB127" t="e">
        <f>_xlfn.NORM.DIST(Table29128[[#This Row],[DMD '[mg/g']]],Y$6,Y$2,FALSE)</f>
        <v>#REF!</v>
      </c>
      <c r="BC127" t="e">
        <f>_xlfn.NORM.DIST(Table29128[[#This Row],[CH4 '[ml/g']]],Z$6,Z$2,FALSE)</f>
        <v>#REF!</v>
      </c>
      <c r="BD127" t="e">
        <f>_xlfn.NORM.DIST(Table29128[[#This Row],[CH4 '[% GP']]],AA$6,AA$2,FALSE)</f>
        <v>#REF!</v>
      </c>
      <c r="BE127" t="e">
        <f>_xlfn.NORM.DIST(Table29128[[#This Row],[CH4 '[g/g DDM']]],AB$6,AB$2,FALSE)</f>
        <v>#REF!</v>
      </c>
      <c r="BG127">
        <f>IF(Table29128[[#This Row],[GP '[ml/g']]]&lt;O$10,_xlfn.NORM.DIST(Table29128[[#This Row],[GP '[ml/g']]],O$6,O$2,FALSE),-100)</f>
        <v>-100</v>
      </c>
      <c r="BH127">
        <f>IF(Table29128[[#This Row],[SCFA '[mmol/g']]]&lt;P$10,_xlfn.NORM.DIST(Table29128[[#This Row],[SCFA '[mmol/g']]],P$6,P$2,FALSE),-100)</f>
        <v>-100</v>
      </c>
      <c r="BI127">
        <f>IF(Table29128[[#This Row],[Acetate '[%']]]&lt;Q$10,_xlfn.NORM.DIST(Table29128[[#This Row],[Acetate '[%']]],Q$6,Q$2,FALSE),-100)</f>
        <v>-100</v>
      </c>
      <c r="BJ127">
        <f>IF(Table29128[[#This Row],[Propionate '[%']]]&lt;R$10,_xlfn.NORM.DIST(Table29128[[#This Row],[Propionate '[%']]],R$6,R$2,FALSE),-100)</f>
        <v>-100</v>
      </c>
      <c r="BK127">
        <f>IF(Table29128[[#This Row],[Butyrate '[%']]]&lt;S$10,_xlfn.NORM.DIST(Table29128[[#This Row],[Butyrate '[%']]],S$6,S$2,FALSE),-100)</f>
        <v>-100</v>
      </c>
      <c r="BL127">
        <f>IF(Table29128[[#This Row],[Valerate '[%']]]&lt;T$10,_xlfn.NORM.DIST(Table29128[[#This Row],[Valerate '[%']]],T$6,T$2,FALSE),-100)</f>
        <v>-100</v>
      </c>
      <c r="BM127">
        <f>IF(Table29128[[#This Row],[Caproate '[%']]]&lt;U$10,_xlfn.NORM.DIST(Table29128[[#This Row],[Caproate '[%']]],U$6,U$2,FALSE),-100)</f>
        <v>-100</v>
      </c>
      <c r="BN127">
        <f>IF(Table29128[[#This Row],[Isobutyrate '[%']]]&lt;V$10,_xlfn.NORM.DIST(Table29128[[#This Row],[Isobutyrate '[%']]],V$6,V$2,FALSE),-100)</f>
        <v>-100</v>
      </c>
      <c r="BO127">
        <f>IF(Table29128[[#This Row],[Isovalerate '[%']]]&lt;W$10,_xlfn.NORM.DIST(Table29128[[#This Row],[Isovalerate '[%']]],W$6,W$2,FALSE),-100)</f>
        <v>-100</v>
      </c>
      <c r="BP127">
        <f>IF(Table29128[[#This Row],[CH4 '[g/mmol SCFA']]]&lt;X$10,_xlfn.NORM.DIST(Table29128[[#This Row],[CH4 '[g/mmol SCFA']]],X$6,X$2,FALSE),-100)</f>
        <v>-100</v>
      </c>
      <c r="BQ127" t="e">
        <f>IF(Table29128[[#This Row],[DMD '[mg/g']]]&gt;Y$10,_xlfn.NORM.DIST(Table29128[[#This Row],[DMD '[mg/g']]],Y$6,Y$2,FALSE),-100)</f>
        <v>#REF!</v>
      </c>
      <c r="BR127" t="e">
        <f>IF(Table29128[[#This Row],[CH4 '[ml/g']]]&lt;Z$10,_xlfn.NORM.DIST(Table29128[[#This Row],[CH4 '[ml/g']]],Z$6,Z$2,FALSE),-100)</f>
        <v>#REF!</v>
      </c>
      <c r="BS127" t="e">
        <f>IF(Table29128[[#This Row],[CH4 '[% GP']]]&lt;AA$10,_xlfn.NORM.DIST(Table29128[[#This Row],[CH4 '[% GP']]],AA$6,AA$2,FALSE),-100)</f>
        <v>#REF!</v>
      </c>
      <c r="BT127" t="e">
        <f>IF(Table29128[[#This Row],[CH4 '[g/g DDM']]]&lt;AB$10,_xlfn.NORM.DIST(Table29128[[#This Row],[CH4 '[g/g DDM']]],AB$6,AB$2,FALSE),-100)</f>
        <v>#REF!</v>
      </c>
    </row>
    <row r="128" spans="1:72" x14ac:dyDescent="0.25">
      <c r="A128" s="12" t="s">
        <v>86</v>
      </c>
      <c r="B128" s="13">
        <v>1074</v>
      </c>
      <c r="C128" s="32">
        <v>17237</v>
      </c>
      <c r="D128" s="104" t="s">
        <v>161</v>
      </c>
      <c r="E128" s="104" t="s">
        <v>97</v>
      </c>
      <c r="F128" s="104" t="s">
        <v>162</v>
      </c>
      <c r="G128" s="23" t="s">
        <v>73</v>
      </c>
      <c r="H128" s="23" t="s">
        <v>74</v>
      </c>
      <c r="I128" s="105" t="s">
        <v>44</v>
      </c>
      <c r="J128" s="70">
        <v>1</v>
      </c>
      <c r="K128" s="70"/>
      <c r="L128" s="70"/>
      <c r="M128" t="s">
        <v>163</v>
      </c>
      <c r="N128" t="s">
        <v>145</v>
      </c>
      <c r="O128" s="18"/>
      <c r="P128" s="18"/>
      <c r="Q128" s="97"/>
      <c r="R128" s="97"/>
      <c r="S128" s="97"/>
      <c r="T128" s="97"/>
      <c r="U128" s="97"/>
      <c r="V128" s="97"/>
      <c r="W128" s="97"/>
      <c r="X128" s="51"/>
      <c r="Y128" s="18" t="e">
        <f>AVERAGEIFS([1]!Table2912[DMD '[mg/g']],[1]!Table2912[Substrate ID],Table29128[[#This Row],[Substrate ID]])</f>
        <v>#REF!</v>
      </c>
      <c r="Z128" s="18" t="e">
        <f>AVERAGEIFS([1]!Table2912[CH4 '[ml/g']],[1]!Table2912[Substrate ID],Table29128[[#This Row],[Substrate ID]])</f>
        <v>#REF!</v>
      </c>
      <c r="AA128" s="18" t="e">
        <f>AVERAGEIFS([1]!Table2912[CH4 '[% GP']],[1]!Table2912[Substrate ID],Table29128[[#This Row],[Substrate ID]])</f>
        <v>#REF!</v>
      </c>
      <c r="AB128" s="18" t="e">
        <f>AVERAGEIFS([1]!Table2912[CH4 '[g/g DDM']],[1]!Table2912[Substrate ID],Table29128[[#This Row],[Substrate ID]])</f>
        <v>#REF!</v>
      </c>
      <c r="AC128" s="18" t="e">
        <f>$CP$17*Table29128[[#This Row],[DMD '[mg/g']]]+$CQ$17*Table29128[[#This Row],[CH4 '[g/g DDM']]]</f>
        <v>#REF!</v>
      </c>
      <c r="AD128" s="18" t="e">
        <f>_xlfn.RANK.AVG(Table29128[[#This Row],[Index]],Table29128[Index])</f>
        <v>#REF!</v>
      </c>
      <c r="AE128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28" s="18" t="e">
        <f>Table29128[[#This Row],[CH4 '[ml/g']]]/Table29128[[#This Row],[APB]]</f>
        <v>#REF!</v>
      </c>
      <c r="AG128" s="18" t="e">
        <f>Table29128[[#This Row],[Propionate '[%']]]/Table29128[[#This Row],[Acetate '[%']]]</f>
        <v>#DIV/0!</v>
      </c>
      <c r="AH128" s="51"/>
      <c r="AI128" s="18"/>
      <c r="AJ128" s="18"/>
      <c r="AK128" s="135" t="e">
        <f t="shared" si="6"/>
        <v>#REF!</v>
      </c>
      <c r="AL128" s="18"/>
      <c r="AM128" s="135" t="e">
        <f t="shared" si="7"/>
        <v>#REF!</v>
      </c>
      <c r="AN128" s="18" t="e">
        <f>(Table29128[[#This Row],[CH4 '[g/g DDM']]]-AN$15)/AN$15%</f>
        <v>#REF!</v>
      </c>
      <c r="AO128" s="18"/>
      <c r="AP128" s="18"/>
      <c r="AR128" t="e">
        <f>_xlfn.NORM.DIST(Table29128[[#This Row],[GP '[ml/g']]],O$6,O$2,FALSE)</f>
        <v>#DIV/0!</v>
      </c>
      <c r="AS128" t="e">
        <f>_xlfn.NORM.DIST(Table29128[[#This Row],[SCFA '[mmol/g']]],P$6,P$2,FALSE)</f>
        <v>#DIV/0!</v>
      </c>
      <c r="AT128" t="e">
        <f>_xlfn.NORM.DIST(Table29128[[#This Row],[Acetate '[%']]],Q$6,Q$2,FALSE)</f>
        <v>#DIV/0!</v>
      </c>
      <c r="AU128" t="e">
        <f>_xlfn.NORM.DIST(Table29128[[#This Row],[Propionate '[%']]],R$6,R$2,FALSE)</f>
        <v>#DIV/0!</v>
      </c>
      <c r="AV128" t="e">
        <f>_xlfn.NORM.DIST(Table29128[[#This Row],[Butyrate '[%']]],S$6,S$2,FALSE)</f>
        <v>#DIV/0!</v>
      </c>
      <c r="AW128" t="e">
        <f>_xlfn.NORM.DIST(Table29128[[#This Row],[Valerate '[%']]],T$6,T$2,FALSE)</f>
        <v>#DIV/0!</v>
      </c>
      <c r="AX128" t="e">
        <f>_xlfn.NORM.DIST(Table29128[[#This Row],[Caproate '[%']]],U$6,U$2,FALSE)</f>
        <v>#DIV/0!</v>
      </c>
      <c r="AY128" t="e">
        <f>_xlfn.NORM.DIST(Table29128[[#This Row],[Isobutyrate '[%']]],V$6,V$2,FALSE)</f>
        <v>#DIV/0!</v>
      </c>
      <c r="AZ128" t="e">
        <f>_xlfn.NORM.DIST(Table29128[[#This Row],[Isovalerate '[%']]],W$6,W$2,FALSE)</f>
        <v>#DIV/0!</v>
      </c>
      <c r="BA128" t="e">
        <f>_xlfn.NORM.DIST(Table29128[[#This Row],[CH4 '[g/mmol SCFA']]],X$6,X$2,FALSE)</f>
        <v>#DIV/0!</v>
      </c>
      <c r="BB128" t="e">
        <f>_xlfn.NORM.DIST(Table29128[[#This Row],[DMD '[mg/g']]],Y$6,Y$2,FALSE)</f>
        <v>#REF!</v>
      </c>
      <c r="BC128" t="e">
        <f>_xlfn.NORM.DIST(Table29128[[#This Row],[CH4 '[ml/g']]],Z$6,Z$2,FALSE)</f>
        <v>#REF!</v>
      </c>
      <c r="BD128" t="e">
        <f>_xlfn.NORM.DIST(Table29128[[#This Row],[CH4 '[% GP']]],AA$6,AA$2,FALSE)</f>
        <v>#REF!</v>
      </c>
      <c r="BE128" t="e">
        <f>_xlfn.NORM.DIST(Table29128[[#This Row],[CH4 '[g/g DDM']]],AB$6,AB$2,FALSE)</f>
        <v>#REF!</v>
      </c>
      <c r="BG128">
        <f>IF(Table29128[[#This Row],[GP '[ml/g']]]&lt;O$10,_xlfn.NORM.DIST(Table29128[[#This Row],[GP '[ml/g']]],O$6,O$2,FALSE),-100)</f>
        <v>-100</v>
      </c>
      <c r="BH128">
        <f>IF(Table29128[[#This Row],[SCFA '[mmol/g']]]&lt;P$10,_xlfn.NORM.DIST(Table29128[[#This Row],[SCFA '[mmol/g']]],P$6,P$2,FALSE),-100)</f>
        <v>-100</v>
      </c>
      <c r="BI128">
        <f>IF(Table29128[[#This Row],[Acetate '[%']]]&lt;Q$10,_xlfn.NORM.DIST(Table29128[[#This Row],[Acetate '[%']]],Q$6,Q$2,FALSE),-100)</f>
        <v>-100</v>
      </c>
      <c r="BJ128">
        <f>IF(Table29128[[#This Row],[Propionate '[%']]]&lt;R$10,_xlfn.NORM.DIST(Table29128[[#This Row],[Propionate '[%']]],R$6,R$2,FALSE),-100)</f>
        <v>-100</v>
      </c>
      <c r="BK128">
        <f>IF(Table29128[[#This Row],[Butyrate '[%']]]&lt;S$10,_xlfn.NORM.DIST(Table29128[[#This Row],[Butyrate '[%']]],S$6,S$2,FALSE),-100)</f>
        <v>-100</v>
      </c>
      <c r="BL128">
        <f>IF(Table29128[[#This Row],[Valerate '[%']]]&lt;T$10,_xlfn.NORM.DIST(Table29128[[#This Row],[Valerate '[%']]],T$6,T$2,FALSE),-100)</f>
        <v>-100</v>
      </c>
      <c r="BM128">
        <f>IF(Table29128[[#This Row],[Caproate '[%']]]&lt;U$10,_xlfn.NORM.DIST(Table29128[[#This Row],[Caproate '[%']]],U$6,U$2,FALSE),-100)</f>
        <v>-100</v>
      </c>
      <c r="BN128">
        <f>IF(Table29128[[#This Row],[Isobutyrate '[%']]]&lt;V$10,_xlfn.NORM.DIST(Table29128[[#This Row],[Isobutyrate '[%']]],V$6,V$2,FALSE),-100)</f>
        <v>-100</v>
      </c>
      <c r="BO128">
        <f>IF(Table29128[[#This Row],[Isovalerate '[%']]]&lt;W$10,_xlfn.NORM.DIST(Table29128[[#This Row],[Isovalerate '[%']]],W$6,W$2,FALSE),-100)</f>
        <v>-100</v>
      </c>
      <c r="BP128">
        <f>IF(Table29128[[#This Row],[CH4 '[g/mmol SCFA']]]&lt;X$10,_xlfn.NORM.DIST(Table29128[[#This Row],[CH4 '[g/mmol SCFA']]],X$6,X$2,FALSE),-100)</f>
        <v>-100</v>
      </c>
      <c r="BQ128" t="e">
        <f>IF(Table29128[[#This Row],[DMD '[mg/g']]]&gt;Y$10,_xlfn.NORM.DIST(Table29128[[#This Row],[DMD '[mg/g']]],Y$6,Y$2,FALSE),-100)</f>
        <v>#REF!</v>
      </c>
      <c r="BR128" t="e">
        <f>IF(Table29128[[#This Row],[CH4 '[ml/g']]]&lt;Z$10,_xlfn.NORM.DIST(Table29128[[#This Row],[CH4 '[ml/g']]],Z$6,Z$2,FALSE),-100)</f>
        <v>#REF!</v>
      </c>
      <c r="BS128" t="e">
        <f>IF(Table29128[[#This Row],[CH4 '[% GP']]]&lt;AA$10,_xlfn.NORM.DIST(Table29128[[#This Row],[CH4 '[% GP']]],AA$6,AA$2,FALSE),-100)</f>
        <v>#REF!</v>
      </c>
      <c r="BT128" t="e">
        <f>IF(Table29128[[#This Row],[CH4 '[g/g DDM']]]&lt;AB$10,_xlfn.NORM.DIST(Table29128[[#This Row],[CH4 '[g/g DDM']]],AB$6,AB$2,FALSE),-100)</f>
        <v>#REF!</v>
      </c>
    </row>
    <row r="129" spans="1:72" x14ac:dyDescent="0.25">
      <c r="A129" s="12" t="s">
        <v>70</v>
      </c>
      <c r="B129" s="13">
        <v>1010</v>
      </c>
      <c r="C129" s="96" t="s">
        <v>71</v>
      </c>
      <c r="D129" s="96"/>
      <c r="E129" s="96"/>
      <c r="F129" s="96" t="s">
        <v>72</v>
      </c>
      <c r="G129" t="s">
        <v>73</v>
      </c>
      <c r="H129" t="s">
        <v>74</v>
      </c>
      <c r="I129" t="s">
        <v>75</v>
      </c>
      <c r="J129" s="70">
        <v>1</v>
      </c>
      <c r="K129" s="70"/>
      <c r="L129" s="141" t="s">
        <v>627</v>
      </c>
      <c r="M129" t="s">
        <v>72</v>
      </c>
      <c r="N129" t="s">
        <v>81</v>
      </c>
      <c r="O129" s="18"/>
      <c r="P129" s="18"/>
      <c r="Q129" s="97"/>
      <c r="R129" s="97"/>
      <c r="S129" s="97"/>
      <c r="T129" s="97"/>
      <c r="U129" s="97"/>
      <c r="V129" s="97"/>
      <c r="W129" s="97"/>
      <c r="X129" s="51"/>
      <c r="Y129" s="18" t="e">
        <f>AVERAGEIFS([1]!Table2912[DMD '[mg/g']],[1]!Table2912[Substrate ID],Table29128[[#This Row],[Substrate ID]])</f>
        <v>#REF!</v>
      </c>
      <c r="Z129" s="18" t="e">
        <f>AVERAGEIFS([1]!Table2912[CH4 '[ml/g']],[1]!Table2912[Substrate ID],Table29128[[#This Row],[Substrate ID]])</f>
        <v>#REF!</v>
      </c>
      <c r="AA129" s="18" t="e">
        <f>AVERAGEIFS([1]!Table2912[CH4 '[% GP']],[1]!Table2912[Substrate ID],Table29128[[#This Row],[Substrate ID]])</f>
        <v>#REF!</v>
      </c>
      <c r="AB129" s="18" t="e">
        <f>AVERAGEIFS([1]!Table2912[CH4 '[g/g DDM']],[1]!Table2912[Substrate ID],Table29128[[#This Row],[Substrate ID]])</f>
        <v>#REF!</v>
      </c>
      <c r="AC129" s="18" t="e">
        <f>$CP$17*Table29128[[#This Row],[DMD '[mg/g']]]+$CQ$17*Table29128[[#This Row],[CH4 '[g/g DDM']]]</f>
        <v>#REF!</v>
      </c>
      <c r="AD129" s="18" t="e">
        <f>_xlfn.RANK.AVG(Table29128[[#This Row],[Index]],Table29128[Index])</f>
        <v>#REF!</v>
      </c>
      <c r="AE129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29" s="18" t="e">
        <f>Table29128[[#This Row],[CH4 '[ml/g']]]/Table29128[[#This Row],[APB]]</f>
        <v>#REF!</v>
      </c>
      <c r="AG129" s="18" t="e">
        <f>Table29128[[#This Row],[Propionate '[%']]]/Table29128[[#This Row],[Acetate '[%']]]</f>
        <v>#DIV/0!</v>
      </c>
      <c r="AH129" s="51"/>
      <c r="AI129" s="18"/>
      <c r="AJ129" s="18"/>
      <c r="AK129" s="135" t="e">
        <f t="shared" si="6"/>
        <v>#REF!</v>
      </c>
      <c r="AL129" s="18"/>
      <c r="AM129" s="135" t="e">
        <f t="shared" si="7"/>
        <v>#REF!</v>
      </c>
      <c r="AN129" s="18" t="e">
        <f>(Table29128[[#This Row],[CH4 '[g/g DDM']]]-AN$15)/AN$15%</f>
        <v>#REF!</v>
      </c>
      <c r="AO129" s="18"/>
      <c r="AP129" s="18"/>
      <c r="AR129" t="e">
        <f>_xlfn.NORM.DIST(Table29128[[#This Row],[GP '[ml/g']]],O$6,O$2,FALSE)</f>
        <v>#DIV/0!</v>
      </c>
      <c r="AS129" t="e">
        <f>_xlfn.NORM.DIST(Table29128[[#This Row],[SCFA '[mmol/g']]],P$6,P$2,FALSE)</f>
        <v>#DIV/0!</v>
      </c>
      <c r="AT129" t="e">
        <f>_xlfn.NORM.DIST(Table29128[[#This Row],[Acetate '[%']]],Q$6,Q$2,FALSE)</f>
        <v>#DIV/0!</v>
      </c>
      <c r="AU129" t="e">
        <f>_xlfn.NORM.DIST(Table29128[[#This Row],[Propionate '[%']]],R$6,R$2,FALSE)</f>
        <v>#DIV/0!</v>
      </c>
      <c r="AV129" t="e">
        <f>_xlfn.NORM.DIST(Table29128[[#This Row],[Butyrate '[%']]],S$6,S$2,FALSE)</f>
        <v>#DIV/0!</v>
      </c>
      <c r="AW129" t="e">
        <f>_xlfn.NORM.DIST(Table29128[[#This Row],[Valerate '[%']]],T$6,T$2,FALSE)</f>
        <v>#DIV/0!</v>
      </c>
      <c r="AX129" t="e">
        <f>_xlfn.NORM.DIST(Table29128[[#This Row],[Caproate '[%']]],U$6,U$2,FALSE)</f>
        <v>#DIV/0!</v>
      </c>
      <c r="AY129" t="e">
        <f>_xlfn.NORM.DIST(Table29128[[#This Row],[Isobutyrate '[%']]],V$6,V$2,FALSE)</f>
        <v>#DIV/0!</v>
      </c>
      <c r="AZ129" t="e">
        <f>_xlfn.NORM.DIST(Table29128[[#This Row],[Isovalerate '[%']]],W$6,W$2,FALSE)</f>
        <v>#DIV/0!</v>
      </c>
      <c r="BA129" t="e">
        <f>_xlfn.NORM.DIST(Table29128[[#This Row],[CH4 '[g/mmol SCFA']]],X$6,X$2,FALSE)</f>
        <v>#DIV/0!</v>
      </c>
      <c r="BB129" t="e">
        <f>_xlfn.NORM.DIST(Table29128[[#This Row],[DMD '[mg/g']]],Y$6,Y$2,FALSE)</f>
        <v>#REF!</v>
      </c>
      <c r="BC129" t="e">
        <f>_xlfn.NORM.DIST(Table29128[[#This Row],[CH4 '[ml/g']]],Z$6,Z$2,FALSE)</f>
        <v>#REF!</v>
      </c>
      <c r="BD129" t="e">
        <f>_xlfn.NORM.DIST(Table29128[[#This Row],[CH4 '[% GP']]],AA$6,AA$2,FALSE)</f>
        <v>#REF!</v>
      </c>
      <c r="BE129" t="e">
        <f>_xlfn.NORM.DIST(Table29128[[#This Row],[CH4 '[g/g DDM']]],AB$6,AB$2,FALSE)</f>
        <v>#REF!</v>
      </c>
      <c r="BG129">
        <f>IF(Table29128[[#This Row],[GP '[ml/g']]]&lt;O$10,_xlfn.NORM.DIST(Table29128[[#This Row],[GP '[ml/g']]],O$6,O$2,FALSE),-100)</f>
        <v>-100</v>
      </c>
      <c r="BH129">
        <f>IF(Table29128[[#This Row],[SCFA '[mmol/g']]]&lt;P$10,_xlfn.NORM.DIST(Table29128[[#This Row],[SCFA '[mmol/g']]],P$6,P$2,FALSE),-100)</f>
        <v>-100</v>
      </c>
      <c r="BI129">
        <f>IF(Table29128[[#This Row],[Acetate '[%']]]&lt;Q$10,_xlfn.NORM.DIST(Table29128[[#This Row],[Acetate '[%']]],Q$6,Q$2,FALSE),-100)</f>
        <v>-100</v>
      </c>
      <c r="BJ129">
        <f>IF(Table29128[[#This Row],[Propionate '[%']]]&lt;R$10,_xlfn.NORM.DIST(Table29128[[#This Row],[Propionate '[%']]],R$6,R$2,FALSE),-100)</f>
        <v>-100</v>
      </c>
      <c r="BK129">
        <f>IF(Table29128[[#This Row],[Butyrate '[%']]]&lt;S$10,_xlfn.NORM.DIST(Table29128[[#This Row],[Butyrate '[%']]],S$6,S$2,FALSE),-100)</f>
        <v>-100</v>
      </c>
      <c r="BL129">
        <f>IF(Table29128[[#This Row],[Valerate '[%']]]&lt;T$10,_xlfn.NORM.DIST(Table29128[[#This Row],[Valerate '[%']]],T$6,T$2,FALSE),-100)</f>
        <v>-100</v>
      </c>
      <c r="BM129">
        <f>IF(Table29128[[#This Row],[Caproate '[%']]]&lt;U$10,_xlfn.NORM.DIST(Table29128[[#This Row],[Caproate '[%']]],U$6,U$2,FALSE),-100)</f>
        <v>-100</v>
      </c>
      <c r="BN129">
        <f>IF(Table29128[[#This Row],[Isobutyrate '[%']]]&lt;V$10,_xlfn.NORM.DIST(Table29128[[#This Row],[Isobutyrate '[%']]],V$6,V$2,FALSE),-100)</f>
        <v>-100</v>
      </c>
      <c r="BO129">
        <f>IF(Table29128[[#This Row],[Isovalerate '[%']]]&lt;W$10,_xlfn.NORM.DIST(Table29128[[#This Row],[Isovalerate '[%']]],W$6,W$2,FALSE),-100)</f>
        <v>-100</v>
      </c>
      <c r="BP129">
        <f>IF(Table29128[[#This Row],[CH4 '[g/mmol SCFA']]]&lt;X$10,_xlfn.NORM.DIST(Table29128[[#This Row],[CH4 '[g/mmol SCFA']]],X$6,X$2,FALSE),-100)</f>
        <v>-100</v>
      </c>
      <c r="BQ129" t="e">
        <f>IF(Table29128[[#This Row],[DMD '[mg/g']]]&gt;Y$10,_xlfn.NORM.DIST(Table29128[[#This Row],[DMD '[mg/g']]],Y$6,Y$2,FALSE),-100)</f>
        <v>#REF!</v>
      </c>
      <c r="BR129" t="e">
        <f>IF(Table29128[[#This Row],[CH4 '[ml/g']]]&lt;Z$10,_xlfn.NORM.DIST(Table29128[[#This Row],[CH4 '[ml/g']]],Z$6,Z$2,FALSE),-100)</f>
        <v>#REF!</v>
      </c>
      <c r="BS129" t="e">
        <f>IF(Table29128[[#This Row],[CH4 '[% GP']]]&lt;AA$10,_xlfn.NORM.DIST(Table29128[[#This Row],[CH4 '[% GP']]],AA$6,AA$2,FALSE),-100)</f>
        <v>#REF!</v>
      </c>
      <c r="BT129" t="e">
        <f>IF(Table29128[[#This Row],[CH4 '[g/g DDM']]]&lt;AB$10,_xlfn.NORM.DIST(Table29128[[#This Row],[CH4 '[g/g DDM']]],AB$6,AB$2,FALSE),-100)</f>
        <v>#REF!</v>
      </c>
    </row>
    <row r="130" spans="1:72" x14ac:dyDescent="0.25">
      <c r="A130" s="12" t="s">
        <v>70</v>
      </c>
      <c r="B130" s="13">
        <v>1027</v>
      </c>
      <c r="C130" s="96" t="s">
        <v>113</v>
      </c>
      <c r="D130" s="96"/>
      <c r="E130" s="96"/>
      <c r="F130" s="96" t="s">
        <v>114</v>
      </c>
      <c r="G130" t="s">
        <v>73</v>
      </c>
      <c r="H130" t="s">
        <v>74</v>
      </c>
      <c r="I130" t="s">
        <v>75</v>
      </c>
      <c r="J130" s="70">
        <v>1</v>
      </c>
      <c r="K130" s="70"/>
      <c r="L130" s="141"/>
      <c r="M130" s="103" t="s">
        <v>114</v>
      </c>
      <c r="N130" t="s">
        <v>80</v>
      </c>
      <c r="O130" s="18"/>
      <c r="P130" s="18"/>
      <c r="Q130" s="97"/>
      <c r="R130" s="97"/>
      <c r="S130" s="97"/>
      <c r="T130" s="97"/>
      <c r="U130" s="97"/>
      <c r="V130" s="97"/>
      <c r="W130" s="97"/>
      <c r="X130" s="51"/>
      <c r="Y130" s="18" t="e">
        <f>AVERAGEIFS([1]!Table2912[DMD '[mg/g']],[1]!Table2912[Substrate ID],Table29128[[#This Row],[Substrate ID]])</f>
        <v>#REF!</v>
      </c>
      <c r="Z130" s="18" t="e">
        <f>AVERAGEIFS([1]!Table2912[CH4 '[ml/g']],[1]!Table2912[Substrate ID],Table29128[[#This Row],[Substrate ID]])</f>
        <v>#REF!</v>
      </c>
      <c r="AA130" s="18" t="e">
        <f>AVERAGEIFS([1]!Table2912[CH4 '[% GP']],[1]!Table2912[Substrate ID],Table29128[[#This Row],[Substrate ID]])</f>
        <v>#REF!</v>
      </c>
      <c r="AB130" s="18" t="e">
        <f>AVERAGEIFS([1]!Table2912[CH4 '[g/g DDM']],[1]!Table2912[Substrate ID],Table29128[[#This Row],[Substrate ID]])</f>
        <v>#REF!</v>
      </c>
      <c r="AC130" s="18" t="e">
        <f>$CP$17*Table29128[[#This Row],[DMD '[mg/g']]]+$CQ$17*Table29128[[#This Row],[CH4 '[g/g DDM']]]</f>
        <v>#REF!</v>
      </c>
      <c r="AD130" s="18" t="e">
        <f>_xlfn.RANK.AVG(Table29128[[#This Row],[Index]],Table29128[Index])</f>
        <v>#REF!</v>
      </c>
      <c r="AE130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30" s="18" t="e">
        <f>Table29128[[#This Row],[CH4 '[ml/g']]]/Table29128[[#This Row],[APB]]</f>
        <v>#REF!</v>
      </c>
      <c r="AG130" s="18" t="e">
        <f>Table29128[[#This Row],[Propionate '[%']]]/Table29128[[#This Row],[Acetate '[%']]]</f>
        <v>#DIV/0!</v>
      </c>
      <c r="AH130" s="51"/>
      <c r="AI130" s="18"/>
      <c r="AJ130" s="18"/>
      <c r="AK130" s="135" t="e">
        <f t="shared" si="6"/>
        <v>#REF!</v>
      </c>
      <c r="AL130" s="18"/>
      <c r="AM130" s="135" t="e">
        <f t="shared" si="7"/>
        <v>#REF!</v>
      </c>
      <c r="AN130" s="18" t="e">
        <f>(Table29128[[#This Row],[CH4 '[g/g DDM']]]-AN$15)/AN$15%</f>
        <v>#REF!</v>
      </c>
      <c r="AO130" s="18"/>
      <c r="AP130" s="18"/>
      <c r="AR130" t="e">
        <f>_xlfn.NORM.DIST(Table29128[[#This Row],[GP '[ml/g']]],O$6,O$2,FALSE)</f>
        <v>#DIV/0!</v>
      </c>
      <c r="AS130" t="e">
        <f>_xlfn.NORM.DIST(Table29128[[#This Row],[SCFA '[mmol/g']]],P$6,P$2,FALSE)</f>
        <v>#DIV/0!</v>
      </c>
      <c r="AT130" t="e">
        <f>_xlfn.NORM.DIST(Table29128[[#This Row],[Acetate '[%']]],Q$6,Q$2,FALSE)</f>
        <v>#DIV/0!</v>
      </c>
      <c r="AU130" t="e">
        <f>_xlfn.NORM.DIST(Table29128[[#This Row],[Propionate '[%']]],R$6,R$2,FALSE)</f>
        <v>#DIV/0!</v>
      </c>
      <c r="AV130" t="e">
        <f>_xlfn.NORM.DIST(Table29128[[#This Row],[Butyrate '[%']]],S$6,S$2,FALSE)</f>
        <v>#DIV/0!</v>
      </c>
      <c r="AW130" t="e">
        <f>_xlfn.NORM.DIST(Table29128[[#This Row],[Valerate '[%']]],T$6,T$2,FALSE)</f>
        <v>#DIV/0!</v>
      </c>
      <c r="AX130" t="e">
        <f>_xlfn.NORM.DIST(Table29128[[#This Row],[Caproate '[%']]],U$6,U$2,FALSE)</f>
        <v>#DIV/0!</v>
      </c>
      <c r="AY130" t="e">
        <f>_xlfn.NORM.DIST(Table29128[[#This Row],[Isobutyrate '[%']]],V$6,V$2,FALSE)</f>
        <v>#DIV/0!</v>
      </c>
      <c r="AZ130" t="e">
        <f>_xlfn.NORM.DIST(Table29128[[#This Row],[Isovalerate '[%']]],W$6,W$2,FALSE)</f>
        <v>#DIV/0!</v>
      </c>
      <c r="BA130" t="e">
        <f>_xlfn.NORM.DIST(Table29128[[#This Row],[CH4 '[g/mmol SCFA']]],X$6,X$2,FALSE)</f>
        <v>#DIV/0!</v>
      </c>
      <c r="BB130" t="e">
        <f>_xlfn.NORM.DIST(Table29128[[#This Row],[DMD '[mg/g']]],Y$6,Y$2,FALSE)</f>
        <v>#REF!</v>
      </c>
      <c r="BC130" t="e">
        <f>_xlfn.NORM.DIST(Table29128[[#This Row],[CH4 '[ml/g']]],Z$6,Z$2,FALSE)</f>
        <v>#REF!</v>
      </c>
      <c r="BD130" t="e">
        <f>_xlfn.NORM.DIST(Table29128[[#This Row],[CH4 '[% GP']]],AA$6,AA$2,FALSE)</f>
        <v>#REF!</v>
      </c>
      <c r="BE130" t="e">
        <f>_xlfn.NORM.DIST(Table29128[[#This Row],[CH4 '[g/g DDM']]],AB$6,AB$2,FALSE)</f>
        <v>#REF!</v>
      </c>
      <c r="BG130">
        <f>IF(Table29128[[#This Row],[GP '[ml/g']]]&lt;O$10,_xlfn.NORM.DIST(Table29128[[#This Row],[GP '[ml/g']]],O$6,O$2,FALSE),-100)</f>
        <v>-100</v>
      </c>
      <c r="BH130">
        <f>IF(Table29128[[#This Row],[SCFA '[mmol/g']]]&lt;P$10,_xlfn.NORM.DIST(Table29128[[#This Row],[SCFA '[mmol/g']]],P$6,P$2,FALSE),-100)</f>
        <v>-100</v>
      </c>
      <c r="BI130">
        <f>IF(Table29128[[#This Row],[Acetate '[%']]]&lt;Q$10,_xlfn.NORM.DIST(Table29128[[#This Row],[Acetate '[%']]],Q$6,Q$2,FALSE),-100)</f>
        <v>-100</v>
      </c>
      <c r="BJ130">
        <f>IF(Table29128[[#This Row],[Propionate '[%']]]&lt;R$10,_xlfn.NORM.DIST(Table29128[[#This Row],[Propionate '[%']]],R$6,R$2,FALSE),-100)</f>
        <v>-100</v>
      </c>
      <c r="BK130">
        <f>IF(Table29128[[#This Row],[Butyrate '[%']]]&lt;S$10,_xlfn.NORM.DIST(Table29128[[#This Row],[Butyrate '[%']]],S$6,S$2,FALSE),-100)</f>
        <v>-100</v>
      </c>
      <c r="BL130">
        <f>IF(Table29128[[#This Row],[Valerate '[%']]]&lt;T$10,_xlfn.NORM.DIST(Table29128[[#This Row],[Valerate '[%']]],T$6,T$2,FALSE),-100)</f>
        <v>-100</v>
      </c>
      <c r="BM130">
        <f>IF(Table29128[[#This Row],[Caproate '[%']]]&lt;U$10,_xlfn.NORM.DIST(Table29128[[#This Row],[Caproate '[%']]],U$6,U$2,FALSE),-100)</f>
        <v>-100</v>
      </c>
      <c r="BN130">
        <f>IF(Table29128[[#This Row],[Isobutyrate '[%']]]&lt;V$10,_xlfn.NORM.DIST(Table29128[[#This Row],[Isobutyrate '[%']]],V$6,V$2,FALSE),-100)</f>
        <v>-100</v>
      </c>
      <c r="BO130">
        <f>IF(Table29128[[#This Row],[Isovalerate '[%']]]&lt;W$10,_xlfn.NORM.DIST(Table29128[[#This Row],[Isovalerate '[%']]],W$6,W$2,FALSE),-100)</f>
        <v>-100</v>
      </c>
      <c r="BP130">
        <f>IF(Table29128[[#This Row],[CH4 '[g/mmol SCFA']]]&lt;X$10,_xlfn.NORM.DIST(Table29128[[#This Row],[CH4 '[g/mmol SCFA']]],X$6,X$2,FALSE),-100)</f>
        <v>-100</v>
      </c>
      <c r="BQ130" t="e">
        <f>IF(Table29128[[#This Row],[DMD '[mg/g']]]&gt;Y$10,_xlfn.NORM.DIST(Table29128[[#This Row],[DMD '[mg/g']]],Y$6,Y$2,FALSE),-100)</f>
        <v>#REF!</v>
      </c>
      <c r="BR130" t="e">
        <f>IF(Table29128[[#This Row],[CH4 '[ml/g']]]&lt;Z$10,_xlfn.NORM.DIST(Table29128[[#This Row],[CH4 '[ml/g']]],Z$6,Z$2,FALSE),-100)</f>
        <v>#REF!</v>
      </c>
      <c r="BS130" t="e">
        <f>IF(Table29128[[#This Row],[CH4 '[% GP']]]&lt;AA$10,_xlfn.NORM.DIST(Table29128[[#This Row],[CH4 '[% GP']]],AA$6,AA$2,FALSE),-100)</f>
        <v>#REF!</v>
      </c>
      <c r="BT130" t="e">
        <f>IF(Table29128[[#This Row],[CH4 '[g/g DDM']]]&lt;AB$10,_xlfn.NORM.DIST(Table29128[[#This Row],[CH4 '[g/g DDM']]],AB$6,AB$2,FALSE),-100)</f>
        <v>#REF!</v>
      </c>
    </row>
    <row r="131" spans="1:72" x14ac:dyDescent="0.25">
      <c r="A131" s="12" t="s">
        <v>70</v>
      </c>
      <c r="B131" s="13">
        <v>1011</v>
      </c>
      <c r="C131" s="96" t="s">
        <v>222</v>
      </c>
      <c r="D131" s="96"/>
      <c r="E131" s="96"/>
      <c r="F131" s="96" t="s">
        <v>223</v>
      </c>
      <c r="G131" t="s">
        <v>73</v>
      </c>
      <c r="H131" t="s">
        <v>74</v>
      </c>
      <c r="I131" t="s">
        <v>75</v>
      </c>
      <c r="J131" s="70">
        <v>1</v>
      </c>
      <c r="K131" s="70"/>
      <c r="L131" s="70"/>
      <c r="M131" t="s">
        <v>223</v>
      </c>
      <c r="N131" t="s">
        <v>76</v>
      </c>
      <c r="O131" s="18"/>
      <c r="P131" s="18"/>
      <c r="Q131" s="97"/>
      <c r="R131" s="97"/>
      <c r="S131" s="97"/>
      <c r="T131" s="97"/>
      <c r="U131" s="97"/>
      <c r="V131" s="97"/>
      <c r="W131" s="97"/>
      <c r="X131" s="51"/>
      <c r="Y131" s="18" t="e">
        <f>AVERAGEIFS([1]!Table2912[DMD '[mg/g']],[1]!Table2912[Substrate ID],Table29128[[#This Row],[Substrate ID]])</f>
        <v>#REF!</v>
      </c>
      <c r="Z131" s="18" t="e">
        <f>AVERAGEIFS([1]!Table2912[CH4 '[ml/g']],[1]!Table2912[Substrate ID],Table29128[[#This Row],[Substrate ID]])</f>
        <v>#REF!</v>
      </c>
      <c r="AA131" s="18" t="e">
        <f>AVERAGEIFS([1]!Table2912[CH4 '[% GP']],[1]!Table2912[Substrate ID],Table29128[[#This Row],[Substrate ID]])</f>
        <v>#REF!</v>
      </c>
      <c r="AB131" s="18" t="e">
        <f>AVERAGEIFS([1]!Table2912[CH4 '[g/g DDM']],[1]!Table2912[Substrate ID],Table29128[[#This Row],[Substrate ID]])</f>
        <v>#REF!</v>
      </c>
      <c r="AC131" s="18" t="e">
        <f>$CP$17*Table29128[[#This Row],[DMD '[mg/g']]]+$CQ$17*Table29128[[#This Row],[CH4 '[g/g DDM']]]</f>
        <v>#REF!</v>
      </c>
      <c r="AD131" s="18" t="e">
        <f>_xlfn.RANK.AVG(Table29128[[#This Row],[Index]],Table29128[Index])</f>
        <v>#REF!</v>
      </c>
      <c r="AE131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31" s="18" t="e">
        <f>Table29128[[#This Row],[CH4 '[ml/g']]]/Table29128[[#This Row],[APB]]</f>
        <v>#REF!</v>
      </c>
      <c r="AG131" s="18" t="e">
        <f>Table29128[[#This Row],[Propionate '[%']]]/Table29128[[#This Row],[Acetate '[%']]]</f>
        <v>#DIV/0!</v>
      </c>
      <c r="AH131" s="51"/>
      <c r="AI131" s="18"/>
      <c r="AJ131" s="18"/>
      <c r="AK131" s="135" t="e">
        <f t="shared" si="6"/>
        <v>#REF!</v>
      </c>
      <c r="AL131" s="18"/>
      <c r="AM131" s="135" t="e">
        <f t="shared" si="7"/>
        <v>#REF!</v>
      </c>
      <c r="AN131" s="18" t="e">
        <f>(Table29128[[#This Row],[CH4 '[g/g DDM']]]-AN$15)/AN$15%</f>
        <v>#REF!</v>
      </c>
      <c r="AO131" s="18"/>
      <c r="AP131" s="18"/>
      <c r="AR131" t="e">
        <f>_xlfn.NORM.DIST(Table29128[[#This Row],[GP '[ml/g']]],O$6,O$2,FALSE)</f>
        <v>#DIV/0!</v>
      </c>
      <c r="AS131" t="e">
        <f>_xlfn.NORM.DIST(Table29128[[#This Row],[SCFA '[mmol/g']]],P$6,P$2,FALSE)</f>
        <v>#DIV/0!</v>
      </c>
      <c r="AT131" t="e">
        <f>_xlfn.NORM.DIST(Table29128[[#This Row],[Acetate '[%']]],Q$6,Q$2,FALSE)</f>
        <v>#DIV/0!</v>
      </c>
      <c r="AU131" t="e">
        <f>_xlfn.NORM.DIST(Table29128[[#This Row],[Propionate '[%']]],R$6,R$2,FALSE)</f>
        <v>#DIV/0!</v>
      </c>
      <c r="AV131" t="e">
        <f>_xlfn.NORM.DIST(Table29128[[#This Row],[Butyrate '[%']]],S$6,S$2,FALSE)</f>
        <v>#DIV/0!</v>
      </c>
      <c r="AW131" t="e">
        <f>_xlfn.NORM.DIST(Table29128[[#This Row],[Valerate '[%']]],T$6,T$2,FALSE)</f>
        <v>#DIV/0!</v>
      </c>
      <c r="AX131" t="e">
        <f>_xlfn.NORM.DIST(Table29128[[#This Row],[Caproate '[%']]],U$6,U$2,FALSE)</f>
        <v>#DIV/0!</v>
      </c>
      <c r="AY131" t="e">
        <f>_xlfn.NORM.DIST(Table29128[[#This Row],[Isobutyrate '[%']]],V$6,V$2,FALSE)</f>
        <v>#DIV/0!</v>
      </c>
      <c r="AZ131" t="e">
        <f>_xlfn.NORM.DIST(Table29128[[#This Row],[Isovalerate '[%']]],W$6,W$2,FALSE)</f>
        <v>#DIV/0!</v>
      </c>
      <c r="BA131" t="e">
        <f>_xlfn.NORM.DIST(Table29128[[#This Row],[CH4 '[g/mmol SCFA']]],X$6,X$2,FALSE)</f>
        <v>#DIV/0!</v>
      </c>
      <c r="BB131" t="e">
        <f>_xlfn.NORM.DIST(Table29128[[#This Row],[DMD '[mg/g']]],Y$6,Y$2,FALSE)</f>
        <v>#REF!</v>
      </c>
      <c r="BC131" t="e">
        <f>_xlfn.NORM.DIST(Table29128[[#This Row],[CH4 '[ml/g']]],Z$6,Z$2,FALSE)</f>
        <v>#REF!</v>
      </c>
      <c r="BD131" t="e">
        <f>_xlfn.NORM.DIST(Table29128[[#This Row],[CH4 '[% GP']]],AA$6,AA$2,FALSE)</f>
        <v>#REF!</v>
      </c>
      <c r="BE131" t="e">
        <f>_xlfn.NORM.DIST(Table29128[[#This Row],[CH4 '[g/g DDM']]],AB$6,AB$2,FALSE)</f>
        <v>#REF!</v>
      </c>
      <c r="BG131">
        <f>IF(Table29128[[#This Row],[GP '[ml/g']]]&lt;O$10,_xlfn.NORM.DIST(Table29128[[#This Row],[GP '[ml/g']]],O$6,O$2,FALSE),-100)</f>
        <v>-100</v>
      </c>
      <c r="BH131">
        <f>IF(Table29128[[#This Row],[SCFA '[mmol/g']]]&lt;P$10,_xlfn.NORM.DIST(Table29128[[#This Row],[SCFA '[mmol/g']]],P$6,P$2,FALSE),-100)</f>
        <v>-100</v>
      </c>
      <c r="BI131">
        <f>IF(Table29128[[#This Row],[Acetate '[%']]]&lt;Q$10,_xlfn.NORM.DIST(Table29128[[#This Row],[Acetate '[%']]],Q$6,Q$2,FALSE),-100)</f>
        <v>-100</v>
      </c>
      <c r="BJ131">
        <f>IF(Table29128[[#This Row],[Propionate '[%']]]&lt;R$10,_xlfn.NORM.DIST(Table29128[[#This Row],[Propionate '[%']]],R$6,R$2,FALSE),-100)</f>
        <v>-100</v>
      </c>
      <c r="BK131">
        <f>IF(Table29128[[#This Row],[Butyrate '[%']]]&lt;S$10,_xlfn.NORM.DIST(Table29128[[#This Row],[Butyrate '[%']]],S$6,S$2,FALSE),-100)</f>
        <v>-100</v>
      </c>
      <c r="BL131">
        <f>IF(Table29128[[#This Row],[Valerate '[%']]]&lt;T$10,_xlfn.NORM.DIST(Table29128[[#This Row],[Valerate '[%']]],T$6,T$2,FALSE),-100)</f>
        <v>-100</v>
      </c>
      <c r="BM131">
        <f>IF(Table29128[[#This Row],[Caproate '[%']]]&lt;U$10,_xlfn.NORM.DIST(Table29128[[#This Row],[Caproate '[%']]],U$6,U$2,FALSE),-100)</f>
        <v>-100</v>
      </c>
      <c r="BN131">
        <f>IF(Table29128[[#This Row],[Isobutyrate '[%']]]&lt;V$10,_xlfn.NORM.DIST(Table29128[[#This Row],[Isobutyrate '[%']]],V$6,V$2,FALSE),-100)</f>
        <v>-100</v>
      </c>
      <c r="BO131">
        <f>IF(Table29128[[#This Row],[Isovalerate '[%']]]&lt;W$10,_xlfn.NORM.DIST(Table29128[[#This Row],[Isovalerate '[%']]],W$6,W$2,FALSE),-100)</f>
        <v>-100</v>
      </c>
      <c r="BP131">
        <f>IF(Table29128[[#This Row],[CH4 '[g/mmol SCFA']]]&lt;X$10,_xlfn.NORM.DIST(Table29128[[#This Row],[CH4 '[g/mmol SCFA']]],X$6,X$2,FALSE),-100)</f>
        <v>-100</v>
      </c>
      <c r="BQ131" t="e">
        <f>IF(Table29128[[#This Row],[DMD '[mg/g']]]&gt;Y$10,_xlfn.NORM.DIST(Table29128[[#This Row],[DMD '[mg/g']]],Y$6,Y$2,FALSE),-100)</f>
        <v>#REF!</v>
      </c>
      <c r="BR131" t="e">
        <f>IF(Table29128[[#This Row],[CH4 '[ml/g']]]&lt;Z$10,_xlfn.NORM.DIST(Table29128[[#This Row],[CH4 '[ml/g']]],Z$6,Z$2,FALSE),-100)</f>
        <v>#REF!</v>
      </c>
      <c r="BS131" t="e">
        <f>IF(Table29128[[#This Row],[CH4 '[% GP']]]&lt;AA$10,_xlfn.NORM.DIST(Table29128[[#This Row],[CH4 '[% GP']]],AA$6,AA$2,FALSE),-100)</f>
        <v>#REF!</v>
      </c>
      <c r="BT131" t="e">
        <f>IF(Table29128[[#This Row],[CH4 '[g/g DDM']]]&lt;AB$10,_xlfn.NORM.DIST(Table29128[[#This Row],[CH4 '[g/g DDM']]],AB$6,AB$2,FALSE),-100)</f>
        <v>#REF!</v>
      </c>
    </row>
    <row r="132" spans="1:72" x14ac:dyDescent="0.25">
      <c r="A132" s="12" t="s">
        <v>200</v>
      </c>
      <c r="B132" s="13">
        <v>1258</v>
      </c>
      <c r="C132" s="113" t="s">
        <v>586</v>
      </c>
      <c r="D132" s="113" t="s">
        <v>587</v>
      </c>
      <c r="E132" s="113" t="s">
        <v>588</v>
      </c>
      <c r="F132" s="114" t="s">
        <v>589</v>
      </c>
      <c r="G132" t="s">
        <v>73</v>
      </c>
      <c r="H132" t="s">
        <v>74</v>
      </c>
      <c r="I132" t="s">
        <v>75</v>
      </c>
      <c r="J132" s="70">
        <v>1</v>
      </c>
      <c r="K132" s="70"/>
      <c r="L132" s="70"/>
      <c r="M132" t="s">
        <v>590</v>
      </c>
      <c r="N132" t="s">
        <v>363</v>
      </c>
      <c r="O132" s="18"/>
      <c r="P132" s="18"/>
      <c r="Q132" s="97"/>
      <c r="R132" s="97"/>
      <c r="S132" s="97"/>
      <c r="T132" s="97"/>
      <c r="U132" s="97"/>
      <c r="V132" s="97"/>
      <c r="W132" s="97"/>
      <c r="X132" s="51"/>
      <c r="Y132" s="18" t="e">
        <f>AVERAGEIFS([1]!Table2912[DMD '[mg/g']],[1]!Table2912[Substrate ID],Table29128[[#This Row],[Substrate ID]])</f>
        <v>#REF!</v>
      </c>
      <c r="Z132" s="18" t="e">
        <f>AVERAGEIFS([1]!Table2912[CH4 '[ml/g']],[1]!Table2912[Substrate ID],Table29128[[#This Row],[Substrate ID]])</f>
        <v>#REF!</v>
      </c>
      <c r="AA132" s="18" t="e">
        <f>AVERAGEIFS([1]!Table2912[CH4 '[% GP']],[1]!Table2912[Substrate ID],Table29128[[#This Row],[Substrate ID]])</f>
        <v>#REF!</v>
      </c>
      <c r="AB132" s="18" t="e">
        <f>AVERAGEIFS([1]!Table2912[CH4 '[g/g DDM']],[1]!Table2912[Substrate ID],Table29128[[#This Row],[Substrate ID]])</f>
        <v>#REF!</v>
      </c>
      <c r="AC132" s="18" t="e">
        <f>$CP$17*Table29128[[#This Row],[DMD '[mg/g']]]+$CQ$17*Table29128[[#This Row],[CH4 '[g/g DDM']]]</f>
        <v>#REF!</v>
      </c>
      <c r="AD132" s="18" t="e">
        <f>_xlfn.RANK.AVG(Table29128[[#This Row],[Index]],Table29128[Index])</f>
        <v>#REF!</v>
      </c>
      <c r="AE132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32" s="18" t="e">
        <f>Table29128[[#This Row],[CH4 '[ml/g']]]/Table29128[[#This Row],[APB]]</f>
        <v>#REF!</v>
      </c>
      <c r="AG132" s="18" t="e">
        <f>Table29128[[#This Row],[Propionate '[%']]]/Table29128[[#This Row],[Acetate '[%']]]</f>
        <v>#DIV/0!</v>
      </c>
      <c r="AH132" s="51"/>
      <c r="AI132" s="18"/>
      <c r="AJ132" s="18"/>
      <c r="AK132" s="135" t="e">
        <f t="shared" si="6"/>
        <v>#REF!</v>
      </c>
      <c r="AL132" s="18"/>
      <c r="AM132" s="135" t="e">
        <f t="shared" si="7"/>
        <v>#REF!</v>
      </c>
      <c r="AN132" s="18" t="e">
        <f>(Table29128[[#This Row],[CH4 '[g/g DDM']]]-AN$15)/AN$15%</f>
        <v>#REF!</v>
      </c>
      <c r="AO132" s="18"/>
      <c r="AP132" s="18"/>
      <c r="AR132" t="e">
        <f>_xlfn.NORM.DIST(Table29128[[#This Row],[GP '[ml/g']]],O$6,O$2,FALSE)</f>
        <v>#DIV/0!</v>
      </c>
      <c r="AS132" t="e">
        <f>_xlfn.NORM.DIST(Table29128[[#This Row],[SCFA '[mmol/g']]],P$6,P$2,FALSE)</f>
        <v>#DIV/0!</v>
      </c>
      <c r="AT132" t="e">
        <f>_xlfn.NORM.DIST(Table29128[[#This Row],[Acetate '[%']]],Q$6,Q$2,FALSE)</f>
        <v>#DIV/0!</v>
      </c>
      <c r="AU132" t="e">
        <f>_xlfn.NORM.DIST(Table29128[[#This Row],[Propionate '[%']]],R$6,R$2,FALSE)</f>
        <v>#DIV/0!</v>
      </c>
      <c r="AV132" t="e">
        <f>_xlfn.NORM.DIST(Table29128[[#This Row],[Butyrate '[%']]],S$6,S$2,FALSE)</f>
        <v>#DIV/0!</v>
      </c>
      <c r="AW132" t="e">
        <f>_xlfn.NORM.DIST(Table29128[[#This Row],[Valerate '[%']]],T$6,T$2,FALSE)</f>
        <v>#DIV/0!</v>
      </c>
      <c r="AX132" t="e">
        <f>_xlfn.NORM.DIST(Table29128[[#This Row],[Caproate '[%']]],U$6,U$2,FALSE)</f>
        <v>#DIV/0!</v>
      </c>
      <c r="AY132" t="e">
        <f>_xlfn.NORM.DIST(Table29128[[#This Row],[Isobutyrate '[%']]],V$6,V$2,FALSE)</f>
        <v>#DIV/0!</v>
      </c>
      <c r="AZ132" t="e">
        <f>_xlfn.NORM.DIST(Table29128[[#This Row],[Isovalerate '[%']]],W$6,W$2,FALSE)</f>
        <v>#DIV/0!</v>
      </c>
      <c r="BA132" t="e">
        <f>_xlfn.NORM.DIST(Table29128[[#This Row],[CH4 '[g/mmol SCFA']]],X$6,X$2,FALSE)</f>
        <v>#DIV/0!</v>
      </c>
      <c r="BB132" t="e">
        <f>_xlfn.NORM.DIST(Table29128[[#This Row],[DMD '[mg/g']]],Y$6,Y$2,FALSE)</f>
        <v>#REF!</v>
      </c>
      <c r="BC132" t="e">
        <f>_xlfn.NORM.DIST(Table29128[[#This Row],[CH4 '[ml/g']]],Z$6,Z$2,FALSE)</f>
        <v>#REF!</v>
      </c>
      <c r="BD132" t="e">
        <f>_xlfn.NORM.DIST(Table29128[[#This Row],[CH4 '[% GP']]],AA$6,AA$2,FALSE)</f>
        <v>#REF!</v>
      </c>
      <c r="BE132" t="e">
        <f>_xlfn.NORM.DIST(Table29128[[#This Row],[CH4 '[g/g DDM']]],AB$6,AB$2,FALSE)</f>
        <v>#REF!</v>
      </c>
      <c r="BG132">
        <f>IF(Table29128[[#This Row],[GP '[ml/g']]]&lt;O$10,_xlfn.NORM.DIST(Table29128[[#This Row],[GP '[ml/g']]],O$6,O$2,FALSE),-100)</f>
        <v>-100</v>
      </c>
      <c r="BH132">
        <f>IF(Table29128[[#This Row],[SCFA '[mmol/g']]]&lt;P$10,_xlfn.NORM.DIST(Table29128[[#This Row],[SCFA '[mmol/g']]],P$6,P$2,FALSE),-100)</f>
        <v>-100</v>
      </c>
      <c r="BI132">
        <f>IF(Table29128[[#This Row],[Acetate '[%']]]&lt;Q$10,_xlfn.NORM.DIST(Table29128[[#This Row],[Acetate '[%']]],Q$6,Q$2,FALSE),-100)</f>
        <v>-100</v>
      </c>
      <c r="BJ132">
        <f>IF(Table29128[[#This Row],[Propionate '[%']]]&lt;R$10,_xlfn.NORM.DIST(Table29128[[#This Row],[Propionate '[%']]],R$6,R$2,FALSE),-100)</f>
        <v>-100</v>
      </c>
      <c r="BK132">
        <f>IF(Table29128[[#This Row],[Butyrate '[%']]]&lt;S$10,_xlfn.NORM.DIST(Table29128[[#This Row],[Butyrate '[%']]],S$6,S$2,FALSE),-100)</f>
        <v>-100</v>
      </c>
      <c r="BL132">
        <f>IF(Table29128[[#This Row],[Valerate '[%']]]&lt;T$10,_xlfn.NORM.DIST(Table29128[[#This Row],[Valerate '[%']]],T$6,T$2,FALSE),-100)</f>
        <v>-100</v>
      </c>
      <c r="BM132">
        <f>IF(Table29128[[#This Row],[Caproate '[%']]]&lt;U$10,_xlfn.NORM.DIST(Table29128[[#This Row],[Caproate '[%']]],U$6,U$2,FALSE),-100)</f>
        <v>-100</v>
      </c>
      <c r="BN132">
        <f>IF(Table29128[[#This Row],[Isobutyrate '[%']]]&lt;V$10,_xlfn.NORM.DIST(Table29128[[#This Row],[Isobutyrate '[%']]],V$6,V$2,FALSE),-100)</f>
        <v>-100</v>
      </c>
      <c r="BO132">
        <f>IF(Table29128[[#This Row],[Isovalerate '[%']]]&lt;W$10,_xlfn.NORM.DIST(Table29128[[#This Row],[Isovalerate '[%']]],W$6,W$2,FALSE),-100)</f>
        <v>-100</v>
      </c>
      <c r="BP132">
        <f>IF(Table29128[[#This Row],[CH4 '[g/mmol SCFA']]]&lt;X$10,_xlfn.NORM.DIST(Table29128[[#This Row],[CH4 '[g/mmol SCFA']]],X$6,X$2,FALSE),-100)</f>
        <v>-100</v>
      </c>
      <c r="BQ132" t="e">
        <f>IF(Table29128[[#This Row],[DMD '[mg/g']]]&gt;Y$10,_xlfn.NORM.DIST(Table29128[[#This Row],[DMD '[mg/g']]],Y$6,Y$2,FALSE),-100)</f>
        <v>#REF!</v>
      </c>
      <c r="BR132" t="e">
        <f>IF(Table29128[[#This Row],[CH4 '[ml/g']]]&lt;Z$10,_xlfn.NORM.DIST(Table29128[[#This Row],[CH4 '[ml/g']]],Z$6,Z$2,FALSE),-100)</f>
        <v>#REF!</v>
      </c>
      <c r="BS132" t="e">
        <f>IF(Table29128[[#This Row],[CH4 '[% GP']]]&lt;AA$10,_xlfn.NORM.DIST(Table29128[[#This Row],[CH4 '[% GP']]],AA$6,AA$2,FALSE),-100)</f>
        <v>#REF!</v>
      </c>
      <c r="BT132" t="e">
        <f>IF(Table29128[[#This Row],[CH4 '[g/g DDM']]]&lt;AB$10,_xlfn.NORM.DIST(Table29128[[#This Row],[CH4 '[g/g DDM']]],AB$6,AB$2,FALSE),-100)</f>
        <v>#REF!</v>
      </c>
    </row>
    <row r="133" spans="1:72" x14ac:dyDescent="0.25">
      <c r="A133" s="12" t="s">
        <v>70</v>
      </c>
      <c r="B133" s="13">
        <v>998</v>
      </c>
      <c r="C133" s="96" t="s">
        <v>238</v>
      </c>
      <c r="D133" s="96"/>
      <c r="E133" s="96"/>
      <c r="F133" s="96" t="s">
        <v>239</v>
      </c>
      <c r="G133" t="s">
        <v>73</v>
      </c>
      <c r="H133" t="s">
        <v>74</v>
      </c>
      <c r="I133" t="s">
        <v>75</v>
      </c>
      <c r="J133" s="70">
        <v>1</v>
      </c>
      <c r="K133" s="70"/>
      <c r="L133" s="70"/>
      <c r="M133" t="s">
        <v>239</v>
      </c>
      <c r="N133" t="s">
        <v>76</v>
      </c>
      <c r="O133" s="18"/>
      <c r="P133" s="18"/>
      <c r="Q133" s="97"/>
      <c r="R133" s="97"/>
      <c r="S133" s="97"/>
      <c r="T133" s="97"/>
      <c r="U133" s="97"/>
      <c r="V133" s="97"/>
      <c r="W133" s="97"/>
      <c r="X133" s="51"/>
      <c r="Y133" s="18" t="e">
        <f>AVERAGEIFS([1]!Table2912[DMD '[mg/g']],[1]!Table2912[Substrate ID],Table29128[[#This Row],[Substrate ID]])</f>
        <v>#REF!</v>
      </c>
      <c r="Z133" s="18" t="e">
        <f>AVERAGEIFS([1]!Table2912[CH4 '[ml/g']],[1]!Table2912[Substrate ID],Table29128[[#This Row],[Substrate ID]])</f>
        <v>#REF!</v>
      </c>
      <c r="AA133" s="18" t="e">
        <f>AVERAGEIFS([1]!Table2912[CH4 '[% GP']],[1]!Table2912[Substrate ID],Table29128[[#This Row],[Substrate ID]])</f>
        <v>#REF!</v>
      </c>
      <c r="AB133" s="18" t="e">
        <f>AVERAGEIFS([1]!Table2912[CH4 '[g/g DDM']],[1]!Table2912[Substrate ID],Table29128[[#This Row],[Substrate ID]])</f>
        <v>#REF!</v>
      </c>
      <c r="AC133" s="18" t="e">
        <f>$CP$17*Table29128[[#This Row],[DMD '[mg/g']]]+$CQ$17*Table29128[[#This Row],[CH4 '[g/g DDM']]]</f>
        <v>#REF!</v>
      </c>
      <c r="AD133" s="18" t="e">
        <f>_xlfn.RANK.AVG(Table29128[[#This Row],[Index]],Table29128[Index])</f>
        <v>#REF!</v>
      </c>
      <c r="AE133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33" s="18" t="e">
        <f>Table29128[[#This Row],[CH4 '[ml/g']]]/Table29128[[#This Row],[APB]]</f>
        <v>#REF!</v>
      </c>
      <c r="AG133" s="18" t="e">
        <f>Table29128[[#This Row],[Propionate '[%']]]/Table29128[[#This Row],[Acetate '[%']]]</f>
        <v>#DIV/0!</v>
      </c>
      <c r="AH133" s="51"/>
      <c r="AI133" s="18"/>
      <c r="AJ133" s="18"/>
      <c r="AK133" s="135" t="e">
        <f t="shared" si="6"/>
        <v>#REF!</v>
      </c>
      <c r="AL133" s="18"/>
      <c r="AM133" s="135" t="e">
        <f t="shared" si="7"/>
        <v>#REF!</v>
      </c>
      <c r="AN133" s="18" t="e">
        <f>(Table29128[[#This Row],[CH4 '[g/g DDM']]]-AN$15)/AN$15%</f>
        <v>#REF!</v>
      </c>
      <c r="AO133" s="18"/>
      <c r="AP133" s="18"/>
      <c r="AR133" t="e">
        <f>_xlfn.NORM.DIST(Table29128[[#This Row],[GP '[ml/g']]],O$6,O$2,FALSE)</f>
        <v>#DIV/0!</v>
      </c>
      <c r="AS133" t="e">
        <f>_xlfn.NORM.DIST(Table29128[[#This Row],[SCFA '[mmol/g']]],P$6,P$2,FALSE)</f>
        <v>#DIV/0!</v>
      </c>
      <c r="AT133" t="e">
        <f>_xlfn.NORM.DIST(Table29128[[#This Row],[Acetate '[%']]],Q$6,Q$2,FALSE)</f>
        <v>#DIV/0!</v>
      </c>
      <c r="AU133" t="e">
        <f>_xlfn.NORM.DIST(Table29128[[#This Row],[Propionate '[%']]],R$6,R$2,FALSE)</f>
        <v>#DIV/0!</v>
      </c>
      <c r="AV133" t="e">
        <f>_xlfn.NORM.DIST(Table29128[[#This Row],[Butyrate '[%']]],S$6,S$2,FALSE)</f>
        <v>#DIV/0!</v>
      </c>
      <c r="AW133" t="e">
        <f>_xlfn.NORM.DIST(Table29128[[#This Row],[Valerate '[%']]],T$6,T$2,FALSE)</f>
        <v>#DIV/0!</v>
      </c>
      <c r="AX133" t="e">
        <f>_xlfn.NORM.DIST(Table29128[[#This Row],[Caproate '[%']]],U$6,U$2,FALSE)</f>
        <v>#DIV/0!</v>
      </c>
      <c r="AY133" t="e">
        <f>_xlfn.NORM.DIST(Table29128[[#This Row],[Isobutyrate '[%']]],V$6,V$2,FALSE)</f>
        <v>#DIV/0!</v>
      </c>
      <c r="AZ133" t="e">
        <f>_xlfn.NORM.DIST(Table29128[[#This Row],[Isovalerate '[%']]],W$6,W$2,FALSE)</f>
        <v>#DIV/0!</v>
      </c>
      <c r="BA133" t="e">
        <f>_xlfn.NORM.DIST(Table29128[[#This Row],[CH4 '[g/mmol SCFA']]],X$6,X$2,FALSE)</f>
        <v>#DIV/0!</v>
      </c>
      <c r="BB133" t="e">
        <f>_xlfn.NORM.DIST(Table29128[[#This Row],[DMD '[mg/g']]],Y$6,Y$2,FALSE)</f>
        <v>#REF!</v>
      </c>
      <c r="BC133" t="e">
        <f>_xlfn.NORM.DIST(Table29128[[#This Row],[CH4 '[ml/g']]],Z$6,Z$2,FALSE)</f>
        <v>#REF!</v>
      </c>
      <c r="BD133" t="e">
        <f>_xlfn.NORM.DIST(Table29128[[#This Row],[CH4 '[% GP']]],AA$6,AA$2,FALSE)</f>
        <v>#REF!</v>
      </c>
      <c r="BE133" t="e">
        <f>_xlfn.NORM.DIST(Table29128[[#This Row],[CH4 '[g/g DDM']]],AB$6,AB$2,FALSE)</f>
        <v>#REF!</v>
      </c>
      <c r="BG133">
        <f>IF(Table29128[[#This Row],[GP '[ml/g']]]&lt;O$10,_xlfn.NORM.DIST(Table29128[[#This Row],[GP '[ml/g']]],O$6,O$2,FALSE),-100)</f>
        <v>-100</v>
      </c>
      <c r="BH133">
        <f>IF(Table29128[[#This Row],[SCFA '[mmol/g']]]&lt;P$10,_xlfn.NORM.DIST(Table29128[[#This Row],[SCFA '[mmol/g']]],P$6,P$2,FALSE),-100)</f>
        <v>-100</v>
      </c>
      <c r="BI133">
        <f>IF(Table29128[[#This Row],[Acetate '[%']]]&lt;Q$10,_xlfn.NORM.DIST(Table29128[[#This Row],[Acetate '[%']]],Q$6,Q$2,FALSE),-100)</f>
        <v>-100</v>
      </c>
      <c r="BJ133">
        <f>IF(Table29128[[#This Row],[Propionate '[%']]]&lt;R$10,_xlfn.NORM.DIST(Table29128[[#This Row],[Propionate '[%']]],R$6,R$2,FALSE),-100)</f>
        <v>-100</v>
      </c>
      <c r="BK133">
        <f>IF(Table29128[[#This Row],[Butyrate '[%']]]&lt;S$10,_xlfn.NORM.DIST(Table29128[[#This Row],[Butyrate '[%']]],S$6,S$2,FALSE),-100)</f>
        <v>-100</v>
      </c>
      <c r="BL133">
        <f>IF(Table29128[[#This Row],[Valerate '[%']]]&lt;T$10,_xlfn.NORM.DIST(Table29128[[#This Row],[Valerate '[%']]],T$6,T$2,FALSE),-100)</f>
        <v>-100</v>
      </c>
      <c r="BM133">
        <f>IF(Table29128[[#This Row],[Caproate '[%']]]&lt;U$10,_xlfn.NORM.DIST(Table29128[[#This Row],[Caproate '[%']]],U$6,U$2,FALSE),-100)</f>
        <v>-100</v>
      </c>
      <c r="BN133">
        <f>IF(Table29128[[#This Row],[Isobutyrate '[%']]]&lt;V$10,_xlfn.NORM.DIST(Table29128[[#This Row],[Isobutyrate '[%']]],V$6,V$2,FALSE),-100)</f>
        <v>-100</v>
      </c>
      <c r="BO133">
        <f>IF(Table29128[[#This Row],[Isovalerate '[%']]]&lt;W$10,_xlfn.NORM.DIST(Table29128[[#This Row],[Isovalerate '[%']]],W$6,W$2,FALSE),-100)</f>
        <v>-100</v>
      </c>
      <c r="BP133">
        <f>IF(Table29128[[#This Row],[CH4 '[g/mmol SCFA']]]&lt;X$10,_xlfn.NORM.DIST(Table29128[[#This Row],[CH4 '[g/mmol SCFA']]],X$6,X$2,FALSE),-100)</f>
        <v>-100</v>
      </c>
      <c r="BQ133" t="e">
        <f>IF(Table29128[[#This Row],[DMD '[mg/g']]]&gt;Y$10,_xlfn.NORM.DIST(Table29128[[#This Row],[DMD '[mg/g']]],Y$6,Y$2,FALSE),-100)</f>
        <v>#REF!</v>
      </c>
      <c r="BR133" t="e">
        <f>IF(Table29128[[#This Row],[CH4 '[ml/g']]]&lt;Z$10,_xlfn.NORM.DIST(Table29128[[#This Row],[CH4 '[ml/g']]],Z$6,Z$2,FALSE),-100)</f>
        <v>#REF!</v>
      </c>
      <c r="BS133" t="e">
        <f>IF(Table29128[[#This Row],[CH4 '[% GP']]]&lt;AA$10,_xlfn.NORM.DIST(Table29128[[#This Row],[CH4 '[% GP']]],AA$6,AA$2,FALSE),-100)</f>
        <v>#REF!</v>
      </c>
      <c r="BT133" t="e">
        <f>IF(Table29128[[#This Row],[CH4 '[g/g DDM']]]&lt;AB$10,_xlfn.NORM.DIST(Table29128[[#This Row],[CH4 '[g/g DDM']]],AB$6,AB$2,FALSE),-100)</f>
        <v>#REF!</v>
      </c>
    </row>
    <row r="134" spans="1:72" x14ac:dyDescent="0.25">
      <c r="A134" s="12" t="s">
        <v>70</v>
      </c>
      <c r="B134" s="13">
        <v>991</v>
      </c>
      <c r="C134" s="96" t="s">
        <v>399</v>
      </c>
      <c r="D134" s="96"/>
      <c r="E134" s="96"/>
      <c r="F134" s="96" t="s">
        <v>400</v>
      </c>
      <c r="G134" t="s">
        <v>73</v>
      </c>
      <c r="H134" t="s">
        <v>74</v>
      </c>
      <c r="I134" t="s">
        <v>75</v>
      </c>
      <c r="J134" s="70">
        <v>1</v>
      </c>
      <c r="K134" s="70"/>
      <c r="L134" s="70"/>
      <c r="M134" t="s">
        <v>400</v>
      </c>
      <c r="N134" t="s">
        <v>85</v>
      </c>
      <c r="O134" s="18"/>
      <c r="P134" s="18"/>
      <c r="Q134" s="97"/>
      <c r="R134" s="97"/>
      <c r="S134" s="97"/>
      <c r="T134" s="97"/>
      <c r="U134" s="97"/>
      <c r="V134" s="97"/>
      <c r="W134" s="97"/>
      <c r="X134" s="51"/>
      <c r="Y134" s="18" t="e">
        <f>AVERAGEIFS([1]!Table2912[DMD '[mg/g']],[1]!Table2912[Substrate ID],Table29128[[#This Row],[Substrate ID]])</f>
        <v>#REF!</v>
      </c>
      <c r="Z134" s="18" t="e">
        <f>AVERAGEIFS([1]!Table2912[CH4 '[ml/g']],[1]!Table2912[Substrate ID],Table29128[[#This Row],[Substrate ID]])</f>
        <v>#REF!</v>
      </c>
      <c r="AA134" s="18" t="e">
        <f>AVERAGEIFS([1]!Table2912[CH4 '[% GP']],[1]!Table2912[Substrate ID],Table29128[[#This Row],[Substrate ID]])</f>
        <v>#REF!</v>
      </c>
      <c r="AB134" s="18" t="e">
        <f>AVERAGEIFS([1]!Table2912[CH4 '[g/g DDM']],[1]!Table2912[Substrate ID],Table29128[[#This Row],[Substrate ID]])</f>
        <v>#REF!</v>
      </c>
      <c r="AC134" s="18" t="e">
        <f>$CP$17*Table29128[[#This Row],[DMD '[mg/g']]]+$CQ$17*Table29128[[#This Row],[CH4 '[g/g DDM']]]</f>
        <v>#REF!</v>
      </c>
      <c r="AD134" s="18" t="e">
        <f>_xlfn.RANK.AVG(Table29128[[#This Row],[Index]],Table29128[Index])</f>
        <v>#REF!</v>
      </c>
      <c r="AE134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34" s="18" t="e">
        <f>Table29128[[#This Row],[CH4 '[ml/g']]]/Table29128[[#This Row],[APB]]</f>
        <v>#REF!</v>
      </c>
      <c r="AG134" s="18" t="e">
        <f>Table29128[[#This Row],[Propionate '[%']]]/Table29128[[#This Row],[Acetate '[%']]]</f>
        <v>#DIV/0!</v>
      </c>
      <c r="AH134" s="51"/>
      <c r="AI134" s="18"/>
      <c r="AJ134" s="18"/>
      <c r="AK134" s="135" t="e">
        <f t="shared" si="6"/>
        <v>#REF!</v>
      </c>
      <c r="AL134" s="18"/>
      <c r="AM134" s="135" t="e">
        <f t="shared" si="7"/>
        <v>#REF!</v>
      </c>
      <c r="AN134" s="18" t="e">
        <f>(Table29128[[#This Row],[CH4 '[g/g DDM']]]-AN$15)/AN$15%</f>
        <v>#REF!</v>
      </c>
      <c r="AO134" s="18"/>
      <c r="AP134" s="18"/>
      <c r="AR134" t="e">
        <f>_xlfn.NORM.DIST(Table29128[[#This Row],[GP '[ml/g']]],O$6,O$2,FALSE)</f>
        <v>#DIV/0!</v>
      </c>
      <c r="AS134" t="e">
        <f>_xlfn.NORM.DIST(Table29128[[#This Row],[SCFA '[mmol/g']]],P$6,P$2,FALSE)</f>
        <v>#DIV/0!</v>
      </c>
      <c r="AT134" t="e">
        <f>_xlfn.NORM.DIST(Table29128[[#This Row],[Acetate '[%']]],Q$6,Q$2,FALSE)</f>
        <v>#DIV/0!</v>
      </c>
      <c r="AU134" t="e">
        <f>_xlfn.NORM.DIST(Table29128[[#This Row],[Propionate '[%']]],R$6,R$2,FALSE)</f>
        <v>#DIV/0!</v>
      </c>
      <c r="AV134" t="e">
        <f>_xlfn.NORM.DIST(Table29128[[#This Row],[Butyrate '[%']]],S$6,S$2,FALSE)</f>
        <v>#DIV/0!</v>
      </c>
      <c r="AW134" t="e">
        <f>_xlfn.NORM.DIST(Table29128[[#This Row],[Valerate '[%']]],T$6,T$2,FALSE)</f>
        <v>#DIV/0!</v>
      </c>
      <c r="AX134" t="e">
        <f>_xlfn.NORM.DIST(Table29128[[#This Row],[Caproate '[%']]],U$6,U$2,FALSE)</f>
        <v>#DIV/0!</v>
      </c>
      <c r="AY134" t="e">
        <f>_xlfn.NORM.DIST(Table29128[[#This Row],[Isobutyrate '[%']]],V$6,V$2,FALSE)</f>
        <v>#DIV/0!</v>
      </c>
      <c r="AZ134" t="e">
        <f>_xlfn.NORM.DIST(Table29128[[#This Row],[Isovalerate '[%']]],W$6,W$2,FALSE)</f>
        <v>#DIV/0!</v>
      </c>
      <c r="BA134" t="e">
        <f>_xlfn.NORM.DIST(Table29128[[#This Row],[CH4 '[g/mmol SCFA']]],X$6,X$2,FALSE)</f>
        <v>#DIV/0!</v>
      </c>
      <c r="BB134" t="e">
        <f>_xlfn.NORM.DIST(Table29128[[#This Row],[DMD '[mg/g']]],Y$6,Y$2,FALSE)</f>
        <v>#REF!</v>
      </c>
      <c r="BC134" t="e">
        <f>_xlfn.NORM.DIST(Table29128[[#This Row],[CH4 '[ml/g']]],Z$6,Z$2,FALSE)</f>
        <v>#REF!</v>
      </c>
      <c r="BD134" t="e">
        <f>_xlfn.NORM.DIST(Table29128[[#This Row],[CH4 '[% GP']]],AA$6,AA$2,FALSE)</f>
        <v>#REF!</v>
      </c>
      <c r="BE134" t="e">
        <f>_xlfn.NORM.DIST(Table29128[[#This Row],[CH4 '[g/g DDM']]],AB$6,AB$2,FALSE)</f>
        <v>#REF!</v>
      </c>
      <c r="BG134">
        <f>IF(Table29128[[#This Row],[GP '[ml/g']]]&lt;O$10,_xlfn.NORM.DIST(Table29128[[#This Row],[GP '[ml/g']]],O$6,O$2,FALSE),-100)</f>
        <v>-100</v>
      </c>
      <c r="BH134">
        <f>IF(Table29128[[#This Row],[SCFA '[mmol/g']]]&lt;P$10,_xlfn.NORM.DIST(Table29128[[#This Row],[SCFA '[mmol/g']]],P$6,P$2,FALSE),-100)</f>
        <v>-100</v>
      </c>
      <c r="BI134">
        <f>IF(Table29128[[#This Row],[Acetate '[%']]]&lt;Q$10,_xlfn.NORM.DIST(Table29128[[#This Row],[Acetate '[%']]],Q$6,Q$2,FALSE),-100)</f>
        <v>-100</v>
      </c>
      <c r="BJ134">
        <f>IF(Table29128[[#This Row],[Propionate '[%']]]&lt;R$10,_xlfn.NORM.DIST(Table29128[[#This Row],[Propionate '[%']]],R$6,R$2,FALSE),-100)</f>
        <v>-100</v>
      </c>
      <c r="BK134">
        <f>IF(Table29128[[#This Row],[Butyrate '[%']]]&lt;S$10,_xlfn.NORM.DIST(Table29128[[#This Row],[Butyrate '[%']]],S$6,S$2,FALSE),-100)</f>
        <v>-100</v>
      </c>
      <c r="BL134">
        <f>IF(Table29128[[#This Row],[Valerate '[%']]]&lt;T$10,_xlfn.NORM.DIST(Table29128[[#This Row],[Valerate '[%']]],T$6,T$2,FALSE),-100)</f>
        <v>-100</v>
      </c>
      <c r="BM134">
        <f>IF(Table29128[[#This Row],[Caproate '[%']]]&lt;U$10,_xlfn.NORM.DIST(Table29128[[#This Row],[Caproate '[%']]],U$6,U$2,FALSE),-100)</f>
        <v>-100</v>
      </c>
      <c r="BN134">
        <f>IF(Table29128[[#This Row],[Isobutyrate '[%']]]&lt;V$10,_xlfn.NORM.DIST(Table29128[[#This Row],[Isobutyrate '[%']]],V$6,V$2,FALSE),-100)</f>
        <v>-100</v>
      </c>
      <c r="BO134">
        <f>IF(Table29128[[#This Row],[Isovalerate '[%']]]&lt;W$10,_xlfn.NORM.DIST(Table29128[[#This Row],[Isovalerate '[%']]],W$6,W$2,FALSE),-100)</f>
        <v>-100</v>
      </c>
      <c r="BP134">
        <f>IF(Table29128[[#This Row],[CH4 '[g/mmol SCFA']]]&lt;X$10,_xlfn.NORM.DIST(Table29128[[#This Row],[CH4 '[g/mmol SCFA']]],X$6,X$2,FALSE),-100)</f>
        <v>-100</v>
      </c>
      <c r="BQ134" t="e">
        <f>IF(Table29128[[#This Row],[DMD '[mg/g']]]&gt;Y$10,_xlfn.NORM.DIST(Table29128[[#This Row],[DMD '[mg/g']]],Y$6,Y$2,FALSE),-100)</f>
        <v>#REF!</v>
      </c>
      <c r="BR134" t="e">
        <f>IF(Table29128[[#This Row],[CH4 '[ml/g']]]&lt;Z$10,_xlfn.NORM.DIST(Table29128[[#This Row],[CH4 '[ml/g']]],Z$6,Z$2,FALSE),-100)</f>
        <v>#REF!</v>
      </c>
      <c r="BS134" t="e">
        <f>IF(Table29128[[#This Row],[CH4 '[% GP']]]&lt;AA$10,_xlfn.NORM.DIST(Table29128[[#This Row],[CH4 '[% GP']]],AA$6,AA$2,FALSE),-100)</f>
        <v>#REF!</v>
      </c>
      <c r="BT134" t="e">
        <f>IF(Table29128[[#This Row],[CH4 '[g/g DDM']]]&lt;AB$10,_xlfn.NORM.DIST(Table29128[[#This Row],[CH4 '[g/g DDM']]],AB$6,AB$2,FALSE),-100)</f>
        <v>#REF!</v>
      </c>
    </row>
    <row r="135" spans="1:72" x14ac:dyDescent="0.25">
      <c r="A135" s="12" t="s">
        <v>70</v>
      </c>
      <c r="B135" s="13">
        <v>1006</v>
      </c>
      <c r="C135" s="96" t="s">
        <v>308</v>
      </c>
      <c r="D135" s="96"/>
      <c r="E135" s="96"/>
      <c r="F135" s="96" t="s">
        <v>309</v>
      </c>
      <c r="G135" t="s">
        <v>73</v>
      </c>
      <c r="H135" t="s">
        <v>74</v>
      </c>
      <c r="I135" t="s">
        <v>75</v>
      </c>
      <c r="J135" s="70">
        <v>1</v>
      </c>
      <c r="K135" s="70"/>
      <c r="L135" s="70"/>
      <c r="M135" t="s">
        <v>309</v>
      </c>
      <c r="N135" t="s">
        <v>85</v>
      </c>
      <c r="O135" s="18"/>
      <c r="P135" s="18"/>
      <c r="Q135" s="97"/>
      <c r="R135" s="97"/>
      <c r="S135" s="97"/>
      <c r="T135" s="97"/>
      <c r="U135" s="97"/>
      <c r="V135" s="97"/>
      <c r="W135" s="97"/>
      <c r="X135" s="51"/>
      <c r="Y135" s="18" t="e">
        <f>AVERAGEIFS([1]!Table2912[DMD '[mg/g']],[1]!Table2912[Substrate ID],Table29128[[#This Row],[Substrate ID]])</f>
        <v>#REF!</v>
      </c>
      <c r="Z135" s="18" t="e">
        <f>AVERAGEIFS([1]!Table2912[CH4 '[ml/g']],[1]!Table2912[Substrate ID],Table29128[[#This Row],[Substrate ID]])</f>
        <v>#REF!</v>
      </c>
      <c r="AA135" s="18" t="e">
        <f>AVERAGEIFS([1]!Table2912[CH4 '[% GP']],[1]!Table2912[Substrate ID],Table29128[[#This Row],[Substrate ID]])</f>
        <v>#REF!</v>
      </c>
      <c r="AB135" s="18" t="e">
        <f>AVERAGEIFS([1]!Table2912[CH4 '[g/g DDM']],[1]!Table2912[Substrate ID],Table29128[[#This Row],[Substrate ID]])</f>
        <v>#REF!</v>
      </c>
      <c r="AC135" s="18" t="e">
        <f>$CP$17*Table29128[[#This Row],[DMD '[mg/g']]]+$CQ$17*Table29128[[#This Row],[CH4 '[g/g DDM']]]</f>
        <v>#REF!</v>
      </c>
      <c r="AD135" s="18" t="e">
        <f>_xlfn.RANK.AVG(Table29128[[#This Row],[Index]],Table29128[Index])</f>
        <v>#REF!</v>
      </c>
      <c r="AE135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35" s="18" t="e">
        <f>Table29128[[#This Row],[CH4 '[ml/g']]]/Table29128[[#This Row],[APB]]</f>
        <v>#REF!</v>
      </c>
      <c r="AG135" s="18" t="e">
        <f>Table29128[[#This Row],[Propionate '[%']]]/Table29128[[#This Row],[Acetate '[%']]]</f>
        <v>#DIV/0!</v>
      </c>
      <c r="AH135" s="51"/>
      <c r="AI135" s="18"/>
      <c r="AJ135" s="18"/>
      <c r="AK135" s="135" t="e">
        <f t="shared" si="6"/>
        <v>#REF!</v>
      </c>
      <c r="AL135" s="18"/>
      <c r="AM135" s="135" t="e">
        <f t="shared" si="7"/>
        <v>#REF!</v>
      </c>
      <c r="AN135" s="18" t="e">
        <f>(Table29128[[#This Row],[CH4 '[g/g DDM']]]-AN$15)/AN$15%</f>
        <v>#REF!</v>
      </c>
      <c r="AO135" s="18"/>
      <c r="AP135" s="18"/>
      <c r="AR135" t="e">
        <f>_xlfn.NORM.DIST(Table29128[[#This Row],[GP '[ml/g']]],O$6,O$2,FALSE)</f>
        <v>#DIV/0!</v>
      </c>
      <c r="AS135" t="e">
        <f>_xlfn.NORM.DIST(Table29128[[#This Row],[SCFA '[mmol/g']]],P$6,P$2,FALSE)</f>
        <v>#DIV/0!</v>
      </c>
      <c r="AT135" t="e">
        <f>_xlfn.NORM.DIST(Table29128[[#This Row],[Acetate '[%']]],Q$6,Q$2,FALSE)</f>
        <v>#DIV/0!</v>
      </c>
      <c r="AU135" t="e">
        <f>_xlfn.NORM.DIST(Table29128[[#This Row],[Propionate '[%']]],R$6,R$2,FALSE)</f>
        <v>#DIV/0!</v>
      </c>
      <c r="AV135" t="e">
        <f>_xlfn.NORM.DIST(Table29128[[#This Row],[Butyrate '[%']]],S$6,S$2,FALSE)</f>
        <v>#DIV/0!</v>
      </c>
      <c r="AW135" t="e">
        <f>_xlfn.NORM.DIST(Table29128[[#This Row],[Valerate '[%']]],T$6,T$2,FALSE)</f>
        <v>#DIV/0!</v>
      </c>
      <c r="AX135" t="e">
        <f>_xlfn.NORM.DIST(Table29128[[#This Row],[Caproate '[%']]],U$6,U$2,FALSE)</f>
        <v>#DIV/0!</v>
      </c>
      <c r="AY135" t="e">
        <f>_xlfn.NORM.DIST(Table29128[[#This Row],[Isobutyrate '[%']]],V$6,V$2,FALSE)</f>
        <v>#DIV/0!</v>
      </c>
      <c r="AZ135" t="e">
        <f>_xlfn.NORM.DIST(Table29128[[#This Row],[Isovalerate '[%']]],W$6,W$2,FALSE)</f>
        <v>#DIV/0!</v>
      </c>
      <c r="BA135" t="e">
        <f>_xlfn.NORM.DIST(Table29128[[#This Row],[CH4 '[g/mmol SCFA']]],X$6,X$2,FALSE)</f>
        <v>#DIV/0!</v>
      </c>
      <c r="BB135" t="e">
        <f>_xlfn.NORM.DIST(Table29128[[#This Row],[DMD '[mg/g']]],Y$6,Y$2,FALSE)</f>
        <v>#REF!</v>
      </c>
      <c r="BC135" t="e">
        <f>_xlfn.NORM.DIST(Table29128[[#This Row],[CH4 '[ml/g']]],Z$6,Z$2,FALSE)</f>
        <v>#REF!</v>
      </c>
      <c r="BD135" t="e">
        <f>_xlfn.NORM.DIST(Table29128[[#This Row],[CH4 '[% GP']]],AA$6,AA$2,FALSE)</f>
        <v>#REF!</v>
      </c>
      <c r="BE135" t="e">
        <f>_xlfn.NORM.DIST(Table29128[[#This Row],[CH4 '[g/g DDM']]],AB$6,AB$2,FALSE)</f>
        <v>#REF!</v>
      </c>
      <c r="BG135">
        <f>IF(Table29128[[#This Row],[GP '[ml/g']]]&lt;O$10,_xlfn.NORM.DIST(Table29128[[#This Row],[GP '[ml/g']]],O$6,O$2,FALSE),-100)</f>
        <v>-100</v>
      </c>
      <c r="BH135">
        <f>IF(Table29128[[#This Row],[SCFA '[mmol/g']]]&lt;P$10,_xlfn.NORM.DIST(Table29128[[#This Row],[SCFA '[mmol/g']]],P$6,P$2,FALSE),-100)</f>
        <v>-100</v>
      </c>
      <c r="BI135">
        <f>IF(Table29128[[#This Row],[Acetate '[%']]]&lt;Q$10,_xlfn.NORM.DIST(Table29128[[#This Row],[Acetate '[%']]],Q$6,Q$2,FALSE),-100)</f>
        <v>-100</v>
      </c>
      <c r="BJ135">
        <f>IF(Table29128[[#This Row],[Propionate '[%']]]&lt;R$10,_xlfn.NORM.DIST(Table29128[[#This Row],[Propionate '[%']]],R$6,R$2,FALSE),-100)</f>
        <v>-100</v>
      </c>
      <c r="BK135">
        <f>IF(Table29128[[#This Row],[Butyrate '[%']]]&lt;S$10,_xlfn.NORM.DIST(Table29128[[#This Row],[Butyrate '[%']]],S$6,S$2,FALSE),-100)</f>
        <v>-100</v>
      </c>
      <c r="BL135">
        <f>IF(Table29128[[#This Row],[Valerate '[%']]]&lt;T$10,_xlfn.NORM.DIST(Table29128[[#This Row],[Valerate '[%']]],T$6,T$2,FALSE),-100)</f>
        <v>-100</v>
      </c>
      <c r="BM135">
        <f>IF(Table29128[[#This Row],[Caproate '[%']]]&lt;U$10,_xlfn.NORM.DIST(Table29128[[#This Row],[Caproate '[%']]],U$6,U$2,FALSE),-100)</f>
        <v>-100</v>
      </c>
      <c r="BN135">
        <f>IF(Table29128[[#This Row],[Isobutyrate '[%']]]&lt;V$10,_xlfn.NORM.DIST(Table29128[[#This Row],[Isobutyrate '[%']]],V$6,V$2,FALSE),-100)</f>
        <v>-100</v>
      </c>
      <c r="BO135">
        <f>IF(Table29128[[#This Row],[Isovalerate '[%']]]&lt;W$10,_xlfn.NORM.DIST(Table29128[[#This Row],[Isovalerate '[%']]],W$6,W$2,FALSE),-100)</f>
        <v>-100</v>
      </c>
      <c r="BP135">
        <f>IF(Table29128[[#This Row],[CH4 '[g/mmol SCFA']]]&lt;X$10,_xlfn.NORM.DIST(Table29128[[#This Row],[CH4 '[g/mmol SCFA']]],X$6,X$2,FALSE),-100)</f>
        <v>-100</v>
      </c>
      <c r="BQ135" t="e">
        <f>IF(Table29128[[#This Row],[DMD '[mg/g']]]&gt;Y$10,_xlfn.NORM.DIST(Table29128[[#This Row],[DMD '[mg/g']]],Y$6,Y$2,FALSE),-100)</f>
        <v>#REF!</v>
      </c>
      <c r="BR135" t="e">
        <f>IF(Table29128[[#This Row],[CH4 '[ml/g']]]&lt;Z$10,_xlfn.NORM.DIST(Table29128[[#This Row],[CH4 '[ml/g']]],Z$6,Z$2,FALSE),-100)</f>
        <v>#REF!</v>
      </c>
      <c r="BS135" t="e">
        <f>IF(Table29128[[#This Row],[CH4 '[% GP']]]&lt;AA$10,_xlfn.NORM.DIST(Table29128[[#This Row],[CH4 '[% GP']]],AA$6,AA$2,FALSE),-100)</f>
        <v>#REF!</v>
      </c>
      <c r="BT135" t="e">
        <f>IF(Table29128[[#This Row],[CH4 '[g/g DDM']]]&lt;AB$10,_xlfn.NORM.DIST(Table29128[[#This Row],[CH4 '[g/g DDM']]],AB$6,AB$2,FALSE),-100)</f>
        <v>#REF!</v>
      </c>
    </row>
    <row r="136" spans="1:72" x14ac:dyDescent="0.25">
      <c r="A136" s="12" t="s">
        <v>200</v>
      </c>
      <c r="B136" s="13">
        <v>1186</v>
      </c>
      <c r="C136" s="113" t="s">
        <v>597</v>
      </c>
      <c r="D136" s="113" t="s">
        <v>598</v>
      </c>
      <c r="E136" s="113" t="s">
        <v>599</v>
      </c>
      <c r="F136" s="113" t="s">
        <v>600</v>
      </c>
      <c r="G136" t="s">
        <v>601</v>
      </c>
      <c r="H136" t="s">
        <v>602</v>
      </c>
      <c r="I136" t="s">
        <v>48</v>
      </c>
      <c r="J136" s="70">
        <v>1</v>
      </c>
      <c r="K136" s="70"/>
      <c r="L136" s="70"/>
      <c r="M136" t="s">
        <v>598</v>
      </c>
      <c r="N136" t="s">
        <v>363</v>
      </c>
      <c r="O136" s="18"/>
      <c r="P136" s="18"/>
      <c r="Q136" s="97"/>
      <c r="R136" s="97"/>
      <c r="S136" s="97"/>
      <c r="T136" s="97"/>
      <c r="U136" s="97"/>
      <c r="V136" s="97"/>
      <c r="W136" s="97"/>
      <c r="X136" s="51"/>
      <c r="Y136" s="18" t="e">
        <f>AVERAGEIFS([1]!Table2912[DMD '[mg/g']],[1]!Table2912[Substrate ID],Table29128[[#This Row],[Substrate ID]])</f>
        <v>#REF!</v>
      </c>
      <c r="Z136" s="18" t="e">
        <f>AVERAGEIFS([1]!Table2912[CH4 '[ml/g']],[1]!Table2912[Substrate ID],Table29128[[#This Row],[Substrate ID]])</f>
        <v>#REF!</v>
      </c>
      <c r="AA136" s="18" t="e">
        <f>AVERAGEIFS([1]!Table2912[CH4 '[% GP']],[1]!Table2912[Substrate ID],Table29128[[#This Row],[Substrate ID]])</f>
        <v>#REF!</v>
      </c>
      <c r="AB136" s="18" t="e">
        <f>AVERAGEIFS([1]!Table2912[CH4 '[g/g DDM']],[1]!Table2912[Substrate ID],Table29128[[#This Row],[Substrate ID]])</f>
        <v>#REF!</v>
      </c>
      <c r="AC136" s="18" t="e">
        <f>$CP$17*Table29128[[#This Row],[DMD '[mg/g']]]+$CQ$17*Table29128[[#This Row],[CH4 '[g/g DDM']]]</f>
        <v>#REF!</v>
      </c>
      <c r="AD136" s="18" t="e">
        <f>_xlfn.RANK.AVG(Table29128[[#This Row],[Index]],Table29128[Index])</f>
        <v>#REF!</v>
      </c>
      <c r="AE136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36" s="18" t="e">
        <f>Table29128[[#This Row],[CH4 '[ml/g']]]/Table29128[[#This Row],[APB]]</f>
        <v>#REF!</v>
      </c>
      <c r="AG136" s="18" t="e">
        <f>Table29128[[#This Row],[Propionate '[%']]]/Table29128[[#This Row],[Acetate '[%']]]</f>
        <v>#DIV/0!</v>
      </c>
      <c r="AH136" s="51"/>
      <c r="AI136" s="18"/>
      <c r="AJ136" s="18"/>
      <c r="AK136" s="135" t="e">
        <f t="shared" si="6"/>
        <v>#REF!</v>
      </c>
      <c r="AL136" s="18"/>
      <c r="AM136" s="135" t="e">
        <f t="shared" si="7"/>
        <v>#REF!</v>
      </c>
      <c r="AN136" s="18" t="e">
        <f>(Table29128[[#This Row],[CH4 '[g/g DDM']]]-AN$15)/AN$15%</f>
        <v>#REF!</v>
      </c>
      <c r="AO136" s="18"/>
      <c r="AP136" s="18"/>
      <c r="AR136" t="e">
        <f>_xlfn.NORM.DIST(Table29128[[#This Row],[GP '[ml/g']]],O$6,O$2,FALSE)</f>
        <v>#DIV/0!</v>
      </c>
      <c r="AS136" t="e">
        <f>_xlfn.NORM.DIST(Table29128[[#This Row],[SCFA '[mmol/g']]],P$6,P$2,FALSE)</f>
        <v>#DIV/0!</v>
      </c>
      <c r="AT136" t="e">
        <f>_xlfn.NORM.DIST(Table29128[[#This Row],[Acetate '[%']]],Q$6,Q$2,FALSE)</f>
        <v>#DIV/0!</v>
      </c>
      <c r="AU136" t="e">
        <f>_xlfn.NORM.DIST(Table29128[[#This Row],[Propionate '[%']]],R$6,R$2,FALSE)</f>
        <v>#DIV/0!</v>
      </c>
      <c r="AV136" t="e">
        <f>_xlfn.NORM.DIST(Table29128[[#This Row],[Butyrate '[%']]],S$6,S$2,FALSE)</f>
        <v>#DIV/0!</v>
      </c>
      <c r="AW136" t="e">
        <f>_xlfn.NORM.DIST(Table29128[[#This Row],[Valerate '[%']]],T$6,T$2,FALSE)</f>
        <v>#DIV/0!</v>
      </c>
      <c r="AX136" t="e">
        <f>_xlfn.NORM.DIST(Table29128[[#This Row],[Caproate '[%']]],U$6,U$2,FALSE)</f>
        <v>#DIV/0!</v>
      </c>
      <c r="AY136" t="e">
        <f>_xlfn.NORM.DIST(Table29128[[#This Row],[Isobutyrate '[%']]],V$6,V$2,FALSE)</f>
        <v>#DIV/0!</v>
      </c>
      <c r="AZ136" t="e">
        <f>_xlfn.NORM.DIST(Table29128[[#This Row],[Isovalerate '[%']]],W$6,W$2,FALSE)</f>
        <v>#DIV/0!</v>
      </c>
      <c r="BA136" t="e">
        <f>_xlfn.NORM.DIST(Table29128[[#This Row],[CH4 '[g/mmol SCFA']]],X$6,X$2,FALSE)</f>
        <v>#DIV/0!</v>
      </c>
      <c r="BB136" t="e">
        <f>_xlfn.NORM.DIST(Table29128[[#This Row],[DMD '[mg/g']]],Y$6,Y$2,FALSE)</f>
        <v>#REF!</v>
      </c>
      <c r="BC136" t="e">
        <f>_xlfn.NORM.DIST(Table29128[[#This Row],[CH4 '[ml/g']]],Z$6,Z$2,FALSE)</f>
        <v>#REF!</v>
      </c>
      <c r="BD136" t="e">
        <f>_xlfn.NORM.DIST(Table29128[[#This Row],[CH4 '[% GP']]],AA$6,AA$2,FALSE)</f>
        <v>#REF!</v>
      </c>
      <c r="BE136" t="e">
        <f>_xlfn.NORM.DIST(Table29128[[#This Row],[CH4 '[g/g DDM']]],AB$6,AB$2,FALSE)</f>
        <v>#REF!</v>
      </c>
      <c r="BG136">
        <f>IF(Table29128[[#This Row],[GP '[ml/g']]]&lt;O$10,_xlfn.NORM.DIST(Table29128[[#This Row],[GP '[ml/g']]],O$6,O$2,FALSE),-100)</f>
        <v>-100</v>
      </c>
      <c r="BH136">
        <f>IF(Table29128[[#This Row],[SCFA '[mmol/g']]]&lt;P$10,_xlfn.NORM.DIST(Table29128[[#This Row],[SCFA '[mmol/g']]],P$6,P$2,FALSE),-100)</f>
        <v>-100</v>
      </c>
      <c r="BI136">
        <f>IF(Table29128[[#This Row],[Acetate '[%']]]&lt;Q$10,_xlfn.NORM.DIST(Table29128[[#This Row],[Acetate '[%']]],Q$6,Q$2,FALSE),-100)</f>
        <v>-100</v>
      </c>
      <c r="BJ136">
        <f>IF(Table29128[[#This Row],[Propionate '[%']]]&lt;R$10,_xlfn.NORM.DIST(Table29128[[#This Row],[Propionate '[%']]],R$6,R$2,FALSE),-100)</f>
        <v>-100</v>
      </c>
      <c r="BK136">
        <f>IF(Table29128[[#This Row],[Butyrate '[%']]]&lt;S$10,_xlfn.NORM.DIST(Table29128[[#This Row],[Butyrate '[%']]],S$6,S$2,FALSE),-100)</f>
        <v>-100</v>
      </c>
      <c r="BL136">
        <f>IF(Table29128[[#This Row],[Valerate '[%']]]&lt;T$10,_xlfn.NORM.DIST(Table29128[[#This Row],[Valerate '[%']]],T$6,T$2,FALSE),-100)</f>
        <v>-100</v>
      </c>
      <c r="BM136">
        <f>IF(Table29128[[#This Row],[Caproate '[%']]]&lt;U$10,_xlfn.NORM.DIST(Table29128[[#This Row],[Caproate '[%']]],U$6,U$2,FALSE),-100)</f>
        <v>-100</v>
      </c>
      <c r="BN136">
        <f>IF(Table29128[[#This Row],[Isobutyrate '[%']]]&lt;V$10,_xlfn.NORM.DIST(Table29128[[#This Row],[Isobutyrate '[%']]],V$6,V$2,FALSE),-100)</f>
        <v>-100</v>
      </c>
      <c r="BO136">
        <f>IF(Table29128[[#This Row],[Isovalerate '[%']]]&lt;W$10,_xlfn.NORM.DIST(Table29128[[#This Row],[Isovalerate '[%']]],W$6,W$2,FALSE),-100)</f>
        <v>-100</v>
      </c>
      <c r="BP136">
        <f>IF(Table29128[[#This Row],[CH4 '[g/mmol SCFA']]]&lt;X$10,_xlfn.NORM.DIST(Table29128[[#This Row],[CH4 '[g/mmol SCFA']]],X$6,X$2,FALSE),-100)</f>
        <v>-100</v>
      </c>
      <c r="BQ136" t="e">
        <f>IF(Table29128[[#This Row],[DMD '[mg/g']]]&gt;Y$10,_xlfn.NORM.DIST(Table29128[[#This Row],[DMD '[mg/g']]],Y$6,Y$2,FALSE),-100)</f>
        <v>#REF!</v>
      </c>
      <c r="BR136" t="e">
        <f>IF(Table29128[[#This Row],[CH4 '[ml/g']]]&lt;Z$10,_xlfn.NORM.DIST(Table29128[[#This Row],[CH4 '[ml/g']]],Z$6,Z$2,FALSE),-100)</f>
        <v>#REF!</v>
      </c>
      <c r="BS136" t="e">
        <f>IF(Table29128[[#This Row],[CH4 '[% GP']]]&lt;AA$10,_xlfn.NORM.DIST(Table29128[[#This Row],[CH4 '[% GP']]],AA$6,AA$2,FALSE),-100)</f>
        <v>#REF!</v>
      </c>
      <c r="BT136" t="e">
        <f>IF(Table29128[[#This Row],[CH4 '[g/g DDM']]]&lt;AB$10,_xlfn.NORM.DIST(Table29128[[#This Row],[CH4 '[g/g DDM']]],AB$6,AB$2,FALSE),-100)</f>
        <v>#REF!</v>
      </c>
    </row>
    <row r="137" spans="1:72" x14ac:dyDescent="0.25">
      <c r="A137" s="12" t="s">
        <v>200</v>
      </c>
      <c r="B137" s="13">
        <v>1252</v>
      </c>
      <c r="C137" s="113" t="s">
        <v>553</v>
      </c>
      <c r="D137" s="113" t="s">
        <v>233</v>
      </c>
      <c r="E137" s="113" t="s">
        <v>554</v>
      </c>
      <c r="F137" s="114" t="s">
        <v>555</v>
      </c>
      <c r="G137" t="s">
        <v>73</v>
      </c>
      <c r="H137" t="s">
        <v>74</v>
      </c>
      <c r="I137" t="s">
        <v>75</v>
      </c>
      <c r="J137" s="70">
        <v>1</v>
      </c>
      <c r="K137" s="70"/>
      <c r="L137" s="70"/>
      <c r="M137" t="s">
        <v>556</v>
      </c>
      <c r="N137" t="s">
        <v>363</v>
      </c>
      <c r="O137" s="18"/>
      <c r="P137" s="18"/>
      <c r="Q137" s="97"/>
      <c r="R137" s="97"/>
      <c r="S137" s="97"/>
      <c r="T137" s="97"/>
      <c r="U137" s="97"/>
      <c r="V137" s="97"/>
      <c r="W137" s="97"/>
      <c r="X137" s="51"/>
      <c r="Y137" s="18" t="e">
        <f>AVERAGEIFS([1]!Table2912[DMD '[mg/g']],[1]!Table2912[Substrate ID],Table29128[[#This Row],[Substrate ID]])</f>
        <v>#REF!</v>
      </c>
      <c r="Z137" s="18" t="e">
        <f>AVERAGEIFS([1]!Table2912[CH4 '[ml/g']],[1]!Table2912[Substrate ID],Table29128[[#This Row],[Substrate ID]])</f>
        <v>#REF!</v>
      </c>
      <c r="AA137" s="18" t="e">
        <f>AVERAGEIFS([1]!Table2912[CH4 '[% GP']],[1]!Table2912[Substrate ID],Table29128[[#This Row],[Substrate ID]])</f>
        <v>#REF!</v>
      </c>
      <c r="AB137" s="18" t="e">
        <f>AVERAGEIFS([1]!Table2912[CH4 '[g/g DDM']],[1]!Table2912[Substrate ID],Table29128[[#This Row],[Substrate ID]])</f>
        <v>#REF!</v>
      </c>
      <c r="AC137" s="18" t="e">
        <f>$CP$17*Table29128[[#This Row],[DMD '[mg/g']]]+$CQ$17*Table29128[[#This Row],[CH4 '[g/g DDM']]]</f>
        <v>#REF!</v>
      </c>
      <c r="AD137" s="18" t="e">
        <f>_xlfn.RANK.AVG(Table29128[[#This Row],[Index]],Table29128[Index])</f>
        <v>#REF!</v>
      </c>
      <c r="AE137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37" s="18" t="e">
        <f>Table29128[[#This Row],[CH4 '[ml/g']]]/Table29128[[#This Row],[APB]]</f>
        <v>#REF!</v>
      </c>
      <c r="AG137" s="18" t="e">
        <f>Table29128[[#This Row],[Propionate '[%']]]/Table29128[[#This Row],[Acetate '[%']]]</f>
        <v>#DIV/0!</v>
      </c>
      <c r="AH137" s="51"/>
      <c r="AI137" s="18"/>
      <c r="AJ137" s="18"/>
      <c r="AK137" s="135" t="e">
        <f t="shared" si="6"/>
        <v>#REF!</v>
      </c>
      <c r="AL137" s="18"/>
      <c r="AM137" s="135" t="e">
        <f t="shared" si="7"/>
        <v>#REF!</v>
      </c>
      <c r="AN137" s="18" t="e">
        <f>(Table29128[[#This Row],[CH4 '[g/g DDM']]]-AN$15)/AN$15%</f>
        <v>#REF!</v>
      </c>
      <c r="AO137" s="18"/>
      <c r="AP137" s="18"/>
      <c r="AR137" t="e">
        <f>_xlfn.NORM.DIST(Table29128[[#This Row],[GP '[ml/g']]],O$6,O$2,FALSE)</f>
        <v>#DIV/0!</v>
      </c>
      <c r="AS137" t="e">
        <f>_xlfn.NORM.DIST(Table29128[[#This Row],[SCFA '[mmol/g']]],P$6,P$2,FALSE)</f>
        <v>#DIV/0!</v>
      </c>
      <c r="AT137" t="e">
        <f>_xlfn.NORM.DIST(Table29128[[#This Row],[Acetate '[%']]],Q$6,Q$2,FALSE)</f>
        <v>#DIV/0!</v>
      </c>
      <c r="AU137" t="e">
        <f>_xlfn.NORM.DIST(Table29128[[#This Row],[Propionate '[%']]],R$6,R$2,FALSE)</f>
        <v>#DIV/0!</v>
      </c>
      <c r="AV137" t="e">
        <f>_xlfn.NORM.DIST(Table29128[[#This Row],[Butyrate '[%']]],S$6,S$2,FALSE)</f>
        <v>#DIV/0!</v>
      </c>
      <c r="AW137" t="e">
        <f>_xlfn.NORM.DIST(Table29128[[#This Row],[Valerate '[%']]],T$6,T$2,FALSE)</f>
        <v>#DIV/0!</v>
      </c>
      <c r="AX137" t="e">
        <f>_xlfn.NORM.DIST(Table29128[[#This Row],[Caproate '[%']]],U$6,U$2,FALSE)</f>
        <v>#DIV/0!</v>
      </c>
      <c r="AY137" t="e">
        <f>_xlfn.NORM.DIST(Table29128[[#This Row],[Isobutyrate '[%']]],V$6,V$2,FALSE)</f>
        <v>#DIV/0!</v>
      </c>
      <c r="AZ137" t="e">
        <f>_xlfn.NORM.DIST(Table29128[[#This Row],[Isovalerate '[%']]],W$6,W$2,FALSE)</f>
        <v>#DIV/0!</v>
      </c>
      <c r="BA137" t="e">
        <f>_xlfn.NORM.DIST(Table29128[[#This Row],[CH4 '[g/mmol SCFA']]],X$6,X$2,FALSE)</f>
        <v>#DIV/0!</v>
      </c>
      <c r="BB137" t="e">
        <f>_xlfn.NORM.DIST(Table29128[[#This Row],[DMD '[mg/g']]],Y$6,Y$2,FALSE)</f>
        <v>#REF!</v>
      </c>
      <c r="BC137" t="e">
        <f>_xlfn.NORM.DIST(Table29128[[#This Row],[CH4 '[ml/g']]],Z$6,Z$2,FALSE)</f>
        <v>#REF!</v>
      </c>
      <c r="BD137" t="e">
        <f>_xlfn.NORM.DIST(Table29128[[#This Row],[CH4 '[% GP']]],AA$6,AA$2,FALSE)</f>
        <v>#REF!</v>
      </c>
      <c r="BE137" t="e">
        <f>_xlfn.NORM.DIST(Table29128[[#This Row],[CH4 '[g/g DDM']]],AB$6,AB$2,FALSE)</f>
        <v>#REF!</v>
      </c>
      <c r="BG137">
        <f>IF(Table29128[[#This Row],[GP '[ml/g']]]&lt;O$10,_xlfn.NORM.DIST(Table29128[[#This Row],[GP '[ml/g']]],O$6,O$2,FALSE),-100)</f>
        <v>-100</v>
      </c>
      <c r="BH137">
        <f>IF(Table29128[[#This Row],[SCFA '[mmol/g']]]&lt;P$10,_xlfn.NORM.DIST(Table29128[[#This Row],[SCFA '[mmol/g']]],P$6,P$2,FALSE),-100)</f>
        <v>-100</v>
      </c>
      <c r="BI137">
        <f>IF(Table29128[[#This Row],[Acetate '[%']]]&lt;Q$10,_xlfn.NORM.DIST(Table29128[[#This Row],[Acetate '[%']]],Q$6,Q$2,FALSE),-100)</f>
        <v>-100</v>
      </c>
      <c r="BJ137">
        <f>IF(Table29128[[#This Row],[Propionate '[%']]]&lt;R$10,_xlfn.NORM.DIST(Table29128[[#This Row],[Propionate '[%']]],R$6,R$2,FALSE),-100)</f>
        <v>-100</v>
      </c>
      <c r="BK137">
        <f>IF(Table29128[[#This Row],[Butyrate '[%']]]&lt;S$10,_xlfn.NORM.DIST(Table29128[[#This Row],[Butyrate '[%']]],S$6,S$2,FALSE),-100)</f>
        <v>-100</v>
      </c>
      <c r="BL137">
        <f>IF(Table29128[[#This Row],[Valerate '[%']]]&lt;T$10,_xlfn.NORM.DIST(Table29128[[#This Row],[Valerate '[%']]],T$6,T$2,FALSE),-100)</f>
        <v>-100</v>
      </c>
      <c r="BM137">
        <f>IF(Table29128[[#This Row],[Caproate '[%']]]&lt;U$10,_xlfn.NORM.DIST(Table29128[[#This Row],[Caproate '[%']]],U$6,U$2,FALSE),-100)</f>
        <v>-100</v>
      </c>
      <c r="BN137">
        <f>IF(Table29128[[#This Row],[Isobutyrate '[%']]]&lt;V$10,_xlfn.NORM.DIST(Table29128[[#This Row],[Isobutyrate '[%']]],V$6,V$2,FALSE),-100)</f>
        <v>-100</v>
      </c>
      <c r="BO137">
        <f>IF(Table29128[[#This Row],[Isovalerate '[%']]]&lt;W$10,_xlfn.NORM.DIST(Table29128[[#This Row],[Isovalerate '[%']]],W$6,W$2,FALSE),-100)</f>
        <v>-100</v>
      </c>
      <c r="BP137">
        <f>IF(Table29128[[#This Row],[CH4 '[g/mmol SCFA']]]&lt;X$10,_xlfn.NORM.DIST(Table29128[[#This Row],[CH4 '[g/mmol SCFA']]],X$6,X$2,FALSE),-100)</f>
        <v>-100</v>
      </c>
      <c r="BQ137" t="e">
        <f>IF(Table29128[[#This Row],[DMD '[mg/g']]]&gt;Y$10,_xlfn.NORM.DIST(Table29128[[#This Row],[DMD '[mg/g']]],Y$6,Y$2,FALSE),-100)</f>
        <v>#REF!</v>
      </c>
      <c r="BR137" t="e">
        <f>IF(Table29128[[#This Row],[CH4 '[ml/g']]]&lt;Z$10,_xlfn.NORM.DIST(Table29128[[#This Row],[CH4 '[ml/g']]],Z$6,Z$2,FALSE),-100)</f>
        <v>#REF!</v>
      </c>
      <c r="BS137" t="e">
        <f>IF(Table29128[[#This Row],[CH4 '[% GP']]]&lt;AA$10,_xlfn.NORM.DIST(Table29128[[#This Row],[CH4 '[% GP']]],AA$6,AA$2,FALSE),-100)</f>
        <v>#REF!</v>
      </c>
      <c r="BT137" t="e">
        <f>IF(Table29128[[#This Row],[CH4 '[g/g DDM']]]&lt;AB$10,_xlfn.NORM.DIST(Table29128[[#This Row],[CH4 '[g/g DDM']]],AB$6,AB$2,FALSE),-100)</f>
        <v>#REF!</v>
      </c>
    </row>
    <row r="138" spans="1:72" x14ac:dyDescent="0.25">
      <c r="A138" s="12" t="s">
        <v>70</v>
      </c>
      <c r="B138" s="13">
        <v>990</v>
      </c>
      <c r="C138" s="96" t="s">
        <v>257</v>
      </c>
      <c r="D138" s="96"/>
      <c r="E138" s="96"/>
      <c r="F138" s="96" t="s">
        <v>258</v>
      </c>
      <c r="G138" t="s">
        <v>73</v>
      </c>
      <c r="H138" t="s">
        <v>74</v>
      </c>
      <c r="I138" t="s">
        <v>75</v>
      </c>
      <c r="J138" s="100">
        <v>1</v>
      </c>
      <c r="K138" s="100" t="s">
        <v>627</v>
      </c>
      <c r="L138" s="100"/>
      <c r="M138" t="s">
        <v>258</v>
      </c>
      <c r="N138" t="s">
        <v>80</v>
      </c>
      <c r="O138" s="18"/>
      <c r="P138" s="18"/>
      <c r="Q138" s="97"/>
      <c r="R138" s="97"/>
      <c r="S138" s="97"/>
      <c r="T138" s="97"/>
      <c r="U138" s="97"/>
      <c r="V138" s="97"/>
      <c r="W138" s="97"/>
      <c r="X138" s="51"/>
      <c r="Y138" s="18" t="e">
        <f>AVERAGEIFS([1]!Table2912[DMD '[mg/g']],[1]!Table2912[Substrate ID],Table29128[[#This Row],[Substrate ID]])</f>
        <v>#REF!</v>
      </c>
      <c r="Z138" s="18" t="e">
        <f>AVERAGEIFS([1]!Table2912[CH4 '[ml/g']],[1]!Table2912[Substrate ID],Table29128[[#This Row],[Substrate ID]])</f>
        <v>#REF!</v>
      </c>
      <c r="AA138" s="18" t="e">
        <f>AVERAGEIFS([1]!Table2912[CH4 '[% GP']],[1]!Table2912[Substrate ID],Table29128[[#This Row],[Substrate ID]])</f>
        <v>#REF!</v>
      </c>
      <c r="AB138" s="18" t="e">
        <f>AVERAGEIFS([1]!Table2912[CH4 '[g/g DDM']],[1]!Table2912[Substrate ID],Table29128[[#This Row],[Substrate ID]])</f>
        <v>#REF!</v>
      </c>
      <c r="AC138" s="18" t="e">
        <f>$CP$17*Table29128[[#This Row],[DMD '[mg/g']]]+$CQ$17*Table29128[[#This Row],[CH4 '[g/g DDM']]]</f>
        <v>#REF!</v>
      </c>
      <c r="AD138" s="18" t="e">
        <f>_xlfn.RANK.AVG(Table29128[[#This Row],[Index]],Table29128[Index])</f>
        <v>#REF!</v>
      </c>
      <c r="AE138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38" s="18" t="e">
        <f>Table29128[[#This Row],[CH4 '[ml/g']]]/Table29128[[#This Row],[APB]]</f>
        <v>#REF!</v>
      </c>
      <c r="AG138" s="18" t="e">
        <f>Table29128[[#This Row],[Propionate '[%']]]/Table29128[[#This Row],[Acetate '[%']]]</f>
        <v>#DIV/0!</v>
      </c>
      <c r="AH138" s="51"/>
      <c r="AI138" s="18"/>
      <c r="AJ138" s="18"/>
      <c r="AK138" s="135" t="e">
        <f t="shared" si="6"/>
        <v>#REF!</v>
      </c>
      <c r="AL138" s="18"/>
      <c r="AM138" s="135" t="e">
        <f t="shared" si="7"/>
        <v>#REF!</v>
      </c>
      <c r="AN138" s="18" t="e">
        <f>(Table29128[[#This Row],[CH4 '[g/g DDM']]]-AN$15)/AN$15%</f>
        <v>#REF!</v>
      </c>
      <c r="AO138" s="18"/>
      <c r="AP138" s="18"/>
      <c r="AR138" t="e">
        <f>_xlfn.NORM.DIST(Table29128[[#This Row],[GP '[ml/g']]],O$6,O$2,FALSE)</f>
        <v>#DIV/0!</v>
      </c>
      <c r="AS138" t="e">
        <f>_xlfn.NORM.DIST(Table29128[[#This Row],[SCFA '[mmol/g']]],P$6,P$2,FALSE)</f>
        <v>#DIV/0!</v>
      </c>
      <c r="AT138" t="e">
        <f>_xlfn.NORM.DIST(Table29128[[#This Row],[Acetate '[%']]],Q$6,Q$2,FALSE)</f>
        <v>#DIV/0!</v>
      </c>
      <c r="AU138" t="e">
        <f>_xlfn.NORM.DIST(Table29128[[#This Row],[Propionate '[%']]],R$6,R$2,FALSE)</f>
        <v>#DIV/0!</v>
      </c>
      <c r="AV138" t="e">
        <f>_xlfn.NORM.DIST(Table29128[[#This Row],[Butyrate '[%']]],S$6,S$2,FALSE)</f>
        <v>#DIV/0!</v>
      </c>
      <c r="AW138" t="e">
        <f>_xlfn.NORM.DIST(Table29128[[#This Row],[Valerate '[%']]],T$6,T$2,FALSE)</f>
        <v>#DIV/0!</v>
      </c>
      <c r="AX138" t="e">
        <f>_xlfn.NORM.DIST(Table29128[[#This Row],[Caproate '[%']]],U$6,U$2,FALSE)</f>
        <v>#DIV/0!</v>
      </c>
      <c r="AY138" t="e">
        <f>_xlfn.NORM.DIST(Table29128[[#This Row],[Isobutyrate '[%']]],V$6,V$2,FALSE)</f>
        <v>#DIV/0!</v>
      </c>
      <c r="AZ138" t="e">
        <f>_xlfn.NORM.DIST(Table29128[[#This Row],[Isovalerate '[%']]],W$6,W$2,FALSE)</f>
        <v>#DIV/0!</v>
      </c>
      <c r="BA138" t="e">
        <f>_xlfn.NORM.DIST(Table29128[[#This Row],[CH4 '[g/mmol SCFA']]],X$6,X$2,FALSE)</f>
        <v>#DIV/0!</v>
      </c>
      <c r="BB138" t="e">
        <f>_xlfn.NORM.DIST(Table29128[[#This Row],[DMD '[mg/g']]],Y$6,Y$2,FALSE)</f>
        <v>#REF!</v>
      </c>
      <c r="BC138" t="e">
        <f>_xlfn.NORM.DIST(Table29128[[#This Row],[CH4 '[ml/g']]],Z$6,Z$2,FALSE)</f>
        <v>#REF!</v>
      </c>
      <c r="BD138" t="e">
        <f>_xlfn.NORM.DIST(Table29128[[#This Row],[CH4 '[% GP']]],AA$6,AA$2,FALSE)</f>
        <v>#REF!</v>
      </c>
      <c r="BE138" t="e">
        <f>_xlfn.NORM.DIST(Table29128[[#This Row],[CH4 '[g/g DDM']]],AB$6,AB$2,FALSE)</f>
        <v>#REF!</v>
      </c>
      <c r="BG138">
        <f>IF(Table29128[[#This Row],[GP '[ml/g']]]&lt;O$10,_xlfn.NORM.DIST(Table29128[[#This Row],[GP '[ml/g']]],O$6,O$2,FALSE),-100)</f>
        <v>-100</v>
      </c>
      <c r="BH138">
        <f>IF(Table29128[[#This Row],[SCFA '[mmol/g']]]&lt;P$10,_xlfn.NORM.DIST(Table29128[[#This Row],[SCFA '[mmol/g']]],P$6,P$2,FALSE),-100)</f>
        <v>-100</v>
      </c>
      <c r="BI138">
        <f>IF(Table29128[[#This Row],[Acetate '[%']]]&lt;Q$10,_xlfn.NORM.DIST(Table29128[[#This Row],[Acetate '[%']]],Q$6,Q$2,FALSE),-100)</f>
        <v>-100</v>
      </c>
      <c r="BJ138">
        <f>IF(Table29128[[#This Row],[Propionate '[%']]]&lt;R$10,_xlfn.NORM.DIST(Table29128[[#This Row],[Propionate '[%']]],R$6,R$2,FALSE),-100)</f>
        <v>-100</v>
      </c>
      <c r="BK138">
        <f>IF(Table29128[[#This Row],[Butyrate '[%']]]&lt;S$10,_xlfn.NORM.DIST(Table29128[[#This Row],[Butyrate '[%']]],S$6,S$2,FALSE),-100)</f>
        <v>-100</v>
      </c>
      <c r="BL138">
        <f>IF(Table29128[[#This Row],[Valerate '[%']]]&lt;T$10,_xlfn.NORM.DIST(Table29128[[#This Row],[Valerate '[%']]],T$6,T$2,FALSE),-100)</f>
        <v>-100</v>
      </c>
      <c r="BM138">
        <f>IF(Table29128[[#This Row],[Caproate '[%']]]&lt;U$10,_xlfn.NORM.DIST(Table29128[[#This Row],[Caproate '[%']]],U$6,U$2,FALSE),-100)</f>
        <v>-100</v>
      </c>
      <c r="BN138">
        <f>IF(Table29128[[#This Row],[Isobutyrate '[%']]]&lt;V$10,_xlfn.NORM.DIST(Table29128[[#This Row],[Isobutyrate '[%']]],V$6,V$2,FALSE),-100)</f>
        <v>-100</v>
      </c>
      <c r="BO138">
        <f>IF(Table29128[[#This Row],[Isovalerate '[%']]]&lt;W$10,_xlfn.NORM.DIST(Table29128[[#This Row],[Isovalerate '[%']]],W$6,W$2,FALSE),-100)</f>
        <v>-100</v>
      </c>
      <c r="BP138">
        <f>IF(Table29128[[#This Row],[CH4 '[g/mmol SCFA']]]&lt;X$10,_xlfn.NORM.DIST(Table29128[[#This Row],[CH4 '[g/mmol SCFA']]],X$6,X$2,FALSE),-100)</f>
        <v>-100</v>
      </c>
      <c r="BQ138" t="e">
        <f>IF(Table29128[[#This Row],[DMD '[mg/g']]]&gt;Y$10,_xlfn.NORM.DIST(Table29128[[#This Row],[DMD '[mg/g']]],Y$6,Y$2,FALSE),-100)</f>
        <v>#REF!</v>
      </c>
      <c r="BR138" t="e">
        <f>IF(Table29128[[#This Row],[CH4 '[ml/g']]]&lt;Z$10,_xlfn.NORM.DIST(Table29128[[#This Row],[CH4 '[ml/g']]],Z$6,Z$2,FALSE),-100)</f>
        <v>#REF!</v>
      </c>
      <c r="BS138" t="e">
        <f>IF(Table29128[[#This Row],[CH4 '[% GP']]]&lt;AA$10,_xlfn.NORM.DIST(Table29128[[#This Row],[CH4 '[% GP']]],AA$6,AA$2,FALSE),-100)</f>
        <v>#REF!</v>
      </c>
      <c r="BT138" t="e">
        <f>IF(Table29128[[#This Row],[CH4 '[g/g DDM']]]&lt;AB$10,_xlfn.NORM.DIST(Table29128[[#This Row],[CH4 '[g/g DDM']]],AB$6,AB$2,FALSE),-100)</f>
        <v>#REF!</v>
      </c>
    </row>
    <row r="139" spans="1:72" x14ac:dyDescent="0.25">
      <c r="A139" s="12" t="s">
        <v>200</v>
      </c>
      <c r="B139" s="13">
        <v>1137</v>
      </c>
      <c r="C139" s="117" t="s">
        <v>395</v>
      </c>
      <c r="D139" s="117" t="s">
        <v>233</v>
      </c>
      <c r="E139" s="117" t="s">
        <v>396</v>
      </c>
      <c r="F139" s="117" t="s">
        <v>397</v>
      </c>
      <c r="G139" t="s">
        <v>73</v>
      </c>
      <c r="H139" t="s">
        <v>74</v>
      </c>
      <c r="I139" t="s">
        <v>75</v>
      </c>
      <c r="J139" s="100">
        <v>1</v>
      </c>
      <c r="K139" s="100"/>
      <c r="L139" s="100"/>
      <c r="M139" t="s">
        <v>398</v>
      </c>
      <c r="N139" t="s">
        <v>237</v>
      </c>
      <c r="O139" s="18"/>
      <c r="P139" s="18"/>
      <c r="Q139" s="97"/>
      <c r="R139" s="97"/>
      <c r="S139" s="97"/>
      <c r="T139" s="97"/>
      <c r="U139" s="97"/>
      <c r="V139" s="97"/>
      <c r="W139" s="97"/>
      <c r="X139" s="51"/>
      <c r="Y139" s="18" t="e">
        <f>AVERAGEIFS([1]!Table2912[DMD '[mg/g']],[1]!Table2912[Substrate ID],Table29128[[#This Row],[Substrate ID]])</f>
        <v>#REF!</v>
      </c>
      <c r="Z139" s="18" t="e">
        <f>AVERAGEIFS([1]!Table2912[CH4 '[ml/g']],[1]!Table2912[Substrate ID],Table29128[[#This Row],[Substrate ID]])</f>
        <v>#REF!</v>
      </c>
      <c r="AA139" s="18" t="e">
        <f>AVERAGEIFS([1]!Table2912[CH4 '[% GP']],[1]!Table2912[Substrate ID],Table29128[[#This Row],[Substrate ID]])</f>
        <v>#REF!</v>
      </c>
      <c r="AB139" s="18" t="e">
        <f>AVERAGEIFS([1]!Table2912[CH4 '[g/g DDM']],[1]!Table2912[Substrate ID],Table29128[[#This Row],[Substrate ID]])</f>
        <v>#REF!</v>
      </c>
      <c r="AC139" s="18" t="e">
        <f>$CP$17*Table29128[[#This Row],[DMD '[mg/g']]]+$CQ$17*Table29128[[#This Row],[CH4 '[g/g DDM']]]</f>
        <v>#REF!</v>
      </c>
      <c r="AD139" s="18" t="e">
        <f>_xlfn.RANK.AVG(Table29128[[#This Row],[Index]],Table29128[Index])</f>
        <v>#REF!</v>
      </c>
      <c r="AE139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39" s="18" t="e">
        <f>Table29128[[#This Row],[CH4 '[ml/g']]]/Table29128[[#This Row],[APB]]</f>
        <v>#REF!</v>
      </c>
      <c r="AG139" s="18" t="e">
        <f>Table29128[[#This Row],[Propionate '[%']]]/Table29128[[#This Row],[Acetate '[%']]]</f>
        <v>#DIV/0!</v>
      </c>
      <c r="AH139" s="51"/>
      <c r="AI139" s="18"/>
      <c r="AJ139" s="18"/>
      <c r="AK139" s="135" t="e">
        <f t="shared" si="6"/>
        <v>#REF!</v>
      </c>
      <c r="AL139" s="18"/>
      <c r="AM139" s="135" t="e">
        <f t="shared" si="7"/>
        <v>#REF!</v>
      </c>
      <c r="AN139" s="18" t="e">
        <f>(Table29128[[#This Row],[CH4 '[g/g DDM']]]-AN$15)/AN$15%</f>
        <v>#REF!</v>
      </c>
      <c r="AO139" s="18"/>
      <c r="AP139" s="18"/>
      <c r="AR139" t="e">
        <f>_xlfn.NORM.DIST(Table29128[[#This Row],[GP '[ml/g']]],O$6,O$2,FALSE)</f>
        <v>#DIV/0!</v>
      </c>
      <c r="AS139" t="e">
        <f>_xlfn.NORM.DIST(Table29128[[#This Row],[SCFA '[mmol/g']]],P$6,P$2,FALSE)</f>
        <v>#DIV/0!</v>
      </c>
      <c r="AT139" t="e">
        <f>_xlfn.NORM.DIST(Table29128[[#This Row],[Acetate '[%']]],Q$6,Q$2,FALSE)</f>
        <v>#DIV/0!</v>
      </c>
      <c r="AU139" t="e">
        <f>_xlfn.NORM.DIST(Table29128[[#This Row],[Propionate '[%']]],R$6,R$2,FALSE)</f>
        <v>#DIV/0!</v>
      </c>
      <c r="AV139" t="e">
        <f>_xlfn.NORM.DIST(Table29128[[#This Row],[Butyrate '[%']]],S$6,S$2,FALSE)</f>
        <v>#DIV/0!</v>
      </c>
      <c r="AW139" t="e">
        <f>_xlfn.NORM.DIST(Table29128[[#This Row],[Valerate '[%']]],T$6,T$2,FALSE)</f>
        <v>#DIV/0!</v>
      </c>
      <c r="AX139" t="e">
        <f>_xlfn.NORM.DIST(Table29128[[#This Row],[Caproate '[%']]],U$6,U$2,FALSE)</f>
        <v>#DIV/0!</v>
      </c>
      <c r="AY139" t="e">
        <f>_xlfn.NORM.DIST(Table29128[[#This Row],[Isobutyrate '[%']]],V$6,V$2,FALSE)</f>
        <v>#DIV/0!</v>
      </c>
      <c r="AZ139" t="e">
        <f>_xlfn.NORM.DIST(Table29128[[#This Row],[Isovalerate '[%']]],W$6,W$2,FALSE)</f>
        <v>#DIV/0!</v>
      </c>
      <c r="BA139" t="e">
        <f>_xlfn.NORM.DIST(Table29128[[#This Row],[CH4 '[g/mmol SCFA']]],X$6,X$2,FALSE)</f>
        <v>#DIV/0!</v>
      </c>
      <c r="BB139" t="e">
        <f>_xlfn.NORM.DIST(Table29128[[#This Row],[DMD '[mg/g']]],Y$6,Y$2,FALSE)</f>
        <v>#REF!</v>
      </c>
      <c r="BC139" t="e">
        <f>_xlfn.NORM.DIST(Table29128[[#This Row],[CH4 '[ml/g']]],Z$6,Z$2,FALSE)</f>
        <v>#REF!</v>
      </c>
      <c r="BD139" t="e">
        <f>_xlfn.NORM.DIST(Table29128[[#This Row],[CH4 '[% GP']]],AA$6,AA$2,FALSE)</f>
        <v>#REF!</v>
      </c>
      <c r="BE139" t="e">
        <f>_xlfn.NORM.DIST(Table29128[[#This Row],[CH4 '[g/g DDM']]],AB$6,AB$2,FALSE)</f>
        <v>#REF!</v>
      </c>
      <c r="BG139">
        <f>IF(Table29128[[#This Row],[GP '[ml/g']]]&lt;O$10,_xlfn.NORM.DIST(Table29128[[#This Row],[GP '[ml/g']]],O$6,O$2,FALSE),-100)</f>
        <v>-100</v>
      </c>
      <c r="BH139">
        <f>IF(Table29128[[#This Row],[SCFA '[mmol/g']]]&lt;P$10,_xlfn.NORM.DIST(Table29128[[#This Row],[SCFA '[mmol/g']]],P$6,P$2,FALSE),-100)</f>
        <v>-100</v>
      </c>
      <c r="BI139">
        <f>IF(Table29128[[#This Row],[Acetate '[%']]]&lt;Q$10,_xlfn.NORM.DIST(Table29128[[#This Row],[Acetate '[%']]],Q$6,Q$2,FALSE),-100)</f>
        <v>-100</v>
      </c>
      <c r="BJ139">
        <f>IF(Table29128[[#This Row],[Propionate '[%']]]&lt;R$10,_xlfn.NORM.DIST(Table29128[[#This Row],[Propionate '[%']]],R$6,R$2,FALSE),-100)</f>
        <v>-100</v>
      </c>
      <c r="BK139">
        <f>IF(Table29128[[#This Row],[Butyrate '[%']]]&lt;S$10,_xlfn.NORM.DIST(Table29128[[#This Row],[Butyrate '[%']]],S$6,S$2,FALSE),-100)</f>
        <v>-100</v>
      </c>
      <c r="BL139">
        <f>IF(Table29128[[#This Row],[Valerate '[%']]]&lt;T$10,_xlfn.NORM.DIST(Table29128[[#This Row],[Valerate '[%']]],T$6,T$2,FALSE),-100)</f>
        <v>-100</v>
      </c>
      <c r="BM139">
        <f>IF(Table29128[[#This Row],[Caproate '[%']]]&lt;U$10,_xlfn.NORM.DIST(Table29128[[#This Row],[Caproate '[%']]],U$6,U$2,FALSE),-100)</f>
        <v>-100</v>
      </c>
      <c r="BN139">
        <f>IF(Table29128[[#This Row],[Isobutyrate '[%']]]&lt;V$10,_xlfn.NORM.DIST(Table29128[[#This Row],[Isobutyrate '[%']]],V$6,V$2,FALSE),-100)</f>
        <v>-100</v>
      </c>
      <c r="BO139">
        <f>IF(Table29128[[#This Row],[Isovalerate '[%']]]&lt;W$10,_xlfn.NORM.DIST(Table29128[[#This Row],[Isovalerate '[%']]],W$6,W$2,FALSE),-100)</f>
        <v>-100</v>
      </c>
      <c r="BP139">
        <f>IF(Table29128[[#This Row],[CH4 '[g/mmol SCFA']]]&lt;X$10,_xlfn.NORM.DIST(Table29128[[#This Row],[CH4 '[g/mmol SCFA']]],X$6,X$2,FALSE),-100)</f>
        <v>-100</v>
      </c>
      <c r="BQ139" t="e">
        <f>IF(Table29128[[#This Row],[DMD '[mg/g']]]&gt;Y$10,_xlfn.NORM.DIST(Table29128[[#This Row],[DMD '[mg/g']]],Y$6,Y$2,FALSE),-100)</f>
        <v>#REF!</v>
      </c>
      <c r="BR139" t="e">
        <f>IF(Table29128[[#This Row],[CH4 '[ml/g']]]&lt;Z$10,_xlfn.NORM.DIST(Table29128[[#This Row],[CH4 '[ml/g']]],Z$6,Z$2,FALSE),-100)</f>
        <v>#REF!</v>
      </c>
      <c r="BS139" t="e">
        <f>IF(Table29128[[#This Row],[CH4 '[% GP']]]&lt;AA$10,_xlfn.NORM.DIST(Table29128[[#This Row],[CH4 '[% GP']]],AA$6,AA$2,FALSE),-100)</f>
        <v>#REF!</v>
      </c>
      <c r="BT139" t="e">
        <f>IF(Table29128[[#This Row],[CH4 '[g/g DDM']]]&lt;AB$10,_xlfn.NORM.DIST(Table29128[[#This Row],[CH4 '[g/g DDM']]],AB$6,AB$2,FALSE),-100)</f>
        <v>#REF!</v>
      </c>
    </row>
    <row r="140" spans="1:72" x14ac:dyDescent="0.25">
      <c r="A140" s="12" t="s">
        <v>200</v>
      </c>
      <c r="B140" s="13">
        <v>1138</v>
      </c>
      <c r="C140" s="117" t="s">
        <v>243</v>
      </c>
      <c r="D140" s="117" t="s">
        <v>233</v>
      </c>
      <c r="E140" s="117" t="s">
        <v>234</v>
      </c>
      <c r="F140" s="117" t="s">
        <v>235</v>
      </c>
      <c r="G140" t="s">
        <v>73</v>
      </c>
      <c r="H140" t="s">
        <v>74</v>
      </c>
      <c r="I140" t="s">
        <v>75</v>
      </c>
      <c r="J140" s="70">
        <v>1</v>
      </c>
      <c r="K140" s="70"/>
      <c r="L140" s="70"/>
      <c r="M140" t="s">
        <v>244</v>
      </c>
      <c r="N140" t="s">
        <v>171</v>
      </c>
      <c r="O140" s="18"/>
      <c r="P140" s="18"/>
      <c r="Q140" s="97"/>
      <c r="R140" s="97"/>
      <c r="S140" s="97"/>
      <c r="T140" s="97"/>
      <c r="U140" s="97"/>
      <c r="V140" s="97"/>
      <c r="W140" s="97"/>
      <c r="X140" s="51"/>
      <c r="Y140" s="18" t="e">
        <f>AVERAGEIFS([1]!Table2912[DMD '[mg/g']],[1]!Table2912[Substrate ID],Table29128[[#This Row],[Substrate ID]])</f>
        <v>#REF!</v>
      </c>
      <c r="Z140" s="18" t="e">
        <f>AVERAGEIFS([1]!Table2912[CH4 '[ml/g']],[1]!Table2912[Substrate ID],Table29128[[#This Row],[Substrate ID]])</f>
        <v>#REF!</v>
      </c>
      <c r="AA140" s="18" t="e">
        <f>AVERAGEIFS([1]!Table2912[CH4 '[% GP']],[1]!Table2912[Substrate ID],Table29128[[#This Row],[Substrate ID]])</f>
        <v>#REF!</v>
      </c>
      <c r="AB140" s="18" t="e">
        <f>AVERAGEIFS([1]!Table2912[CH4 '[g/g DDM']],[1]!Table2912[Substrate ID],Table29128[[#This Row],[Substrate ID]])</f>
        <v>#REF!</v>
      </c>
      <c r="AC140" s="18" t="e">
        <f>$CP$17*Table29128[[#This Row],[DMD '[mg/g']]]+$CQ$17*Table29128[[#This Row],[CH4 '[g/g DDM']]]</f>
        <v>#REF!</v>
      </c>
      <c r="AD140" s="18" t="e">
        <f>_xlfn.RANK.AVG(Table29128[[#This Row],[Index]],Table29128[Index])</f>
        <v>#REF!</v>
      </c>
      <c r="AE140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40" s="18" t="e">
        <f>Table29128[[#This Row],[CH4 '[ml/g']]]/Table29128[[#This Row],[APB]]</f>
        <v>#REF!</v>
      </c>
      <c r="AG140" s="18" t="e">
        <f>Table29128[[#This Row],[Propionate '[%']]]/Table29128[[#This Row],[Acetate '[%']]]</f>
        <v>#DIV/0!</v>
      </c>
      <c r="AH140" s="51"/>
      <c r="AI140" s="18"/>
      <c r="AJ140" s="18"/>
      <c r="AK140" s="135" t="e">
        <f t="shared" si="6"/>
        <v>#REF!</v>
      </c>
      <c r="AL140" s="18"/>
      <c r="AM140" s="135" t="e">
        <f t="shared" si="7"/>
        <v>#REF!</v>
      </c>
      <c r="AN140" s="18" t="e">
        <f>(Table29128[[#This Row],[CH4 '[g/g DDM']]]-AN$15)/AN$15%</f>
        <v>#REF!</v>
      </c>
      <c r="AO140" s="18"/>
      <c r="AP140" s="18"/>
      <c r="AR140" t="e">
        <f>_xlfn.NORM.DIST(Table29128[[#This Row],[GP '[ml/g']]],O$6,O$2,FALSE)</f>
        <v>#DIV/0!</v>
      </c>
      <c r="AS140" t="e">
        <f>_xlfn.NORM.DIST(Table29128[[#This Row],[SCFA '[mmol/g']]],P$6,P$2,FALSE)</f>
        <v>#DIV/0!</v>
      </c>
      <c r="AT140" t="e">
        <f>_xlfn.NORM.DIST(Table29128[[#This Row],[Acetate '[%']]],Q$6,Q$2,FALSE)</f>
        <v>#DIV/0!</v>
      </c>
      <c r="AU140" t="e">
        <f>_xlfn.NORM.DIST(Table29128[[#This Row],[Propionate '[%']]],R$6,R$2,FALSE)</f>
        <v>#DIV/0!</v>
      </c>
      <c r="AV140" t="e">
        <f>_xlfn.NORM.DIST(Table29128[[#This Row],[Butyrate '[%']]],S$6,S$2,FALSE)</f>
        <v>#DIV/0!</v>
      </c>
      <c r="AW140" t="e">
        <f>_xlfn.NORM.DIST(Table29128[[#This Row],[Valerate '[%']]],T$6,T$2,FALSE)</f>
        <v>#DIV/0!</v>
      </c>
      <c r="AX140" t="e">
        <f>_xlfn.NORM.DIST(Table29128[[#This Row],[Caproate '[%']]],U$6,U$2,FALSE)</f>
        <v>#DIV/0!</v>
      </c>
      <c r="AY140" t="e">
        <f>_xlfn.NORM.DIST(Table29128[[#This Row],[Isobutyrate '[%']]],V$6,V$2,FALSE)</f>
        <v>#DIV/0!</v>
      </c>
      <c r="AZ140" t="e">
        <f>_xlfn.NORM.DIST(Table29128[[#This Row],[Isovalerate '[%']]],W$6,W$2,FALSE)</f>
        <v>#DIV/0!</v>
      </c>
      <c r="BA140" t="e">
        <f>_xlfn.NORM.DIST(Table29128[[#This Row],[CH4 '[g/mmol SCFA']]],X$6,X$2,FALSE)</f>
        <v>#DIV/0!</v>
      </c>
      <c r="BB140" t="e">
        <f>_xlfn.NORM.DIST(Table29128[[#This Row],[DMD '[mg/g']]],Y$6,Y$2,FALSE)</f>
        <v>#REF!</v>
      </c>
      <c r="BC140" t="e">
        <f>_xlfn.NORM.DIST(Table29128[[#This Row],[CH4 '[ml/g']]],Z$6,Z$2,FALSE)</f>
        <v>#REF!</v>
      </c>
      <c r="BD140" t="e">
        <f>_xlfn.NORM.DIST(Table29128[[#This Row],[CH4 '[% GP']]],AA$6,AA$2,FALSE)</f>
        <v>#REF!</v>
      </c>
      <c r="BE140" t="e">
        <f>_xlfn.NORM.DIST(Table29128[[#This Row],[CH4 '[g/g DDM']]],AB$6,AB$2,FALSE)</f>
        <v>#REF!</v>
      </c>
      <c r="BG140">
        <f>IF(Table29128[[#This Row],[GP '[ml/g']]]&lt;O$10,_xlfn.NORM.DIST(Table29128[[#This Row],[GP '[ml/g']]],O$6,O$2,FALSE),-100)</f>
        <v>-100</v>
      </c>
      <c r="BH140">
        <f>IF(Table29128[[#This Row],[SCFA '[mmol/g']]]&lt;P$10,_xlfn.NORM.DIST(Table29128[[#This Row],[SCFA '[mmol/g']]],P$6,P$2,FALSE),-100)</f>
        <v>-100</v>
      </c>
      <c r="BI140">
        <f>IF(Table29128[[#This Row],[Acetate '[%']]]&lt;Q$10,_xlfn.NORM.DIST(Table29128[[#This Row],[Acetate '[%']]],Q$6,Q$2,FALSE),-100)</f>
        <v>-100</v>
      </c>
      <c r="BJ140">
        <f>IF(Table29128[[#This Row],[Propionate '[%']]]&lt;R$10,_xlfn.NORM.DIST(Table29128[[#This Row],[Propionate '[%']]],R$6,R$2,FALSE),-100)</f>
        <v>-100</v>
      </c>
      <c r="BK140">
        <f>IF(Table29128[[#This Row],[Butyrate '[%']]]&lt;S$10,_xlfn.NORM.DIST(Table29128[[#This Row],[Butyrate '[%']]],S$6,S$2,FALSE),-100)</f>
        <v>-100</v>
      </c>
      <c r="BL140">
        <f>IF(Table29128[[#This Row],[Valerate '[%']]]&lt;T$10,_xlfn.NORM.DIST(Table29128[[#This Row],[Valerate '[%']]],T$6,T$2,FALSE),-100)</f>
        <v>-100</v>
      </c>
      <c r="BM140">
        <f>IF(Table29128[[#This Row],[Caproate '[%']]]&lt;U$10,_xlfn.NORM.DIST(Table29128[[#This Row],[Caproate '[%']]],U$6,U$2,FALSE),-100)</f>
        <v>-100</v>
      </c>
      <c r="BN140">
        <f>IF(Table29128[[#This Row],[Isobutyrate '[%']]]&lt;V$10,_xlfn.NORM.DIST(Table29128[[#This Row],[Isobutyrate '[%']]],V$6,V$2,FALSE),-100)</f>
        <v>-100</v>
      </c>
      <c r="BO140">
        <f>IF(Table29128[[#This Row],[Isovalerate '[%']]]&lt;W$10,_xlfn.NORM.DIST(Table29128[[#This Row],[Isovalerate '[%']]],W$6,W$2,FALSE),-100)</f>
        <v>-100</v>
      </c>
      <c r="BP140">
        <f>IF(Table29128[[#This Row],[CH4 '[g/mmol SCFA']]]&lt;X$10,_xlfn.NORM.DIST(Table29128[[#This Row],[CH4 '[g/mmol SCFA']]],X$6,X$2,FALSE),-100)</f>
        <v>-100</v>
      </c>
      <c r="BQ140" t="e">
        <f>IF(Table29128[[#This Row],[DMD '[mg/g']]]&gt;Y$10,_xlfn.NORM.DIST(Table29128[[#This Row],[DMD '[mg/g']]],Y$6,Y$2,FALSE),-100)</f>
        <v>#REF!</v>
      </c>
      <c r="BR140" t="e">
        <f>IF(Table29128[[#This Row],[CH4 '[ml/g']]]&lt;Z$10,_xlfn.NORM.DIST(Table29128[[#This Row],[CH4 '[ml/g']]],Z$6,Z$2,FALSE),-100)</f>
        <v>#REF!</v>
      </c>
      <c r="BS140" t="e">
        <f>IF(Table29128[[#This Row],[CH4 '[% GP']]]&lt;AA$10,_xlfn.NORM.DIST(Table29128[[#This Row],[CH4 '[% GP']]],AA$6,AA$2,FALSE),-100)</f>
        <v>#REF!</v>
      </c>
      <c r="BT140" t="e">
        <f>IF(Table29128[[#This Row],[CH4 '[g/g DDM']]]&lt;AB$10,_xlfn.NORM.DIST(Table29128[[#This Row],[CH4 '[g/g DDM']]],AB$6,AB$2,FALSE),-100)</f>
        <v>#REF!</v>
      </c>
    </row>
    <row r="141" spans="1:72" x14ac:dyDescent="0.25">
      <c r="A141" s="12" t="s">
        <v>200</v>
      </c>
      <c r="B141" s="13">
        <v>1139</v>
      </c>
      <c r="C141" s="117" t="s">
        <v>268</v>
      </c>
      <c r="D141" s="117" t="s">
        <v>233</v>
      </c>
      <c r="E141" s="117" t="s">
        <v>234</v>
      </c>
      <c r="F141" s="117" t="s">
        <v>235</v>
      </c>
      <c r="G141" t="s">
        <v>73</v>
      </c>
      <c r="H141" t="s">
        <v>74</v>
      </c>
      <c r="I141" t="s">
        <v>75</v>
      </c>
      <c r="J141" s="70">
        <v>1</v>
      </c>
      <c r="K141" s="70"/>
      <c r="L141" s="70"/>
      <c r="M141" t="s">
        <v>269</v>
      </c>
      <c r="N141" t="s">
        <v>171</v>
      </c>
      <c r="O141" s="18"/>
      <c r="P141" s="18"/>
      <c r="Q141" s="97"/>
      <c r="R141" s="97"/>
      <c r="S141" s="97"/>
      <c r="T141" s="97"/>
      <c r="U141" s="97"/>
      <c r="V141" s="97"/>
      <c r="W141" s="97"/>
      <c r="X141" s="51"/>
      <c r="Y141" s="18" t="e">
        <f>AVERAGEIFS([1]!Table2912[DMD '[mg/g']],[1]!Table2912[Substrate ID],Table29128[[#This Row],[Substrate ID]])</f>
        <v>#REF!</v>
      </c>
      <c r="Z141" s="18" t="e">
        <f>AVERAGEIFS([1]!Table2912[CH4 '[ml/g']],[1]!Table2912[Substrate ID],Table29128[[#This Row],[Substrate ID]])</f>
        <v>#REF!</v>
      </c>
      <c r="AA141" s="18" t="e">
        <f>AVERAGEIFS([1]!Table2912[CH4 '[% GP']],[1]!Table2912[Substrate ID],Table29128[[#This Row],[Substrate ID]])</f>
        <v>#REF!</v>
      </c>
      <c r="AB141" s="18" t="e">
        <f>AVERAGEIFS([1]!Table2912[CH4 '[g/g DDM']],[1]!Table2912[Substrate ID],Table29128[[#This Row],[Substrate ID]])</f>
        <v>#REF!</v>
      </c>
      <c r="AC141" s="18" t="e">
        <f>$CP$17*Table29128[[#This Row],[DMD '[mg/g']]]+$CQ$17*Table29128[[#This Row],[CH4 '[g/g DDM']]]</f>
        <v>#REF!</v>
      </c>
      <c r="AD141" s="18" t="e">
        <f>_xlfn.RANK.AVG(Table29128[[#This Row],[Index]],Table29128[Index])</f>
        <v>#REF!</v>
      </c>
      <c r="AE141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41" s="18" t="e">
        <f>Table29128[[#This Row],[CH4 '[ml/g']]]/Table29128[[#This Row],[APB]]</f>
        <v>#REF!</v>
      </c>
      <c r="AG141" s="18" t="e">
        <f>Table29128[[#This Row],[Propionate '[%']]]/Table29128[[#This Row],[Acetate '[%']]]</f>
        <v>#DIV/0!</v>
      </c>
      <c r="AH141" s="51"/>
      <c r="AI141" s="18"/>
      <c r="AJ141" s="18"/>
      <c r="AK141" s="135" t="e">
        <f t="shared" si="6"/>
        <v>#REF!</v>
      </c>
      <c r="AL141" s="18"/>
      <c r="AM141" s="135" t="e">
        <f t="shared" si="7"/>
        <v>#REF!</v>
      </c>
      <c r="AN141" s="18" t="e">
        <f>(Table29128[[#This Row],[CH4 '[g/g DDM']]]-AN$15)/AN$15%</f>
        <v>#REF!</v>
      </c>
      <c r="AO141" s="18"/>
      <c r="AP141" s="18"/>
      <c r="AR141" t="e">
        <f>_xlfn.NORM.DIST(Table29128[[#This Row],[GP '[ml/g']]],O$6,O$2,FALSE)</f>
        <v>#DIV/0!</v>
      </c>
      <c r="AS141" t="e">
        <f>_xlfn.NORM.DIST(Table29128[[#This Row],[SCFA '[mmol/g']]],P$6,P$2,FALSE)</f>
        <v>#DIV/0!</v>
      </c>
      <c r="AT141" t="e">
        <f>_xlfn.NORM.DIST(Table29128[[#This Row],[Acetate '[%']]],Q$6,Q$2,FALSE)</f>
        <v>#DIV/0!</v>
      </c>
      <c r="AU141" t="e">
        <f>_xlfn.NORM.DIST(Table29128[[#This Row],[Propionate '[%']]],R$6,R$2,FALSE)</f>
        <v>#DIV/0!</v>
      </c>
      <c r="AV141" t="e">
        <f>_xlfn.NORM.DIST(Table29128[[#This Row],[Butyrate '[%']]],S$6,S$2,FALSE)</f>
        <v>#DIV/0!</v>
      </c>
      <c r="AW141" t="e">
        <f>_xlfn.NORM.DIST(Table29128[[#This Row],[Valerate '[%']]],T$6,T$2,FALSE)</f>
        <v>#DIV/0!</v>
      </c>
      <c r="AX141" t="e">
        <f>_xlfn.NORM.DIST(Table29128[[#This Row],[Caproate '[%']]],U$6,U$2,FALSE)</f>
        <v>#DIV/0!</v>
      </c>
      <c r="AY141" t="e">
        <f>_xlfn.NORM.DIST(Table29128[[#This Row],[Isobutyrate '[%']]],V$6,V$2,FALSE)</f>
        <v>#DIV/0!</v>
      </c>
      <c r="AZ141" t="e">
        <f>_xlfn.NORM.DIST(Table29128[[#This Row],[Isovalerate '[%']]],W$6,W$2,FALSE)</f>
        <v>#DIV/0!</v>
      </c>
      <c r="BA141" t="e">
        <f>_xlfn.NORM.DIST(Table29128[[#This Row],[CH4 '[g/mmol SCFA']]],X$6,X$2,FALSE)</f>
        <v>#DIV/0!</v>
      </c>
      <c r="BB141" t="e">
        <f>_xlfn.NORM.DIST(Table29128[[#This Row],[DMD '[mg/g']]],Y$6,Y$2,FALSE)</f>
        <v>#REF!</v>
      </c>
      <c r="BC141" t="e">
        <f>_xlfn.NORM.DIST(Table29128[[#This Row],[CH4 '[ml/g']]],Z$6,Z$2,FALSE)</f>
        <v>#REF!</v>
      </c>
      <c r="BD141" t="e">
        <f>_xlfn.NORM.DIST(Table29128[[#This Row],[CH4 '[% GP']]],AA$6,AA$2,FALSE)</f>
        <v>#REF!</v>
      </c>
      <c r="BE141" t="e">
        <f>_xlfn.NORM.DIST(Table29128[[#This Row],[CH4 '[g/g DDM']]],AB$6,AB$2,FALSE)</f>
        <v>#REF!</v>
      </c>
      <c r="BG141">
        <f>IF(Table29128[[#This Row],[GP '[ml/g']]]&lt;O$10,_xlfn.NORM.DIST(Table29128[[#This Row],[GP '[ml/g']]],O$6,O$2,FALSE),-100)</f>
        <v>-100</v>
      </c>
      <c r="BH141">
        <f>IF(Table29128[[#This Row],[SCFA '[mmol/g']]]&lt;P$10,_xlfn.NORM.DIST(Table29128[[#This Row],[SCFA '[mmol/g']]],P$6,P$2,FALSE),-100)</f>
        <v>-100</v>
      </c>
      <c r="BI141">
        <f>IF(Table29128[[#This Row],[Acetate '[%']]]&lt;Q$10,_xlfn.NORM.DIST(Table29128[[#This Row],[Acetate '[%']]],Q$6,Q$2,FALSE),-100)</f>
        <v>-100</v>
      </c>
      <c r="BJ141">
        <f>IF(Table29128[[#This Row],[Propionate '[%']]]&lt;R$10,_xlfn.NORM.DIST(Table29128[[#This Row],[Propionate '[%']]],R$6,R$2,FALSE),-100)</f>
        <v>-100</v>
      </c>
      <c r="BK141">
        <f>IF(Table29128[[#This Row],[Butyrate '[%']]]&lt;S$10,_xlfn.NORM.DIST(Table29128[[#This Row],[Butyrate '[%']]],S$6,S$2,FALSE),-100)</f>
        <v>-100</v>
      </c>
      <c r="BL141">
        <f>IF(Table29128[[#This Row],[Valerate '[%']]]&lt;T$10,_xlfn.NORM.DIST(Table29128[[#This Row],[Valerate '[%']]],T$6,T$2,FALSE),-100)</f>
        <v>-100</v>
      </c>
      <c r="BM141">
        <f>IF(Table29128[[#This Row],[Caproate '[%']]]&lt;U$10,_xlfn.NORM.DIST(Table29128[[#This Row],[Caproate '[%']]],U$6,U$2,FALSE),-100)</f>
        <v>-100</v>
      </c>
      <c r="BN141">
        <f>IF(Table29128[[#This Row],[Isobutyrate '[%']]]&lt;V$10,_xlfn.NORM.DIST(Table29128[[#This Row],[Isobutyrate '[%']]],V$6,V$2,FALSE),-100)</f>
        <v>-100</v>
      </c>
      <c r="BO141">
        <f>IF(Table29128[[#This Row],[Isovalerate '[%']]]&lt;W$10,_xlfn.NORM.DIST(Table29128[[#This Row],[Isovalerate '[%']]],W$6,W$2,FALSE),-100)</f>
        <v>-100</v>
      </c>
      <c r="BP141">
        <f>IF(Table29128[[#This Row],[CH4 '[g/mmol SCFA']]]&lt;X$10,_xlfn.NORM.DIST(Table29128[[#This Row],[CH4 '[g/mmol SCFA']]],X$6,X$2,FALSE),-100)</f>
        <v>-100</v>
      </c>
      <c r="BQ141" t="e">
        <f>IF(Table29128[[#This Row],[DMD '[mg/g']]]&gt;Y$10,_xlfn.NORM.DIST(Table29128[[#This Row],[DMD '[mg/g']]],Y$6,Y$2,FALSE),-100)</f>
        <v>#REF!</v>
      </c>
      <c r="BR141" t="e">
        <f>IF(Table29128[[#This Row],[CH4 '[ml/g']]]&lt;Z$10,_xlfn.NORM.DIST(Table29128[[#This Row],[CH4 '[ml/g']]],Z$6,Z$2,FALSE),-100)</f>
        <v>#REF!</v>
      </c>
      <c r="BS141" t="e">
        <f>IF(Table29128[[#This Row],[CH4 '[% GP']]]&lt;AA$10,_xlfn.NORM.DIST(Table29128[[#This Row],[CH4 '[% GP']]],AA$6,AA$2,FALSE),-100)</f>
        <v>#REF!</v>
      </c>
      <c r="BT141" t="e">
        <f>IF(Table29128[[#This Row],[CH4 '[g/g DDM']]]&lt;AB$10,_xlfn.NORM.DIST(Table29128[[#This Row],[CH4 '[g/g DDM']]],AB$6,AB$2,FALSE),-100)</f>
        <v>#REF!</v>
      </c>
    </row>
    <row r="142" spans="1:72" x14ac:dyDescent="0.25">
      <c r="A142" s="12" t="s">
        <v>200</v>
      </c>
      <c r="B142" s="13">
        <v>1140</v>
      </c>
      <c r="C142" s="117" t="s">
        <v>249</v>
      </c>
      <c r="D142" s="117" t="s">
        <v>233</v>
      </c>
      <c r="E142" s="117" t="s">
        <v>234</v>
      </c>
      <c r="F142" s="117" t="s">
        <v>235</v>
      </c>
      <c r="G142" s="23" t="s">
        <v>73</v>
      </c>
      <c r="H142" s="23" t="s">
        <v>74</v>
      </c>
      <c r="I142" s="105" t="s">
        <v>48</v>
      </c>
      <c r="J142" s="70">
        <v>1</v>
      </c>
      <c r="K142" s="70"/>
      <c r="L142" s="70"/>
      <c r="M142" t="s">
        <v>250</v>
      </c>
      <c r="N142" t="s">
        <v>171</v>
      </c>
      <c r="O142" s="18"/>
      <c r="P142" s="18"/>
      <c r="Q142" s="97"/>
      <c r="R142" s="97"/>
      <c r="S142" s="97"/>
      <c r="T142" s="97"/>
      <c r="U142" s="97"/>
      <c r="V142" s="97"/>
      <c r="W142" s="97"/>
      <c r="X142" s="51"/>
      <c r="Y142" s="18" t="e">
        <f>AVERAGEIFS([1]!Table2912[DMD '[mg/g']],[1]!Table2912[Substrate ID],Table29128[[#This Row],[Substrate ID]])</f>
        <v>#REF!</v>
      </c>
      <c r="Z142" s="18" t="e">
        <f>AVERAGEIFS([1]!Table2912[CH4 '[ml/g']],[1]!Table2912[Substrate ID],Table29128[[#This Row],[Substrate ID]])</f>
        <v>#REF!</v>
      </c>
      <c r="AA142" s="18" t="e">
        <f>AVERAGEIFS([1]!Table2912[CH4 '[% GP']],[1]!Table2912[Substrate ID],Table29128[[#This Row],[Substrate ID]])</f>
        <v>#REF!</v>
      </c>
      <c r="AB142" s="18" t="e">
        <f>AVERAGEIFS([1]!Table2912[CH4 '[g/g DDM']],[1]!Table2912[Substrate ID],Table29128[[#This Row],[Substrate ID]])</f>
        <v>#REF!</v>
      </c>
      <c r="AC142" s="18" t="e">
        <f>$CP$17*Table29128[[#This Row],[DMD '[mg/g']]]+$CQ$17*Table29128[[#This Row],[CH4 '[g/g DDM']]]</f>
        <v>#REF!</v>
      </c>
      <c r="AD142" s="18" t="e">
        <f>_xlfn.RANK.AVG(Table29128[[#This Row],[Index]],Table29128[Index])</f>
        <v>#REF!</v>
      </c>
      <c r="AE142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42" s="18" t="e">
        <f>Table29128[[#This Row],[CH4 '[ml/g']]]/Table29128[[#This Row],[APB]]</f>
        <v>#REF!</v>
      </c>
      <c r="AG142" s="18" t="e">
        <f>Table29128[[#This Row],[Propionate '[%']]]/Table29128[[#This Row],[Acetate '[%']]]</f>
        <v>#DIV/0!</v>
      </c>
      <c r="AH142" s="51"/>
      <c r="AI142" s="18"/>
      <c r="AJ142" s="18"/>
      <c r="AK142" s="135" t="e">
        <f t="shared" si="6"/>
        <v>#REF!</v>
      </c>
      <c r="AL142" s="18"/>
      <c r="AM142" s="135" t="e">
        <f t="shared" si="7"/>
        <v>#REF!</v>
      </c>
      <c r="AN142" s="18" t="e">
        <f>(Table29128[[#This Row],[CH4 '[g/g DDM']]]-AN$15)/AN$15%</f>
        <v>#REF!</v>
      </c>
      <c r="AO142" s="18"/>
      <c r="AP142" s="18"/>
      <c r="AR142" t="e">
        <f>_xlfn.NORM.DIST(Table29128[[#This Row],[GP '[ml/g']]],O$6,O$2,FALSE)</f>
        <v>#DIV/0!</v>
      </c>
      <c r="AS142" t="e">
        <f>_xlfn.NORM.DIST(Table29128[[#This Row],[SCFA '[mmol/g']]],P$6,P$2,FALSE)</f>
        <v>#DIV/0!</v>
      </c>
      <c r="AT142" t="e">
        <f>_xlfn.NORM.DIST(Table29128[[#This Row],[Acetate '[%']]],Q$6,Q$2,FALSE)</f>
        <v>#DIV/0!</v>
      </c>
      <c r="AU142" t="e">
        <f>_xlfn.NORM.DIST(Table29128[[#This Row],[Propionate '[%']]],R$6,R$2,FALSE)</f>
        <v>#DIV/0!</v>
      </c>
      <c r="AV142" t="e">
        <f>_xlfn.NORM.DIST(Table29128[[#This Row],[Butyrate '[%']]],S$6,S$2,FALSE)</f>
        <v>#DIV/0!</v>
      </c>
      <c r="AW142" t="e">
        <f>_xlfn.NORM.DIST(Table29128[[#This Row],[Valerate '[%']]],T$6,T$2,FALSE)</f>
        <v>#DIV/0!</v>
      </c>
      <c r="AX142" t="e">
        <f>_xlfn.NORM.DIST(Table29128[[#This Row],[Caproate '[%']]],U$6,U$2,FALSE)</f>
        <v>#DIV/0!</v>
      </c>
      <c r="AY142" t="e">
        <f>_xlfn.NORM.DIST(Table29128[[#This Row],[Isobutyrate '[%']]],V$6,V$2,FALSE)</f>
        <v>#DIV/0!</v>
      </c>
      <c r="AZ142" t="e">
        <f>_xlfn.NORM.DIST(Table29128[[#This Row],[Isovalerate '[%']]],W$6,W$2,FALSE)</f>
        <v>#DIV/0!</v>
      </c>
      <c r="BA142" t="e">
        <f>_xlfn.NORM.DIST(Table29128[[#This Row],[CH4 '[g/mmol SCFA']]],X$6,X$2,FALSE)</f>
        <v>#DIV/0!</v>
      </c>
      <c r="BB142" t="e">
        <f>_xlfn.NORM.DIST(Table29128[[#This Row],[DMD '[mg/g']]],Y$6,Y$2,FALSE)</f>
        <v>#REF!</v>
      </c>
      <c r="BC142" t="e">
        <f>_xlfn.NORM.DIST(Table29128[[#This Row],[CH4 '[ml/g']]],Z$6,Z$2,FALSE)</f>
        <v>#REF!</v>
      </c>
      <c r="BD142" t="e">
        <f>_xlfn.NORM.DIST(Table29128[[#This Row],[CH4 '[% GP']]],AA$6,AA$2,FALSE)</f>
        <v>#REF!</v>
      </c>
      <c r="BE142" t="e">
        <f>_xlfn.NORM.DIST(Table29128[[#This Row],[CH4 '[g/g DDM']]],AB$6,AB$2,FALSE)</f>
        <v>#REF!</v>
      </c>
      <c r="BG142">
        <f>IF(Table29128[[#This Row],[GP '[ml/g']]]&lt;O$10,_xlfn.NORM.DIST(Table29128[[#This Row],[GP '[ml/g']]],O$6,O$2,FALSE),-100)</f>
        <v>-100</v>
      </c>
      <c r="BH142">
        <f>IF(Table29128[[#This Row],[SCFA '[mmol/g']]]&lt;P$10,_xlfn.NORM.DIST(Table29128[[#This Row],[SCFA '[mmol/g']]],P$6,P$2,FALSE),-100)</f>
        <v>-100</v>
      </c>
      <c r="BI142">
        <f>IF(Table29128[[#This Row],[Acetate '[%']]]&lt;Q$10,_xlfn.NORM.DIST(Table29128[[#This Row],[Acetate '[%']]],Q$6,Q$2,FALSE),-100)</f>
        <v>-100</v>
      </c>
      <c r="BJ142">
        <f>IF(Table29128[[#This Row],[Propionate '[%']]]&lt;R$10,_xlfn.NORM.DIST(Table29128[[#This Row],[Propionate '[%']]],R$6,R$2,FALSE),-100)</f>
        <v>-100</v>
      </c>
      <c r="BK142">
        <f>IF(Table29128[[#This Row],[Butyrate '[%']]]&lt;S$10,_xlfn.NORM.DIST(Table29128[[#This Row],[Butyrate '[%']]],S$6,S$2,FALSE),-100)</f>
        <v>-100</v>
      </c>
      <c r="BL142">
        <f>IF(Table29128[[#This Row],[Valerate '[%']]]&lt;T$10,_xlfn.NORM.DIST(Table29128[[#This Row],[Valerate '[%']]],T$6,T$2,FALSE),-100)</f>
        <v>-100</v>
      </c>
      <c r="BM142">
        <f>IF(Table29128[[#This Row],[Caproate '[%']]]&lt;U$10,_xlfn.NORM.DIST(Table29128[[#This Row],[Caproate '[%']]],U$6,U$2,FALSE),-100)</f>
        <v>-100</v>
      </c>
      <c r="BN142">
        <f>IF(Table29128[[#This Row],[Isobutyrate '[%']]]&lt;V$10,_xlfn.NORM.DIST(Table29128[[#This Row],[Isobutyrate '[%']]],V$6,V$2,FALSE),-100)</f>
        <v>-100</v>
      </c>
      <c r="BO142">
        <f>IF(Table29128[[#This Row],[Isovalerate '[%']]]&lt;W$10,_xlfn.NORM.DIST(Table29128[[#This Row],[Isovalerate '[%']]],W$6,W$2,FALSE),-100)</f>
        <v>-100</v>
      </c>
      <c r="BP142">
        <f>IF(Table29128[[#This Row],[CH4 '[g/mmol SCFA']]]&lt;X$10,_xlfn.NORM.DIST(Table29128[[#This Row],[CH4 '[g/mmol SCFA']]],X$6,X$2,FALSE),-100)</f>
        <v>-100</v>
      </c>
      <c r="BQ142" t="e">
        <f>IF(Table29128[[#This Row],[DMD '[mg/g']]]&gt;Y$10,_xlfn.NORM.DIST(Table29128[[#This Row],[DMD '[mg/g']]],Y$6,Y$2,FALSE),-100)</f>
        <v>#REF!</v>
      </c>
      <c r="BR142" t="e">
        <f>IF(Table29128[[#This Row],[CH4 '[ml/g']]]&lt;Z$10,_xlfn.NORM.DIST(Table29128[[#This Row],[CH4 '[ml/g']]],Z$6,Z$2,FALSE),-100)</f>
        <v>#REF!</v>
      </c>
      <c r="BS142" t="e">
        <f>IF(Table29128[[#This Row],[CH4 '[% GP']]]&lt;AA$10,_xlfn.NORM.DIST(Table29128[[#This Row],[CH4 '[% GP']]],AA$6,AA$2,FALSE),-100)</f>
        <v>#REF!</v>
      </c>
      <c r="BT142" t="e">
        <f>IF(Table29128[[#This Row],[CH4 '[g/g DDM']]]&lt;AB$10,_xlfn.NORM.DIST(Table29128[[#This Row],[CH4 '[g/g DDM']]],AB$6,AB$2,FALSE),-100)</f>
        <v>#REF!</v>
      </c>
    </row>
    <row r="143" spans="1:72" x14ac:dyDescent="0.25">
      <c r="A143" s="12" t="s">
        <v>200</v>
      </c>
      <c r="B143" s="13">
        <v>1141</v>
      </c>
      <c r="C143" s="117" t="s">
        <v>251</v>
      </c>
      <c r="D143" s="117" t="s">
        <v>233</v>
      </c>
      <c r="E143" s="117" t="s">
        <v>234</v>
      </c>
      <c r="F143" s="117" t="s">
        <v>235</v>
      </c>
      <c r="G143" s="15" t="s">
        <v>73</v>
      </c>
      <c r="H143" s="15" t="s">
        <v>74</v>
      </c>
      <c r="I143" t="s">
        <v>75</v>
      </c>
      <c r="J143" s="70">
        <v>1</v>
      </c>
      <c r="K143" s="70"/>
      <c r="L143" s="70"/>
      <c r="M143" t="s">
        <v>252</v>
      </c>
      <c r="N143" t="s">
        <v>237</v>
      </c>
      <c r="O143" s="18"/>
      <c r="P143" s="18"/>
      <c r="Q143" s="97"/>
      <c r="R143" s="97"/>
      <c r="S143" s="97"/>
      <c r="T143" s="97"/>
      <c r="U143" s="97"/>
      <c r="V143" s="97"/>
      <c r="W143" s="97"/>
      <c r="X143" s="51"/>
      <c r="Y143" s="18" t="e">
        <f>AVERAGEIFS([1]!Table2912[DMD '[mg/g']],[1]!Table2912[Substrate ID],Table29128[[#This Row],[Substrate ID]])</f>
        <v>#REF!</v>
      </c>
      <c r="Z143" s="18" t="e">
        <f>AVERAGEIFS([1]!Table2912[CH4 '[ml/g']],[1]!Table2912[Substrate ID],Table29128[[#This Row],[Substrate ID]])</f>
        <v>#REF!</v>
      </c>
      <c r="AA143" s="18" t="e">
        <f>AVERAGEIFS([1]!Table2912[CH4 '[% GP']],[1]!Table2912[Substrate ID],Table29128[[#This Row],[Substrate ID]])</f>
        <v>#REF!</v>
      </c>
      <c r="AB143" s="18" t="e">
        <f>AVERAGEIFS([1]!Table2912[CH4 '[g/g DDM']],[1]!Table2912[Substrate ID],Table29128[[#This Row],[Substrate ID]])</f>
        <v>#REF!</v>
      </c>
      <c r="AC143" s="18" t="e">
        <f>$CP$17*Table29128[[#This Row],[DMD '[mg/g']]]+$CQ$17*Table29128[[#This Row],[CH4 '[g/g DDM']]]</f>
        <v>#REF!</v>
      </c>
      <c r="AD143" s="18" t="e">
        <f>_xlfn.RANK.AVG(Table29128[[#This Row],[Index]],Table29128[Index])</f>
        <v>#REF!</v>
      </c>
      <c r="AE143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43" s="18" t="e">
        <f>Table29128[[#This Row],[CH4 '[ml/g']]]/Table29128[[#This Row],[APB]]</f>
        <v>#REF!</v>
      </c>
      <c r="AG143" s="18" t="e">
        <f>Table29128[[#This Row],[Propionate '[%']]]/Table29128[[#This Row],[Acetate '[%']]]</f>
        <v>#DIV/0!</v>
      </c>
      <c r="AH143" s="51"/>
      <c r="AI143" s="18"/>
      <c r="AJ143" s="18"/>
      <c r="AK143" s="135" t="e">
        <f t="shared" si="6"/>
        <v>#REF!</v>
      </c>
      <c r="AL143" s="18"/>
      <c r="AM143" s="135" t="e">
        <f t="shared" si="7"/>
        <v>#REF!</v>
      </c>
      <c r="AN143" s="18" t="e">
        <f>(Table29128[[#This Row],[CH4 '[g/g DDM']]]-AN$15)/AN$15%</f>
        <v>#REF!</v>
      </c>
      <c r="AO143" s="18"/>
      <c r="AP143" s="18"/>
      <c r="AR143" t="e">
        <f>_xlfn.NORM.DIST(Table29128[[#This Row],[GP '[ml/g']]],O$6,O$2,FALSE)</f>
        <v>#DIV/0!</v>
      </c>
      <c r="AS143" t="e">
        <f>_xlfn.NORM.DIST(Table29128[[#This Row],[SCFA '[mmol/g']]],P$6,P$2,FALSE)</f>
        <v>#DIV/0!</v>
      </c>
      <c r="AT143" t="e">
        <f>_xlfn.NORM.DIST(Table29128[[#This Row],[Acetate '[%']]],Q$6,Q$2,FALSE)</f>
        <v>#DIV/0!</v>
      </c>
      <c r="AU143" t="e">
        <f>_xlfn.NORM.DIST(Table29128[[#This Row],[Propionate '[%']]],R$6,R$2,FALSE)</f>
        <v>#DIV/0!</v>
      </c>
      <c r="AV143" t="e">
        <f>_xlfn.NORM.DIST(Table29128[[#This Row],[Butyrate '[%']]],S$6,S$2,FALSE)</f>
        <v>#DIV/0!</v>
      </c>
      <c r="AW143" t="e">
        <f>_xlfn.NORM.DIST(Table29128[[#This Row],[Valerate '[%']]],T$6,T$2,FALSE)</f>
        <v>#DIV/0!</v>
      </c>
      <c r="AX143" t="e">
        <f>_xlfn.NORM.DIST(Table29128[[#This Row],[Caproate '[%']]],U$6,U$2,FALSE)</f>
        <v>#DIV/0!</v>
      </c>
      <c r="AY143" t="e">
        <f>_xlfn.NORM.DIST(Table29128[[#This Row],[Isobutyrate '[%']]],V$6,V$2,FALSE)</f>
        <v>#DIV/0!</v>
      </c>
      <c r="AZ143" t="e">
        <f>_xlfn.NORM.DIST(Table29128[[#This Row],[Isovalerate '[%']]],W$6,W$2,FALSE)</f>
        <v>#DIV/0!</v>
      </c>
      <c r="BA143" t="e">
        <f>_xlfn.NORM.DIST(Table29128[[#This Row],[CH4 '[g/mmol SCFA']]],X$6,X$2,FALSE)</f>
        <v>#DIV/0!</v>
      </c>
      <c r="BB143" t="e">
        <f>_xlfn.NORM.DIST(Table29128[[#This Row],[DMD '[mg/g']]],Y$6,Y$2,FALSE)</f>
        <v>#REF!</v>
      </c>
      <c r="BC143" t="e">
        <f>_xlfn.NORM.DIST(Table29128[[#This Row],[CH4 '[ml/g']]],Z$6,Z$2,FALSE)</f>
        <v>#REF!</v>
      </c>
      <c r="BD143" t="e">
        <f>_xlfn.NORM.DIST(Table29128[[#This Row],[CH4 '[% GP']]],AA$6,AA$2,FALSE)</f>
        <v>#REF!</v>
      </c>
      <c r="BE143" t="e">
        <f>_xlfn.NORM.DIST(Table29128[[#This Row],[CH4 '[g/g DDM']]],AB$6,AB$2,FALSE)</f>
        <v>#REF!</v>
      </c>
      <c r="BG143">
        <f>IF(Table29128[[#This Row],[GP '[ml/g']]]&lt;O$10,_xlfn.NORM.DIST(Table29128[[#This Row],[GP '[ml/g']]],O$6,O$2,FALSE),-100)</f>
        <v>-100</v>
      </c>
      <c r="BH143">
        <f>IF(Table29128[[#This Row],[SCFA '[mmol/g']]]&lt;P$10,_xlfn.NORM.DIST(Table29128[[#This Row],[SCFA '[mmol/g']]],P$6,P$2,FALSE),-100)</f>
        <v>-100</v>
      </c>
      <c r="BI143">
        <f>IF(Table29128[[#This Row],[Acetate '[%']]]&lt;Q$10,_xlfn.NORM.DIST(Table29128[[#This Row],[Acetate '[%']]],Q$6,Q$2,FALSE),-100)</f>
        <v>-100</v>
      </c>
      <c r="BJ143">
        <f>IF(Table29128[[#This Row],[Propionate '[%']]]&lt;R$10,_xlfn.NORM.DIST(Table29128[[#This Row],[Propionate '[%']]],R$6,R$2,FALSE),-100)</f>
        <v>-100</v>
      </c>
      <c r="BK143">
        <f>IF(Table29128[[#This Row],[Butyrate '[%']]]&lt;S$10,_xlfn.NORM.DIST(Table29128[[#This Row],[Butyrate '[%']]],S$6,S$2,FALSE),-100)</f>
        <v>-100</v>
      </c>
      <c r="BL143">
        <f>IF(Table29128[[#This Row],[Valerate '[%']]]&lt;T$10,_xlfn.NORM.DIST(Table29128[[#This Row],[Valerate '[%']]],T$6,T$2,FALSE),-100)</f>
        <v>-100</v>
      </c>
      <c r="BM143">
        <f>IF(Table29128[[#This Row],[Caproate '[%']]]&lt;U$10,_xlfn.NORM.DIST(Table29128[[#This Row],[Caproate '[%']]],U$6,U$2,FALSE),-100)</f>
        <v>-100</v>
      </c>
      <c r="BN143">
        <f>IF(Table29128[[#This Row],[Isobutyrate '[%']]]&lt;V$10,_xlfn.NORM.DIST(Table29128[[#This Row],[Isobutyrate '[%']]],V$6,V$2,FALSE),-100)</f>
        <v>-100</v>
      </c>
      <c r="BO143">
        <f>IF(Table29128[[#This Row],[Isovalerate '[%']]]&lt;W$10,_xlfn.NORM.DIST(Table29128[[#This Row],[Isovalerate '[%']]],W$6,W$2,FALSE),-100)</f>
        <v>-100</v>
      </c>
      <c r="BP143">
        <f>IF(Table29128[[#This Row],[CH4 '[g/mmol SCFA']]]&lt;X$10,_xlfn.NORM.DIST(Table29128[[#This Row],[CH4 '[g/mmol SCFA']]],X$6,X$2,FALSE),-100)</f>
        <v>-100</v>
      </c>
      <c r="BQ143" t="e">
        <f>IF(Table29128[[#This Row],[DMD '[mg/g']]]&gt;Y$10,_xlfn.NORM.DIST(Table29128[[#This Row],[DMD '[mg/g']]],Y$6,Y$2,FALSE),-100)</f>
        <v>#REF!</v>
      </c>
      <c r="BR143" t="e">
        <f>IF(Table29128[[#This Row],[CH4 '[ml/g']]]&lt;Z$10,_xlfn.NORM.DIST(Table29128[[#This Row],[CH4 '[ml/g']]],Z$6,Z$2,FALSE),-100)</f>
        <v>#REF!</v>
      </c>
      <c r="BS143" t="e">
        <f>IF(Table29128[[#This Row],[CH4 '[% GP']]]&lt;AA$10,_xlfn.NORM.DIST(Table29128[[#This Row],[CH4 '[% GP']]],AA$6,AA$2,FALSE),-100)</f>
        <v>#REF!</v>
      </c>
      <c r="BT143" t="e">
        <f>IF(Table29128[[#This Row],[CH4 '[g/g DDM']]]&lt;AB$10,_xlfn.NORM.DIST(Table29128[[#This Row],[CH4 '[g/g DDM']]],AB$6,AB$2,FALSE),-100)</f>
        <v>#REF!</v>
      </c>
    </row>
    <row r="144" spans="1:72" ht="15" customHeight="1" x14ac:dyDescent="0.25">
      <c r="A144" s="12" t="s">
        <v>200</v>
      </c>
      <c r="B144" s="13">
        <v>1142</v>
      </c>
      <c r="C144" s="117" t="s">
        <v>232</v>
      </c>
      <c r="D144" s="117" t="s">
        <v>233</v>
      </c>
      <c r="E144" s="117" t="s">
        <v>234</v>
      </c>
      <c r="F144" s="117" t="s">
        <v>235</v>
      </c>
      <c r="G144" s="15" t="s">
        <v>73</v>
      </c>
      <c r="H144" s="15" t="s">
        <v>74</v>
      </c>
      <c r="I144" t="s">
        <v>75</v>
      </c>
      <c r="J144" s="70">
        <v>1</v>
      </c>
      <c r="K144" s="70"/>
      <c r="L144" s="70"/>
      <c r="M144" t="s">
        <v>236</v>
      </c>
      <c r="N144" t="s">
        <v>171</v>
      </c>
      <c r="O144" s="18"/>
      <c r="P144" s="18"/>
      <c r="Q144" s="97"/>
      <c r="R144" s="97"/>
      <c r="S144" s="97"/>
      <c r="T144" s="97"/>
      <c r="U144" s="97"/>
      <c r="V144" s="97"/>
      <c r="W144" s="97"/>
      <c r="X144" s="51"/>
      <c r="Y144" s="18" t="e">
        <f>AVERAGEIFS([1]!Table2912[DMD '[mg/g']],[1]!Table2912[Substrate ID],Table29128[[#This Row],[Substrate ID]])</f>
        <v>#REF!</v>
      </c>
      <c r="Z144" s="18" t="e">
        <f>AVERAGEIFS([1]!Table2912[CH4 '[ml/g']],[1]!Table2912[Substrate ID],Table29128[[#This Row],[Substrate ID]])</f>
        <v>#REF!</v>
      </c>
      <c r="AA144" s="18" t="e">
        <f>AVERAGEIFS([1]!Table2912[CH4 '[% GP']],[1]!Table2912[Substrate ID],Table29128[[#This Row],[Substrate ID]])</f>
        <v>#REF!</v>
      </c>
      <c r="AB144" s="18" t="e">
        <f>AVERAGEIFS([1]!Table2912[CH4 '[g/g DDM']],[1]!Table2912[Substrate ID],Table29128[[#This Row],[Substrate ID]])</f>
        <v>#REF!</v>
      </c>
      <c r="AC144" s="18" t="e">
        <f>$CP$17*Table29128[[#This Row],[DMD '[mg/g']]]+$CQ$17*Table29128[[#This Row],[CH4 '[g/g DDM']]]</f>
        <v>#REF!</v>
      </c>
      <c r="AD144" s="18" t="e">
        <f>_xlfn.RANK.AVG(Table29128[[#This Row],[Index]],Table29128[Index])</f>
        <v>#REF!</v>
      </c>
      <c r="AE144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44" s="18" t="e">
        <f>Table29128[[#This Row],[CH4 '[ml/g']]]/Table29128[[#This Row],[APB]]</f>
        <v>#REF!</v>
      </c>
      <c r="AG144" s="18" t="e">
        <f>Table29128[[#This Row],[Propionate '[%']]]/Table29128[[#This Row],[Acetate '[%']]]</f>
        <v>#DIV/0!</v>
      </c>
      <c r="AH144" s="51"/>
      <c r="AI144" s="18"/>
      <c r="AJ144" s="18"/>
      <c r="AK144" s="135" t="e">
        <f t="shared" si="6"/>
        <v>#REF!</v>
      </c>
      <c r="AL144" s="18"/>
      <c r="AM144" s="135" t="e">
        <f t="shared" si="7"/>
        <v>#REF!</v>
      </c>
      <c r="AN144" s="18" t="e">
        <f>(Table29128[[#This Row],[CH4 '[g/g DDM']]]-AN$15)/AN$15%</f>
        <v>#REF!</v>
      </c>
      <c r="AO144" s="18"/>
      <c r="AP144" s="18"/>
      <c r="AR144" t="e">
        <f>_xlfn.NORM.DIST(Table29128[[#This Row],[GP '[ml/g']]],O$6,O$2,FALSE)</f>
        <v>#DIV/0!</v>
      </c>
      <c r="AS144" t="e">
        <f>_xlfn.NORM.DIST(Table29128[[#This Row],[SCFA '[mmol/g']]],P$6,P$2,FALSE)</f>
        <v>#DIV/0!</v>
      </c>
      <c r="AT144" t="e">
        <f>_xlfn.NORM.DIST(Table29128[[#This Row],[Acetate '[%']]],Q$6,Q$2,FALSE)</f>
        <v>#DIV/0!</v>
      </c>
      <c r="AU144" t="e">
        <f>_xlfn.NORM.DIST(Table29128[[#This Row],[Propionate '[%']]],R$6,R$2,FALSE)</f>
        <v>#DIV/0!</v>
      </c>
      <c r="AV144" t="e">
        <f>_xlfn.NORM.DIST(Table29128[[#This Row],[Butyrate '[%']]],S$6,S$2,FALSE)</f>
        <v>#DIV/0!</v>
      </c>
      <c r="AW144" t="e">
        <f>_xlfn.NORM.DIST(Table29128[[#This Row],[Valerate '[%']]],T$6,T$2,FALSE)</f>
        <v>#DIV/0!</v>
      </c>
      <c r="AX144" t="e">
        <f>_xlfn.NORM.DIST(Table29128[[#This Row],[Caproate '[%']]],U$6,U$2,FALSE)</f>
        <v>#DIV/0!</v>
      </c>
      <c r="AY144" t="e">
        <f>_xlfn.NORM.DIST(Table29128[[#This Row],[Isobutyrate '[%']]],V$6,V$2,FALSE)</f>
        <v>#DIV/0!</v>
      </c>
      <c r="AZ144" t="e">
        <f>_xlfn.NORM.DIST(Table29128[[#This Row],[Isovalerate '[%']]],W$6,W$2,FALSE)</f>
        <v>#DIV/0!</v>
      </c>
      <c r="BA144" t="e">
        <f>_xlfn.NORM.DIST(Table29128[[#This Row],[CH4 '[g/mmol SCFA']]],X$6,X$2,FALSE)</f>
        <v>#DIV/0!</v>
      </c>
      <c r="BB144" t="e">
        <f>_xlfn.NORM.DIST(Table29128[[#This Row],[DMD '[mg/g']]],Y$6,Y$2,FALSE)</f>
        <v>#REF!</v>
      </c>
      <c r="BC144" t="e">
        <f>_xlfn.NORM.DIST(Table29128[[#This Row],[CH4 '[ml/g']]],Z$6,Z$2,FALSE)</f>
        <v>#REF!</v>
      </c>
      <c r="BD144" t="e">
        <f>_xlfn.NORM.DIST(Table29128[[#This Row],[CH4 '[% GP']]],AA$6,AA$2,FALSE)</f>
        <v>#REF!</v>
      </c>
      <c r="BE144" t="e">
        <f>_xlfn.NORM.DIST(Table29128[[#This Row],[CH4 '[g/g DDM']]],AB$6,AB$2,FALSE)</f>
        <v>#REF!</v>
      </c>
      <c r="BG144">
        <f>IF(Table29128[[#This Row],[GP '[ml/g']]]&lt;O$10,_xlfn.NORM.DIST(Table29128[[#This Row],[GP '[ml/g']]],O$6,O$2,FALSE),-100)</f>
        <v>-100</v>
      </c>
      <c r="BH144">
        <f>IF(Table29128[[#This Row],[SCFA '[mmol/g']]]&lt;P$10,_xlfn.NORM.DIST(Table29128[[#This Row],[SCFA '[mmol/g']]],P$6,P$2,FALSE),-100)</f>
        <v>-100</v>
      </c>
      <c r="BI144">
        <f>IF(Table29128[[#This Row],[Acetate '[%']]]&lt;Q$10,_xlfn.NORM.DIST(Table29128[[#This Row],[Acetate '[%']]],Q$6,Q$2,FALSE),-100)</f>
        <v>-100</v>
      </c>
      <c r="BJ144">
        <f>IF(Table29128[[#This Row],[Propionate '[%']]]&lt;R$10,_xlfn.NORM.DIST(Table29128[[#This Row],[Propionate '[%']]],R$6,R$2,FALSE),-100)</f>
        <v>-100</v>
      </c>
      <c r="BK144">
        <f>IF(Table29128[[#This Row],[Butyrate '[%']]]&lt;S$10,_xlfn.NORM.DIST(Table29128[[#This Row],[Butyrate '[%']]],S$6,S$2,FALSE),-100)</f>
        <v>-100</v>
      </c>
      <c r="BL144">
        <f>IF(Table29128[[#This Row],[Valerate '[%']]]&lt;T$10,_xlfn.NORM.DIST(Table29128[[#This Row],[Valerate '[%']]],T$6,T$2,FALSE),-100)</f>
        <v>-100</v>
      </c>
      <c r="BM144">
        <f>IF(Table29128[[#This Row],[Caproate '[%']]]&lt;U$10,_xlfn.NORM.DIST(Table29128[[#This Row],[Caproate '[%']]],U$6,U$2,FALSE),-100)</f>
        <v>-100</v>
      </c>
      <c r="BN144">
        <f>IF(Table29128[[#This Row],[Isobutyrate '[%']]]&lt;V$10,_xlfn.NORM.DIST(Table29128[[#This Row],[Isobutyrate '[%']]],V$6,V$2,FALSE),-100)</f>
        <v>-100</v>
      </c>
      <c r="BO144">
        <f>IF(Table29128[[#This Row],[Isovalerate '[%']]]&lt;W$10,_xlfn.NORM.DIST(Table29128[[#This Row],[Isovalerate '[%']]],W$6,W$2,FALSE),-100)</f>
        <v>-100</v>
      </c>
      <c r="BP144">
        <f>IF(Table29128[[#This Row],[CH4 '[g/mmol SCFA']]]&lt;X$10,_xlfn.NORM.DIST(Table29128[[#This Row],[CH4 '[g/mmol SCFA']]],X$6,X$2,FALSE),-100)</f>
        <v>-100</v>
      </c>
      <c r="BQ144" t="e">
        <f>IF(Table29128[[#This Row],[DMD '[mg/g']]]&gt;Y$10,_xlfn.NORM.DIST(Table29128[[#This Row],[DMD '[mg/g']]],Y$6,Y$2,FALSE),-100)</f>
        <v>#REF!</v>
      </c>
      <c r="BR144" t="e">
        <f>IF(Table29128[[#This Row],[CH4 '[ml/g']]]&lt;Z$10,_xlfn.NORM.DIST(Table29128[[#This Row],[CH4 '[ml/g']]],Z$6,Z$2,FALSE),-100)</f>
        <v>#REF!</v>
      </c>
      <c r="BS144" t="e">
        <f>IF(Table29128[[#This Row],[CH4 '[% GP']]]&lt;AA$10,_xlfn.NORM.DIST(Table29128[[#This Row],[CH4 '[% GP']]],AA$6,AA$2,FALSE),-100)</f>
        <v>#REF!</v>
      </c>
      <c r="BT144" t="e">
        <f>IF(Table29128[[#This Row],[CH4 '[g/g DDM']]]&lt;AB$10,_xlfn.NORM.DIST(Table29128[[#This Row],[CH4 '[g/g DDM']]],AB$6,AB$2,FALSE),-100)</f>
        <v>#REF!</v>
      </c>
    </row>
    <row r="145" spans="1:90" x14ac:dyDescent="0.25">
      <c r="A145" s="12" t="s">
        <v>200</v>
      </c>
      <c r="B145" s="13">
        <v>1143</v>
      </c>
      <c r="C145" s="117" t="s">
        <v>270</v>
      </c>
      <c r="D145" s="117" t="s">
        <v>233</v>
      </c>
      <c r="E145" s="117" t="s">
        <v>234</v>
      </c>
      <c r="F145" s="117" t="s">
        <v>235</v>
      </c>
      <c r="G145" t="s">
        <v>73</v>
      </c>
      <c r="H145" t="s">
        <v>74</v>
      </c>
      <c r="I145" t="s">
        <v>75</v>
      </c>
      <c r="J145" s="70">
        <v>1</v>
      </c>
      <c r="K145" s="70"/>
      <c r="L145" s="70"/>
      <c r="M145" t="s">
        <v>271</v>
      </c>
      <c r="N145" t="s">
        <v>171</v>
      </c>
      <c r="O145" s="18"/>
      <c r="P145" s="18"/>
      <c r="Q145" s="97"/>
      <c r="R145" s="97"/>
      <c r="S145" s="97"/>
      <c r="T145" s="97"/>
      <c r="U145" s="97"/>
      <c r="V145" s="97"/>
      <c r="W145" s="97"/>
      <c r="X145" s="51"/>
      <c r="Y145" s="18" t="e">
        <f>AVERAGEIFS([1]!Table2912[DMD '[mg/g']],[1]!Table2912[Substrate ID],Table29128[[#This Row],[Substrate ID]])</f>
        <v>#REF!</v>
      </c>
      <c r="Z145" s="18" t="e">
        <f>AVERAGEIFS([1]!Table2912[CH4 '[ml/g']],[1]!Table2912[Substrate ID],Table29128[[#This Row],[Substrate ID]])</f>
        <v>#REF!</v>
      </c>
      <c r="AA145" s="18" t="e">
        <f>AVERAGEIFS([1]!Table2912[CH4 '[% GP']],[1]!Table2912[Substrate ID],Table29128[[#This Row],[Substrate ID]])</f>
        <v>#REF!</v>
      </c>
      <c r="AB145" s="18" t="e">
        <f>AVERAGEIFS([1]!Table2912[CH4 '[g/g DDM']],[1]!Table2912[Substrate ID],Table29128[[#This Row],[Substrate ID]])</f>
        <v>#REF!</v>
      </c>
      <c r="AC145" s="18" t="e">
        <f>$CP$17*Table29128[[#This Row],[DMD '[mg/g']]]+$CQ$17*Table29128[[#This Row],[CH4 '[g/g DDM']]]</f>
        <v>#REF!</v>
      </c>
      <c r="AD145" s="18" t="e">
        <f>_xlfn.RANK.AVG(Table29128[[#This Row],[Index]],Table29128[Index])</f>
        <v>#REF!</v>
      </c>
      <c r="AE145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45" s="18" t="e">
        <f>Table29128[[#This Row],[CH4 '[ml/g']]]/Table29128[[#This Row],[APB]]</f>
        <v>#REF!</v>
      </c>
      <c r="AG145" s="18" t="e">
        <f>Table29128[[#This Row],[Propionate '[%']]]/Table29128[[#This Row],[Acetate '[%']]]</f>
        <v>#DIV/0!</v>
      </c>
      <c r="AH145" s="51"/>
      <c r="AI145" s="18"/>
      <c r="AJ145" s="18"/>
      <c r="AK145" s="135" t="e">
        <f t="shared" si="6"/>
        <v>#REF!</v>
      </c>
      <c r="AL145" s="18"/>
      <c r="AM145" s="135" t="e">
        <f t="shared" si="7"/>
        <v>#REF!</v>
      </c>
      <c r="AN145" s="18" t="e">
        <f>(Table29128[[#This Row],[CH4 '[g/g DDM']]]-AN$15)/AN$15%</f>
        <v>#REF!</v>
      </c>
      <c r="AO145" s="18"/>
      <c r="AP145" s="18"/>
      <c r="AR145" t="e">
        <f>_xlfn.NORM.DIST(Table29128[[#This Row],[GP '[ml/g']]],O$6,O$2,FALSE)</f>
        <v>#DIV/0!</v>
      </c>
      <c r="AS145" t="e">
        <f>_xlfn.NORM.DIST(Table29128[[#This Row],[SCFA '[mmol/g']]],P$6,P$2,FALSE)</f>
        <v>#DIV/0!</v>
      </c>
      <c r="AT145" t="e">
        <f>_xlfn.NORM.DIST(Table29128[[#This Row],[Acetate '[%']]],Q$6,Q$2,FALSE)</f>
        <v>#DIV/0!</v>
      </c>
      <c r="AU145" t="e">
        <f>_xlfn.NORM.DIST(Table29128[[#This Row],[Propionate '[%']]],R$6,R$2,FALSE)</f>
        <v>#DIV/0!</v>
      </c>
      <c r="AV145" t="e">
        <f>_xlfn.NORM.DIST(Table29128[[#This Row],[Butyrate '[%']]],S$6,S$2,FALSE)</f>
        <v>#DIV/0!</v>
      </c>
      <c r="AW145" t="e">
        <f>_xlfn.NORM.DIST(Table29128[[#This Row],[Valerate '[%']]],T$6,T$2,FALSE)</f>
        <v>#DIV/0!</v>
      </c>
      <c r="AX145" t="e">
        <f>_xlfn.NORM.DIST(Table29128[[#This Row],[Caproate '[%']]],U$6,U$2,FALSE)</f>
        <v>#DIV/0!</v>
      </c>
      <c r="AY145" t="e">
        <f>_xlfn.NORM.DIST(Table29128[[#This Row],[Isobutyrate '[%']]],V$6,V$2,FALSE)</f>
        <v>#DIV/0!</v>
      </c>
      <c r="AZ145" t="e">
        <f>_xlfn.NORM.DIST(Table29128[[#This Row],[Isovalerate '[%']]],W$6,W$2,FALSE)</f>
        <v>#DIV/0!</v>
      </c>
      <c r="BA145" t="e">
        <f>_xlfn.NORM.DIST(Table29128[[#This Row],[CH4 '[g/mmol SCFA']]],X$6,X$2,FALSE)</f>
        <v>#DIV/0!</v>
      </c>
      <c r="BB145" t="e">
        <f>_xlfn.NORM.DIST(Table29128[[#This Row],[DMD '[mg/g']]],Y$6,Y$2,FALSE)</f>
        <v>#REF!</v>
      </c>
      <c r="BC145" t="e">
        <f>_xlfn.NORM.DIST(Table29128[[#This Row],[CH4 '[ml/g']]],Z$6,Z$2,FALSE)</f>
        <v>#REF!</v>
      </c>
      <c r="BD145" t="e">
        <f>_xlfn.NORM.DIST(Table29128[[#This Row],[CH4 '[% GP']]],AA$6,AA$2,FALSE)</f>
        <v>#REF!</v>
      </c>
      <c r="BE145" t="e">
        <f>_xlfn.NORM.DIST(Table29128[[#This Row],[CH4 '[g/g DDM']]],AB$6,AB$2,FALSE)</f>
        <v>#REF!</v>
      </c>
      <c r="BG145">
        <f>IF(Table29128[[#This Row],[GP '[ml/g']]]&lt;O$10,_xlfn.NORM.DIST(Table29128[[#This Row],[GP '[ml/g']]],O$6,O$2,FALSE),-100)</f>
        <v>-100</v>
      </c>
      <c r="BH145">
        <f>IF(Table29128[[#This Row],[SCFA '[mmol/g']]]&lt;P$10,_xlfn.NORM.DIST(Table29128[[#This Row],[SCFA '[mmol/g']]],P$6,P$2,FALSE),-100)</f>
        <v>-100</v>
      </c>
      <c r="BI145">
        <f>IF(Table29128[[#This Row],[Acetate '[%']]]&lt;Q$10,_xlfn.NORM.DIST(Table29128[[#This Row],[Acetate '[%']]],Q$6,Q$2,FALSE),-100)</f>
        <v>-100</v>
      </c>
      <c r="BJ145">
        <f>IF(Table29128[[#This Row],[Propionate '[%']]]&lt;R$10,_xlfn.NORM.DIST(Table29128[[#This Row],[Propionate '[%']]],R$6,R$2,FALSE),-100)</f>
        <v>-100</v>
      </c>
      <c r="BK145">
        <f>IF(Table29128[[#This Row],[Butyrate '[%']]]&lt;S$10,_xlfn.NORM.DIST(Table29128[[#This Row],[Butyrate '[%']]],S$6,S$2,FALSE),-100)</f>
        <v>-100</v>
      </c>
      <c r="BL145">
        <f>IF(Table29128[[#This Row],[Valerate '[%']]]&lt;T$10,_xlfn.NORM.DIST(Table29128[[#This Row],[Valerate '[%']]],T$6,T$2,FALSE),-100)</f>
        <v>-100</v>
      </c>
      <c r="BM145">
        <f>IF(Table29128[[#This Row],[Caproate '[%']]]&lt;U$10,_xlfn.NORM.DIST(Table29128[[#This Row],[Caproate '[%']]],U$6,U$2,FALSE),-100)</f>
        <v>-100</v>
      </c>
      <c r="BN145">
        <f>IF(Table29128[[#This Row],[Isobutyrate '[%']]]&lt;V$10,_xlfn.NORM.DIST(Table29128[[#This Row],[Isobutyrate '[%']]],V$6,V$2,FALSE),-100)</f>
        <v>-100</v>
      </c>
      <c r="BO145">
        <f>IF(Table29128[[#This Row],[Isovalerate '[%']]]&lt;W$10,_xlfn.NORM.DIST(Table29128[[#This Row],[Isovalerate '[%']]],W$6,W$2,FALSE),-100)</f>
        <v>-100</v>
      </c>
      <c r="BP145">
        <f>IF(Table29128[[#This Row],[CH4 '[g/mmol SCFA']]]&lt;X$10,_xlfn.NORM.DIST(Table29128[[#This Row],[CH4 '[g/mmol SCFA']]],X$6,X$2,FALSE),-100)</f>
        <v>-100</v>
      </c>
      <c r="BQ145" t="e">
        <f>IF(Table29128[[#This Row],[DMD '[mg/g']]]&gt;Y$10,_xlfn.NORM.DIST(Table29128[[#This Row],[DMD '[mg/g']]],Y$6,Y$2,FALSE),-100)</f>
        <v>#REF!</v>
      </c>
      <c r="BR145" t="e">
        <f>IF(Table29128[[#This Row],[CH4 '[ml/g']]]&lt;Z$10,_xlfn.NORM.DIST(Table29128[[#This Row],[CH4 '[ml/g']]],Z$6,Z$2,FALSE),-100)</f>
        <v>#REF!</v>
      </c>
      <c r="BS145" t="e">
        <f>IF(Table29128[[#This Row],[CH4 '[% GP']]]&lt;AA$10,_xlfn.NORM.DIST(Table29128[[#This Row],[CH4 '[% GP']]],AA$6,AA$2,FALSE),-100)</f>
        <v>#REF!</v>
      </c>
      <c r="BT145" t="e">
        <f>IF(Table29128[[#This Row],[CH4 '[g/g DDM']]]&lt;AB$10,_xlfn.NORM.DIST(Table29128[[#This Row],[CH4 '[g/g DDM']]],AB$6,AB$2,FALSE),-100)</f>
        <v>#REF!</v>
      </c>
    </row>
    <row r="146" spans="1:90" x14ac:dyDescent="0.25">
      <c r="A146" s="12" t="s">
        <v>200</v>
      </c>
      <c r="B146" s="13">
        <v>1144</v>
      </c>
      <c r="C146" s="117" t="s">
        <v>310</v>
      </c>
      <c r="D146" s="117" t="s">
        <v>233</v>
      </c>
      <c r="E146" s="117" t="s">
        <v>234</v>
      </c>
      <c r="F146" s="117" t="s">
        <v>235</v>
      </c>
      <c r="G146" t="s">
        <v>73</v>
      </c>
      <c r="H146" t="s">
        <v>74</v>
      </c>
      <c r="I146" t="s">
        <v>75</v>
      </c>
      <c r="J146" s="70">
        <v>1</v>
      </c>
      <c r="K146" s="70"/>
      <c r="L146" s="70"/>
      <c r="M146" t="s">
        <v>311</v>
      </c>
      <c r="N146" t="s">
        <v>237</v>
      </c>
      <c r="O146" s="18"/>
      <c r="P146" s="18"/>
      <c r="Q146" s="97"/>
      <c r="R146" s="97"/>
      <c r="S146" s="97"/>
      <c r="T146" s="97"/>
      <c r="U146" s="97"/>
      <c r="V146" s="97"/>
      <c r="W146" s="97"/>
      <c r="X146" s="51"/>
      <c r="Y146" s="18" t="e">
        <f>AVERAGEIFS([1]!Table2912[DMD '[mg/g']],[1]!Table2912[Substrate ID],Table29128[[#This Row],[Substrate ID]])</f>
        <v>#REF!</v>
      </c>
      <c r="Z146" s="18" t="e">
        <f>AVERAGEIFS([1]!Table2912[CH4 '[ml/g']],[1]!Table2912[Substrate ID],Table29128[[#This Row],[Substrate ID]])</f>
        <v>#REF!</v>
      </c>
      <c r="AA146" s="18" t="e">
        <f>AVERAGEIFS([1]!Table2912[CH4 '[% GP']],[1]!Table2912[Substrate ID],Table29128[[#This Row],[Substrate ID]])</f>
        <v>#REF!</v>
      </c>
      <c r="AB146" s="18" t="e">
        <f>AVERAGEIFS([1]!Table2912[CH4 '[g/g DDM']],[1]!Table2912[Substrate ID],Table29128[[#This Row],[Substrate ID]])</f>
        <v>#REF!</v>
      </c>
      <c r="AC146" s="18" t="e">
        <f>$CP$17*Table29128[[#This Row],[DMD '[mg/g']]]+$CQ$17*Table29128[[#This Row],[CH4 '[g/g DDM']]]</f>
        <v>#REF!</v>
      </c>
      <c r="AD146" s="18" t="e">
        <f>_xlfn.RANK.AVG(Table29128[[#This Row],[Index]],Table29128[Index])</f>
        <v>#REF!</v>
      </c>
      <c r="AE146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46" s="18" t="e">
        <f>Table29128[[#This Row],[CH4 '[ml/g']]]/Table29128[[#This Row],[APB]]</f>
        <v>#REF!</v>
      </c>
      <c r="AG146" s="18" t="e">
        <f>Table29128[[#This Row],[Propionate '[%']]]/Table29128[[#This Row],[Acetate '[%']]]</f>
        <v>#DIV/0!</v>
      </c>
      <c r="AH146" s="51"/>
      <c r="AI146" s="18"/>
      <c r="AJ146" s="18"/>
      <c r="AK146" s="135" t="e">
        <f t="shared" si="6"/>
        <v>#REF!</v>
      </c>
      <c r="AL146" s="18"/>
      <c r="AM146" s="135" t="e">
        <f t="shared" si="7"/>
        <v>#REF!</v>
      </c>
      <c r="AN146" s="18" t="e">
        <f>(Table29128[[#This Row],[CH4 '[g/g DDM']]]-AN$15)/AN$15%</f>
        <v>#REF!</v>
      </c>
      <c r="AO146" s="18"/>
      <c r="AP146" s="18"/>
      <c r="AR146" t="e">
        <f>_xlfn.NORM.DIST(Table29128[[#This Row],[GP '[ml/g']]],O$6,O$2,FALSE)</f>
        <v>#DIV/0!</v>
      </c>
      <c r="AS146" t="e">
        <f>_xlfn.NORM.DIST(Table29128[[#This Row],[SCFA '[mmol/g']]],P$6,P$2,FALSE)</f>
        <v>#DIV/0!</v>
      </c>
      <c r="AT146" t="e">
        <f>_xlfn.NORM.DIST(Table29128[[#This Row],[Acetate '[%']]],Q$6,Q$2,FALSE)</f>
        <v>#DIV/0!</v>
      </c>
      <c r="AU146" t="e">
        <f>_xlfn.NORM.DIST(Table29128[[#This Row],[Propionate '[%']]],R$6,R$2,FALSE)</f>
        <v>#DIV/0!</v>
      </c>
      <c r="AV146" t="e">
        <f>_xlfn.NORM.DIST(Table29128[[#This Row],[Butyrate '[%']]],S$6,S$2,FALSE)</f>
        <v>#DIV/0!</v>
      </c>
      <c r="AW146" t="e">
        <f>_xlfn.NORM.DIST(Table29128[[#This Row],[Valerate '[%']]],T$6,T$2,FALSE)</f>
        <v>#DIV/0!</v>
      </c>
      <c r="AX146" t="e">
        <f>_xlfn.NORM.DIST(Table29128[[#This Row],[Caproate '[%']]],U$6,U$2,FALSE)</f>
        <v>#DIV/0!</v>
      </c>
      <c r="AY146" t="e">
        <f>_xlfn.NORM.DIST(Table29128[[#This Row],[Isobutyrate '[%']]],V$6,V$2,FALSE)</f>
        <v>#DIV/0!</v>
      </c>
      <c r="AZ146" t="e">
        <f>_xlfn.NORM.DIST(Table29128[[#This Row],[Isovalerate '[%']]],W$6,W$2,FALSE)</f>
        <v>#DIV/0!</v>
      </c>
      <c r="BA146" t="e">
        <f>_xlfn.NORM.DIST(Table29128[[#This Row],[CH4 '[g/mmol SCFA']]],X$6,X$2,FALSE)</f>
        <v>#DIV/0!</v>
      </c>
      <c r="BB146" t="e">
        <f>_xlfn.NORM.DIST(Table29128[[#This Row],[DMD '[mg/g']]],Y$6,Y$2,FALSE)</f>
        <v>#REF!</v>
      </c>
      <c r="BC146" t="e">
        <f>_xlfn.NORM.DIST(Table29128[[#This Row],[CH4 '[ml/g']]],Z$6,Z$2,FALSE)</f>
        <v>#REF!</v>
      </c>
      <c r="BD146" t="e">
        <f>_xlfn.NORM.DIST(Table29128[[#This Row],[CH4 '[% GP']]],AA$6,AA$2,FALSE)</f>
        <v>#REF!</v>
      </c>
      <c r="BE146" t="e">
        <f>_xlfn.NORM.DIST(Table29128[[#This Row],[CH4 '[g/g DDM']]],AB$6,AB$2,FALSE)</f>
        <v>#REF!</v>
      </c>
      <c r="BG146">
        <f>IF(Table29128[[#This Row],[GP '[ml/g']]]&lt;O$10,_xlfn.NORM.DIST(Table29128[[#This Row],[GP '[ml/g']]],O$6,O$2,FALSE),-100)</f>
        <v>-100</v>
      </c>
      <c r="BH146">
        <f>IF(Table29128[[#This Row],[SCFA '[mmol/g']]]&lt;P$10,_xlfn.NORM.DIST(Table29128[[#This Row],[SCFA '[mmol/g']]],P$6,P$2,FALSE),-100)</f>
        <v>-100</v>
      </c>
      <c r="BI146">
        <f>IF(Table29128[[#This Row],[Acetate '[%']]]&lt;Q$10,_xlfn.NORM.DIST(Table29128[[#This Row],[Acetate '[%']]],Q$6,Q$2,FALSE),-100)</f>
        <v>-100</v>
      </c>
      <c r="BJ146">
        <f>IF(Table29128[[#This Row],[Propionate '[%']]]&lt;R$10,_xlfn.NORM.DIST(Table29128[[#This Row],[Propionate '[%']]],R$6,R$2,FALSE),-100)</f>
        <v>-100</v>
      </c>
      <c r="BK146">
        <f>IF(Table29128[[#This Row],[Butyrate '[%']]]&lt;S$10,_xlfn.NORM.DIST(Table29128[[#This Row],[Butyrate '[%']]],S$6,S$2,FALSE),-100)</f>
        <v>-100</v>
      </c>
      <c r="BL146">
        <f>IF(Table29128[[#This Row],[Valerate '[%']]]&lt;T$10,_xlfn.NORM.DIST(Table29128[[#This Row],[Valerate '[%']]],T$6,T$2,FALSE),-100)</f>
        <v>-100</v>
      </c>
      <c r="BM146">
        <f>IF(Table29128[[#This Row],[Caproate '[%']]]&lt;U$10,_xlfn.NORM.DIST(Table29128[[#This Row],[Caproate '[%']]],U$6,U$2,FALSE),-100)</f>
        <v>-100</v>
      </c>
      <c r="BN146">
        <f>IF(Table29128[[#This Row],[Isobutyrate '[%']]]&lt;V$10,_xlfn.NORM.DIST(Table29128[[#This Row],[Isobutyrate '[%']]],V$6,V$2,FALSE),-100)</f>
        <v>-100</v>
      </c>
      <c r="BO146">
        <f>IF(Table29128[[#This Row],[Isovalerate '[%']]]&lt;W$10,_xlfn.NORM.DIST(Table29128[[#This Row],[Isovalerate '[%']]],W$6,W$2,FALSE),-100)</f>
        <v>-100</v>
      </c>
      <c r="BP146">
        <f>IF(Table29128[[#This Row],[CH4 '[g/mmol SCFA']]]&lt;X$10,_xlfn.NORM.DIST(Table29128[[#This Row],[CH4 '[g/mmol SCFA']]],X$6,X$2,FALSE),-100)</f>
        <v>-100</v>
      </c>
      <c r="BQ146" t="e">
        <f>IF(Table29128[[#This Row],[DMD '[mg/g']]]&gt;Y$10,_xlfn.NORM.DIST(Table29128[[#This Row],[DMD '[mg/g']]],Y$6,Y$2,FALSE),-100)</f>
        <v>#REF!</v>
      </c>
      <c r="BR146" t="e">
        <f>IF(Table29128[[#This Row],[CH4 '[ml/g']]]&lt;Z$10,_xlfn.NORM.DIST(Table29128[[#This Row],[CH4 '[ml/g']]],Z$6,Z$2,FALSE),-100)</f>
        <v>#REF!</v>
      </c>
      <c r="BS146" t="e">
        <f>IF(Table29128[[#This Row],[CH4 '[% GP']]]&lt;AA$10,_xlfn.NORM.DIST(Table29128[[#This Row],[CH4 '[% GP']]],AA$6,AA$2,FALSE),-100)</f>
        <v>#REF!</v>
      </c>
      <c r="BT146" t="e">
        <f>IF(Table29128[[#This Row],[CH4 '[g/g DDM']]]&lt;AB$10,_xlfn.NORM.DIST(Table29128[[#This Row],[CH4 '[g/g DDM']]],AB$6,AB$2,FALSE),-100)</f>
        <v>#REF!</v>
      </c>
    </row>
    <row r="147" spans="1:90" x14ac:dyDescent="0.25">
      <c r="A147" s="12" t="s">
        <v>70</v>
      </c>
      <c r="B147" s="13">
        <v>1042</v>
      </c>
      <c r="C147" s="96" t="s">
        <v>336</v>
      </c>
      <c r="D147" s="96"/>
      <c r="E147" s="96"/>
      <c r="F147" s="96" t="s">
        <v>337</v>
      </c>
      <c r="G147" s="15" t="s">
        <v>143</v>
      </c>
      <c r="H147" s="15" t="s">
        <v>144</v>
      </c>
      <c r="I147" t="s">
        <v>52</v>
      </c>
      <c r="J147" s="100">
        <v>1</v>
      </c>
      <c r="K147" s="100"/>
      <c r="L147" s="100"/>
      <c r="M147" t="s">
        <v>337</v>
      </c>
      <c r="N147" t="s">
        <v>85</v>
      </c>
      <c r="O147" s="18"/>
      <c r="P147" s="18"/>
      <c r="Q147" s="97"/>
      <c r="R147" s="97"/>
      <c r="S147" s="97"/>
      <c r="T147" s="97"/>
      <c r="U147" s="97"/>
      <c r="V147" s="97"/>
      <c r="W147" s="97"/>
      <c r="X147" s="51"/>
      <c r="Y147" s="18" t="e">
        <f>AVERAGEIFS([1]!Table2912[DMD '[mg/g']],[1]!Table2912[Substrate ID],Table29128[[#This Row],[Substrate ID]])</f>
        <v>#REF!</v>
      </c>
      <c r="Z147" s="18" t="e">
        <f>AVERAGEIFS([1]!Table2912[CH4 '[ml/g']],[1]!Table2912[Substrate ID],Table29128[[#This Row],[Substrate ID]])</f>
        <v>#REF!</v>
      </c>
      <c r="AA147" s="18" t="e">
        <f>AVERAGEIFS([1]!Table2912[CH4 '[% GP']],[1]!Table2912[Substrate ID],Table29128[[#This Row],[Substrate ID]])</f>
        <v>#REF!</v>
      </c>
      <c r="AB147" s="18" t="e">
        <f>AVERAGEIFS([1]!Table2912[CH4 '[g/g DDM']],[1]!Table2912[Substrate ID],Table29128[[#This Row],[Substrate ID]])</f>
        <v>#REF!</v>
      </c>
      <c r="AC147" s="18" t="e">
        <f>$CP$17*Table29128[[#This Row],[DMD '[mg/g']]]+$CQ$17*Table29128[[#This Row],[CH4 '[g/g DDM']]]</f>
        <v>#REF!</v>
      </c>
      <c r="AD147" s="18" t="e">
        <f>_xlfn.RANK.AVG(Table29128[[#This Row],[Index]],Table29128[Index])</f>
        <v>#REF!</v>
      </c>
      <c r="AE147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47" s="18" t="e">
        <f>Table29128[[#This Row],[CH4 '[ml/g']]]/Table29128[[#This Row],[APB]]</f>
        <v>#REF!</v>
      </c>
      <c r="AG147" s="18" t="e">
        <f>Table29128[[#This Row],[Propionate '[%']]]/Table29128[[#This Row],[Acetate '[%']]]</f>
        <v>#DIV/0!</v>
      </c>
      <c r="AH147" s="51"/>
      <c r="AI147" s="18"/>
      <c r="AJ147" s="18"/>
      <c r="AK147" s="135" t="e">
        <f t="shared" si="6"/>
        <v>#REF!</v>
      </c>
      <c r="AL147" s="18"/>
      <c r="AM147" s="135" t="e">
        <f t="shared" si="7"/>
        <v>#REF!</v>
      </c>
      <c r="AN147" s="18" t="e">
        <f>(Table29128[[#This Row],[CH4 '[g/g DDM']]]-AN$15)/AN$15%</f>
        <v>#REF!</v>
      </c>
      <c r="AO147" s="18"/>
      <c r="AP147" s="18"/>
      <c r="AR147" t="e">
        <f>_xlfn.NORM.DIST(Table29128[[#This Row],[GP '[ml/g']]],O$6,O$2,FALSE)</f>
        <v>#DIV/0!</v>
      </c>
      <c r="AS147" t="e">
        <f>_xlfn.NORM.DIST(Table29128[[#This Row],[SCFA '[mmol/g']]],P$6,P$2,FALSE)</f>
        <v>#DIV/0!</v>
      </c>
      <c r="AT147" t="e">
        <f>_xlfn.NORM.DIST(Table29128[[#This Row],[Acetate '[%']]],Q$6,Q$2,FALSE)</f>
        <v>#DIV/0!</v>
      </c>
      <c r="AU147" t="e">
        <f>_xlfn.NORM.DIST(Table29128[[#This Row],[Propionate '[%']]],R$6,R$2,FALSE)</f>
        <v>#DIV/0!</v>
      </c>
      <c r="AV147" t="e">
        <f>_xlfn.NORM.DIST(Table29128[[#This Row],[Butyrate '[%']]],S$6,S$2,FALSE)</f>
        <v>#DIV/0!</v>
      </c>
      <c r="AW147" t="e">
        <f>_xlfn.NORM.DIST(Table29128[[#This Row],[Valerate '[%']]],T$6,T$2,FALSE)</f>
        <v>#DIV/0!</v>
      </c>
      <c r="AX147" t="e">
        <f>_xlfn.NORM.DIST(Table29128[[#This Row],[Caproate '[%']]],U$6,U$2,FALSE)</f>
        <v>#DIV/0!</v>
      </c>
      <c r="AY147" t="e">
        <f>_xlfn.NORM.DIST(Table29128[[#This Row],[Isobutyrate '[%']]],V$6,V$2,FALSE)</f>
        <v>#DIV/0!</v>
      </c>
      <c r="AZ147" t="e">
        <f>_xlfn.NORM.DIST(Table29128[[#This Row],[Isovalerate '[%']]],W$6,W$2,FALSE)</f>
        <v>#DIV/0!</v>
      </c>
      <c r="BA147" t="e">
        <f>_xlfn.NORM.DIST(Table29128[[#This Row],[CH4 '[g/mmol SCFA']]],X$6,X$2,FALSE)</f>
        <v>#DIV/0!</v>
      </c>
      <c r="BB147" t="e">
        <f>_xlfn.NORM.DIST(Table29128[[#This Row],[DMD '[mg/g']]],Y$6,Y$2,FALSE)</f>
        <v>#REF!</v>
      </c>
      <c r="BC147" t="e">
        <f>_xlfn.NORM.DIST(Table29128[[#This Row],[CH4 '[ml/g']]],Z$6,Z$2,FALSE)</f>
        <v>#REF!</v>
      </c>
      <c r="BD147" t="e">
        <f>_xlfn.NORM.DIST(Table29128[[#This Row],[CH4 '[% GP']]],AA$6,AA$2,FALSE)</f>
        <v>#REF!</v>
      </c>
      <c r="BE147" t="e">
        <f>_xlfn.NORM.DIST(Table29128[[#This Row],[CH4 '[g/g DDM']]],AB$6,AB$2,FALSE)</f>
        <v>#REF!</v>
      </c>
      <c r="BG147">
        <f>IF(Table29128[[#This Row],[GP '[ml/g']]]&lt;O$10,_xlfn.NORM.DIST(Table29128[[#This Row],[GP '[ml/g']]],O$6,O$2,FALSE),-100)</f>
        <v>-100</v>
      </c>
      <c r="BH147">
        <f>IF(Table29128[[#This Row],[SCFA '[mmol/g']]]&lt;P$10,_xlfn.NORM.DIST(Table29128[[#This Row],[SCFA '[mmol/g']]],P$6,P$2,FALSE),-100)</f>
        <v>-100</v>
      </c>
      <c r="BI147">
        <f>IF(Table29128[[#This Row],[Acetate '[%']]]&lt;Q$10,_xlfn.NORM.DIST(Table29128[[#This Row],[Acetate '[%']]],Q$6,Q$2,FALSE),-100)</f>
        <v>-100</v>
      </c>
      <c r="BJ147">
        <f>IF(Table29128[[#This Row],[Propionate '[%']]]&lt;R$10,_xlfn.NORM.DIST(Table29128[[#This Row],[Propionate '[%']]],R$6,R$2,FALSE),-100)</f>
        <v>-100</v>
      </c>
      <c r="BK147">
        <f>IF(Table29128[[#This Row],[Butyrate '[%']]]&lt;S$10,_xlfn.NORM.DIST(Table29128[[#This Row],[Butyrate '[%']]],S$6,S$2,FALSE),-100)</f>
        <v>-100</v>
      </c>
      <c r="BL147">
        <f>IF(Table29128[[#This Row],[Valerate '[%']]]&lt;T$10,_xlfn.NORM.DIST(Table29128[[#This Row],[Valerate '[%']]],T$6,T$2,FALSE),-100)</f>
        <v>-100</v>
      </c>
      <c r="BM147">
        <f>IF(Table29128[[#This Row],[Caproate '[%']]]&lt;U$10,_xlfn.NORM.DIST(Table29128[[#This Row],[Caproate '[%']]],U$6,U$2,FALSE),-100)</f>
        <v>-100</v>
      </c>
      <c r="BN147">
        <f>IF(Table29128[[#This Row],[Isobutyrate '[%']]]&lt;V$10,_xlfn.NORM.DIST(Table29128[[#This Row],[Isobutyrate '[%']]],V$6,V$2,FALSE),-100)</f>
        <v>-100</v>
      </c>
      <c r="BO147">
        <f>IF(Table29128[[#This Row],[Isovalerate '[%']]]&lt;W$10,_xlfn.NORM.DIST(Table29128[[#This Row],[Isovalerate '[%']]],W$6,W$2,FALSE),-100)</f>
        <v>-100</v>
      </c>
      <c r="BP147">
        <f>IF(Table29128[[#This Row],[CH4 '[g/mmol SCFA']]]&lt;X$10,_xlfn.NORM.DIST(Table29128[[#This Row],[CH4 '[g/mmol SCFA']]],X$6,X$2,FALSE),-100)</f>
        <v>-100</v>
      </c>
      <c r="BQ147" t="e">
        <f>IF(Table29128[[#This Row],[DMD '[mg/g']]]&gt;Y$10,_xlfn.NORM.DIST(Table29128[[#This Row],[DMD '[mg/g']]],Y$6,Y$2,FALSE),-100)</f>
        <v>#REF!</v>
      </c>
      <c r="BR147" t="e">
        <f>IF(Table29128[[#This Row],[CH4 '[ml/g']]]&lt;Z$10,_xlfn.NORM.DIST(Table29128[[#This Row],[CH4 '[ml/g']]],Z$6,Z$2,FALSE),-100)</f>
        <v>#REF!</v>
      </c>
      <c r="BS147" t="e">
        <f>IF(Table29128[[#This Row],[CH4 '[% GP']]]&lt;AA$10,_xlfn.NORM.DIST(Table29128[[#This Row],[CH4 '[% GP']]],AA$6,AA$2,FALSE),-100)</f>
        <v>#REF!</v>
      </c>
      <c r="BT147" t="e">
        <f>IF(Table29128[[#This Row],[CH4 '[g/g DDM']]]&lt;AB$10,_xlfn.NORM.DIST(Table29128[[#This Row],[CH4 '[g/g DDM']]],AB$6,AB$2,FALSE),-100)</f>
        <v>#REF!</v>
      </c>
    </row>
    <row r="148" spans="1:90" x14ac:dyDescent="0.25">
      <c r="A148" s="12" t="s">
        <v>70</v>
      </c>
      <c r="B148" s="13">
        <v>995</v>
      </c>
      <c r="C148" s="96" t="s">
        <v>226</v>
      </c>
      <c r="D148" s="96"/>
      <c r="E148" s="96"/>
      <c r="F148" s="96" t="s">
        <v>227</v>
      </c>
      <c r="G148" t="s">
        <v>73</v>
      </c>
      <c r="H148" t="s">
        <v>74</v>
      </c>
      <c r="I148" t="s">
        <v>75</v>
      </c>
      <c r="J148" s="100">
        <v>1</v>
      </c>
      <c r="K148" s="100"/>
      <c r="L148" s="100"/>
      <c r="M148" t="s">
        <v>227</v>
      </c>
      <c r="N148" t="s">
        <v>85</v>
      </c>
      <c r="O148" s="18"/>
      <c r="P148" s="18"/>
      <c r="Q148" s="97"/>
      <c r="R148" s="97"/>
      <c r="S148" s="97"/>
      <c r="T148" s="97"/>
      <c r="U148" s="97"/>
      <c r="V148" s="97"/>
      <c r="W148" s="97"/>
      <c r="X148" s="51"/>
      <c r="Y148" s="18" t="e">
        <f>AVERAGEIFS([1]!Table2912[DMD '[mg/g']],[1]!Table2912[Substrate ID],Table29128[[#This Row],[Substrate ID]])</f>
        <v>#REF!</v>
      </c>
      <c r="Z148" s="18" t="e">
        <f>AVERAGEIFS([1]!Table2912[CH4 '[ml/g']],[1]!Table2912[Substrate ID],Table29128[[#This Row],[Substrate ID]])</f>
        <v>#REF!</v>
      </c>
      <c r="AA148" s="18" t="e">
        <f>AVERAGEIFS([1]!Table2912[CH4 '[% GP']],[1]!Table2912[Substrate ID],Table29128[[#This Row],[Substrate ID]])</f>
        <v>#REF!</v>
      </c>
      <c r="AB148" s="18" t="e">
        <f>AVERAGEIFS([1]!Table2912[CH4 '[g/g DDM']],[1]!Table2912[Substrate ID],Table29128[[#This Row],[Substrate ID]])</f>
        <v>#REF!</v>
      </c>
      <c r="AC148" s="18" t="e">
        <f>$CP$17*Table29128[[#This Row],[DMD '[mg/g']]]+$CQ$17*Table29128[[#This Row],[CH4 '[g/g DDM']]]</f>
        <v>#REF!</v>
      </c>
      <c r="AD148" s="18" t="e">
        <f>_xlfn.RANK.AVG(Table29128[[#This Row],[Index]],Table29128[Index])</f>
        <v>#REF!</v>
      </c>
      <c r="AE148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48" s="18" t="e">
        <f>Table29128[[#This Row],[CH4 '[ml/g']]]/Table29128[[#This Row],[APB]]</f>
        <v>#REF!</v>
      </c>
      <c r="AG148" s="18" t="e">
        <f>Table29128[[#This Row],[Propionate '[%']]]/Table29128[[#This Row],[Acetate '[%']]]</f>
        <v>#DIV/0!</v>
      </c>
      <c r="AH148" s="51"/>
      <c r="AI148" s="18"/>
      <c r="AJ148" s="18"/>
      <c r="AK148" s="135" t="e">
        <f t="shared" si="6"/>
        <v>#REF!</v>
      </c>
      <c r="AL148" s="18"/>
      <c r="AM148" s="135" t="e">
        <f t="shared" si="7"/>
        <v>#REF!</v>
      </c>
      <c r="AN148" s="18" t="e">
        <f>(Table29128[[#This Row],[CH4 '[g/g DDM']]]-AN$15)/AN$15%</f>
        <v>#REF!</v>
      </c>
      <c r="AO148" s="18"/>
      <c r="AP148" s="18"/>
      <c r="AR148" t="e">
        <f>_xlfn.NORM.DIST(Table29128[[#This Row],[GP '[ml/g']]],O$6,O$2,FALSE)</f>
        <v>#DIV/0!</v>
      </c>
      <c r="AS148" t="e">
        <f>_xlfn.NORM.DIST(Table29128[[#This Row],[SCFA '[mmol/g']]],P$6,P$2,FALSE)</f>
        <v>#DIV/0!</v>
      </c>
      <c r="AT148" t="e">
        <f>_xlfn.NORM.DIST(Table29128[[#This Row],[Acetate '[%']]],Q$6,Q$2,FALSE)</f>
        <v>#DIV/0!</v>
      </c>
      <c r="AU148" t="e">
        <f>_xlfn.NORM.DIST(Table29128[[#This Row],[Propionate '[%']]],R$6,R$2,FALSE)</f>
        <v>#DIV/0!</v>
      </c>
      <c r="AV148" t="e">
        <f>_xlfn.NORM.DIST(Table29128[[#This Row],[Butyrate '[%']]],S$6,S$2,FALSE)</f>
        <v>#DIV/0!</v>
      </c>
      <c r="AW148" t="e">
        <f>_xlfn.NORM.DIST(Table29128[[#This Row],[Valerate '[%']]],T$6,T$2,FALSE)</f>
        <v>#DIV/0!</v>
      </c>
      <c r="AX148" t="e">
        <f>_xlfn.NORM.DIST(Table29128[[#This Row],[Caproate '[%']]],U$6,U$2,FALSE)</f>
        <v>#DIV/0!</v>
      </c>
      <c r="AY148" t="e">
        <f>_xlfn.NORM.DIST(Table29128[[#This Row],[Isobutyrate '[%']]],V$6,V$2,FALSE)</f>
        <v>#DIV/0!</v>
      </c>
      <c r="AZ148" t="e">
        <f>_xlfn.NORM.DIST(Table29128[[#This Row],[Isovalerate '[%']]],W$6,W$2,FALSE)</f>
        <v>#DIV/0!</v>
      </c>
      <c r="BA148" t="e">
        <f>_xlfn.NORM.DIST(Table29128[[#This Row],[CH4 '[g/mmol SCFA']]],X$6,X$2,FALSE)</f>
        <v>#DIV/0!</v>
      </c>
      <c r="BB148" t="e">
        <f>_xlfn.NORM.DIST(Table29128[[#This Row],[DMD '[mg/g']]],Y$6,Y$2,FALSE)</f>
        <v>#REF!</v>
      </c>
      <c r="BC148" t="e">
        <f>_xlfn.NORM.DIST(Table29128[[#This Row],[CH4 '[ml/g']]],Z$6,Z$2,FALSE)</f>
        <v>#REF!</v>
      </c>
      <c r="BD148" t="e">
        <f>_xlfn.NORM.DIST(Table29128[[#This Row],[CH4 '[% GP']]],AA$6,AA$2,FALSE)</f>
        <v>#REF!</v>
      </c>
      <c r="BE148" t="e">
        <f>_xlfn.NORM.DIST(Table29128[[#This Row],[CH4 '[g/g DDM']]],AB$6,AB$2,FALSE)</f>
        <v>#REF!</v>
      </c>
      <c r="BG148">
        <f>IF(Table29128[[#This Row],[GP '[ml/g']]]&lt;O$10,_xlfn.NORM.DIST(Table29128[[#This Row],[GP '[ml/g']]],O$6,O$2,FALSE),-100)</f>
        <v>-100</v>
      </c>
      <c r="BH148">
        <f>IF(Table29128[[#This Row],[SCFA '[mmol/g']]]&lt;P$10,_xlfn.NORM.DIST(Table29128[[#This Row],[SCFA '[mmol/g']]],P$6,P$2,FALSE),-100)</f>
        <v>-100</v>
      </c>
      <c r="BI148">
        <f>IF(Table29128[[#This Row],[Acetate '[%']]]&lt;Q$10,_xlfn.NORM.DIST(Table29128[[#This Row],[Acetate '[%']]],Q$6,Q$2,FALSE),-100)</f>
        <v>-100</v>
      </c>
      <c r="BJ148">
        <f>IF(Table29128[[#This Row],[Propionate '[%']]]&lt;R$10,_xlfn.NORM.DIST(Table29128[[#This Row],[Propionate '[%']]],R$6,R$2,FALSE),-100)</f>
        <v>-100</v>
      </c>
      <c r="BK148">
        <f>IF(Table29128[[#This Row],[Butyrate '[%']]]&lt;S$10,_xlfn.NORM.DIST(Table29128[[#This Row],[Butyrate '[%']]],S$6,S$2,FALSE),-100)</f>
        <v>-100</v>
      </c>
      <c r="BL148">
        <f>IF(Table29128[[#This Row],[Valerate '[%']]]&lt;T$10,_xlfn.NORM.DIST(Table29128[[#This Row],[Valerate '[%']]],T$6,T$2,FALSE),-100)</f>
        <v>-100</v>
      </c>
      <c r="BM148">
        <f>IF(Table29128[[#This Row],[Caproate '[%']]]&lt;U$10,_xlfn.NORM.DIST(Table29128[[#This Row],[Caproate '[%']]],U$6,U$2,FALSE),-100)</f>
        <v>-100</v>
      </c>
      <c r="BN148">
        <f>IF(Table29128[[#This Row],[Isobutyrate '[%']]]&lt;V$10,_xlfn.NORM.DIST(Table29128[[#This Row],[Isobutyrate '[%']]],V$6,V$2,FALSE),-100)</f>
        <v>-100</v>
      </c>
      <c r="BO148">
        <f>IF(Table29128[[#This Row],[Isovalerate '[%']]]&lt;W$10,_xlfn.NORM.DIST(Table29128[[#This Row],[Isovalerate '[%']]],W$6,W$2,FALSE),-100)</f>
        <v>-100</v>
      </c>
      <c r="BP148">
        <f>IF(Table29128[[#This Row],[CH4 '[g/mmol SCFA']]]&lt;X$10,_xlfn.NORM.DIST(Table29128[[#This Row],[CH4 '[g/mmol SCFA']]],X$6,X$2,FALSE),-100)</f>
        <v>-100</v>
      </c>
      <c r="BQ148" t="e">
        <f>IF(Table29128[[#This Row],[DMD '[mg/g']]]&gt;Y$10,_xlfn.NORM.DIST(Table29128[[#This Row],[DMD '[mg/g']]],Y$6,Y$2,FALSE),-100)</f>
        <v>#REF!</v>
      </c>
      <c r="BR148" t="e">
        <f>IF(Table29128[[#This Row],[CH4 '[ml/g']]]&lt;Z$10,_xlfn.NORM.DIST(Table29128[[#This Row],[CH4 '[ml/g']]],Z$6,Z$2,FALSE),-100)</f>
        <v>#REF!</v>
      </c>
      <c r="BS148" t="e">
        <f>IF(Table29128[[#This Row],[CH4 '[% GP']]]&lt;AA$10,_xlfn.NORM.DIST(Table29128[[#This Row],[CH4 '[% GP']]],AA$6,AA$2,FALSE),-100)</f>
        <v>#REF!</v>
      </c>
      <c r="BT148" t="e">
        <f>IF(Table29128[[#This Row],[CH4 '[g/g DDM']]]&lt;AB$10,_xlfn.NORM.DIST(Table29128[[#This Row],[CH4 '[g/g DDM']]],AB$6,AB$2,FALSE),-100)</f>
        <v>#REF!</v>
      </c>
    </row>
    <row r="149" spans="1:90" x14ac:dyDescent="0.25">
      <c r="A149" s="12" t="s">
        <v>70</v>
      </c>
      <c r="B149" s="13">
        <v>1020</v>
      </c>
      <c r="C149" s="96" t="s">
        <v>155</v>
      </c>
      <c r="D149" s="96"/>
      <c r="E149" s="96"/>
      <c r="F149" s="96" t="s">
        <v>156</v>
      </c>
      <c r="G149" t="s">
        <v>73</v>
      </c>
      <c r="H149" t="s">
        <v>74</v>
      </c>
      <c r="I149" t="s">
        <v>75</v>
      </c>
      <c r="J149" s="100">
        <v>1</v>
      </c>
      <c r="K149" s="100"/>
      <c r="L149" s="100"/>
      <c r="M149" t="s">
        <v>156</v>
      </c>
      <c r="N149" t="s">
        <v>80</v>
      </c>
      <c r="O149" s="18"/>
      <c r="P149" s="18"/>
      <c r="Q149" s="97"/>
      <c r="R149" s="97"/>
      <c r="S149" s="97"/>
      <c r="T149" s="97"/>
      <c r="U149" s="97"/>
      <c r="V149" s="97"/>
      <c r="W149" s="97"/>
      <c r="X149" s="51"/>
      <c r="Y149" s="18" t="e">
        <f>AVERAGEIFS([1]!Table2912[DMD '[mg/g']],[1]!Table2912[Substrate ID],Table29128[[#This Row],[Substrate ID]])</f>
        <v>#REF!</v>
      </c>
      <c r="Z149" s="18" t="e">
        <f>AVERAGEIFS([1]!Table2912[CH4 '[ml/g']],[1]!Table2912[Substrate ID],Table29128[[#This Row],[Substrate ID]])</f>
        <v>#REF!</v>
      </c>
      <c r="AA149" s="18" t="e">
        <f>AVERAGEIFS([1]!Table2912[CH4 '[% GP']],[1]!Table2912[Substrate ID],Table29128[[#This Row],[Substrate ID]])</f>
        <v>#REF!</v>
      </c>
      <c r="AB149" s="18" t="e">
        <f>AVERAGEIFS([1]!Table2912[CH4 '[g/g DDM']],[1]!Table2912[Substrate ID],Table29128[[#This Row],[Substrate ID]])</f>
        <v>#REF!</v>
      </c>
      <c r="AC149" s="18" t="e">
        <f>$CP$17*Table29128[[#This Row],[DMD '[mg/g']]]+$CQ$17*Table29128[[#This Row],[CH4 '[g/g DDM']]]</f>
        <v>#REF!</v>
      </c>
      <c r="AD149" s="18" t="e">
        <f>_xlfn.RANK.AVG(Table29128[[#This Row],[Index]],Table29128[Index])</f>
        <v>#REF!</v>
      </c>
      <c r="AE149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49" s="18" t="e">
        <f>Table29128[[#This Row],[CH4 '[ml/g']]]/Table29128[[#This Row],[APB]]</f>
        <v>#REF!</v>
      </c>
      <c r="AG149" s="18" t="e">
        <f>Table29128[[#This Row],[Propionate '[%']]]/Table29128[[#This Row],[Acetate '[%']]]</f>
        <v>#DIV/0!</v>
      </c>
      <c r="AH149" s="51"/>
      <c r="AI149" s="18"/>
      <c r="AJ149" s="18"/>
      <c r="AK149" s="135" t="e">
        <f t="shared" ref="AK149:AK191" si="8">(Y149-AK$15)/AK$15%</f>
        <v>#REF!</v>
      </c>
      <c r="AL149" s="18"/>
      <c r="AM149" s="135" t="e">
        <f t="shared" ref="AM149:AM191" si="9">(AA149-AM$15)/AM$15%</f>
        <v>#REF!</v>
      </c>
      <c r="AN149" s="18" t="e">
        <f>(Table29128[[#This Row],[CH4 '[g/g DDM']]]-AN$15)/AN$15%</f>
        <v>#REF!</v>
      </c>
      <c r="AO149" s="18"/>
      <c r="AP149" s="18"/>
      <c r="AR149" t="e">
        <f>_xlfn.NORM.DIST(Table29128[[#This Row],[GP '[ml/g']]],O$6,O$2,FALSE)</f>
        <v>#DIV/0!</v>
      </c>
      <c r="AS149" t="e">
        <f>_xlfn.NORM.DIST(Table29128[[#This Row],[SCFA '[mmol/g']]],P$6,P$2,FALSE)</f>
        <v>#DIV/0!</v>
      </c>
      <c r="AT149" t="e">
        <f>_xlfn.NORM.DIST(Table29128[[#This Row],[Acetate '[%']]],Q$6,Q$2,FALSE)</f>
        <v>#DIV/0!</v>
      </c>
      <c r="AU149" t="e">
        <f>_xlfn.NORM.DIST(Table29128[[#This Row],[Propionate '[%']]],R$6,R$2,FALSE)</f>
        <v>#DIV/0!</v>
      </c>
      <c r="AV149" t="e">
        <f>_xlfn.NORM.DIST(Table29128[[#This Row],[Butyrate '[%']]],S$6,S$2,FALSE)</f>
        <v>#DIV/0!</v>
      </c>
      <c r="AW149" t="e">
        <f>_xlfn.NORM.DIST(Table29128[[#This Row],[Valerate '[%']]],T$6,T$2,FALSE)</f>
        <v>#DIV/0!</v>
      </c>
      <c r="AX149" t="e">
        <f>_xlfn.NORM.DIST(Table29128[[#This Row],[Caproate '[%']]],U$6,U$2,FALSE)</f>
        <v>#DIV/0!</v>
      </c>
      <c r="AY149" t="e">
        <f>_xlfn.NORM.DIST(Table29128[[#This Row],[Isobutyrate '[%']]],V$6,V$2,FALSE)</f>
        <v>#DIV/0!</v>
      </c>
      <c r="AZ149" t="e">
        <f>_xlfn.NORM.DIST(Table29128[[#This Row],[Isovalerate '[%']]],W$6,W$2,FALSE)</f>
        <v>#DIV/0!</v>
      </c>
      <c r="BA149" t="e">
        <f>_xlfn.NORM.DIST(Table29128[[#This Row],[CH4 '[g/mmol SCFA']]],X$6,X$2,FALSE)</f>
        <v>#DIV/0!</v>
      </c>
      <c r="BB149" t="e">
        <f>_xlfn.NORM.DIST(Table29128[[#This Row],[DMD '[mg/g']]],Y$6,Y$2,FALSE)</f>
        <v>#REF!</v>
      </c>
      <c r="BC149" t="e">
        <f>_xlfn.NORM.DIST(Table29128[[#This Row],[CH4 '[ml/g']]],Z$6,Z$2,FALSE)</f>
        <v>#REF!</v>
      </c>
      <c r="BD149" t="e">
        <f>_xlfn.NORM.DIST(Table29128[[#This Row],[CH4 '[% GP']]],AA$6,AA$2,FALSE)</f>
        <v>#REF!</v>
      </c>
      <c r="BE149" t="e">
        <f>_xlfn.NORM.DIST(Table29128[[#This Row],[CH4 '[g/g DDM']]],AB$6,AB$2,FALSE)</f>
        <v>#REF!</v>
      </c>
      <c r="BG149">
        <f>IF(Table29128[[#This Row],[GP '[ml/g']]]&lt;O$10,_xlfn.NORM.DIST(Table29128[[#This Row],[GP '[ml/g']]],O$6,O$2,FALSE),-100)</f>
        <v>-100</v>
      </c>
      <c r="BH149">
        <f>IF(Table29128[[#This Row],[SCFA '[mmol/g']]]&lt;P$10,_xlfn.NORM.DIST(Table29128[[#This Row],[SCFA '[mmol/g']]],P$6,P$2,FALSE),-100)</f>
        <v>-100</v>
      </c>
      <c r="BI149">
        <f>IF(Table29128[[#This Row],[Acetate '[%']]]&lt;Q$10,_xlfn.NORM.DIST(Table29128[[#This Row],[Acetate '[%']]],Q$6,Q$2,FALSE),-100)</f>
        <v>-100</v>
      </c>
      <c r="BJ149">
        <f>IF(Table29128[[#This Row],[Propionate '[%']]]&lt;R$10,_xlfn.NORM.DIST(Table29128[[#This Row],[Propionate '[%']]],R$6,R$2,FALSE),-100)</f>
        <v>-100</v>
      </c>
      <c r="BK149">
        <f>IF(Table29128[[#This Row],[Butyrate '[%']]]&lt;S$10,_xlfn.NORM.DIST(Table29128[[#This Row],[Butyrate '[%']]],S$6,S$2,FALSE),-100)</f>
        <v>-100</v>
      </c>
      <c r="BL149">
        <f>IF(Table29128[[#This Row],[Valerate '[%']]]&lt;T$10,_xlfn.NORM.DIST(Table29128[[#This Row],[Valerate '[%']]],T$6,T$2,FALSE),-100)</f>
        <v>-100</v>
      </c>
      <c r="BM149">
        <f>IF(Table29128[[#This Row],[Caproate '[%']]]&lt;U$10,_xlfn.NORM.DIST(Table29128[[#This Row],[Caproate '[%']]],U$6,U$2,FALSE),-100)</f>
        <v>-100</v>
      </c>
      <c r="BN149">
        <f>IF(Table29128[[#This Row],[Isobutyrate '[%']]]&lt;V$10,_xlfn.NORM.DIST(Table29128[[#This Row],[Isobutyrate '[%']]],V$6,V$2,FALSE),-100)</f>
        <v>-100</v>
      </c>
      <c r="BO149">
        <f>IF(Table29128[[#This Row],[Isovalerate '[%']]]&lt;W$10,_xlfn.NORM.DIST(Table29128[[#This Row],[Isovalerate '[%']]],W$6,W$2,FALSE),-100)</f>
        <v>-100</v>
      </c>
      <c r="BP149">
        <f>IF(Table29128[[#This Row],[CH4 '[g/mmol SCFA']]]&lt;X$10,_xlfn.NORM.DIST(Table29128[[#This Row],[CH4 '[g/mmol SCFA']]],X$6,X$2,FALSE),-100)</f>
        <v>-100</v>
      </c>
      <c r="BQ149" t="e">
        <f>IF(Table29128[[#This Row],[DMD '[mg/g']]]&gt;Y$10,_xlfn.NORM.DIST(Table29128[[#This Row],[DMD '[mg/g']]],Y$6,Y$2,FALSE),-100)</f>
        <v>#REF!</v>
      </c>
      <c r="BR149" t="e">
        <f>IF(Table29128[[#This Row],[CH4 '[ml/g']]]&lt;Z$10,_xlfn.NORM.DIST(Table29128[[#This Row],[CH4 '[ml/g']]],Z$6,Z$2,FALSE),-100)</f>
        <v>#REF!</v>
      </c>
      <c r="BS149" t="e">
        <f>IF(Table29128[[#This Row],[CH4 '[% GP']]]&lt;AA$10,_xlfn.NORM.DIST(Table29128[[#This Row],[CH4 '[% GP']]],AA$6,AA$2,FALSE),-100)</f>
        <v>#REF!</v>
      </c>
      <c r="BT149" t="e">
        <f>IF(Table29128[[#This Row],[CH4 '[g/g DDM']]]&lt;AB$10,_xlfn.NORM.DIST(Table29128[[#This Row],[CH4 '[g/g DDM']]],AB$6,AB$2,FALSE),-100)</f>
        <v>#REF!</v>
      </c>
    </row>
    <row r="150" spans="1:90" x14ac:dyDescent="0.25">
      <c r="A150" s="12" t="s">
        <v>200</v>
      </c>
      <c r="B150" s="13">
        <v>1257</v>
      </c>
      <c r="C150" s="113" t="s">
        <v>438</v>
      </c>
      <c r="D150" s="113" t="s">
        <v>439</v>
      </c>
      <c r="E150" s="113" t="s">
        <v>440</v>
      </c>
      <c r="F150" s="114" t="s">
        <v>441</v>
      </c>
      <c r="G150" s="15" t="s">
        <v>442</v>
      </c>
      <c r="H150" s="15" t="s">
        <v>317</v>
      </c>
      <c r="I150" s="115" t="s">
        <v>48</v>
      </c>
      <c r="J150" s="100">
        <v>1</v>
      </c>
      <c r="K150" s="100"/>
      <c r="L150" s="100"/>
      <c r="M150" t="s">
        <v>443</v>
      </c>
      <c r="N150" t="s">
        <v>363</v>
      </c>
      <c r="O150" s="18"/>
      <c r="P150" s="18"/>
      <c r="Q150" s="97"/>
      <c r="R150" s="97"/>
      <c r="S150" s="97"/>
      <c r="T150" s="97"/>
      <c r="U150" s="97"/>
      <c r="V150" s="97"/>
      <c r="W150" s="97"/>
      <c r="X150" s="51"/>
      <c r="Y150" s="18" t="e">
        <f>AVERAGEIFS([1]!Table2912[DMD '[mg/g']],[1]!Table2912[Substrate ID],Table29128[[#This Row],[Substrate ID]])</f>
        <v>#REF!</v>
      </c>
      <c r="Z150" s="18" t="e">
        <f>AVERAGEIFS([1]!Table2912[CH4 '[ml/g']],[1]!Table2912[Substrate ID],Table29128[[#This Row],[Substrate ID]])</f>
        <v>#REF!</v>
      </c>
      <c r="AA150" s="18" t="e">
        <f>AVERAGEIFS([1]!Table2912[CH4 '[% GP']],[1]!Table2912[Substrate ID],Table29128[[#This Row],[Substrate ID]])</f>
        <v>#REF!</v>
      </c>
      <c r="AB150" s="18" t="e">
        <f>AVERAGEIFS([1]!Table2912[CH4 '[g/g DDM']],[1]!Table2912[Substrate ID],Table29128[[#This Row],[Substrate ID]])</f>
        <v>#REF!</v>
      </c>
      <c r="AC150" s="18" t="e">
        <f>$CP$17*Table29128[[#This Row],[DMD '[mg/g']]]+$CQ$17*Table29128[[#This Row],[CH4 '[g/g DDM']]]</f>
        <v>#REF!</v>
      </c>
      <c r="AD150" s="18" t="e">
        <f>_xlfn.RANK.AVG(Table29128[[#This Row],[Index]],Table29128[Index])</f>
        <v>#REF!</v>
      </c>
      <c r="AE150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50" s="18" t="e">
        <f>Table29128[[#This Row],[CH4 '[ml/g']]]/Table29128[[#This Row],[APB]]</f>
        <v>#REF!</v>
      </c>
      <c r="AG150" s="18" t="e">
        <f>Table29128[[#This Row],[Propionate '[%']]]/Table29128[[#This Row],[Acetate '[%']]]</f>
        <v>#DIV/0!</v>
      </c>
      <c r="AH150" s="51"/>
      <c r="AI150" s="18"/>
      <c r="AJ150" s="18"/>
      <c r="AK150" s="135" t="e">
        <f t="shared" si="8"/>
        <v>#REF!</v>
      </c>
      <c r="AL150" s="18"/>
      <c r="AM150" s="135" t="e">
        <f t="shared" si="9"/>
        <v>#REF!</v>
      </c>
      <c r="AN150" s="18" t="e">
        <f>(Table29128[[#This Row],[CH4 '[g/g DDM']]]-AN$15)/AN$15%</f>
        <v>#REF!</v>
      </c>
      <c r="AO150" s="18"/>
      <c r="AP150" s="18"/>
      <c r="AR150" t="e">
        <f>_xlfn.NORM.DIST(Table29128[[#This Row],[GP '[ml/g']]],O$6,O$2,FALSE)</f>
        <v>#DIV/0!</v>
      </c>
      <c r="AS150" t="e">
        <f>_xlfn.NORM.DIST(Table29128[[#This Row],[SCFA '[mmol/g']]],P$6,P$2,FALSE)</f>
        <v>#DIV/0!</v>
      </c>
      <c r="AT150" t="e">
        <f>_xlfn.NORM.DIST(Table29128[[#This Row],[Acetate '[%']]],Q$6,Q$2,FALSE)</f>
        <v>#DIV/0!</v>
      </c>
      <c r="AU150" t="e">
        <f>_xlfn.NORM.DIST(Table29128[[#This Row],[Propionate '[%']]],R$6,R$2,FALSE)</f>
        <v>#DIV/0!</v>
      </c>
      <c r="AV150" t="e">
        <f>_xlfn.NORM.DIST(Table29128[[#This Row],[Butyrate '[%']]],S$6,S$2,FALSE)</f>
        <v>#DIV/0!</v>
      </c>
      <c r="AW150" t="e">
        <f>_xlfn.NORM.DIST(Table29128[[#This Row],[Valerate '[%']]],T$6,T$2,FALSE)</f>
        <v>#DIV/0!</v>
      </c>
      <c r="AX150" t="e">
        <f>_xlfn.NORM.DIST(Table29128[[#This Row],[Caproate '[%']]],U$6,U$2,FALSE)</f>
        <v>#DIV/0!</v>
      </c>
      <c r="AY150" t="e">
        <f>_xlfn.NORM.DIST(Table29128[[#This Row],[Isobutyrate '[%']]],V$6,V$2,FALSE)</f>
        <v>#DIV/0!</v>
      </c>
      <c r="AZ150" t="e">
        <f>_xlfn.NORM.DIST(Table29128[[#This Row],[Isovalerate '[%']]],W$6,W$2,FALSE)</f>
        <v>#DIV/0!</v>
      </c>
      <c r="BA150" t="e">
        <f>_xlfn.NORM.DIST(Table29128[[#This Row],[CH4 '[g/mmol SCFA']]],X$6,X$2,FALSE)</f>
        <v>#DIV/0!</v>
      </c>
      <c r="BB150" t="e">
        <f>_xlfn.NORM.DIST(Table29128[[#This Row],[DMD '[mg/g']]],Y$6,Y$2,FALSE)</f>
        <v>#REF!</v>
      </c>
      <c r="BC150" t="e">
        <f>_xlfn.NORM.DIST(Table29128[[#This Row],[CH4 '[ml/g']]],Z$6,Z$2,FALSE)</f>
        <v>#REF!</v>
      </c>
      <c r="BD150" t="e">
        <f>_xlfn.NORM.DIST(Table29128[[#This Row],[CH4 '[% GP']]],AA$6,AA$2,FALSE)</f>
        <v>#REF!</v>
      </c>
      <c r="BE150" t="e">
        <f>_xlfn.NORM.DIST(Table29128[[#This Row],[CH4 '[g/g DDM']]],AB$6,AB$2,FALSE)</f>
        <v>#REF!</v>
      </c>
      <c r="BG150">
        <f>IF(Table29128[[#This Row],[GP '[ml/g']]]&lt;O$10,_xlfn.NORM.DIST(Table29128[[#This Row],[GP '[ml/g']]],O$6,O$2,FALSE),-100)</f>
        <v>-100</v>
      </c>
      <c r="BH150">
        <f>IF(Table29128[[#This Row],[SCFA '[mmol/g']]]&lt;P$10,_xlfn.NORM.DIST(Table29128[[#This Row],[SCFA '[mmol/g']]],P$6,P$2,FALSE),-100)</f>
        <v>-100</v>
      </c>
      <c r="BI150">
        <f>IF(Table29128[[#This Row],[Acetate '[%']]]&lt;Q$10,_xlfn.NORM.DIST(Table29128[[#This Row],[Acetate '[%']]],Q$6,Q$2,FALSE),-100)</f>
        <v>-100</v>
      </c>
      <c r="BJ150">
        <f>IF(Table29128[[#This Row],[Propionate '[%']]]&lt;R$10,_xlfn.NORM.DIST(Table29128[[#This Row],[Propionate '[%']]],R$6,R$2,FALSE),-100)</f>
        <v>-100</v>
      </c>
      <c r="BK150">
        <f>IF(Table29128[[#This Row],[Butyrate '[%']]]&lt;S$10,_xlfn.NORM.DIST(Table29128[[#This Row],[Butyrate '[%']]],S$6,S$2,FALSE),-100)</f>
        <v>-100</v>
      </c>
      <c r="BL150">
        <f>IF(Table29128[[#This Row],[Valerate '[%']]]&lt;T$10,_xlfn.NORM.DIST(Table29128[[#This Row],[Valerate '[%']]],T$6,T$2,FALSE),-100)</f>
        <v>-100</v>
      </c>
      <c r="BM150">
        <f>IF(Table29128[[#This Row],[Caproate '[%']]]&lt;U$10,_xlfn.NORM.DIST(Table29128[[#This Row],[Caproate '[%']]],U$6,U$2,FALSE),-100)</f>
        <v>-100</v>
      </c>
      <c r="BN150">
        <f>IF(Table29128[[#This Row],[Isobutyrate '[%']]]&lt;V$10,_xlfn.NORM.DIST(Table29128[[#This Row],[Isobutyrate '[%']]],V$6,V$2,FALSE),-100)</f>
        <v>-100</v>
      </c>
      <c r="BO150">
        <f>IF(Table29128[[#This Row],[Isovalerate '[%']]]&lt;W$10,_xlfn.NORM.DIST(Table29128[[#This Row],[Isovalerate '[%']]],W$6,W$2,FALSE),-100)</f>
        <v>-100</v>
      </c>
      <c r="BP150">
        <f>IF(Table29128[[#This Row],[CH4 '[g/mmol SCFA']]]&lt;X$10,_xlfn.NORM.DIST(Table29128[[#This Row],[CH4 '[g/mmol SCFA']]],X$6,X$2,FALSE),-100)</f>
        <v>-100</v>
      </c>
      <c r="BQ150" t="e">
        <f>IF(Table29128[[#This Row],[DMD '[mg/g']]]&gt;Y$10,_xlfn.NORM.DIST(Table29128[[#This Row],[DMD '[mg/g']]],Y$6,Y$2,FALSE),-100)</f>
        <v>#REF!</v>
      </c>
      <c r="BR150" t="e">
        <f>IF(Table29128[[#This Row],[CH4 '[ml/g']]]&lt;Z$10,_xlfn.NORM.DIST(Table29128[[#This Row],[CH4 '[ml/g']]],Z$6,Z$2,FALSE),-100)</f>
        <v>#REF!</v>
      </c>
      <c r="BS150" t="e">
        <f>IF(Table29128[[#This Row],[CH4 '[% GP']]]&lt;AA$10,_xlfn.NORM.DIST(Table29128[[#This Row],[CH4 '[% GP']]],AA$6,AA$2,FALSE),-100)</f>
        <v>#REF!</v>
      </c>
      <c r="BT150" t="e">
        <f>IF(Table29128[[#This Row],[CH4 '[g/g DDM']]]&lt;AB$10,_xlfn.NORM.DIST(Table29128[[#This Row],[CH4 '[g/g DDM']]],AB$6,AB$2,FALSE),-100)</f>
        <v>#REF!</v>
      </c>
    </row>
    <row r="151" spans="1:90" x14ac:dyDescent="0.25">
      <c r="A151" s="12" t="s">
        <v>70</v>
      </c>
      <c r="B151" s="13">
        <v>1043</v>
      </c>
      <c r="C151" s="96" t="s">
        <v>230</v>
      </c>
      <c r="D151" s="96"/>
      <c r="E151" s="96"/>
      <c r="F151" s="96" t="s">
        <v>231</v>
      </c>
      <c r="G151" t="s">
        <v>143</v>
      </c>
      <c r="H151" t="s">
        <v>144</v>
      </c>
      <c r="I151" t="s">
        <v>52</v>
      </c>
      <c r="J151" s="100">
        <v>1</v>
      </c>
      <c r="K151" s="100"/>
      <c r="L151" s="100" t="s">
        <v>627</v>
      </c>
      <c r="M151" t="s">
        <v>231</v>
      </c>
      <c r="N151" t="s">
        <v>80</v>
      </c>
      <c r="O151" s="18"/>
      <c r="P151" s="18"/>
      <c r="Q151" s="97"/>
      <c r="R151" s="97"/>
      <c r="S151" s="97"/>
      <c r="T151" s="97"/>
      <c r="U151" s="97"/>
      <c r="V151" s="97"/>
      <c r="W151" s="97"/>
      <c r="X151" s="51"/>
      <c r="Y151" s="18" t="e">
        <f>AVERAGEIFS([1]!Table2912[DMD '[mg/g']],[1]!Table2912[Substrate ID],Table29128[[#This Row],[Substrate ID]])</f>
        <v>#REF!</v>
      </c>
      <c r="Z151" s="18" t="e">
        <f>AVERAGEIFS([1]!Table2912[CH4 '[ml/g']],[1]!Table2912[Substrate ID],Table29128[[#This Row],[Substrate ID]])</f>
        <v>#REF!</v>
      </c>
      <c r="AA151" s="18" t="e">
        <f>AVERAGEIFS([1]!Table2912[CH4 '[% GP']],[1]!Table2912[Substrate ID],Table29128[[#This Row],[Substrate ID]])</f>
        <v>#REF!</v>
      </c>
      <c r="AB151" s="18" t="e">
        <f>AVERAGEIFS([1]!Table2912[CH4 '[g/g DDM']],[1]!Table2912[Substrate ID],Table29128[[#This Row],[Substrate ID]])</f>
        <v>#REF!</v>
      </c>
      <c r="AC151" s="18" t="e">
        <f>$CP$17*Table29128[[#This Row],[DMD '[mg/g']]]+$CQ$17*Table29128[[#This Row],[CH4 '[g/g DDM']]]</f>
        <v>#REF!</v>
      </c>
      <c r="AD151" s="18" t="e">
        <f>_xlfn.RANK.AVG(Table29128[[#This Row],[Index]],Table29128[Index])</f>
        <v>#REF!</v>
      </c>
      <c r="AE151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51" s="18" t="e">
        <f>Table29128[[#This Row],[CH4 '[ml/g']]]/Table29128[[#This Row],[APB]]</f>
        <v>#REF!</v>
      </c>
      <c r="AG151" s="18" t="e">
        <f>Table29128[[#This Row],[Propionate '[%']]]/Table29128[[#This Row],[Acetate '[%']]]</f>
        <v>#DIV/0!</v>
      </c>
      <c r="AH151" s="51"/>
      <c r="AI151" s="18"/>
      <c r="AJ151" s="18"/>
      <c r="AK151" s="135" t="e">
        <f t="shared" si="8"/>
        <v>#REF!</v>
      </c>
      <c r="AL151" s="18"/>
      <c r="AM151" s="135" t="e">
        <f t="shared" si="9"/>
        <v>#REF!</v>
      </c>
      <c r="AN151" s="18" t="e">
        <f>(Table29128[[#This Row],[CH4 '[g/g DDM']]]-AN$15)/AN$15%</f>
        <v>#REF!</v>
      </c>
      <c r="AO151" s="18"/>
      <c r="AP151" s="18"/>
      <c r="AR151" t="e">
        <f>_xlfn.NORM.DIST(Table29128[[#This Row],[GP '[ml/g']]],O$6,O$2,FALSE)</f>
        <v>#DIV/0!</v>
      </c>
      <c r="AS151" t="e">
        <f>_xlfn.NORM.DIST(Table29128[[#This Row],[SCFA '[mmol/g']]],P$6,P$2,FALSE)</f>
        <v>#DIV/0!</v>
      </c>
      <c r="AT151" t="e">
        <f>_xlfn.NORM.DIST(Table29128[[#This Row],[Acetate '[%']]],Q$6,Q$2,FALSE)</f>
        <v>#DIV/0!</v>
      </c>
      <c r="AU151" t="e">
        <f>_xlfn.NORM.DIST(Table29128[[#This Row],[Propionate '[%']]],R$6,R$2,FALSE)</f>
        <v>#DIV/0!</v>
      </c>
      <c r="AV151" t="e">
        <f>_xlfn.NORM.DIST(Table29128[[#This Row],[Butyrate '[%']]],S$6,S$2,FALSE)</f>
        <v>#DIV/0!</v>
      </c>
      <c r="AW151" t="e">
        <f>_xlfn.NORM.DIST(Table29128[[#This Row],[Valerate '[%']]],T$6,T$2,FALSE)</f>
        <v>#DIV/0!</v>
      </c>
      <c r="AX151" t="e">
        <f>_xlfn.NORM.DIST(Table29128[[#This Row],[Caproate '[%']]],U$6,U$2,FALSE)</f>
        <v>#DIV/0!</v>
      </c>
      <c r="AY151" t="e">
        <f>_xlfn.NORM.DIST(Table29128[[#This Row],[Isobutyrate '[%']]],V$6,V$2,FALSE)</f>
        <v>#DIV/0!</v>
      </c>
      <c r="AZ151" t="e">
        <f>_xlfn.NORM.DIST(Table29128[[#This Row],[Isovalerate '[%']]],W$6,W$2,FALSE)</f>
        <v>#DIV/0!</v>
      </c>
      <c r="BA151" t="e">
        <f>_xlfn.NORM.DIST(Table29128[[#This Row],[CH4 '[g/mmol SCFA']]],X$6,X$2,FALSE)</f>
        <v>#DIV/0!</v>
      </c>
      <c r="BB151" t="e">
        <f>_xlfn.NORM.DIST(Table29128[[#This Row],[DMD '[mg/g']]],Y$6,Y$2,FALSE)</f>
        <v>#REF!</v>
      </c>
      <c r="BC151" t="e">
        <f>_xlfn.NORM.DIST(Table29128[[#This Row],[CH4 '[ml/g']]],Z$6,Z$2,FALSE)</f>
        <v>#REF!</v>
      </c>
      <c r="BD151" t="e">
        <f>_xlfn.NORM.DIST(Table29128[[#This Row],[CH4 '[% GP']]],AA$6,AA$2,FALSE)</f>
        <v>#REF!</v>
      </c>
      <c r="BE151" t="e">
        <f>_xlfn.NORM.DIST(Table29128[[#This Row],[CH4 '[g/g DDM']]],AB$6,AB$2,FALSE)</f>
        <v>#REF!</v>
      </c>
      <c r="BG151">
        <f>IF(Table29128[[#This Row],[GP '[ml/g']]]&lt;O$10,_xlfn.NORM.DIST(Table29128[[#This Row],[GP '[ml/g']]],O$6,O$2,FALSE),-100)</f>
        <v>-100</v>
      </c>
      <c r="BH151">
        <f>IF(Table29128[[#This Row],[SCFA '[mmol/g']]]&lt;P$10,_xlfn.NORM.DIST(Table29128[[#This Row],[SCFA '[mmol/g']]],P$6,P$2,FALSE),-100)</f>
        <v>-100</v>
      </c>
      <c r="BI151">
        <f>IF(Table29128[[#This Row],[Acetate '[%']]]&lt;Q$10,_xlfn.NORM.DIST(Table29128[[#This Row],[Acetate '[%']]],Q$6,Q$2,FALSE),-100)</f>
        <v>-100</v>
      </c>
      <c r="BJ151">
        <f>IF(Table29128[[#This Row],[Propionate '[%']]]&lt;R$10,_xlfn.NORM.DIST(Table29128[[#This Row],[Propionate '[%']]],R$6,R$2,FALSE),-100)</f>
        <v>-100</v>
      </c>
      <c r="BK151">
        <f>IF(Table29128[[#This Row],[Butyrate '[%']]]&lt;S$10,_xlfn.NORM.DIST(Table29128[[#This Row],[Butyrate '[%']]],S$6,S$2,FALSE),-100)</f>
        <v>-100</v>
      </c>
      <c r="BL151">
        <f>IF(Table29128[[#This Row],[Valerate '[%']]]&lt;T$10,_xlfn.NORM.DIST(Table29128[[#This Row],[Valerate '[%']]],T$6,T$2,FALSE),-100)</f>
        <v>-100</v>
      </c>
      <c r="BM151">
        <f>IF(Table29128[[#This Row],[Caproate '[%']]]&lt;U$10,_xlfn.NORM.DIST(Table29128[[#This Row],[Caproate '[%']]],U$6,U$2,FALSE),-100)</f>
        <v>-100</v>
      </c>
      <c r="BN151">
        <f>IF(Table29128[[#This Row],[Isobutyrate '[%']]]&lt;V$10,_xlfn.NORM.DIST(Table29128[[#This Row],[Isobutyrate '[%']]],V$6,V$2,FALSE),-100)</f>
        <v>-100</v>
      </c>
      <c r="BO151">
        <f>IF(Table29128[[#This Row],[Isovalerate '[%']]]&lt;W$10,_xlfn.NORM.DIST(Table29128[[#This Row],[Isovalerate '[%']]],W$6,W$2,FALSE),-100)</f>
        <v>-100</v>
      </c>
      <c r="BP151">
        <f>IF(Table29128[[#This Row],[CH4 '[g/mmol SCFA']]]&lt;X$10,_xlfn.NORM.DIST(Table29128[[#This Row],[CH4 '[g/mmol SCFA']]],X$6,X$2,FALSE),-100)</f>
        <v>-100</v>
      </c>
      <c r="BQ151" t="e">
        <f>IF(Table29128[[#This Row],[DMD '[mg/g']]]&gt;Y$10,_xlfn.NORM.DIST(Table29128[[#This Row],[DMD '[mg/g']]],Y$6,Y$2,FALSE),-100)</f>
        <v>#REF!</v>
      </c>
      <c r="BR151" t="e">
        <f>IF(Table29128[[#This Row],[CH4 '[ml/g']]]&lt;Z$10,_xlfn.NORM.DIST(Table29128[[#This Row],[CH4 '[ml/g']]],Z$6,Z$2,FALSE),-100)</f>
        <v>#REF!</v>
      </c>
      <c r="BS151" t="e">
        <f>IF(Table29128[[#This Row],[CH4 '[% GP']]]&lt;AA$10,_xlfn.NORM.DIST(Table29128[[#This Row],[CH4 '[% GP']]],AA$6,AA$2,FALSE),-100)</f>
        <v>#REF!</v>
      </c>
      <c r="BT151" t="e">
        <f>IF(Table29128[[#This Row],[CH4 '[g/g DDM']]]&lt;AB$10,_xlfn.NORM.DIST(Table29128[[#This Row],[CH4 '[g/g DDM']]],AB$6,AB$2,FALSE),-100)</f>
        <v>#REF!</v>
      </c>
    </row>
    <row r="152" spans="1:90" x14ac:dyDescent="0.25">
      <c r="A152" s="12" t="s">
        <v>86</v>
      </c>
      <c r="B152" s="13">
        <v>1091</v>
      </c>
      <c r="C152" s="104" t="s">
        <v>472</v>
      </c>
      <c r="D152" s="104" t="s">
        <v>473</v>
      </c>
      <c r="E152" s="104" t="s">
        <v>474</v>
      </c>
      <c r="F152" s="104" t="s">
        <v>475</v>
      </c>
      <c r="G152" s="32" t="s">
        <v>143</v>
      </c>
      <c r="H152" s="32" t="s">
        <v>144</v>
      </c>
      <c r="I152" s="32" t="s">
        <v>52</v>
      </c>
      <c r="J152" s="100">
        <v>1</v>
      </c>
      <c r="K152" s="100" t="s">
        <v>627</v>
      </c>
      <c r="L152" s="100" t="s">
        <v>627</v>
      </c>
      <c r="M152" t="s">
        <v>475</v>
      </c>
      <c r="N152" t="s">
        <v>99</v>
      </c>
      <c r="O152" s="18"/>
      <c r="P152" s="18"/>
      <c r="Q152" s="97"/>
      <c r="R152" s="97"/>
      <c r="S152" s="97"/>
      <c r="T152" s="97"/>
      <c r="U152" s="97"/>
      <c r="V152" s="97"/>
      <c r="W152" s="97"/>
      <c r="X152" s="51"/>
      <c r="Y152" s="18" t="e">
        <f>AVERAGEIFS([1]!Table2912[DMD '[mg/g']],[1]!Table2912[Substrate ID],Table29128[[#This Row],[Substrate ID]])</f>
        <v>#REF!</v>
      </c>
      <c r="Z152" s="18" t="e">
        <f>AVERAGEIFS([1]!Table2912[CH4 '[ml/g']],[1]!Table2912[Substrate ID],Table29128[[#This Row],[Substrate ID]])</f>
        <v>#REF!</v>
      </c>
      <c r="AA152" s="18" t="e">
        <f>AVERAGEIFS([1]!Table2912[CH4 '[% GP']],[1]!Table2912[Substrate ID],Table29128[[#This Row],[Substrate ID]])</f>
        <v>#REF!</v>
      </c>
      <c r="AB152" s="18" t="e">
        <f>AVERAGEIFS([1]!Table2912[CH4 '[g/g DDM']],[1]!Table2912[Substrate ID],Table29128[[#This Row],[Substrate ID]])</f>
        <v>#REF!</v>
      </c>
      <c r="AC152" s="18" t="e">
        <f>$CP$17*Table29128[[#This Row],[DMD '[mg/g']]]+$CQ$17*Table29128[[#This Row],[CH4 '[g/g DDM']]]</f>
        <v>#REF!</v>
      </c>
      <c r="AD152" s="18" t="e">
        <f>_xlfn.RANK.AVG(Table29128[[#This Row],[Index]],Table29128[Index])</f>
        <v>#REF!</v>
      </c>
      <c r="AE152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52" s="18" t="e">
        <f>Table29128[[#This Row],[CH4 '[ml/g']]]/Table29128[[#This Row],[APB]]</f>
        <v>#REF!</v>
      </c>
      <c r="AG152" s="18" t="e">
        <f>Table29128[[#This Row],[Propionate '[%']]]/Table29128[[#This Row],[Acetate '[%']]]</f>
        <v>#DIV/0!</v>
      </c>
      <c r="AH152" s="51"/>
      <c r="AI152" s="18"/>
      <c r="AJ152" s="18"/>
      <c r="AK152" s="135" t="e">
        <f t="shared" si="8"/>
        <v>#REF!</v>
      </c>
      <c r="AL152" s="18"/>
      <c r="AM152" s="135" t="e">
        <f t="shared" si="9"/>
        <v>#REF!</v>
      </c>
      <c r="AN152" s="18" t="e">
        <f>(Table29128[[#This Row],[CH4 '[g/g DDM']]]-AN$15)/AN$15%</f>
        <v>#REF!</v>
      </c>
      <c r="AO152" s="18"/>
      <c r="AP152" s="18"/>
      <c r="AR152" t="e">
        <f>_xlfn.NORM.DIST(Table29128[[#This Row],[GP '[ml/g']]],O$6,O$2,FALSE)</f>
        <v>#DIV/0!</v>
      </c>
      <c r="AS152" t="e">
        <f>_xlfn.NORM.DIST(Table29128[[#This Row],[SCFA '[mmol/g']]],P$6,P$2,FALSE)</f>
        <v>#DIV/0!</v>
      </c>
      <c r="AT152" t="e">
        <f>_xlfn.NORM.DIST(Table29128[[#This Row],[Acetate '[%']]],Q$6,Q$2,FALSE)</f>
        <v>#DIV/0!</v>
      </c>
      <c r="AU152" t="e">
        <f>_xlfn.NORM.DIST(Table29128[[#This Row],[Propionate '[%']]],R$6,R$2,FALSE)</f>
        <v>#DIV/0!</v>
      </c>
      <c r="AV152" t="e">
        <f>_xlfn.NORM.DIST(Table29128[[#This Row],[Butyrate '[%']]],S$6,S$2,FALSE)</f>
        <v>#DIV/0!</v>
      </c>
      <c r="AW152" t="e">
        <f>_xlfn.NORM.DIST(Table29128[[#This Row],[Valerate '[%']]],T$6,T$2,FALSE)</f>
        <v>#DIV/0!</v>
      </c>
      <c r="AX152" t="e">
        <f>_xlfn.NORM.DIST(Table29128[[#This Row],[Caproate '[%']]],U$6,U$2,FALSE)</f>
        <v>#DIV/0!</v>
      </c>
      <c r="AY152" t="e">
        <f>_xlfn.NORM.DIST(Table29128[[#This Row],[Isobutyrate '[%']]],V$6,V$2,FALSE)</f>
        <v>#DIV/0!</v>
      </c>
      <c r="AZ152" t="e">
        <f>_xlfn.NORM.DIST(Table29128[[#This Row],[Isovalerate '[%']]],W$6,W$2,FALSE)</f>
        <v>#DIV/0!</v>
      </c>
      <c r="BA152" t="e">
        <f>_xlfn.NORM.DIST(Table29128[[#This Row],[CH4 '[g/mmol SCFA']]],X$6,X$2,FALSE)</f>
        <v>#DIV/0!</v>
      </c>
      <c r="BB152" t="e">
        <f>_xlfn.NORM.DIST(Table29128[[#This Row],[DMD '[mg/g']]],Y$6,Y$2,FALSE)</f>
        <v>#REF!</v>
      </c>
      <c r="BC152" t="e">
        <f>_xlfn.NORM.DIST(Table29128[[#This Row],[CH4 '[ml/g']]],Z$6,Z$2,FALSE)</f>
        <v>#REF!</v>
      </c>
      <c r="BD152" t="e">
        <f>_xlfn.NORM.DIST(Table29128[[#This Row],[CH4 '[% GP']]],AA$6,AA$2,FALSE)</f>
        <v>#REF!</v>
      </c>
      <c r="BE152" t="e">
        <f>_xlfn.NORM.DIST(Table29128[[#This Row],[CH4 '[g/g DDM']]],AB$6,AB$2,FALSE)</f>
        <v>#REF!</v>
      </c>
      <c r="BG152">
        <f>IF(Table29128[[#This Row],[GP '[ml/g']]]&lt;O$10,_xlfn.NORM.DIST(Table29128[[#This Row],[GP '[ml/g']]],O$6,O$2,FALSE),-100)</f>
        <v>-100</v>
      </c>
      <c r="BH152">
        <f>IF(Table29128[[#This Row],[SCFA '[mmol/g']]]&lt;P$10,_xlfn.NORM.DIST(Table29128[[#This Row],[SCFA '[mmol/g']]],P$6,P$2,FALSE),-100)</f>
        <v>-100</v>
      </c>
      <c r="BI152">
        <f>IF(Table29128[[#This Row],[Acetate '[%']]]&lt;Q$10,_xlfn.NORM.DIST(Table29128[[#This Row],[Acetate '[%']]],Q$6,Q$2,FALSE),-100)</f>
        <v>-100</v>
      </c>
      <c r="BJ152">
        <f>IF(Table29128[[#This Row],[Propionate '[%']]]&lt;R$10,_xlfn.NORM.DIST(Table29128[[#This Row],[Propionate '[%']]],R$6,R$2,FALSE),-100)</f>
        <v>-100</v>
      </c>
      <c r="BK152">
        <f>IF(Table29128[[#This Row],[Butyrate '[%']]]&lt;S$10,_xlfn.NORM.DIST(Table29128[[#This Row],[Butyrate '[%']]],S$6,S$2,FALSE),-100)</f>
        <v>-100</v>
      </c>
      <c r="BL152">
        <f>IF(Table29128[[#This Row],[Valerate '[%']]]&lt;T$10,_xlfn.NORM.DIST(Table29128[[#This Row],[Valerate '[%']]],T$6,T$2,FALSE),-100)</f>
        <v>-100</v>
      </c>
      <c r="BM152">
        <f>IF(Table29128[[#This Row],[Caproate '[%']]]&lt;U$10,_xlfn.NORM.DIST(Table29128[[#This Row],[Caproate '[%']]],U$6,U$2,FALSE),-100)</f>
        <v>-100</v>
      </c>
      <c r="BN152">
        <f>IF(Table29128[[#This Row],[Isobutyrate '[%']]]&lt;V$10,_xlfn.NORM.DIST(Table29128[[#This Row],[Isobutyrate '[%']]],V$6,V$2,FALSE),-100)</f>
        <v>-100</v>
      </c>
      <c r="BO152">
        <f>IF(Table29128[[#This Row],[Isovalerate '[%']]]&lt;W$10,_xlfn.NORM.DIST(Table29128[[#This Row],[Isovalerate '[%']]],W$6,W$2,FALSE),-100)</f>
        <v>-100</v>
      </c>
      <c r="BP152">
        <f>IF(Table29128[[#This Row],[CH4 '[g/mmol SCFA']]]&lt;X$10,_xlfn.NORM.DIST(Table29128[[#This Row],[CH4 '[g/mmol SCFA']]],X$6,X$2,FALSE),-100)</f>
        <v>-100</v>
      </c>
      <c r="BQ152" t="e">
        <f>IF(Table29128[[#This Row],[DMD '[mg/g']]]&gt;Y$10,_xlfn.NORM.DIST(Table29128[[#This Row],[DMD '[mg/g']]],Y$6,Y$2,FALSE),-100)</f>
        <v>#REF!</v>
      </c>
      <c r="BR152" t="e">
        <f>IF(Table29128[[#This Row],[CH4 '[ml/g']]]&lt;Z$10,_xlfn.NORM.DIST(Table29128[[#This Row],[CH4 '[ml/g']]],Z$6,Z$2,FALSE),-100)</f>
        <v>#REF!</v>
      </c>
      <c r="BS152" t="e">
        <f>IF(Table29128[[#This Row],[CH4 '[% GP']]]&lt;AA$10,_xlfn.NORM.DIST(Table29128[[#This Row],[CH4 '[% GP']]],AA$6,AA$2,FALSE),-100)</f>
        <v>#REF!</v>
      </c>
      <c r="BT152" t="e">
        <f>IF(Table29128[[#This Row],[CH4 '[g/g DDM']]]&lt;AB$10,_xlfn.NORM.DIST(Table29128[[#This Row],[CH4 '[g/g DDM']]],AB$6,AB$2,FALSE),-100)</f>
        <v>#REF!</v>
      </c>
    </row>
    <row r="153" spans="1:90" x14ac:dyDescent="0.25">
      <c r="A153" s="12" t="s">
        <v>86</v>
      </c>
      <c r="B153" s="13">
        <v>1092</v>
      </c>
      <c r="C153" s="104" t="s">
        <v>139</v>
      </c>
      <c r="D153" s="104" t="s">
        <v>140</v>
      </c>
      <c r="E153" s="104" t="s">
        <v>141</v>
      </c>
      <c r="F153" s="104" t="s">
        <v>142</v>
      </c>
      <c r="G153" s="32" t="s">
        <v>143</v>
      </c>
      <c r="H153" s="32" t="s">
        <v>144</v>
      </c>
      <c r="I153" s="32" t="s">
        <v>52</v>
      </c>
      <c r="J153" s="100">
        <v>1</v>
      </c>
      <c r="K153" s="100"/>
      <c r="L153" s="100"/>
      <c r="M153" t="s">
        <v>142</v>
      </c>
      <c r="N153" t="s">
        <v>171</v>
      </c>
      <c r="O153" s="18"/>
      <c r="P153" s="18"/>
      <c r="Q153" s="97"/>
      <c r="R153" s="97"/>
      <c r="S153" s="97"/>
      <c r="T153" s="97"/>
      <c r="U153" s="97"/>
      <c r="V153" s="97"/>
      <c r="W153" s="97"/>
      <c r="X153" s="51"/>
      <c r="Y153" s="18" t="e">
        <f>AVERAGEIFS([1]!Table2912[DMD '[mg/g']],[1]!Table2912[Substrate ID],Table29128[[#This Row],[Substrate ID]])</f>
        <v>#REF!</v>
      </c>
      <c r="Z153" s="18" t="e">
        <f>AVERAGEIFS([1]!Table2912[CH4 '[ml/g']],[1]!Table2912[Substrate ID],Table29128[[#This Row],[Substrate ID]])</f>
        <v>#REF!</v>
      </c>
      <c r="AA153" s="18" t="e">
        <f>AVERAGEIFS([1]!Table2912[CH4 '[% GP']],[1]!Table2912[Substrate ID],Table29128[[#This Row],[Substrate ID]])</f>
        <v>#REF!</v>
      </c>
      <c r="AB153" s="18" t="e">
        <f>AVERAGEIFS([1]!Table2912[CH4 '[g/g DDM']],[1]!Table2912[Substrate ID],Table29128[[#This Row],[Substrate ID]])</f>
        <v>#REF!</v>
      </c>
      <c r="AC153" s="18" t="e">
        <f>$CP$17*Table29128[[#This Row],[DMD '[mg/g']]]+$CQ$17*Table29128[[#This Row],[CH4 '[g/g DDM']]]</f>
        <v>#REF!</v>
      </c>
      <c r="AD153" s="18" t="e">
        <f>_xlfn.RANK.AVG(Table29128[[#This Row],[Index]],Table29128[Index])</f>
        <v>#REF!</v>
      </c>
      <c r="AE153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53" s="18" t="e">
        <f>Table29128[[#This Row],[CH4 '[ml/g']]]/Table29128[[#This Row],[APB]]</f>
        <v>#REF!</v>
      </c>
      <c r="AG153" s="18" t="e">
        <f>Table29128[[#This Row],[Propionate '[%']]]/Table29128[[#This Row],[Acetate '[%']]]</f>
        <v>#DIV/0!</v>
      </c>
      <c r="AH153" s="51"/>
      <c r="AI153" s="18"/>
      <c r="AJ153" s="18"/>
      <c r="AK153" s="135" t="e">
        <f t="shared" si="8"/>
        <v>#REF!</v>
      </c>
      <c r="AL153" s="18"/>
      <c r="AM153" s="135" t="e">
        <f t="shared" si="9"/>
        <v>#REF!</v>
      </c>
      <c r="AN153" s="18" t="e">
        <f>(Table29128[[#This Row],[CH4 '[g/g DDM']]]-AN$15)/AN$15%</f>
        <v>#REF!</v>
      </c>
      <c r="AO153" s="18"/>
      <c r="AP153" s="18"/>
      <c r="AR153" t="e">
        <f>_xlfn.NORM.DIST(Table29128[[#This Row],[GP '[ml/g']]],O$6,O$2,FALSE)</f>
        <v>#DIV/0!</v>
      </c>
      <c r="AS153" t="e">
        <f>_xlfn.NORM.DIST(Table29128[[#This Row],[SCFA '[mmol/g']]],P$6,P$2,FALSE)</f>
        <v>#DIV/0!</v>
      </c>
      <c r="AT153" t="e">
        <f>_xlfn.NORM.DIST(Table29128[[#This Row],[Acetate '[%']]],Q$6,Q$2,FALSE)</f>
        <v>#DIV/0!</v>
      </c>
      <c r="AU153" t="e">
        <f>_xlfn.NORM.DIST(Table29128[[#This Row],[Propionate '[%']]],R$6,R$2,FALSE)</f>
        <v>#DIV/0!</v>
      </c>
      <c r="AV153" t="e">
        <f>_xlfn.NORM.DIST(Table29128[[#This Row],[Butyrate '[%']]],S$6,S$2,FALSE)</f>
        <v>#DIV/0!</v>
      </c>
      <c r="AW153" t="e">
        <f>_xlfn.NORM.DIST(Table29128[[#This Row],[Valerate '[%']]],T$6,T$2,FALSE)</f>
        <v>#DIV/0!</v>
      </c>
      <c r="AX153" t="e">
        <f>_xlfn.NORM.DIST(Table29128[[#This Row],[Caproate '[%']]],U$6,U$2,FALSE)</f>
        <v>#DIV/0!</v>
      </c>
      <c r="AY153" t="e">
        <f>_xlfn.NORM.DIST(Table29128[[#This Row],[Isobutyrate '[%']]],V$6,V$2,FALSE)</f>
        <v>#DIV/0!</v>
      </c>
      <c r="AZ153" t="e">
        <f>_xlfn.NORM.DIST(Table29128[[#This Row],[Isovalerate '[%']]],W$6,W$2,FALSE)</f>
        <v>#DIV/0!</v>
      </c>
      <c r="BA153" t="e">
        <f>_xlfn.NORM.DIST(Table29128[[#This Row],[CH4 '[g/mmol SCFA']]],X$6,X$2,FALSE)</f>
        <v>#DIV/0!</v>
      </c>
      <c r="BB153" t="e">
        <f>_xlfn.NORM.DIST(Table29128[[#This Row],[DMD '[mg/g']]],Y$6,Y$2,FALSE)</f>
        <v>#REF!</v>
      </c>
      <c r="BC153" t="e">
        <f>_xlfn.NORM.DIST(Table29128[[#This Row],[CH4 '[ml/g']]],Z$6,Z$2,FALSE)</f>
        <v>#REF!</v>
      </c>
      <c r="BD153" t="e">
        <f>_xlfn.NORM.DIST(Table29128[[#This Row],[CH4 '[% GP']]],AA$6,AA$2,FALSE)</f>
        <v>#REF!</v>
      </c>
      <c r="BE153" t="e">
        <f>_xlfn.NORM.DIST(Table29128[[#This Row],[CH4 '[g/g DDM']]],AB$6,AB$2,FALSE)</f>
        <v>#REF!</v>
      </c>
      <c r="BG153">
        <f>IF(Table29128[[#This Row],[GP '[ml/g']]]&lt;O$10,_xlfn.NORM.DIST(Table29128[[#This Row],[GP '[ml/g']]],O$6,O$2,FALSE),-100)</f>
        <v>-100</v>
      </c>
      <c r="BH153">
        <f>IF(Table29128[[#This Row],[SCFA '[mmol/g']]]&lt;P$10,_xlfn.NORM.DIST(Table29128[[#This Row],[SCFA '[mmol/g']]],P$6,P$2,FALSE),-100)</f>
        <v>-100</v>
      </c>
      <c r="BI153">
        <f>IF(Table29128[[#This Row],[Acetate '[%']]]&lt;Q$10,_xlfn.NORM.DIST(Table29128[[#This Row],[Acetate '[%']]],Q$6,Q$2,FALSE),-100)</f>
        <v>-100</v>
      </c>
      <c r="BJ153">
        <f>IF(Table29128[[#This Row],[Propionate '[%']]]&lt;R$10,_xlfn.NORM.DIST(Table29128[[#This Row],[Propionate '[%']]],R$6,R$2,FALSE),-100)</f>
        <v>-100</v>
      </c>
      <c r="BK153">
        <f>IF(Table29128[[#This Row],[Butyrate '[%']]]&lt;S$10,_xlfn.NORM.DIST(Table29128[[#This Row],[Butyrate '[%']]],S$6,S$2,FALSE),-100)</f>
        <v>-100</v>
      </c>
      <c r="BL153">
        <f>IF(Table29128[[#This Row],[Valerate '[%']]]&lt;T$10,_xlfn.NORM.DIST(Table29128[[#This Row],[Valerate '[%']]],T$6,T$2,FALSE),-100)</f>
        <v>-100</v>
      </c>
      <c r="BM153">
        <f>IF(Table29128[[#This Row],[Caproate '[%']]]&lt;U$10,_xlfn.NORM.DIST(Table29128[[#This Row],[Caproate '[%']]],U$6,U$2,FALSE),-100)</f>
        <v>-100</v>
      </c>
      <c r="BN153">
        <f>IF(Table29128[[#This Row],[Isobutyrate '[%']]]&lt;V$10,_xlfn.NORM.DIST(Table29128[[#This Row],[Isobutyrate '[%']]],V$6,V$2,FALSE),-100)</f>
        <v>-100</v>
      </c>
      <c r="BO153">
        <f>IF(Table29128[[#This Row],[Isovalerate '[%']]]&lt;W$10,_xlfn.NORM.DIST(Table29128[[#This Row],[Isovalerate '[%']]],W$6,W$2,FALSE),-100)</f>
        <v>-100</v>
      </c>
      <c r="BP153">
        <f>IF(Table29128[[#This Row],[CH4 '[g/mmol SCFA']]]&lt;X$10,_xlfn.NORM.DIST(Table29128[[#This Row],[CH4 '[g/mmol SCFA']]],X$6,X$2,FALSE),-100)</f>
        <v>-100</v>
      </c>
      <c r="BQ153" t="e">
        <f>IF(Table29128[[#This Row],[DMD '[mg/g']]]&gt;Y$10,_xlfn.NORM.DIST(Table29128[[#This Row],[DMD '[mg/g']]],Y$6,Y$2,FALSE),-100)</f>
        <v>#REF!</v>
      </c>
      <c r="BR153" t="e">
        <f>IF(Table29128[[#This Row],[CH4 '[ml/g']]]&lt;Z$10,_xlfn.NORM.DIST(Table29128[[#This Row],[CH4 '[ml/g']]],Z$6,Z$2,FALSE),-100)</f>
        <v>#REF!</v>
      </c>
      <c r="BS153" t="e">
        <f>IF(Table29128[[#This Row],[CH4 '[% GP']]]&lt;AA$10,_xlfn.NORM.DIST(Table29128[[#This Row],[CH4 '[% GP']]],AA$6,AA$2,FALSE),-100)</f>
        <v>#REF!</v>
      </c>
      <c r="BT153" t="e">
        <f>IF(Table29128[[#This Row],[CH4 '[g/g DDM']]]&lt;AB$10,_xlfn.NORM.DIST(Table29128[[#This Row],[CH4 '[g/g DDM']]],AB$6,AB$2,FALSE),-100)</f>
        <v>#REF!</v>
      </c>
    </row>
    <row r="154" spans="1:90" x14ac:dyDescent="0.25">
      <c r="A154" s="12" t="s">
        <v>200</v>
      </c>
      <c r="B154" s="13">
        <v>1253</v>
      </c>
      <c r="C154" s="113" t="s">
        <v>557</v>
      </c>
      <c r="D154" s="113" t="s">
        <v>558</v>
      </c>
      <c r="E154" s="113" t="s">
        <v>559</v>
      </c>
      <c r="F154" s="114" t="s">
        <v>560</v>
      </c>
      <c r="G154" t="s">
        <v>561</v>
      </c>
      <c r="H154" t="s">
        <v>562</v>
      </c>
      <c r="I154" s="115" t="s">
        <v>48</v>
      </c>
      <c r="J154" s="107">
        <v>1</v>
      </c>
      <c r="K154" s="107"/>
      <c r="L154" s="107"/>
      <c r="M154" s="103" t="s">
        <v>563</v>
      </c>
      <c r="N154" t="s">
        <v>363</v>
      </c>
      <c r="O154" s="18"/>
      <c r="P154" s="18"/>
      <c r="Q154" s="97"/>
      <c r="R154" s="97"/>
      <c r="S154" s="97"/>
      <c r="T154" s="97"/>
      <c r="U154" s="97"/>
      <c r="V154" s="97"/>
      <c r="W154" s="97"/>
      <c r="X154" s="51"/>
      <c r="Y154" s="18" t="e">
        <f>AVERAGEIFS([1]!Table2912[DMD '[mg/g']],[1]!Table2912[Substrate ID],Table29128[[#This Row],[Substrate ID]])</f>
        <v>#REF!</v>
      </c>
      <c r="Z154" s="18" t="e">
        <f>AVERAGEIFS([1]!Table2912[CH4 '[ml/g']],[1]!Table2912[Substrate ID],Table29128[[#This Row],[Substrate ID]])</f>
        <v>#REF!</v>
      </c>
      <c r="AA154" s="18" t="e">
        <f>AVERAGEIFS([1]!Table2912[CH4 '[% GP']],[1]!Table2912[Substrate ID],Table29128[[#This Row],[Substrate ID]])</f>
        <v>#REF!</v>
      </c>
      <c r="AB154" s="18" t="e">
        <f>AVERAGEIFS([1]!Table2912[CH4 '[g/g DDM']],[1]!Table2912[Substrate ID],Table29128[[#This Row],[Substrate ID]])</f>
        <v>#REF!</v>
      </c>
      <c r="AC154" s="18" t="e">
        <f>$CP$17*Table29128[[#This Row],[DMD '[mg/g']]]+$CQ$17*Table29128[[#This Row],[CH4 '[g/g DDM']]]</f>
        <v>#REF!</v>
      </c>
      <c r="AD154" s="18" t="e">
        <f>_xlfn.RANK.AVG(Table29128[[#This Row],[Index]],Table29128[Index])</f>
        <v>#REF!</v>
      </c>
      <c r="AE154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54" s="18" t="e">
        <f>Table29128[[#This Row],[CH4 '[ml/g']]]/Table29128[[#This Row],[APB]]</f>
        <v>#REF!</v>
      </c>
      <c r="AG154" s="18" t="e">
        <f>Table29128[[#This Row],[Propionate '[%']]]/Table29128[[#This Row],[Acetate '[%']]]</f>
        <v>#DIV/0!</v>
      </c>
      <c r="AH154" s="51"/>
      <c r="AI154" s="18"/>
      <c r="AJ154" s="18"/>
      <c r="AK154" s="135" t="e">
        <f t="shared" si="8"/>
        <v>#REF!</v>
      </c>
      <c r="AL154" s="18"/>
      <c r="AM154" s="135" t="e">
        <f t="shared" si="9"/>
        <v>#REF!</v>
      </c>
      <c r="AN154" s="18" t="e">
        <f>(Table29128[[#This Row],[CH4 '[g/g DDM']]]-AN$15)/AN$15%</f>
        <v>#REF!</v>
      </c>
      <c r="AO154" s="18"/>
      <c r="AP154" s="18"/>
      <c r="AR154" t="e">
        <f>_xlfn.NORM.DIST(Table29128[[#This Row],[GP '[ml/g']]],O$6,O$2,FALSE)</f>
        <v>#DIV/0!</v>
      </c>
      <c r="AS154" t="e">
        <f>_xlfn.NORM.DIST(Table29128[[#This Row],[SCFA '[mmol/g']]],P$6,P$2,FALSE)</f>
        <v>#DIV/0!</v>
      </c>
      <c r="AT154" t="e">
        <f>_xlfn.NORM.DIST(Table29128[[#This Row],[Acetate '[%']]],Q$6,Q$2,FALSE)</f>
        <v>#DIV/0!</v>
      </c>
      <c r="AU154" t="e">
        <f>_xlfn.NORM.DIST(Table29128[[#This Row],[Propionate '[%']]],R$6,R$2,FALSE)</f>
        <v>#DIV/0!</v>
      </c>
      <c r="AV154" t="e">
        <f>_xlfn.NORM.DIST(Table29128[[#This Row],[Butyrate '[%']]],S$6,S$2,FALSE)</f>
        <v>#DIV/0!</v>
      </c>
      <c r="AW154" t="e">
        <f>_xlfn.NORM.DIST(Table29128[[#This Row],[Valerate '[%']]],T$6,T$2,FALSE)</f>
        <v>#DIV/0!</v>
      </c>
      <c r="AX154" t="e">
        <f>_xlfn.NORM.DIST(Table29128[[#This Row],[Caproate '[%']]],U$6,U$2,FALSE)</f>
        <v>#DIV/0!</v>
      </c>
      <c r="AY154" t="e">
        <f>_xlfn.NORM.DIST(Table29128[[#This Row],[Isobutyrate '[%']]],V$6,V$2,FALSE)</f>
        <v>#DIV/0!</v>
      </c>
      <c r="AZ154" t="e">
        <f>_xlfn.NORM.DIST(Table29128[[#This Row],[Isovalerate '[%']]],W$6,W$2,FALSE)</f>
        <v>#DIV/0!</v>
      </c>
      <c r="BA154" t="e">
        <f>_xlfn.NORM.DIST(Table29128[[#This Row],[CH4 '[g/mmol SCFA']]],X$6,X$2,FALSE)</f>
        <v>#DIV/0!</v>
      </c>
      <c r="BB154" t="e">
        <f>_xlfn.NORM.DIST(Table29128[[#This Row],[DMD '[mg/g']]],Y$6,Y$2,FALSE)</f>
        <v>#REF!</v>
      </c>
      <c r="BC154" t="e">
        <f>_xlfn.NORM.DIST(Table29128[[#This Row],[CH4 '[ml/g']]],Z$6,Z$2,FALSE)</f>
        <v>#REF!</v>
      </c>
      <c r="BD154" t="e">
        <f>_xlfn.NORM.DIST(Table29128[[#This Row],[CH4 '[% GP']]],AA$6,AA$2,FALSE)</f>
        <v>#REF!</v>
      </c>
      <c r="BE154" t="e">
        <f>_xlfn.NORM.DIST(Table29128[[#This Row],[CH4 '[g/g DDM']]],AB$6,AB$2,FALSE)</f>
        <v>#REF!</v>
      </c>
      <c r="BG154">
        <f>IF(Table29128[[#This Row],[GP '[ml/g']]]&lt;O$10,_xlfn.NORM.DIST(Table29128[[#This Row],[GP '[ml/g']]],O$6,O$2,FALSE),-100)</f>
        <v>-100</v>
      </c>
      <c r="BH154">
        <f>IF(Table29128[[#This Row],[SCFA '[mmol/g']]]&lt;P$10,_xlfn.NORM.DIST(Table29128[[#This Row],[SCFA '[mmol/g']]],P$6,P$2,FALSE),-100)</f>
        <v>-100</v>
      </c>
      <c r="BI154">
        <f>IF(Table29128[[#This Row],[Acetate '[%']]]&lt;Q$10,_xlfn.NORM.DIST(Table29128[[#This Row],[Acetate '[%']]],Q$6,Q$2,FALSE),-100)</f>
        <v>-100</v>
      </c>
      <c r="BJ154">
        <f>IF(Table29128[[#This Row],[Propionate '[%']]]&lt;R$10,_xlfn.NORM.DIST(Table29128[[#This Row],[Propionate '[%']]],R$6,R$2,FALSE),-100)</f>
        <v>-100</v>
      </c>
      <c r="BK154">
        <f>IF(Table29128[[#This Row],[Butyrate '[%']]]&lt;S$10,_xlfn.NORM.DIST(Table29128[[#This Row],[Butyrate '[%']]],S$6,S$2,FALSE),-100)</f>
        <v>-100</v>
      </c>
      <c r="BL154">
        <f>IF(Table29128[[#This Row],[Valerate '[%']]]&lt;T$10,_xlfn.NORM.DIST(Table29128[[#This Row],[Valerate '[%']]],T$6,T$2,FALSE),-100)</f>
        <v>-100</v>
      </c>
      <c r="BM154">
        <f>IF(Table29128[[#This Row],[Caproate '[%']]]&lt;U$10,_xlfn.NORM.DIST(Table29128[[#This Row],[Caproate '[%']]],U$6,U$2,FALSE),-100)</f>
        <v>-100</v>
      </c>
      <c r="BN154">
        <f>IF(Table29128[[#This Row],[Isobutyrate '[%']]]&lt;V$10,_xlfn.NORM.DIST(Table29128[[#This Row],[Isobutyrate '[%']]],V$6,V$2,FALSE),-100)</f>
        <v>-100</v>
      </c>
      <c r="BO154">
        <f>IF(Table29128[[#This Row],[Isovalerate '[%']]]&lt;W$10,_xlfn.NORM.DIST(Table29128[[#This Row],[Isovalerate '[%']]],W$6,W$2,FALSE),-100)</f>
        <v>-100</v>
      </c>
      <c r="BP154">
        <f>IF(Table29128[[#This Row],[CH4 '[g/mmol SCFA']]]&lt;X$10,_xlfn.NORM.DIST(Table29128[[#This Row],[CH4 '[g/mmol SCFA']]],X$6,X$2,FALSE),-100)</f>
        <v>-100</v>
      </c>
      <c r="BQ154" t="e">
        <f>IF(Table29128[[#This Row],[DMD '[mg/g']]]&gt;Y$10,_xlfn.NORM.DIST(Table29128[[#This Row],[DMD '[mg/g']]],Y$6,Y$2,FALSE),-100)</f>
        <v>#REF!</v>
      </c>
      <c r="BR154" t="e">
        <f>IF(Table29128[[#This Row],[CH4 '[ml/g']]]&lt;Z$10,_xlfn.NORM.DIST(Table29128[[#This Row],[CH4 '[ml/g']]],Z$6,Z$2,FALSE),-100)</f>
        <v>#REF!</v>
      </c>
      <c r="BS154" t="e">
        <f>IF(Table29128[[#This Row],[CH4 '[% GP']]]&lt;AA$10,_xlfn.NORM.DIST(Table29128[[#This Row],[CH4 '[% GP']]],AA$6,AA$2,FALSE),-100)</f>
        <v>#REF!</v>
      </c>
      <c r="BT154" t="e">
        <f>IF(Table29128[[#This Row],[CH4 '[g/g DDM']]]&lt;AB$10,_xlfn.NORM.DIST(Table29128[[#This Row],[CH4 '[g/g DDM']]],AB$6,AB$2,FALSE),-100)</f>
        <v>#REF!</v>
      </c>
    </row>
    <row r="155" spans="1:90" x14ac:dyDescent="0.25">
      <c r="A155" s="12" t="s">
        <v>86</v>
      </c>
      <c r="B155" s="13">
        <v>1075</v>
      </c>
      <c r="C155" s="104" t="s">
        <v>192</v>
      </c>
      <c r="D155" s="104" t="s">
        <v>193</v>
      </c>
      <c r="E155" s="104" t="s">
        <v>194</v>
      </c>
      <c r="F155" s="104" t="s">
        <v>195</v>
      </c>
      <c r="G155" s="23" t="s">
        <v>73</v>
      </c>
      <c r="H155" s="23" t="s">
        <v>74</v>
      </c>
      <c r="I155" s="105" t="s">
        <v>44</v>
      </c>
      <c r="J155" s="107">
        <v>1</v>
      </c>
      <c r="K155" s="107"/>
      <c r="L155" s="107"/>
      <c r="M155" t="s">
        <v>195</v>
      </c>
      <c r="N155" t="s">
        <v>145</v>
      </c>
      <c r="O155" s="18"/>
      <c r="P155" s="18"/>
      <c r="Q155" s="97"/>
      <c r="R155" s="97"/>
      <c r="S155" s="97"/>
      <c r="T155" s="97"/>
      <c r="U155" s="97"/>
      <c r="V155" s="97"/>
      <c r="W155" s="97"/>
      <c r="X155" s="51"/>
      <c r="Y155" s="18" t="e">
        <f>AVERAGEIFS([1]!Table2912[DMD '[mg/g']],[1]!Table2912[Substrate ID],Table29128[[#This Row],[Substrate ID]])</f>
        <v>#REF!</v>
      </c>
      <c r="Z155" s="18" t="e">
        <f>AVERAGEIFS([1]!Table2912[CH4 '[ml/g']],[1]!Table2912[Substrate ID],Table29128[[#This Row],[Substrate ID]])</f>
        <v>#REF!</v>
      </c>
      <c r="AA155" s="18" t="e">
        <f>AVERAGEIFS([1]!Table2912[CH4 '[% GP']],[1]!Table2912[Substrate ID],Table29128[[#This Row],[Substrate ID]])</f>
        <v>#REF!</v>
      </c>
      <c r="AB155" s="18" t="e">
        <f>AVERAGEIFS([1]!Table2912[CH4 '[g/g DDM']],[1]!Table2912[Substrate ID],Table29128[[#This Row],[Substrate ID]])</f>
        <v>#REF!</v>
      </c>
      <c r="AC155" s="18" t="e">
        <f>$CP$17*Table29128[[#This Row],[DMD '[mg/g']]]+$CQ$17*Table29128[[#This Row],[CH4 '[g/g DDM']]]</f>
        <v>#REF!</v>
      </c>
      <c r="AD155" s="18" t="e">
        <f>_xlfn.RANK.AVG(Table29128[[#This Row],[Index]],Table29128[Index])</f>
        <v>#REF!</v>
      </c>
      <c r="AE155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55" s="18" t="e">
        <f>Table29128[[#This Row],[CH4 '[ml/g']]]/Table29128[[#This Row],[APB]]</f>
        <v>#REF!</v>
      </c>
      <c r="AG155" s="18" t="e">
        <f>Table29128[[#This Row],[Propionate '[%']]]/Table29128[[#This Row],[Acetate '[%']]]</f>
        <v>#DIV/0!</v>
      </c>
      <c r="AH155" s="51"/>
      <c r="AI155" s="18"/>
      <c r="AJ155" s="18"/>
      <c r="AK155" s="135" t="e">
        <f t="shared" si="8"/>
        <v>#REF!</v>
      </c>
      <c r="AL155" s="18"/>
      <c r="AM155" s="135" t="e">
        <f t="shared" si="9"/>
        <v>#REF!</v>
      </c>
      <c r="AN155" s="18" t="e">
        <f>(Table29128[[#This Row],[CH4 '[g/g DDM']]]-AN$15)/AN$15%</f>
        <v>#REF!</v>
      </c>
      <c r="AO155" s="18"/>
      <c r="AP155" s="18"/>
      <c r="AR155" t="e">
        <f>_xlfn.NORM.DIST(Table29128[[#This Row],[GP '[ml/g']]],O$6,O$2,FALSE)</f>
        <v>#DIV/0!</v>
      </c>
      <c r="AS155" t="e">
        <f>_xlfn.NORM.DIST(Table29128[[#This Row],[SCFA '[mmol/g']]],P$6,P$2,FALSE)</f>
        <v>#DIV/0!</v>
      </c>
      <c r="AT155" t="e">
        <f>_xlfn.NORM.DIST(Table29128[[#This Row],[Acetate '[%']]],Q$6,Q$2,FALSE)</f>
        <v>#DIV/0!</v>
      </c>
      <c r="AU155" t="e">
        <f>_xlfn.NORM.DIST(Table29128[[#This Row],[Propionate '[%']]],R$6,R$2,FALSE)</f>
        <v>#DIV/0!</v>
      </c>
      <c r="AV155" t="e">
        <f>_xlfn.NORM.DIST(Table29128[[#This Row],[Butyrate '[%']]],S$6,S$2,FALSE)</f>
        <v>#DIV/0!</v>
      </c>
      <c r="AW155" t="e">
        <f>_xlfn.NORM.DIST(Table29128[[#This Row],[Valerate '[%']]],T$6,T$2,FALSE)</f>
        <v>#DIV/0!</v>
      </c>
      <c r="AX155" t="e">
        <f>_xlfn.NORM.DIST(Table29128[[#This Row],[Caproate '[%']]],U$6,U$2,FALSE)</f>
        <v>#DIV/0!</v>
      </c>
      <c r="AY155" t="e">
        <f>_xlfn.NORM.DIST(Table29128[[#This Row],[Isobutyrate '[%']]],V$6,V$2,FALSE)</f>
        <v>#DIV/0!</v>
      </c>
      <c r="AZ155" t="e">
        <f>_xlfn.NORM.DIST(Table29128[[#This Row],[Isovalerate '[%']]],W$6,W$2,FALSE)</f>
        <v>#DIV/0!</v>
      </c>
      <c r="BA155" t="e">
        <f>_xlfn.NORM.DIST(Table29128[[#This Row],[CH4 '[g/mmol SCFA']]],X$6,X$2,FALSE)</f>
        <v>#DIV/0!</v>
      </c>
      <c r="BB155" t="e">
        <f>_xlfn.NORM.DIST(Table29128[[#This Row],[DMD '[mg/g']]],Y$6,Y$2,FALSE)</f>
        <v>#REF!</v>
      </c>
      <c r="BC155" t="e">
        <f>_xlfn.NORM.DIST(Table29128[[#This Row],[CH4 '[ml/g']]],Z$6,Z$2,FALSE)</f>
        <v>#REF!</v>
      </c>
      <c r="BD155" t="e">
        <f>_xlfn.NORM.DIST(Table29128[[#This Row],[CH4 '[% GP']]],AA$6,AA$2,FALSE)</f>
        <v>#REF!</v>
      </c>
      <c r="BE155" t="e">
        <f>_xlfn.NORM.DIST(Table29128[[#This Row],[CH4 '[g/g DDM']]],AB$6,AB$2,FALSE)</f>
        <v>#REF!</v>
      </c>
      <c r="BG155">
        <f>IF(Table29128[[#This Row],[GP '[ml/g']]]&lt;O$10,_xlfn.NORM.DIST(Table29128[[#This Row],[GP '[ml/g']]],O$6,O$2,FALSE),-100)</f>
        <v>-100</v>
      </c>
      <c r="BH155">
        <f>IF(Table29128[[#This Row],[SCFA '[mmol/g']]]&lt;P$10,_xlfn.NORM.DIST(Table29128[[#This Row],[SCFA '[mmol/g']]],P$6,P$2,FALSE),-100)</f>
        <v>-100</v>
      </c>
      <c r="BI155">
        <f>IF(Table29128[[#This Row],[Acetate '[%']]]&lt;Q$10,_xlfn.NORM.DIST(Table29128[[#This Row],[Acetate '[%']]],Q$6,Q$2,FALSE),-100)</f>
        <v>-100</v>
      </c>
      <c r="BJ155">
        <f>IF(Table29128[[#This Row],[Propionate '[%']]]&lt;R$10,_xlfn.NORM.DIST(Table29128[[#This Row],[Propionate '[%']]],R$6,R$2,FALSE),-100)</f>
        <v>-100</v>
      </c>
      <c r="BK155">
        <f>IF(Table29128[[#This Row],[Butyrate '[%']]]&lt;S$10,_xlfn.NORM.DIST(Table29128[[#This Row],[Butyrate '[%']]],S$6,S$2,FALSE),-100)</f>
        <v>-100</v>
      </c>
      <c r="BL155">
        <f>IF(Table29128[[#This Row],[Valerate '[%']]]&lt;T$10,_xlfn.NORM.DIST(Table29128[[#This Row],[Valerate '[%']]],T$6,T$2,FALSE),-100)</f>
        <v>-100</v>
      </c>
      <c r="BM155">
        <f>IF(Table29128[[#This Row],[Caproate '[%']]]&lt;U$10,_xlfn.NORM.DIST(Table29128[[#This Row],[Caproate '[%']]],U$6,U$2,FALSE),-100)</f>
        <v>-100</v>
      </c>
      <c r="BN155">
        <f>IF(Table29128[[#This Row],[Isobutyrate '[%']]]&lt;V$10,_xlfn.NORM.DIST(Table29128[[#This Row],[Isobutyrate '[%']]],V$6,V$2,FALSE),-100)</f>
        <v>-100</v>
      </c>
      <c r="BO155">
        <f>IF(Table29128[[#This Row],[Isovalerate '[%']]]&lt;W$10,_xlfn.NORM.DIST(Table29128[[#This Row],[Isovalerate '[%']]],W$6,W$2,FALSE),-100)</f>
        <v>-100</v>
      </c>
      <c r="BP155">
        <f>IF(Table29128[[#This Row],[CH4 '[g/mmol SCFA']]]&lt;X$10,_xlfn.NORM.DIST(Table29128[[#This Row],[CH4 '[g/mmol SCFA']]],X$6,X$2,FALSE),-100)</f>
        <v>-100</v>
      </c>
      <c r="BQ155" t="e">
        <f>IF(Table29128[[#This Row],[DMD '[mg/g']]]&gt;Y$10,_xlfn.NORM.DIST(Table29128[[#This Row],[DMD '[mg/g']]],Y$6,Y$2,FALSE),-100)</f>
        <v>#REF!</v>
      </c>
      <c r="BR155" t="e">
        <f>IF(Table29128[[#This Row],[CH4 '[ml/g']]]&lt;Z$10,_xlfn.NORM.DIST(Table29128[[#This Row],[CH4 '[ml/g']]],Z$6,Z$2,FALSE),-100)</f>
        <v>#REF!</v>
      </c>
      <c r="BS155" t="e">
        <f>IF(Table29128[[#This Row],[CH4 '[% GP']]]&lt;AA$10,_xlfn.NORM.DIST(Table29128[[#This Row],[CH4 '[% GP']]],AA$6,AA$2,FALSE),-100)</f>
        <v>#REF!</v>
      </c>
      <c r="BT155" t="e">
        <f>IF(Table29128[[#This Row],[CH4 '[g/g DDM']]]&lt;AB$10,_xlfn.NORM.DIST(Table29128[[#This Row],[CH4 '[g/g DDM']]],AB$6,AB$2,FALSE),-100)</f>
        <v>#REF!</v>
      </c>
    </row>
    <row r="156" spans="1:90" x14ac:dyDescent="0.25">
      <c r="A156" s="12" t="s">
        <v>200</v>
      </c>
      <c r="B156" s="13">
        <v>1261</v>
      </c>
      <c r="C156" s="113" t="s">
        <v>326</v>
      </c>
      <c r="D156" s="113" t="s">
        <v>327</v>
      </c>
      <c r="E156" s="113" t="s">
        <v>328</v>
      </c>
      <c r="F156" s="114" t="s">
        <v>329</v>
      </c>
      <c r="G156" t="s">
        <v>73</v>
      </c>
      <c r="H156" t="s">
        <v>74</v>
      </c>
      <c r="I156" t="s">
        <v>75</v>
      </c>
      <c r="J156" s="107">
        <v>1</v>
      </c>
      <c r="K156" s="70" t="s">
        <v>627</v>
      </c>
      <c r="L156" s="107"/>
      <c r="M156" t="s">
        <v>330</v>
      </c>
      <c r="N156" t="s">
        <v>363</v>
      </c>
      <c r="O156" s="18"/>
      <c r="P156" s="18"/>
      <c r="Q156" s="97"/>
      <c r="R156" s="97"/>
      <c r="S156" s="97"/>
      <c r="T156" s="97"/>
      <c r="U156" s="97"/>
      <c r="V156" s="97"/>
      <c r="W156" s="97"/>
      <c r="X156" s="51"/>
      <c r="Y156" s="18" t="e">
        <f>AVERAGEIFS([1]!Table2912[DMD '[mg/g']],[1]!Table2912[Substrate ID],Table29128[[#This Row],[Substrate ID]])</f>
        <v>#REF!</v>
      </c>
      <c r="Z156" s="18" t="e">
        <f>AVERAGEIFS([1]!Table2912[CH4 '[ml/g']],[1]!Table2912[Substrate ID],Table29128[[#This Row],[Substrate ID]])</f>
        <v>#REF!</v>
      </c>
      <c r="AA156" s="18" t="e">
        <f>AVERAGEIFS([1]!Table2912[CH4 '[% GP']],[1]!Table2912[Substrate ID],Table29128[[#This Row],[Substrate ID]])</f>
        <v>#REF!</v>
      </c>
      <c r="AB156" s="18" t="e">
        <f>AVERAGEIFS([1]!Table2912[CH4 '[g/g DDM']],[1]!Table2912[Substrate ID],Table29128[[#This Row],[Substrate ID]])</f>
        <v>#REF!</v>
      </c>
      <c r="AC156" s="18" t="e">
        <f>$CP$17*Table29128[[#This Row],[DMD '[mg/g']]]+$CQ$17*Table29128[[#This Row],[CH4 '[g/g DDM']]]</f>
        <v>#REF!</v>
      </c>
      <c r="AD156" s="18" t="e">
        <f>_xlfn.RANK.AVG(Table29128[[#This Row],[Index]],Table29128[Index])</f>
        <v>#REF!</v>
      </c>
      <c r="AE156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56" s="18" t="e">
        <f>Table29128[[#This Row],[CH4 '[ml/g']]]/Table29128[[#This Row],[APB]]</f>
        <v>#REF!</v>
      </c>
      <c r="AG156" s="18" t="e">
        <f>Table29128[[#This Row],[Propionate '[%']]]/Table29128[[#This Row],[Acetate '[%']]]</f>
        <v>#DIV/0!</v>
      </c>
      <c r="AH156" s="51"/>
      <c r="AI156" s="18"/>
      <c r="AJ156" s="18"/>
      <c r="AK156" s="135" t="e">
        <f t="shared" si="8"/>
        <v>#REF!</v>
      </c>
      <c r="AL156" s="18"/>
      <c r="AM156" s="135" t="e">
        <f t="shared" si="9"/>
        <v>#REF!</v>
      </c>
      <c r="AN156" s="18" t="e">
        <f>(Table29128[[#This Row],[CH4 '[g/g DDM']]]-AN$15)/AN$15%</f>
        <v>#REF!</v>
      </c>
      <c r="AO156" s="18"/>
      <c r="AP156" s="18"/>
      <c r="AR156" t="e">
        <f>_xlfn.NORM.DIST(Table29128[[#This Row],[GP '[ml/g']]],O$6,O$2,FALSE)</f>
        <v>#DIV/0!</v>
      </c>
      <c r="AS156" t="e">
        <f>_xlfn.NORM.DIST(Table29128[[#This Row],[SCFA '[mmol/g']]],P$6,P$2,FALSE)</f>
        <v>#DIV/0!</v>
      </c>
      <c r="AT156" t="e">
        <f>_xlfn.NORM.DIST(Table29128[[#This Row],[Acetate '[%']]],Q$6,Q$2,FALSE)</f>
        <v>#DIV/0!</v>
      </c>
      <c r="AU156" t="e">
        <f>_xlfn.NORM.DIST(Table29128[[#This Row],[Propionate '[%']]],R$6,R$2,FALSE)</f>
        <v>#DIV/0!</v>
      </c>
      <c r="AV156" t="e">
        <f>_xlfn.NORM.DIST(Table29128[[#This Row],[Butyrate '[%']]],S$6,S$2,FALSE)</f>
        <v>#DIV/0!</v>
      </c>
      <c r="AW156" t="e">
        <f>_xlfn.NORM.DIST(Table29128[[#This Row],[Valerate '[%']]],T$6,T$2,FALSE)</f>
        <v>#DIV/0!</v>
      </c>
      <c r="AX156" t="e">
        <f>_xlfn.NORM.DIST(Table29128[[#This Row],[Caproate '[%']]],U$6,U$2,FALSE)</f>
        <v>#DIV/0!</v>
      </c>
      <c r="AY156" t="e">
        <f>_xlfn.NORM.DIST(Table29128[[#This Row],[Isobutyrate '[%']]],V$6,V$2,FALSE)</f>
        <v>#DIV/0!</v>
      </c>
      <c r="AZ156" t="e">
        <f>_xlfn.NORM.DIST(Table29128[[#This Row],[Isovalerate '[%']]],W$6,W$2,FALSE)</f>
        <v>#DIV/0!</v>
      </c>
      <c r="BA156" t="e">
        <f>_xlfn.NORM.DIST(Table29128[[#This Row],[CH4 '[g/mmol SCFA']]],X$6,X$2,FALSE)</f>
        <v>#DIV/0!</v>
      </c>
      <c r="BB156" t="e">
        <f>_xlfn.NORM.DIST(Table29128[[#This Row],[DMD '[mg/g']]],Y$6,Y$2,FALSE)</f>
        <v>#REF!</v>
      </c>
      <c r="BC156" t="e">
        <f>_xlfn.NORM.DIST(Table29128[[#This Row],[CH4 '[ml/g']]],Z$6,Z$2,FALSE)</f>
        <v>#REF!</v>
      </c>
      <c r="BD156" t="e">
        <f>_xlfn.NORM.DIST(Table29128[[#This Row],[CH4 '[% GP']]],AA$6,AA$2,FALSE)</f>
        <v>#REF!</v>
      </c>
      <c r="BE156" t="e">
        <f>_xlfn.NORM.DIST(Table29128[[#This Row],[CH4 '[g/g DDM']]],AB$6,AB$2,FALSE)</f>
        <v>#REF!</v>
      </c>
      <c r="BG156">
        <f>IF(Table29128[[#This Row],[GP '[ml/g']]]&lt;O$10,_xlfn.NORM.DIST(Table29128[[#This Row],[GP '[ml/g']]],O$6,O$2,FALSE),-100)</f>
        <v>-100</v>
      </c>
      <c r="BH156">
        <f>IF(Table29128[[#This Row],[SCFA '[mmol/g']]]&lt;P$10,_xlfn.NORM.DIST(Table29128[[#This Row],[SCFA '[mmol/g']]],P$6,P$2,FALSE),-100)</f>
        <v>-100</v>
      </c>
      <c r="BI156">
        <f>IF(Table29128[[#This Row],[Acetate '[%']]]&lt;Q$10,_xlfn.NORM.DIST(Table29128[[#This Row],[Acetate '[%']]],Q$6,Q$2,FALSE),-100)</f>
        <v>-100</v>
      </c>
      <c r="BJ156">
        <f>IF(Table29128[[#This Row],[Propionate '[%']]]&lt;R$10,_xlfn.NORM.DIST(Table29128[[#This Row],[Propionate '[%']]],R$6,R$2,FALSE),-100)</f>
        <v>-100</v>
      </c>
      <c r="BK156">
        <f>IF(Table29128[[#This Row],[Butyrate '[%']]]&lt;S$10,_xlfn.NORM.DIST(Table29128[[#This Row],[Butyrate '[%']]],S$6,S$2,FALSE),-100)</f>
        <v>-100</v>
      </c>
      <c r="BL156">
        <f>IF(Table29128[[#This Row],[Valerate '[%']]]&lt;T$10,_xlfn.NORM.DIST(Table29128[[#This Row],[Valerate '[%']]],T$6,T$2,FALSE),-100)</f>
        <v>-100</v>
      </c>
      <c r="BM156">
        <f>IF(Table29128[[#This Row],[Caproate '[%']]]&lt;U$10,_xlfn.NORM.DIST(Table29128[[#This Row],[Caproate '[%']]],U$6,U$2,FALSE),-100)</f>
        <v>-100</v>
      </c>
      <c r="BN156">
        <f>IF(Table29128[[#This Row],[Isobutyrate '[%']]]&lt;V$10,_xlfn.NORM.DIST(Table29128[[#This Row],[Isobutyrate '[%']]],V$6,V$2,FALSE),-100)</f>
        <v>-100</v>
      </c>
      <c r="BO156">
        <f>IF(Table29128[[#This Row],[Isovalerate '[%']]]&lt;W$10,_xlfn.NORM.DIST(Table29128[[#This Row],[Isovalerate '[%']]],W$6,W$2,FALSE),-100)</f>
        <v>-100</v>
      </c>
      <c r="BP156">
        <f>IF(Table29128[[#This Row],[CH4 '[g/mmol SCFA']]]&lt;X$10,_xlfn.NORM.DIST(Table29128[[#This Row],[CH4 '[g/mmol SCFA']]],X$6,X$2,FALSE),-100)</f>
        <v>-100</v>
      </c>
      <c r="BQ156" t="e">
        <f>IF(Table29128[[#This Row],[DMD '[mg/g']]]&gt;Y$10,_xlfn.NORM.DIST(Table29128[[#This Row],[DMD '[mg/g']]],Y$6,Y$2,FALSE),-100)</f>
        <v>#REF!</v>
      </c>
      <c r="BR156" t="e">
        <f>IF(Table29128[[#This Row],[CH4 '[ml/g']]]&lt;Z$10,_xlfn.NORM.DIST(Table29128[[#This Row],[CH4 '[ml/g']]],Z$6,Z$2,FALSE),-100)</f>
        <v>#REF!</v>
      </c>
      <c r="BS156" t="e">
        <f>IF(Table29128[[#This Row],[CH4 '[% GP']]]&lt;AA$10,_xlfn.NORM.DIST(Table29128[[#This Row],[CH4 '[% GP']]],AA$6,AA$2,FALSE),-100)</f>
        <v>#REF!</v>
      </c>
      <c r="BT156" t="e">
        <f>IF(Table29128[[#This Row],[CH4 '[g/g DDM']]]&lt;AB$10,_xlfn.NORM.DIST(Table29128[[#This Row],[CH4 '[g/g DDM']]],AB$6,AB$2,FALSE),-100)</f>
        <v>#REF!</v>
      </c>
      <c r="CL156" t="s">
        <v>628</v>
      </c>
    </row>
    <row r="157" spans="1:90" x14ac:dyDescent="0.25">
      <c r="A157" s="12" t="s">
        <v>200</v>
      </c>
      <c r="B157" s="13">
        <v>1254</v>
      </c>
      <c r="C157" s="113" t="s">
        <v>201</v>
      </c>
      <c r="D157" s="113" t="s">
        <v>202</v>
      </c>
      <c r="E157" s="113" t="s">
        <v>203</v>
      </c>
      <c r="F157" s="114" t="s">
        <v>204</v>
      </c>
      <c r="G157" t="s">
        <v>205</v>
      </c>
      <c r="H157" t="s">
        <v>206</v>
      </c>
      <c r="I157" s="115" t="s">
        <v>48</v>
      </c>
      <c r="J157" s="107">
        <v>1</v>
      </c>
      <c r="K157" s="70" t="s">
        <v>627</v>
      </c>
      <c r="L157" s="148"/>
      <c r="M157" t="s">
        <v>207</v>
      </c>
      <c r="N157" t="s">
        <v>363</v>
      </c>
      <c r="O157" s="18"/>
      <c r="P157" s="18"/>
      <c r="Q157" s="97"/>
      <c r="R157" s="97"/>
      <c r="S157" s="97"/>
      <c r="T157" s="97"/>
      <c r="U157" s="97"/>
      <c r="V157" s="97"/>
      <c r="W157" s="97"/>
      <c r="X157" s="51"/>
      <c r="Y157" s="18" t="e">
        <f>AVERAGEIFS([1]!Table2912[DMD '[mg/g']],[1]!Table2912[Substrate ID],Table29128[[#This Row],[Substrate ID]])</f>
        <v>#REF!</v>
      </c>
      <c r="Z157" s="18" t="e">
        <f>AVERAGEIFS([1]!Table2912[CH4 '[ml/g']],[1]!Table2912[Substrate ID],Table29128[[#This Row],[Substrate ID]])</f>
        <v>#REF!</v>
      </c>
      <c r="AA157" s="18" t="e">
        <f>AVERAGEIFS([1]!Table2912[CH4 '[% GP']],[1]!Table2912[Substrate ID],Table29128[[#This Row],[Substrate ID]])</f>
        <v>#REF!</v>
      </c>
      <c r="AB157" s="18" t="e">
        <f>AVERAGEIFS([1]!Table2912[CH4 '[g/g DDM']],[1]!Table2912[Substrate ID],Table29128[[#This Row],[Substrate ID]])</f>
        <v>#REF!</v>
      </c>
      <c r="AC157" s="18" t="e">
        <f>$CP$17*Table29128[[#This Row],[DMD '[mg/g']]]+$CQ$17*Table29128[[#This Row],[CH4 '[g/g DDM']]]</f>
        <v>#REF!</v>
      </c>
      <c r="AD157" s="18" t="e">
        <f>_xlfn.RANK.AVG(Table29128[[#This Row],[Index]],Table29128[Index])</f>
        <v>#REF!</v>
      </c>
      <c r="AE157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57" s="18" t="e">
        <f>Table29128[[#This Row],[CH4 '[ml/g']]]/Table29128[[#This Row],[APB]]</f>
        <v>#REF!</v>
      </c>
      <c r="AG157" s="18" t="e">
        <f>Table29128[[#This Row],[Propionate '[%']]]/Table29128[[#This Row],[Acetate '[%']]]</f>
        <v>#DIV/0!</v>
      </c>
      <c r="AH157" s="51"/>
      <c r="AI157" s="18"/>
      <c r="AJ157" s="18"/>
      <c r="AK157" s="135" t="e">
        <f t="shared" si="8"/>
        <v>#REF!</v>
      </c>
      <c r="AL157" s="18"/>
      <c r="AM157" s="135" t="e">
        <f t="shared" si="9"/>
        <v>#REF!</v>
      </c>
      <c r="AN157" s="18" t="e">
        <f>(Table29128[[#This Row],[CH4 '[g/g DDM']]]-AN$15)/AN$15%</f>
        <v>#REF!</v>
      </c>
      <c r="AO157" s="18"/>
      <c r="AP157" s="18"/>
      <c r="AR157" t="e">
        <f>_xlfn.NORM.DIST(Table29128[[#This Row],[GP '[ml/g']]],O$6,O$2,FALSE)</f>
        <v>#DIV/0!</v>
      </c>
      <c r="AS157" t="e">
        <f>_xlfn.NORM.DIST(Table29128[[#This Row],[SCFA '[mmol/g']]],P$6,P$2,FALSE)</f>
        <v>#DIV/0!</v>
      </c>
      <c r="AT157" t="e">
        <f>_xlfn.NORM.DIST(Table29128[[#This Row],[Acetate '[%']]],Q$6,Q$2,FALSE)</f>
        <v>#DIV/0!</v>
      </c>
      <c r="AU157" t="e">
        <f>_xlfn.NORM.DIST(Table29128[[#This Row],[Propionate '[%']]],R$6,R$2,FALSE)</f>
        <v>#DIV/0!</v>
      </c>
      <c r="AV157" t="e">
        <f>_xlfn.NORM.DIST(Table29128[[#This Row],[Butyrate '[%']]],S$6,S$2,FALSE)</f>
        <v>#DIV/0!</v>
      </c>
      <c r="AW157" t="e">
        <f>_xlfn.NORM.DIST(Table29128[[#This Row],[Valerate '[%']]],T$6,T$2,FALSE)</f>
        <v>#DIV/0!</v>
      </c>
      <c r="AX157" t="e">
        <f>_xlfn.NORM.DIST(Table29128[[#This Row],[Caproate '[%']]],U$6,U$2,FALSE)</f>
        <v>#DIV/0!</v>
      </c>
      <c r="AY157" t="e">
        <f>_xlfn.NORM.DIST(Table29128[[#This Row],[Isobutyrate '[%']]],V$6,V$2,FALSE)</f>
        <v>#DIV/0!</v>
      </c>
      <c r="AZ157" t="e">
        <f>_xlfn.NORM.DIST(Table29128[[#This Row],[Isovalerate '[%']]],W$6,W$2,FALSE)</f>
        <v>#DIV/0!</v>
      </c>
      <c r="BA157" t="e">
        <f>_xlfn.NORM.DIST(Table29128[[#This Row],[CH4 '[g/mmol SCFA']]],X$6,X$2,FALSE)</f>
        <v>#DIV/0!</v>
      </c>
      <c r="BB157" t="e">
        <f>_xlfn.NORM.DIST(Table29128[[#This Row],[DMD '[mg/g']]],Y$6,Y$2,FALSE)</f>
        <v>#REF!</v>
      </c>
      <c r="BC157" t="e">
        <f>_xlfn.NORM.DIST(Table29128[[#This Row],[CH4 '[ml/g']]],Z$6,Z$2,FALSE)</f>
        <v>#REF!</v>
      </c>
      <c r="BD157" t="e">
        <f>_xlfn.NORM.DIST(Table29128[[#This Row],[CH4 '[% GP']]],AA$6,AA$2,FALSE)</f>
        <v>#REF!</v>
      </c>
      <c r="BE157" t="e">
        <f>_xlfn.NORM.DIST(Table29128[[#This Row],[CH4 '[g/g DDM']]],AB$6,AB$2,FALSE)</f>
        <v>#REF!</v>
      </c>
      <c r="BG157">
        <f>IF(Table29128[[#This Row],[GP '[ml/g']]]&lt;O$10,_xlfn.NORM.DIST(Table29128[[#This Row],[GP '[ml/g']]],O$6,O$2,FALSE),-100)</f>
        <v>-100</v>
      </c>
      <c r="BH157">
        <f>IF(Table29128[[#This Row],[SCFA '[mmol/g']]]&lt;P$10,_xlfn.NORM.DIST(Table29128[[#This Row],[SCFA '[mmol/g']]],P$6,P$2,FALSE),-100)</f>
        <v>-100</v>
      </c>
      <c r="BI157">
        <f>IF(Table29128[[#This Row],[Acetate '[%']]]&lt;Q$10,_xlfn.NORM.DIST(Table29128[[#This Row],[Acetate '[%']]],Q$6,Q$2,FALSE),-100)</f>
        <v>-100</v>
      </c>
      <c r="BJ157">
        <f>IF(Table29128[[#This Row],[Propionate '[%']]]&lt;R$10,_xlfn.NORM.DIST(Table29128[[#This Row],[Propionate '[%']]],R$6,R$2,FALSE),-100)</f>
        <v>-100</v>
      </c>
      <c r="BK157">
        <f>IF(Table29128[[#This Row],[Butyrate '[%']]]&lt;S$10,_xlfn.NORM.DIST(Table29128[[#This Row],[Butyrate '[%']]],S$6,S$2,FALSE),-100)</f>
        <v>-100</v>
      </c>
      <c r="BL157">
        <f>IF(Table29128[[#This Row],[Valerate '[%']]]&lt;T$10,_xlfn.NORM.DIST(Table29128[[#This Row],[Valerate '[%']]],T$6,T$2,FALSE),-100)</f>
        <v>-100</v>
      </c>
      <c r="BM157">
        <f>IF(Table29128[[#This Row],[Caproate '[%']]]&lt;U$10,_xlfn.NORM.DIST(Table29128[[#This Row],[Caproate '[%']]],U$6,U$2,FALSE),-100)</f>
        <v>-100</v>
      </c>
      <c r="BN157">
        <f>IF(Table29128[[#This Row],[Isobutyrate '[%']]]&lt;V$10,_xlfn.NORM.DIST(Table29128[[#This Row],[Isobutyrate '[%']]],V$6,V$2,FALSE),-100)</f>
        <v>-100</v>
      </c>
      <c r="BO157">
        <f>IF(Table29128[[#This Row],[Isovalerate '[%']]]&lt;W$10,_xlfn.NORM.DIST(Table29128[[#This Row],[Isovalerate '[%']]],W$6,W$2,FALSE),-100)</f>
        <v>-100</v>
      </c>
      <c r="BP157">
        <f>IF(Table29128[[#This Row],[CH4 '[g/mmol SCFA']]]&lt;X$10,_xlfn.NORM.DIST(Table29128[[#This Row],[CH4 '[g/mmol SCFA']]],X$6,X$2,FALSE),-100)</f>
        <v>-100</v>
      </c>
      <c r="BQ157" t="e">
        <f>IF(Table29128[[#This Row],[DMD '[mg/g']]]&gt;Y$10,_xlfn.NORM.DIST(Table29128[[#This Row],[DMD '[mg/g']]],Y$6,Y$2,FALSE),-100)</f>
        <v>#REF!</v>
      </c>
      <c r="BR157" t="e">
        <f>IF(Table29128[[#This Row],[CH4 '[ml/g']]]&lt;Z$10,_xlfn.NORM.DIST(Table29128[[#This Row],[CH4 '[ml/g']]],Z$6,Z$2,FALSE),-100)</f>
        <v>#REF!</v>
      </c>
      <c r="BS157" t="e">
        <f>IF(Table29128[[#This Row],[CH4 '[% GP']]]&lt;AA$10,_xlfn.NORM.DIST(Table29128[[#This Row],[CH4 '[% GP']]],AA$6,AA$2,FALSE),-100)</f>
        <v>#REF!</v>
      </c>
      <c r="BT157" t="e">
        <f>IF(Table29128[[#This Row],[CH4 '[g/g DDM']]]&lt;AB$10,_xlfn.NORM.DIST(Table29128[[#This Row],[CH4 '[g/g DDM']]],AB$6,AB$2,FALSE),-100)</f>
        <v>#REF!</v>
      </c>
    </row>
    <row r="158" spans="1:90" x14ac:dyDescent="0.25">
      <c r="A158" s="12" t="s">
        <v>200</v>
      </c>
      <c r="B158" s="13">
        <v>1184</v>
      </c>
      <c r="C158" s="113" t="s">
        <v>603</v>
      </c>
      <c r="D158" s="113" t="s">
        <v>604</v>
      </c>
      <c r="E158" s="113" t="s">
        <v>605</v>
      </c>
      <c r="F158" s="113" t="s">
        <v>606</v>
      </c>
      <c r="G158" t="s">
        <v>607</v>
      </c>
      <c r="H158" t="s">
        <v>317</v>
      </c>
      <c r="I158" s="115" t="s">
        <v>48</v>
      </c>
      <c r="J158" s="107">
        <v>1</v>
      </c>
      <c r="K158" s="107"/>
      <c r="L158" s="149"/>
      <c r="M158" t="s">
        <v>608</v>
      </c>
      <c r="N158" t="s">
        <v>363</v>
      </c>
      <c r="O158" s="18"/>
      <c r="P158" s="18"/>
      <c r="Q158" s="97"/>
      <c r="R158" s="97"/>
      <c r="S158" s="97"/>
      <c r="T158" s="97"/>
      <c r="U158" s="97"/>
      <c r="V158" s="97"/>
      <c r="W158" s="97"/>
      <c r="X158" s="51"/>
      <c r="Y158" s="18" t="e">
        <f>AVERAGEIFS([1]!Table2912[DMD '[mg/g']],[1]!Table2912[Substrate ID],Table29128[[#This Row],[Substrate ID]])</f>
        <v>#REF!</v>
      </c>
      <c r="Z158" s="18" t="e">
        <f>AVERAGEIFS([1]!Table2912[CH4 '[ml/g']],[1]!Table2912[Substrate ID],Table29128[[#This Row],[Substrate ID]])</f>
        <v>#REF!</v>
      </c>
      <c r="AA158" s="18" t="e">
        <f>AVERAGEIFS([1]!Table2912[CH4 '[% GP']],[1]!Table2912[Substrate ID],Table29128[[#This Row],[Substrate ID]])</f>
        <v>#REF!</v>
      </c>
      <c r="AB158" s="18" t="e">
        <f>AVERAGEIFS([1]!Table2912[CH4 '[g/g DDM']],[1]!Table2912[Substrate ID],Table29128[[#This Row],[Substrate ID]])</f>
        <v>#REF!</v>
      </c>
      <c r="AC158" s="18" t="e">
        <f>$CP$17*Table29128[[#This Row],[DMD '[mg/g']]]+$CQ$17*Table29128[[#This Row],[CH4 '[g/g DDM']]]</f>
        <v>#REF!</v>
      </c>
      <c r="AD158" s="18" t="e">
        <f>_xlfn.RANK.AVG(Table29128[[#This Row],[Index]],Table29128[Index])</f>
        <v>#REF!</v>
      </c>
      <c r="AE158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58" s="18" t="e">
        <f>Table29128[[#This Row],[CH4 '[ml/g']]]/Table29128[[#This Row],[APB]]</f>
        <v>#REF!</v>
      </c>
      <c r="AG158" s="18" t="e">
        <f>Table29128[[#This Row],[Propionate '[%']]]/Table29128[[#This Row],[Acetate '[%']]]</f>
        <v>#DIV/0!</v>
      </c>
      <c r="AH158" s="51"/>
      <c r="AI158" s="18"/>
      <c r="AJ158" s="18"/>
      <c r="AK158" s="135" t="e">
        <f t="shared" si="8"/>
        <v>#REF!</v>
      </c>
      <c r="AL158" s="18"/>
      <c r="AM158" s="135" t="e">
        <f t="shared" si="9"/>
        <v>#REF!</v>
      </c>
      <c r="AN158" s="18" t="e">
        <f>(Table29128[[#This Row],[CH4 '[g/g DDM']]]-AN$15)/AN$15%</f>
        <v>#REF!</v>
      </c>
      <c r="AO158" s="18"/>
      <c r="AP158" s="18"/>
      <c r="AR158" t="e">
        <f>_xlfn.NORM.DIST(Table29128[[#This Row],[GP '[ml/g']]],O$6,O$2,FALSE)</f>
        <v>#DIV/0!</v>
      </c>
      <c r="AS158" t="e">
        <f>_xlfn.NORM.DIST(Table29128[[#This Row],[SCFA '[mmol/g']]],P$6,P$2,FALSE)</f>
        <v>#DIV/0!</v>
      </c>
      <c r="AT158" t="e">
        <f>_xlfn.NORM.DIST(Table29128[[#This Row],[Acetate '[%']]],Q$6,Q$2,FALSE)</f>
        <v>#DIV/0!</v>
      </c>
      <c r="AU158" t="e">
        <f>_xlfn.NORM.DIST(Table29128[[#This Row],[Propionate '[%']]],R$6,R$2,FALSE)</f>
        <v>#DIV/0!</v>
      </c>
      <c r="AV158" t="e">
        <f>_xlfn.NORM.DIST(Table29128[[#This Row],[Butyrate '[%']]],S$6,S$2,FALSE)</f>
        <v>#DIV/0!</v>
      </c>
      <c r="AW158" t="e">
        <f>_xlfn.NORM.DIST(Table29128[[#This Row],[Valerate '[%']]],T$6,T$2,FALSE)</f>
        <v>#DIV/0!</v>
      </c>
      <c r="AX158" t="e">
        <f>_xlfn.NORM.DIST(Table29128[[#This Row],[Caproate '[%']]],U$6,U$2,FALSE)</f>
        <v>#DIV/0!</v>
      </c>
      <c r="AY158" t="e">
        <f>_xlfn.NORM.DIST(Table29128[[#This Row],[Isobutyrate '[%']]],V$6,V$2,FALSE)</f>
        <v>#DIV/0!</v>
      </c>
      <c r="AZ158" t="e">
        <f>_xlfn.NORM.DIST(Table29128[[#This Row],[Isovalerate '[%']]],W$6,W$2,FALSE)</f>
        <v>#DIV/0!</v>
      </c>
      <c r="BA158" t="e">
        <f>_xlfn.NORM.DIST(Table29128[[#This Row],[CH4 '[g/mmol SCFA']]],X$6,X$2,FALSE)</f>
        <v>#DIV/0!</v>
      </c>
      <c r="BB158" t="e">
        <f>_xlfn.NORM.DIST(Table29128[[#This Row],[DMD '[mg/g']]],Y$6,Y$2,FALSE)</f>
        <v>#REF!</v>
      </c>
      <c r="BC158" t="e">
        <f>_xlfn.NORM.DIST(Table29128[[#This Row],[CH4 '[ml/g']]],Z$6,Z$2,FALSE)</f>
        <v>#REF!</v>
      </c>
      <c r="BD158" t="e">
        <f>_xlfn.NORM.DIST(Table29128[[#This Row],[CH4 '[% GP']]],AA$6,AA$2,FALSE)</f>
        <v>#REF!</v>
      </c>
      <c r="BE158" t="e">
        <f>_xlfn.NORM.DIST(Table29128[[#This Row],[CH4 '[g/g DDM']]],AB$6,AB$2,FALSE)</f>
        <v>#REF!</v>
      </c>
      <c r="BG158">
        <f>IF(Table29128[[#This Row],[GP '[ml/g']]]&lt;O$10,_xlfn.NORM.DIST(Table29128[[#This Row],[GP '[ml/g']]],O$6,O$2,FALSE),-100)</f>
        <v>-100</v>
      </c>
      <c r="BH158">
        <f>IF(Table29128[[#This Row],[SCFA '[mmol/g']]]&lt;P$10,_xlfn.NORM.DIST(Table29128[[#This Row],[SCFA '[mmol/g']]],P$6,P$2,FALSE),-100)</f>
        <v>-100</v>
      </c>
      <c r="BI158">
        <f>IF(Table29128[[#This Row],[Acetate '[%']]]&lt;Q$10,_xlfn.NORM.DIST(Table29128[[#This Row],[Acetate '[%']]],Q$6,Q$2,FALSE),-100)</f>
        <v>-100</v>
      </c>
      <c r="BJ158">
        <f>IF(Table29128[[#This Row],[Propionate '[%']]]&lt;R$10,_xlfn.NORM.DIST(Table29128[[#This Row],[Propionate '[%']]],R$6,R$2,FALSE),-100)</f>
        <v>-100</v>
      </c>
      <c r="BK158">
        <f>IF(Table29128[[#This Row],[Butyrate '[%']]]&lt;S$10,_xlfn.NORM.DIST(Table29128[[#This Row],[Butyrate '[%']]],S$6,S$2,FALSE),-100)</f>
        <v>-100</v>
      </c>
      <c r="BL158">
        <f>IF(Table29128[[#This Row],[Valerate '[%']]]&lt;T$10,_xlfn.NORM.DIST(Table29128[[#This Row],[Valerate '[%']]],T$6,T$2,FALSE),-100)</f>
        <v>-100</v>
      </c>
      <c r="BM158">
        <f>IF(Table29128[[#This Row],[Caproate '[%']]]&lt;U$10,_xlfn.NORM.DIST(Table29128[[#This Row],[Caproate '[%']]],U$6,U$2,FALSE),-100)</f>
        <v>-100</v>
      </c>
      <c r="BN158">
        <f>IF(Table29128[[#This Row],[Isobutyrate '[%']]]&lt;V$10,_xlfn.NORM.DIST(Table29128[[#This Row],[Isobutyrate '[%']]],V$6,V$2,FALSE),-100)</f>
        <v>-100</v>
      </c>
      <c r="BO158">
        <f>IF(Table29128[[#This Row],[Isovalerate '[%']]]&lt;W$10,_xlfn.NORM.DIST(Table29128[[#This Row],[Isovalerate '[%']]],W$6,W$2,FALSE),-100)</f>
        <v>-100</v>
      </c>
      <c r="BP158">
        <f>IF(Table29128[[#This Row],[CH4 '[g/mmol SCFA']]]&lt;X$10,_xlfn.NORM.DIST(Table29128[[#This Row],[CH4 '[g/mmol SCFA']]],X$6,X$2,FALSE),-100)</f>
        <v>-100</v>
      </c>
      <c r="BQ158" t="e">
        <f>IF(Table29128[[#This Row],[DMD '[mg/g']]]&gt;Y$10,_xlfn.NORM.DIST(Table29128[[#This Row],[DMD '[mg/g']]],Y$6,Y$2,FALSE),-100)</f>
        <v>#REF!</v>
      </c>
      <c r="BR158" t="e">
        <f>IF(Table29128[[#This Row],[CH4 '[ml/g']]]&lt;Z$10,_xlfn.NORM.DIST(Table29128[[#This Row],[CH4 '[ml/g']]],Z$6,Z$2,FALSE),-100)</f>
        <v>#REF!</v>
      </c>
      <c r="BS158" t="e">
        <f>IF(Table29128[[#This Row],[CH4 '[% GP']]]&lt;AA$10,_xlfn.NORM.DIST(Table29128[[#This Row],[CH4 '[% GP']]],AA$6,AA$2,FALSE),-100)</f>
        <v>#REF!</v>
      </c>
      <c r="BT158" t="e">
        <f>IF(Table29128[[#This Row],[CH4 '[g/g DDM']]]&lt;AB$10,_xlfn.NORM.DIST(Table29128[[#This Row],[CH4 '[g/g DDM']]],AB$6,AB$2,FALSE),-100)</f>
        <v>#REF!</v>
      </c>
    </row>
    <row r="159" spans="1:90" x14ac:dyDescent="0.25">
      <c r="A159" s="12" t="s">
        <v>86</v>
      </c>
      <c r="B159" s="13">
        <v>1077</v>
      </c>
      <c r="C159" s="104" t="s">
        <v>376</v>
      </c>
      <c r="D159" s="104" t="s">
        <v>377</v>
      </c>
      <c r="E159" s="104" t="s">
        <v>378</v>
      </c>
      <c r="F159" s="104" t="s">
        <v>379</v>
      </c>
      <c r="G159" s="32" t="s">
        <v>73</v>
      </c>
      <c r="H159" s="32" t="s">
        <v>74</v>
      </c>
      <c r="I159" s="105" t="s">
        <v>44</v>
      </c>
      <c r="J159" s="107">
        <v>1</v>
      </c>
      <c r="K159" s="107"/>
      <c r="L159" s="107"/>
      <c r="M159" s="118" t="s">
        <v>379</v>
      </c>
      <c r="N159" t="s">
        <v>145</v>
      </c>
      <c r="O159" s="18"/>
      <c r="P159" s="18"/>
      <c r="Q159" s="97"/>
      <c r="R159" s="97"/>
      <c r="S159" s="97"/>
      <c r="T159" s="97"/>
      <c r="U159" s="97"/>
      <c r="V159" s="97"/>
      <c r="W159" s="97"/>
      <c r="X159" s="51"/>
      <c r="Y159" s="18" t="e">
        <f>AVERAGEIFS([1]!Table2912[DMD '[mg/g']],[1]!Table2912[Substrate ID],Table29128[[#This Row],[Substrate ID]])</f>
        <v>#REF!</v>
      </c>
      <c r="Z159" s="18" t="e">
        <f>AVERAGEIFS([1]!Table2912[CH4 '[ml/g']],[1]!Table2912[Substrate ID],Table29128[[#This Row],[Substrate ID]])</f>
        <v>#REF!</v>
      </c>
      <c r="AA159" s="18" t="e">
        <f>AVERAGEIFS([1]!Table2912[CH4 '[% GP']],[1]!Table2912[Substrate ID],Table29128[[#This Row],[Substrate ID]])</f>
        <v>#REF!</v>
      </c>
      <c r="AB159" s="18" t="e">
        <f>AVERAGEIFS([1]!Table2912[CH4 '[g/g DDM']],[1]!Table2912[Substrate ID],Table29128[[#This Row],[Substrate ID]])</f>
        <v>#REF!</v>
      </c>
      <c r="AC159" s="18" t="e">
        <f>$CP$17*Table29128[[#This Row],[DMD '[mg/g']]]+$CQ$17*Table29128[[#This Row],[CH4 '[g/g DDM']]]</f>
        <v>#REF!</v>
      </c>
      <c r="AD159" s="18" t="e">
        <f>_xlfn.RANK.AVG(Table29128[[#This Row],[Index]],Table29128[Index])</f>
        <v>#REF!</v>
      </c>
      <c r="AE159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59" s="18" t="e">
        <f>Table29128[[#This Row],[CH4 '[ml/g']]]/Table29128[[#This Row],[APB]]</f>
        <v>#REF!</v>
      </c>
      <c r="AG159" s="18" t="e">
        <f>Table29128[[#This Row],[Propionate '[%']]]/Table29128[[#This Row],[Acetate '[%']]]</f>
        <v>#DIV/0!</v>
      </c>
      <c r="AH159" s="51"/>
      <c r="AI159" s="18"/>
      <c r="AJ159" s="18"/>
      <c r="AK159" s="135" t="e">
        <f t="shared" si="8"/>
        <v>#REF!</v>
      </c>
      <c r="AL159" s="18"/>
      <c r="AM159" s="135" t="e">
        <f t="shared" si="9"/>
        <v>#REF!</v>
      </c>
      <c r="AN159" s="18" t="e">
        <f>(Table29128[[#This Row],[CH4 '[g/g DDM']]]-AN$15)/AN$15%</f>
        <v>#REF!</v>
      </c>
      <c r="AO159" s="18"/>
      <c r="AP159" s="18"/>
      <c r="AR159" t="e">
        <f>_xlfn.NORM.DIST(Table29128[[#This Row],[GP '[ml/g']]],O$6,O$2,FALSE)</f>
        <v>#DIV/0!</v>
      </c>
      <c r="AS159" t="e">
        <f>_xlfn.NORM.DIST(Table29128[[#This Row],[SCFA '[mmol/g']]],P$6,P$2,FALSE)</f>
        <v>#DIV/0!</v>
      </c>
      <c r="AT159" t="e">
        <f>_xlfn.NORM.DIST(Table29128[[#This Row],[Acetate '[%']]],Q$6,Q$2,FALSE)</f>
        <v>#DIV/0!</v>
      </c>
      <c r="AU159" t="e">
        <f>_xlfn.NORM.DIST(Table29128[[#This Row],[Propionate '[%']]],R$6,R$2,FALSE)</f>
        <v>#DIV/0!</v>
      </c>
      <c r="AV159" t="e">
        <f>_xlfn.NORM.DIST(Table29128[[#This Row],[Butyrate '[%']]],S$6,S$2,FALSE)</f>
        <v>#DIV/0!</v>
      </c>
      <c r="AW159" t="e">
        <f>_xlfn.NORM.DIST(Table29128[[#This Row],[Valerate '[%']]],T$6,T$2,FALSE)</f>
        <v>#DIV/0!</v>
      </c>
      <c r="AX159" t="e">
        <f>_xlfn.NORM.DIST(Table29128[[#This Row],[Caproate '[%']]],U$6,U$2,FALSE)</f>
        <v>#DIV/0!</v>
      </c>
      <c r="AY159" t="e">
        <f>_xlfn.NORM.DIST(Table29128[[#This Row],[Isobutyrate '[%']]],V$6,V$2,FALSE)</f>
        <v>#DIV/0!</v>
      </c>
      <c r="AZ159" t="e">
        <f>_xlfn.NORM.DIST(Table29128[[#This Row],[Isovalerate '[%']]],W$6,W$2,FALSE)</f>
        <v>#DIV/0!</v>
      </c>
      <c r="BA159" t="e">
        <f>_xlfn.NORM.DIST(Table29128[[#This Row],[CH4 '[g/mmol SCFA']]],X$6,X$2,FALSE)</f>
        <v>#DIV/0!</v>
      </c>
      <c r="BB159" t="e">
        <f>_xlfn.NORM.DIST(Table29128[[#This Row],[DMD '[mg/g']]],Y$6,Y$2,FALSE)</f>
        <v>#REF!</v>
      </c>
      <c r="BC159" t="e">
        <f>_xlfn.NORM.DIST(Table29128[[#This Row],[CH4 '[ml/g']]],Z$6,Z$2,FALSE)</f>
        <v>#REF!</v>
      </c>
      <c r="BD159" t="e">
        <f>_xlfn.NORM.DIST(Table29128[[#This Row],[CH4 '[% GP']]],AA$6,AA$2,FALSE)</f>
        <v>#REF!</v>
      </c>
      <c r="BE159" t="e">
        <f>_xlfn.NORM.DIST(Table29128[[#This Row],[CH4 '[g/g DDM']]],AB$6,AB$2,FALSE)</f>
        <v>#REF!</v>
      </c>
      <c r="BG159">
        <f>IF(Table29128[[#This Row],[GP '[ml/g']]]&lt;O$10,_xlfn.NORM.DIST(Table29128[[#This Row],[GP '[ml/g']]],O$6,O$2,FALSE),-100)</f>
        <v>-100</v>
      </c>
      <c r="BH159">
        <f>IF(Table29128[[#This Row],[SCFA '[mmol/g']]]&lt;P$10,_xlfn.NORM.DIST(Table29128[[#This Row],[SCFA '[mmol/g']]],P$6,P$2,FALSE),-100)</f>
        <v>-100</v>
      </c>
      <c r="BI159">
        <f>IF(Table29128[[#This Row],[Acetate '[%']]]&lt;Q$10,_xlfn.NORM.DIST(Table29128[[#This Row],[Acetate '[%']]],Q$6,Q$2,FALSE),-100)</f>
        <v>-100</v>
      </c>
      <c r="BJ159">
        <f>IF(Table29128[[#This Row],[Propionate '[%']]]&lt;R$10,_xlfn.NORM.DIST(Table29128[[#This Row],[Propionate '[%']]],R$6,R$2,FALSE),-100)</f>
        <v>-100</v>
      </c>
      <c r="BK159">
        <f>IF(Table29128[[#This Row],[Butyrate '[%']]]&lt;S$10,_xlfn.NORM.DIST(Table29128[[#This Row],[Butyrate '[%']]],S$6,S$2,FALSE),-100)</f>
        <v>-100</v>
      </c>
      <c r="BL159">
        <f>IF(Table29128[[#This Row],[Valerate '[%']]]&lt;T$10,_xlfn.NORM.DIST(Table29128[[#This Row],[Valerate '[%']]],T$6,T$2,FALSE),-100)</f>
        <v>-100</v>
      </c>
      <c r="BM159">
        <f>IF(Table29128[[#This Row],[Caproate '[%']]]&lt;U$10,_xlfn.NORM.DIST(Table29128[[#This Row],[Caproate '[%']]],U$6,U$2,FALSE),-100)</f>
        <v>-100</v>
      </c>
      <c r="BN159">
        <f>IF(Table29128[[#This Row],[Isobutyrate '[%']]]&lt;V$10,_xlfn.NORM.DIST(Table29128[[#This Row],[Isobutyrate '[%']]],V$6,V$2,FALSE),-100)</f>
        <v>-100</v>
      </c>
      <c r="BO159">
        <f>IF(Table29128[[#This Row],[Isovalerate '[%']]]&lt;W$10,_xlfn.NORM.DIST(Table29128[[#This Row],[Isovalerate '[%']]],W$6,W$2,FALSE),-100)</f>
        <v>-100</v>
      </c>
      <c r="BP159">
        <f>IF(Table29128[[#This Row],[CH4 '[g/mmol SCFA']]]&lt;X$10,_xlfn.NORM.DIST(Table29128[[#This Row],[CH4 '[g/mmol SCFA']]],X$6,X$2,FALSE),-100)</f>
        <v>-100</v>
      </c>
      <c r="BQ159" t="e">
        <f>IF(Table29128[[#This Row],[DMD '[mg/g']]]&gt;Y$10,_xlfn.NORM.DIST(Table29128[[#This Row],[DMD '[mg/g']]],Y$6,Y$2,FALSE),-100)</f>
        <v>#REF!</v>
      </c>
      <c r="BR159" t="e">
        <f>IF(Table29128[[#This Row],[CH4 '[ml/g']]]&lt;Z$10,_xlfn.NORM.DIST(Table29128[[#This Row],[CH4 '[ml/g']]],Z$6,Z$2,FALSE),-100)</f>
        <v>#REF!</v>
      </c>
      <c r="BS159" t="e">
        <f>IF(Table29128[[#This Row],[CH4 '[% GP']]]&lt;AA$10,_xlfn.NORM.DIST(Table29128[[#This Row],[CH4 '[% GP']]],AA$6,AA$2,FALSE),-100)</f>
        <v>#REF!</v>
      </c>
      <c r="BT159" t="e">
        <f>IF(Table29128[[#This Row],[CH4 '[g/g DDM']]]&lt;AB$10,_xlfn.NORM.DIST(Table29128[[#This Row],[CH4 '[g/g DDM']]],AB$6,AB$2,FALSE),-100)</f>
        <v>#REF!</v>
      </c>
    </row>
    <row r="160" spans="1:90" x14ac:dyDescent="0.25">
      <c r="A160" s="12" t="s">
        <v>86</v>
      </c>
      <c r="B160" s="13">
        <v>1076</v>
      </c>
      <c r="C160" s="104" t="s">
        <v>469</v>
      </c>
      <c r="D160" s="104" t="s">
        <v>377</v>
      </c>
      <c r="E160" s="104" t="s">
        <v>470</v>
      </c>
      <c r="F160" s="104" t="s">
        <v>471</v>
      </c>
      <c r="G160" s="32" t="s">
        <v>73</v>
      </c>
      <c r="H160" s="32" t="s">
        <v>74</v>
      </c>
      <c r="I160" s="105" t="s">
        <v>44</v>
      </c>
      <c r="J160" s="107">
        <v>1</v>
      </c>
      <c r="K160" s="107"/>
      <c r="L160" s="107"/>
      <c r="M160" s="118" t="s">
        <v>471</v>
      </c>
      <c r="N160" t="s">
        <v>145</v>
      </c>
      <c r="O160" s="18"/>
      <c r="P160" s="18"/>
      <c r="Q160" s="97"/>
      <c r="R160" s="97"/>
      <c r="S160" s="97"/>
      <c r="T160" s="97"/>
      <c r="U160" s="97"/>
      <c r="V160" s="97"/>
      <c r="W160" s="97"/>
      <c r="X160" s="51"/>
      <c r="Y160" s="18" t="e">
        <f>AVERAGEIFS([1]!Table2912[DMD '[mg/g']],[1]!Table2912[Substrate ID],Table29128[[#This Row],[Substrate ID]])</f>
        <v>#REF!</v>
      </c>
      <c r="Z160" s="18" t="e">
        <f>AVERAGEIFS([1]!Table2912[CH4 '[ml/g']],[1]!Table2912[Substrate ID],Table29128[[#This Row],[Substrate ID]])</f>
        <v>#REF!</v>
      </c>
      <c r="AA160" s="18" t="e">
        <f>AVERAGEIFS([1]!Table2912[CH4 '[% GP']],[1]!Table2912[Substrate ID],Table29128[[#This Row],[Substrate ID]])</f>
        <v>#REF!</v>
      </c>
      <c r="AB160" s="18" t="e">
        <f>AVERAGEIFS([1]!Table2912[CH4 '[g/g DDM']],[1]!Table2912[Substrate ID],Table29128[[#This Row],[Substrate ID]])</f>
        <v>#REF!</v>
      </c>
      <c r="AC160" s="18" t="e">
        <f>$CP$17*Table29128[[#This Row],[DMD '[mg/g']]]+$CQ$17*Table29128[[#This Row],[CH4 '[g/g DDM']]]</f>
        <v>#REF!</v>
      </c>
      <c r="AD160" s="18" t="e">
        <f>_xlfn.RANK.AVG(Table29128[[#This Row],[Index]],Table29128[Index])</f>
        <v>#REF!</v>
      </c>
      <c r="AE160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60" s="18" t="e">
        <f>Table29128[[#This Row],[CH4 '[ml/g']]]/Table29128[[#This Row],[APB]]</f>
        <v>#REF!</v>
      </c>
      <c r="AG160" s="18" t="e">
        <f>Table29128[[#This Row],[Propionate '[%']]]/Table29128[[#This Row],[Acetate '[%']]]</f>
        <v>#DIV/0!</v>
      </c>
      <c r="AH160" s="51"/>
      <c r="AI160" s="18"/>
      <c r="AJ160" s="18"/>
      <c r="AK160" s="135" t="e">
        <f t="shared" si="8"/>
        <v>#REF!</v>
      </c>
      <c r="AL160" s="18"/>
      <c r="AM160" s="135" t="e">
        <f t="shared" si="9"/>
        <v>#REF!</v>
      </c>
      <c r="AN160" s="18" t="e">
        <f>(Table29128[[#This Row],[CH4 '[g/g DDM']]]-AN$15)/AN$15%</f>
        <v>#REF!</v>
      </c>
      <c r="AO160" s="18"/>
      <c r="AP160" s="18"/>
      <c r="AR160" t="e">
        <f>_xlfn.NORM.DIST(Table29128[[#This Row],[GP '[ml/g']]],O$6,O$2,FALSE)</f>
        <v>#DIV/0!</v>
      </c>
      <c r="AS160" t="e">
        <f>_xlfn.NORM.DIST(Table29128[[#This Row],[SCFA '[mmol/g']]],P$6,P$2,FALSE)</f>
        <v>#DIV/0!</v>
      </c>
      <c r="AT160" t="e">
        <f>_xlfn.NORM.DIST(Table29128[[#This Row],[Acetate '[%']]],Q$6,Q$2,FALSE)</f>
        <v>#DIV/0!</v>
      </c>
      <c r="AU160" t="e">
        <f>_xlfn.NORM.DIST(Table29128[[#This Row],[Propionate '[%']]],R$6,R$2,FALSE)</f>
        <v>#DIV/0!</v>
      </c>
      <c r="AV160" t="e">
        <f>_xlfn.NORM.DIST(Table29128[[#This Row],[Butyrate '[%']]],S$6,S$2,FALSE)</f>
        <v>#DIV/0!</v>
      </c>
      <c r="AW160" t="e">
        <f>_xlfn.NORM.DIST(Table29128[[#This Row],[Valerate '[%']]],T$6,T$2,FALSE)</f>
        <v>#DIV/0!</v>
      </c>
      <c r="AX160" t="e">
        <f>_xlfn.NORM.DIST(Table29128[[#This Row],[Caproate '[%']]],U$6,U$2,FALSE)</f>
        <v>#DIV/0!</v>
      </c>
      <c r="AY160" t="e">
        <f>_xlfn.NORM.DIST(Table29128[[#This Row],[Isobutyrate '[%']]],V$6,V$2,FALSE)</f>
        <v>#DIV/0!</v>
      </c>
      <c r="AZ160" t="e">
        <f>_xlfn.NORM.DIST(Table29128[[#This Row],[Isovalerate '[%']]],W$6,W$2,FALSE)</f>
        <v>#DIV/0!</v>
      </c>
      <c r="BA160" t="e">
        <f>_xlfn.NORM.DIST(Table29128[[#This Row],[CH4 '[g/mmol SCFA']]],X$6,X$2,FALSE)</f>
        <v>#DIV/0!</v>
      </c>
      <c r="BB160" t="e">
        <f>_xlfn.NORM.DIST(Table29128[[#This Row],[DMD '[mg/g']]],Y$6,Y$2,FALSE)</f>
        <v>#REF!</v>
      </c>
      <c r="BC160" t="e">
        <f>_xlfn.NORM.DIST(Table29128[[#This Row],[CH4 '[ml/g']]],Z$6,Z$2,FALSE)</f>
        <v>#REF!</v>
      </c>
      <c r="BD160" t="e">
        <f>_xlfn.NORM.DIST(Table29128[[#This Row],[CH4 '[% GP']]],AA$6,AA$2,FALSE)</f>
        <v>#REF!</v>
      </c>
      <c r="BE160" t="e">
        <f>_xlfn.NORM.DIST(Table29128[[#This Row],[CH4 '[g/g DDM']]],AB$6,AB$2,FALSE)</f>
        <v>#REF!</v>
      </c>
      <c r="BG160">
        <f>IF(Table29128[[#This Row],[GP '[ml/g']]]&lt;O$10,_xlfn.NORM.DIST(Table29128[[#This Row],[GP '[ml/g']]],O$6,O$2,FALSE),-100)</f>
        <v>-100</v>
      </c>
      <c r="BH160">
        <f>IF(Table29128[[#This Row],[SCFA '[mmol/g']]]&lt;P$10,_xlfn.NORM.DIST(Table29128[[#This Row],[SCFA '[mmol/g']]],P$6,P$2,FALSE),-100)</f>
        <v>-100</v>
      </c>
      <c r="BI160">
        <f>IF(Table29128[[#This Row],[Acetate '[%']]]&lt;Q$10,_xlfn.NORM.DIST(Table29128[[#This Row],[Acetate '[%']]],Q$6,Q$2,FALSE),-100)</f>
        <v>-100</v>
      </c>
      <c r="BJ160">
        <f>IF(Table29128[[#This Row],[Propionate '[%']]]&lt;R$10,_xlfn.NORM.DIST(Table29128[[#This Row],[Propionate '[%']]],R$6,R$2,FALSE),-100)</f>
        <v>-100</v>
      </c>
      <c r="BK160">
        <f>IF(Table29128[[#This Row],[Butyrate '[%']]]&lt;S$10,_xlfn.NORM.DIST(Table29128[[#This Row],[Butyrate '[%']]],S$6,S$2,FALSE),-100)</f>
        <v>-100</v>
      </c>
      <c r="BL160">
        <f>IF(Table29128[[#This Row],[Valerate '[%']]]&lt;T$10,_xlfn.NORM.DIST(Table29128[[#This Row],[Valerate '[%']]],T$6,T$2,FALSE),-100)</f>
        <v>-100</v>
      </c>
      <c r="BM160">
        <f>IF(Table29128[[#This Row],[Caproate '[%']]]&lt;U$10,_xlfn.NORM.DIST(Table29128[[#This Row],[Caproate '[%']]],U$6,U$2,FALSE),-100)</f>
        <v>-100</v>
      </c>
      <c r="BN160">
        <f>IF(Table29128[[#This Row],[Isobutyrate '[%']]]&lt;V$10,_xlfn.NORM.DIST(Table29128[[#This Row],[Isobutyrate '[%']]],V$6,V$2,FALSE),-100)</f>
        <v>-100</v>
      </c>
      <c r="BO160">
        <f>IF(Table29128[[#This Row],[Isovalerate '[%']]]&lt;W$10,_xlfn.NORM.DIST(Table29128[[#This Row],[Isovalerate '[%']]],W$6,W$2,FALSE),-100)</f>
        <v>-100</v>
      </c>
      <c r="BP160">
        <f>IF(Table29128[[#This Row],[CH4 '[g/mmol SCFA']]]&lt;X$10,_xlfn.NORM.DIST(Table29128[[#This Row],[CH4 '[g/mmol SCFA']]],X$6,X$2,FALSE),-100)</f>
        <v>-100</v>
      </c>
      <c r="BQ160" t="e">
        <f>IF(Table29128[[#This Row],[DMD '[mg/g']]]&gt;Y$10,_xlfn.NORM.DIST(Table29128[[#This Row],[DMD '[mg/g']]],Y$6,Y$2,FALSE),-100)</f>
        <v>#REF!</v>
      </c>
      <c r="BR160" t="e">
        <f>IF(Table29128[[#This Row],[CH4 '[ml/g']]]&lt;Z$10,_xlfn.NORM.DIST(Table29128[[#This Row],[CH4 '[ml/g']]],Z$6,Z$2,FALSE),-100)</f>
        <v>#REF!</v>
      </c>
      <c r="BS160" t="e">
        <f>IF(Table29128[[#This Row],[CH4 '[% GP']]]&lt;AA$10,_xlfn.NORM.DIST(Table29128[[#This Row],[CH4 '[% GP']]],AA$6,AA$2,FALSE),-100)</f>
        <v>#REF!</v>
      </c>
      <c r="BT160" t="e">
        <f>IF(Table29128[[#This Row],[CH4 '[g/g DDM']]]&lt;AB$10,_xlfn.NORM.DIST(Table29128[[#This Row],[CH4 '[g/g DDM']]],AB$6,AB$2,FALSE),-100)</f>
        <v>#REF!</v>
      </c>
    </row>
    <row r="161" spans="1:72" x14ac:dyDescent="0.25">
      <c r="A161" s="12" t="s">
        <v>70</v>
      </c>
      <c r="B161" s="13">
        <v>1037</v>
      </c>
      <c r="C161" s="96" t="s">
        <v>272</v>
      </c>
      <c r="D161" s="96"/>
      <c r="E161" s="96"/>
      <c r="F161" s="96" t="s">
        <v>273</v>
      </c>
      <c r="G161" s="15" t="s">
        <v>73</v>
      </c>
      <c r="H161" s="15" t="s">
        <v>74</v>
      </c>
      <c r="I161" s="99" t="s">
        <v>274</v>
      </c>
      <c r="J161" s="107">
        <v>1</v>
      </c>
      <c r="K161" s="107"/>
      <c r="L161" s="70" t="s">
        <v>627</v>
      </c>
      <c r="M161" t="s">
        <v>273</v>
      </c>
      <c r="N161" t="s">
        <v>80</v>
      </c>
      <c r="O161" s="18"/>
      <c r="P161" s="18"/>
      <c r="Q161" s="97"/>
      <c r="R161" s="97"/>
      <c r="S161" s="97"/>
      <c r="T161" s="97"/>
      <c r="U161" s="97"/>
      <c r="V161" s="97"/>
      <c r="W161" s="97"/>
      <c r="X161" s="51"/>
      <c r="Y161" s="18" t="e">
        <f>AVERAGEIFS([1]!Table2912[DMD '[mg/g']],[1]!Table2912[Substrate ID],Table29128[[#This Row],[Substrate ID]])</f>
        <v>#REF!</v>
      </c>
      <c r="Z161" s="18" t="e">
        <f>AVERAGEIFS([1]!Table2912[CH4 '[ml/g']],[1]!Table2912[Substrate ID],Table29128[[#This Row],[Substrate ID]])</f>
        <v>#REF!</v>
      </c>
      <c r="AA161" s="18" t="e">
        <f>AVERAGEIFS([1]!Table2912[CH4 '[% GP']],[1]!Table2912[Substrate ID],Table29128[[#This Row],[Substrate ID]])</f>
        <v>#REF!</v>
      </c>
      <c r="AB161" s="18" t="e">
        <f>AVERAGEIFS([1]!Table2912[CH4 '[g/g DDM']],[1]!Table2912[Substrate ID],Table29128[[#This Row],[Substrate ID]])</f>
        <v>#REF!</v>
      </c>
      <c r="AC161" s="18" t="e">
        <f>$CP$17*Table29128[[#This Row],[DMD '[mg/g']]]+$CQ$17*Table29128[[#This Row],[CH4 '[g/g DDM']]]</f>
        <v>#REF!</v>
      </c>
      <c r="AD161" s="18" t="e">
        <f>_xlfn.RANK.AVG(Table29128[[#This Row],[Index]],Table29128[Index])</f>
        <v>#REF!</v>
      </c>
      <c r="AE161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61" s="18" t="e">
        <f>Table29128[[#This Row],[CH4 '[ml/g']]]/Table29128[[#This Row],[APB]]</f>
        <v>#REF!</v>
      </c>
      <c r="AG161" s="18" t="e">
        <f>Table29128[[#This Row],[Propionate '[%']]]/Table29128[[#This Row],[Acetate '[%']]]</f>
        <v>#DIV/0!</v>
      </c>
      <c r="AH161" s="51"/>
      <c r="AI161" s="18"/>
      <c r="AJ161" s="18"/>
      <c r="AK161" s="135" t="e">
        <f t="shared" si="8"/>
        <v>#REF!</v>
      </c>
      <c r="AL161" s="18"/>
      <c r="AM161" s="135" t="e">
        <f t="shared" si="9"/>
        <v>#REF!</v>
      </c>
      <c r="AN161" s="18" t="e">
        <f>(Table29128[[#This Row],[CH4 '[g/g DDM']]]-AN$15)/AN$15%</f>
        <v>#REF!</v>
      </c>
      <c r="AO161" s="18"/>
      <c r="AP161" s="18"/>
      <c r="AR161" t="e">
        <f>_xlfn.NORM.DIST(Table29128[[#This Row],[GP '[ml/g']]],O$6,O$2,FALSE)</f>
        <v>#DIV/0!</v>
      </c>
      <c r="AS161" t="e">
        <f>_xlfn.NORM.DIST(Table29128[[#This Row],[SCFA '[mmol/g']]],P$6,P$2,FALSE)</f>
        <v>#DIV/0!</v>
      </c>
      <c r="AT161" t="e">
        <f>_xlfn.NORM.DIST(Table29128[[#This Row],[Acetate '[%']]],Q$6,Q$2,FALSE)</f>
        <v>#DIV/0!</v>
      </c>
      <c r="AU161" t="e">
        <f>_xlfn.NORM.DIST(Table29128[[#This Row],[Propionate '[%']]],R$6,R$2,FALSE)</f>
        <v>#DIV/0!</v>
      </c>
      <c r="AV161" t="e">
        <f>_xlfn.NORM.DIST(Table29128[[#This Row],[Butyrate '[%']]],S$6,S$2,FALSE)</f>
        <v>#DIV/0!</v>
      </c>
      <c r="AW161" t="e">
        <f>_xlfn.NORM.DIST(Table29128[[#This Row],[Valerate '[%']]],T$6,T$2,FALSE)</f>
        <v>#DIV/0!</v>
      </c>
      <c r="AX161" t="e">
        <f>_xlfn.NORM.DIST(Table29128[[#This Row],[Caproate '[%']]],U$6,U$2,FALSE)</f>
        <v>#DIV/0!</v>
      </c>
      <c r="AY161" t="e">
        <f>_xlfn.NORM.DIST(Table29128[[#This Row],[Isobutyrate '[%']]],V$6,V$2,FALSE)</f>
        <v>#DIV/0!</v>
      </c>
      <c r="AZ161" t="e">
        <f>_xlfn.NORM.DIST(Table29128[[#This Row],[Isovalerate '[%']]],W$6,W$2,FALSE)</f>
        <v>#DIV/0!</v>
      </c>
      <c r="BA161" t="e">
        <f>_xlfn.NORM.DIST(Table29128[[#This Row],[CH4 '[g/mmol SCFA']]],X$6,X$2,FALSE)</f>
        <v>#DIV/0!</v>
      </c>
      <c r="BB161" t="e">
        <f>_xlfn.NORM.DIST(Table29128[[#This Row],[DMD '[mg/g']]],Y$6,Y$2,FALSE)</f>
        <v>#REF!</v>
      </c>
      <c r="BC161" t="e">
        <f>_xlfn.NORM.DIST(Table29128[[#This Row],[CH4 '[ml/g']]],Z$6,Z$2,FALSE)</f>
        <v>#REF!</v>
      </c>
      <c r="BD161" t="e">
        <f>_xlfn.NORM.DIST(Table29128[[#This Row],[CH4 '[% GP']]],AA$6,AA$2,FALSE)</f>
        <v>#REF!</v>
      </c>
      <c r="BE161" t="e">
        <f>_xlfn.NORM.DIST(Table29128[[#This Row],[CH4 '[g/g DDM']]],AB$6,AB$2,FALSE)</f>
        <v>#REF!</v>
      </c>
      <c r="BG161">
        <f>IF(Table29128[[#This Row],[GP '[ml/g']]]&lt;O$10,_xlfn.NORM.DIST(Table29128[[#This Row],[GP '[ml/g']]],O$6,O$2,FALSE),-100)</f>
        <v>-100</v>
      </c>
      <c r="BH161">
        <f>IF(Table29128[[#This Row],[SCFA '[mmol/g']]]&lt;P$10,_xlfn.NORM.DIST(Table29128[[#This Row],[SCFA '[mmol/g']]],P$6,P$2,FALSE),-100)</f>
        <v>-100</v>
      </c>
      <c r="BI161">
        <f>IF(Table29128[[#This Row],[Acetate '[%']]]&lt;Q$10,_xlfn.NORM.DIST(Table29128[[#This Row],[Acetate '[%']]],Q$6,Q$2,FALSE),-100)</f>
        <v>-100</v>
      </c>
      <c r="BJ161">
        <f>IF(Table29128[[#This Row],[Propionate '[%']]]&lt;R$10,_xlfn.NORM.DIST(Table29128[[#This Row],[Propionate '[%']]],R$6,R$2,FALSE),-100)</f>
        <v>-100</v>
      </c>
      <c r="BK161">
        <f>IF(Table29128[[#This Row],[Butyrate '[%']]]&lt;S$10,_xlfn.NORM.DIST(Table29128[[#This Row],[Butyrate '[%']]],S$6,S$2,FALSE),-100)</f>
        <v>-100</v>
      </c>
      <c r="BL161">
        <f>IF(Table29128[[#This Row],[Valerate '[%']]]&lt;T$10,_xlfn.NORM.DIST(Table29128[[#This Row],[Valerate '[%']]],T$6,T$2,FALSE),-100)</f>
        <v>-100</v>
      </c>
      <c r="BM161">
        <f>IF(Table29128[[#This Row],[Caproate '[%']]]&lt;U$10,_xlfn.NORM.DIST(Table29128[[#This Row],[Caproate '[%']]],U$6,U$2,FALSE),-100)</f>
        <v>-100</v>
      </c>
      <c r="BN161">
        <f>IF(Table29128[[#This Row],[Isobutyrate '[%']]]&lt;V$10,_xlfn.NORM.DIST(Table29128[[#This Row],[Isobutyrate '[%']]],V$6,V$2,FALSE),-100)</f>
        <v>-100</v>
      </c>
      <c r="BO161">
        <f>IF(Table29128[[#This Row],[Isovalerate '[%']]]&lt;W$10,_xlfn.NORM.DIST(Table29128[[#This Row],[Isovalerate '[%']]],W$6,W$2,FALSE),-100)</f>
        <v>-100</v>
      </c>
      <c r="BP161">
        <f>IF(Table29128[[#This Row],[CH4 '[g/mmol SCFA']]]&lt;X$10,_xlfn.NORM.DIST(Table29128[[#This Row],[CH4 '[g/mmol SCFA']]],X$6,X$2,FALSE),-100)</f>
        <v>-100</v>
      </c>
      <c r="BQ161" t="e">
        <f>IF(Table29128[[#This Row],[DMD '[mg/g']]]&gt;Y$10,_xlfn.NORM.DIST(Table29128[[#This Row],[DMD '[mg/g']]],Y$6,Y$2,FALSE),-100)</f>
        <v>#REF!</v>
      </c>
      <c r="BR161" t="e">
        <f>IF(Table29128[[#This Row],[CH4 '[ml/g']]]&lt;Z$10,_xlfn.NORM.DIST(Table29128[[#This Row],[CH4 '[ml/g']]],Z$6,Z$2,FALSE),-100)</f>
        <v>#REF!</v>
      </c>
      <c r="BS161" t="e">
        <f>IF(Table29128[[#This Row],[CH4 '[% GP']]]&lt;AA$10,_xlfn.NORM.DIST(Table29128[[#This Row],[CH4 '[% GP']]],AA$6,AA$2,FALSE),-100)</f>
        <v>#REF!</v>
      </c>
      <c r="BT161" t="e">
        <f>IF(Table29128[[#This Row],[CH4 '[g/g DDM']]]&lt;AB$10,_xlfn.NORM.DIST(Table29128[[#This Row],[CH4 '[g/g DDM']]],AB$6,AB$2,FALSE),-100)</f>
        <v>#REF!</v>
      </c>
    </row>
    <row r="162" spans="1:72" x14ac:dyDescent="0.25">
      <c r="A162" s="12" t="s">
        <v>70</v>
      </c>
      <c r="B162" s="13">
        <v>1036</v>
      </c>
      <c r="C162" s="96" t="s">
        <v>253</v>
      </c>
      <c r="D162" s="96"/>
      <c r="E162" s="96"/>
      <c r="F162" s="96" t="s">
        <v>254</v>
      </c>
      <c r="G162" t="s">
        <v>73</v>
      </c>
      <c r="H162" t="s">
        <v>74</v>
      </c>
      <c r="I162" s="99" t="s">
        <v>79</v>
      </c>
      <c r="J162" s="107">
        <v>1</v>
      </c>
      <c r="K162" s="107"/>
      <c r="L162" s="70" t="s">
        <v>627</v>
      </c>
      <c r="M162" t="s">
        <v>254</v>
      </c>
      <c r="N162" t="s">
        <v>84</v>
      </c>
      <c r="O162" s="18"/>
      <c r="P162" s="18"/>
      <c r="Q162" s="97"/>
      <c r="R162" s="97"/>
      <c r="S162" s="97"/>
      <c r="T162" s="97"/>
      <c r="U162" s="97"/>
      <c r="V162" s="97"/>
      <c r="W162" s="97"/>
      <c r="X162" s="51"/>
      <c r="Y162" s="18" t="e">
        <f>AVERAGEIFS([1]!Table2912[DMD '[mg/g']],[1]!Table2912[Substrate ID],Table29128[[#This Row],[Substrate ID]])</f>
        <v>#REF!</v>
      </c>
      <c r="Z162" s="18" t="e">
        <f>AVERAGEIFS([1]!Table2912[CH4 '[ml/g']],[1]!Table2912[Substrate ID],Table29128[[#This Row],[Substrate ID]])</f>
        <v>#REF!</v>
      </c>
      <c r="AA162" s="18" t="e">
        <f>AVERAGEIFS([1]!Table2912[CH4 '[% GP']],[1]!Table2912[Substrate ID],Table29128[[#This Row],[Substrate ID]])</f>
        <v>#REF!</v>
      </c>
      <c r="AB162" s="18" t="e">
        <f>AVERAGEIFS([1]!Table2912[CH4 '[g/g DDM']],[1]!Table2912[Substrate ID],Table29128[[#This Row],[Substrate ID]])</f>
        <v>#REF!</v>
      </c>
      <c r="AC162" s="18" t="e">
        <f>$CP$17*Table29128[[#This Row],[DMD '[mg/g']]]+$CQ$17*Table29128[[#This Row],[CH4 '[g/g DDM']]]</f>
        <v>#REF!</v>
      </c>
      <c r="AD162" s="18" t="e">
        <f>_xlfn.RANK.AVG(Table29128[[#This Row],[Index]],Table29128[Index])</f>
        <v>#REF!</v>
      </c>
      <c r="AE162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62" s="18" t="e">
        <f>Table29128[[#This Row],[CH4 '[ml/g']]]/Table29128[[#This Row],[APB]]</f>
        <v>#REF!</v>
      </c>
      <c r="AG162" s="18" t="e">
        <f>Table29128[[#This Row],[Propionate '[%']]]/Table29128[[#This Row],[Acetate '[%']]]</f>
        <v>#DIV/0!</v>
      </c>
      <c r="AH162" s="51"/>
      <c r="AI162" s="18"/>
      <c r="AJ162" s="18"/>
      <c r="AK162" s="135" t="e">
        <f t="shared" si="8"/>
        <v>#REF!</v>
      </c>
      <c r="AL162" s="18"/>
      <c r="AM162" s="135" t="e">
        <f t="shared" si="9"/>
        <v>#REF!</v>
      </c>
      <c r="AN162" s="18" t="e">
        <f>(Table29128[[#This Row],[CH4 '[g/g DDM']]]-AN$15)/AN$15%</f>
        <v>#REF!</v>
      </c>
      <c r="AO162" s="18"/>
      <c r="AP162" s="18"/>
      <c r="AR162" t="e">
        <f>_xlfn.NORM.DIST(Table29128[[#This Row],[GP '[ml/g']]],O$6,O$2,FALSE)</f>
        <v>#DIV/0!</v>
      </c>
      <c r="AS162" t="e">
        <f>_xlfn.NORM.DIST(Table29128[[#This Row],[SCFA '[mmol/g']]],P$6,P$2,FALSE)</f>
        <v>#DIV/0!</v>
      </c>
      <c r="AT162" t="e">
        <f>_xlfn.NORM.DIST(Table29128[[#This Row],[Acetate '[%']]],Q$6,Q$2,FALSE)</f>
        <v>#DIV/0!</v>
      </c>
      <c r="AU162" t="e">
        <f>_xlfn.NORM.DIST(Table29128[[#This Row],[Propionate '[%']]],R$6,R$2,FALSE)</f>
        <v>#DIV/0!</v>
      </c>
      <c r="AV162" t="e">
        <f>_xlfn.NORM.DIST(Table29128[[#This Row],[Butyrate '[%']]],S$6,S$2,FALSE)</f>
        <v>#DIV/0!</v>
      </c>
      <c r="AW162" t="e">
        <f>_xlfn.NORM.DIST(Table29128[[#This Row],[Valerate '[%']]],T$6,T$2,FALSE)</f>
        <v>#DIV/0!</v>
      </c>
      <c r="AX162" t="e">
        <f>_xlfn.NORM.DIST(Table29128[[#This Row],[Caproate '[%']]],U$6,U$2,FALSE)</f>
        <v>#DIV/0!</v>
      </c>
      <c r="AY162" t="e">
        <f>_xlfn.NORM.DIST(Table29128[[#This Row],[Isobutyrate '[%']]],V$6,V$2,FALSE)</f>
        <v>#DIV/0!</v>
      </c>
      <c r="AZ162" t="e">
        <f>_xlfn.NORM.DIST(Table29128[[#This Row],[Isovalerate '[%']]],W$6,W$2,FALSE)</f>
        <v>#DIV/0!</v>
      </c>
      <c r="BA162" t="e">
        <f>_xlfn.NORM.DIST(Table29128[[#This Row],[CH4 '[g/mmol SCFA']]],X$6,X$2,FALSE)</f>
        <v>#DIV/0!</v>
      </c>
      <c r="BB162" t="e">
        <f>_xlfn.NORM.DIST(Table29128[[#This Row],[DMD '[mg/g']]],Y$6,Y$2,FALSE)</f>
        <v>#REF!</v>
      </c>
      <c r="BC162" t="e">
        <f>_xlfn.NORM.DIST(Table29128[[#This Row],[CH4 '[ml/g']]],Z$6,Z$2,FALSE)</f>
        <v>#REF!</v>
      </c>
      <c r="BD162" t="e">
        <f>_xlfn.NORM.DIST(Table29128[[#This Row],[CH4 '[% GP']]],AA$6,AA$2,FALSE)</f>
        <v>#REF!</v>
      </c>
      <c r="BE162" t="e">
        <f>_xlfn.NORM.DIST(Table29128[[#This Row],[CH4 '[g/g DDM']]],AB$6,AB$2,FALSE)</f>
        <v>#REF!</v>
      </c>
      <c r="BG162">
        <f>IF(Table29128[[#This Row],[GP '[ml/g']]]&lt;O$10,_xlfn.NORM.DIST(Table29128[[#This Row],[GP '[ml/g']]],O$6,O$2,FALSE),-100)</f>
        <v>-100</v>
      </c>
      <c r="BH162">
        <f>IF(Table29128[[#This Row],[SCFA '[mmol/g']]]&lt;P$10,_xlfn.NORM.DIST(Table29128[[#This Row],[SCFA '[mmol/g']]],P$6,P$2,FALSE),-100)</f>
        <v>-100</v>
      </c>
      <c r="BI162">
        <f>IF(Table29128[[#This Row],[Acetate '[%']]]&lt;Q$10,_xlfn.NORM.DIST(Table29128[[#This Row],[Acetate '[%']]],Q$6,Q$2,FALSE),-100)</f>
        <v>-100</v>
      </c>
      <c r="BJ162">
        <f>IF(Table29128[[#This Row],[Propionate '[%']]]&lt;R$10,_xlfn.NORM.DIST(Table29128[[#This Row],[Propionate '[%']]],R$6,R$2,FALSE),-100)</f>
        <v>-100</v>
      </c>
      <c r="BK162">
        <f>IF(Table29128[[#This Row],[Butyrate '[%']]]&lt;S$10,_xlfn.NORM.DIST(Table29128[[#This Row],[Butyrate '[%']]],S$6,S$2,FALSE),-100)</f>
        <v>-100</v>
      </c>
      <c r="BL162">
        <f>IF(Table29128[[#This Row],[Valerate '[%']]]&lt;T$10,_xlfn.NORM.DIST(Table29128[[#This Row],[Valerate '[%']]],T$6,T$2,FALSE),-100)</f>
        <v>-100</v>
      </c>
      <c r="BM162">
        <f>IF(Table29128[[#This Row],[Caproate '[%']]]&lt;U$10,_xlfn.NORM.DIST(Table29128[[#This Row],[Caproate '[%']]],U$6,U$2,FALSE),-100)</f>
        <v>-100</v>
      </c>
      <c r="BN162">
        <f>IF(Table29128[[#This Row],[Isobutyrate '[%']]]&lt;V$10,_xlfn.NORM.DIST(Table29128[[#This Row],[Isobutyrate '[%']]],V$6,V$2,FALSE),-100)</f>
        <v>-100</v>
      </c>
      <c r="BO162">
        <f>IF(Table29128[[#This Row],[Isovalerate '[%']]]&lt;W$10,_xlfn.NORM.DIST(Table29128[[#This Row],[Isovalerate '[%']]],W$6,W$2,FALSE),-100)</f>
        <v>-100</v>
      </c>
      <c r="BP162">
        <f>IF(Table29128[[#This Row],[CH4 '[g/mmol SCFA']]]&lt;X$10,_xlfn.NORM.DIST(Table29128[[#This Row],[CH4 '[g/mmol SCFA']]],X$6,X$2,FALSE),-100)</f>
        <v>-100</v>
      </c>
      <c r="BQ162" t="e">
        <f>IF(Table29128[[#This Row],[DMD '[mg/g']]]&gt;Y$10,_xlfn.NORM.DIST(Table29128[[#This Row],[DMD '[mg/g']]],Y$6,Y$2,FALSE),-100)</f>
        <v>#REF!</v>
      </c>
      <c r="BR162" t="e">
        <f>IF(Table29128[[#This Row],[CH4 '[ml/g']]]&lt;Z$10,_xlfn.NORM.DIST(Table29128[[#This Row],[CH4 '[ml/g']]],Z$6,Z$2,FALSE),-100)</f>
        <v>#REF!</v>
      </c>
      <c r="BS162" t="e">
        <f>IF(Table29128[[#This Row],[CH4 '[% GP']]]&lt;AA$10,_xlfn.NORM.DIST(Table29128[[#This Row],[CH4 '[% GP']]],AA$6,AA$2,FALSE),-100)</f>
        <v>#REF!</v>
      </c>
      <c r="BT162" t="e">
        <f>IF(Table29128[[#This Row],[CH4 '[g/g DDM']]]&lt;AB$10,_xlfn.NORM.DIST(Table29128[[#This Row],[CH4 '[g/g DDM']]],AB$6,AB$2,FALSE),-100)</f>
        <v>#REF!</v>
      </c>
    </row>
    <row r="163" spans="1:72" x14ac:dyDescent="0.25">
      <c r="A163" s="12" t="s">
        <v>86</v>
      </c>
      <c r="B163" s="13">
        <v>1093</v>
      </c>
      <c r="C163" s="104" t="s">
        <v>449</v>
      </c>
      <c r="D163" s="104" t="s">
        <v>450</v>
      </c>
      <c r="E163" s="104" t="s">
        <v>451</v>
      </c>
      <c r="F163" s="104" t="s">
        <v>452</v>
      </c>
      <c r="G163" s="23" t="s">
        <v>143</v>
      </c>
      <c r="H163" s="23" t="s">
        <v>144</v>
      </c>
      <c r="I163" s="32" t="s">
        <v>52</v>
      </c>
      <c r="J163" s="107">
        <v>1</v>
      </c>
      <c r="K163" s="107"/>
      <c r="L163" s="107"/>
      <c r="M163" t="s">
        <v>452</v>
      </c>
      <c r="N163" t="s">
        <v>171</v>
      </c>
      <c r="O163" s="18"/>
      <c r="P163" s="18"/>
      <c r="Q163" s="97"/>
      <c r="R163" s="97"/>
      <c r="S163" s="97"/>
      <c r="T163" s="97"/>
      <c r="U163" s="97"/>
      <c r="V163" s="97"/>
      <c r="W163" s="97"/>
      <c r="X163" s="51"/>
      <c r="Y163" s="18" t="e">
        <f>AVERAGEIFS([1]!Table2912[DMD '[mg/g']],[1]!Table2912[Substrate ID],Table29128[[#This Row],[Substrate ID]])</f>
        <v>#REF!</v>
      </c>
      <c r="Z163" s="18" t="e">
        <f>AVERAGEIFS([1]!Table2912[CH4 '[ml/g']],[1]!Table2912[Substrate ID],Table29128[[#This Row],[Substrate ID]])</f>
        <v>#REF!</v>
      </c>
      <c r="AA163" s="18" t="e">
        <f>AVERAGEIFS([1]!Table2912[CH4 '[% GP']],[1]!Table2912[Substrate ID],Table29128[[#This Row],[Substrate ID]])</f>
        <v>#REF!</v>
      </c>
      <c r="AB163" s="18" t="e">
        <f>AVERAGEIFS([1]!Table2912[CH4 '[g/g DDM']],[1]!Table2912[Substrate ID],Table29128[[#This Row],[Substrate ID]])</f>
        <v>#REF!</v>
      </c>
      <c r="AC163" s="18" t="e">
        <f>$CP$17*Table29128[[#This Row],[DMD '[mg/g']]]+$CQ$17*Table29128[[#This Row],[CH4 '[g/g DDM']]]</f>
        <v>#REF!</v>
      </c>
      <c r="AD163" s="18" t="e">
        <f>_xlfn.RANK.AVG(Table29128[[#This Row],[Index]],Table29128[Index])</f>
        <v>#REF!</v>
      </c>
      <c r="AE163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63" s="18" t="e">
        <f>Table29128[[#This Row],[CH4 '[ml/g']]]/Table29128[[#This Row],[APB]]</f>
        <v>#REF!</v>
      </c>
      <c r="AG163" s="18" t="e">
        <f>Table29128[[#This Row],[Propionate '[%']]]/Table29128[[#This Row],[Acetate '[%']]]</f>
        <v>#DIV/0!</v>
      </c>
      <c r="AH163" s="51"/>
      <c r="AI163" s="18"/>
      <c r="AJ163" s="18"/>
      <c r="AK163" s="135" t="e">
        <f t="shared" si="8"/>
        <v>#REF!</v>
      </c>
      <c r="AL163" s="18"/>
      <c r="AM163" s="135" t="e">
        <f t="shared" si="9"/>
        <v>#REF!</v>
      </c>
      <c r="AN163" s="18" t="e">
        <f>(Table29128[[#This Row],[CH4 '[g/g DDM']]]-AN$15)/AN$15%</f>
        <v>#REF!</v>
      </c>
      <c r="AO163" s="18"/>
      <c r="AP163" s="18"/>
      <c r="AR163" t="e">
        <f>_xlfn.NORM.DIST(Table29128[[#This Row],[GP '[ml/g']]],O$6,O$2,FALSE)</f>
        <v>#DIV/0!</v>
      </c>
      <c r="AS163" t="e">
        <f>_xlfn.NORM.DIST(Table29128[[#This Row],[SCFA '[mmol/g']]],P$6,P$2,FALSE)</f>
        <v>#DIV/0!</v>
      </c>
      <c r="AT163" t="e">
        <f>_xlfn.NORM.DIST(Table29128[[#This Row],[Acetate '[%']]],Q$6,Q$2,FALSE)</f>
        <v>#DIV/0!</v>
      </c>
      <c r="AU163" t="e">
        <f>_xlfn.NORM.DIST(Table29128[[#This Row],[Propionate '[%']]],R$6,R$2,FALSE)</f>
        <v>#DIV/0!</v>
      </c>
      <c r="AV163" t="e">
        <f>_xlfn.NORM.DIST(Table29128[[#This Row],[Butyrate '[%']]],S$6,S$2,FALSE)</f>
        <v>#DIV/0!</v>
      </c>
      <c r="AW163" t="e">
        <f>_xlfn.NORM.DIST(Table29128[[#This Row],[Valerate '[%']]],T$6,T$2,FALSE)</f>
        <v>#DIV/0!</v>
      </c>
      <c r="AX163" t="e">
        <f>_xlfn.NORM.DIST(Table29128[[#This Row],[Caproate '[%']]],U$6,U$2,FALSE)</f>
        <v>#DIV/0!</v>
      </c>
      <c r="AY163" t="e">
        <f>_xlfn.NORM.DIST(Table29128[[#This Row],[Isobutyrate '[%']]],V$6,V$2,FALSE)</f>
        <v>#DIV/0!</v>
      </c>
      <c r="AZ163" t="e">
        <f>_xlfn.NORM.DIST(Table29128[[#This Row],[Isovalerate '[%']]],W$6,W$2,FALSE)</f>
        <v>#DIV/0!</v>
      </c>
      <c r="BA163" t="e">
        <f>_xlfn.NORM.DIST(Table29128[[#This Row],[CH4 '[g/mmol SCFA']]],X$6,X$2,FALSE)</f>
        <v>#DIV/0!</v>
      </c>
      <c r="BB163" t="e">
        <f>_xlfn.NORM.DIST(Table29128[[#This Row],[DMD '[mg/g']]],Y$6,Y$2,FALSE)</f>
        <v>#REF!</v>
      </c>
      <c r="BC163" t="e">
        <f>_xlfn.NORM.DIST(Table29128[[#This Row],[CH4 '[ml/g']]],Z$6,Z$2,FALSE)</f>
        <v>#REF!</v>
      </c>
      <c r="BD163" t="e">
        <f>_xlfn.NORM.DIST(Table29128[[#This Row],[CH4 '[% GP']]],AA$6,AA$2,FALSE)</f>
        <v>#REF!</v>
      </c>
      <c r="BE163" t="e">
        <f>_xlfn.NORM.DIST(Table29128[[#This Row],[CH4 '[g/g DDM']]],AB$6,AB$2,FALSE)</f>
        <v>#REF!</v>
      </c>
      <c r="BG163">
        <f>IF(Table29128[[#This Row],[GP '[ml/g']]]&lt;O$10,_xlfn.NORM.DIST(Table29128[[#This Row],[GP '[ml/g']]],O$6,O$2,FALSE),-100)</f>
        <v>-100</v>
      </c>
      <c r="BH163">
        <f>IF(Table29128[[#This Row],[SCFA '[mmol/g']]]&lt;P$10,_xlfn.NORM.DIST(Table29128[[#This Row],[SCFA '[mmol/g']]],P$6,P$2,FALSE),-100)</f>
        <v>-100</v>
      </c>
      <c r="BI163">
        <f>IF(Table29128[[#This Row],[Acetate '[%']]]&lt;Q$10,_xlfn.NORM.DIST(Table29128[[#This Row],[Acetate '[%']]],Q$6,Q$2,FALSE),-100)</f>
        <v>-100</v>
      </c>
      <c r="BJ163">
        <f>IF(Table29128[[#This Row],[Propionate '[%']]]&lt;R$10,_xlfn.NORM.DIST(Table29128[[#This Row],[Propionate '[%']]],R$6,R$2,FALSE),-100)</f>
        <v>-100</v>
      </c>
      <c r="BK163">
        <f>IF(Table29128[[#This Row],[Butyrate '[%']]]&lt;S$10,_xlfn.NORM.DIST(Table29128[[#This Row],[Butyrate '[%']]],S$6,S$2,FALSE),-100)</f>
        <v>-100</v>
      </c>
      <c r="BL163">
        <f>IF(Table29128[[#This Row],[Valerate '[%']]]&lt;T$10,_xlfn.NORM.DIST(Table29128[[#This Row],[Valerate '[%']]],T$6,T$2,FALSE),-100)</f>
        <v>-100</v>
      </c>
      <c r="BM163">
        <f>IF(Table29128[[#This Row],[Caproate '[%']]]&lt;U$10,_xlfn.NORM.DIST(Table29128[[#This Row],[Caproate '[%']]],U$6,U$2,FALSE),-100)</f>
        <v>-100</v>
      </c>
      <c r="BN163">
        <f>IF(Table29128[[#This Row],[Isobutyrate '[%']]]&lt;V$10,_xlfn.NORM.DIST(Table29128[[#This Row],[Isobutyrate '[%']]],V$6,V$2,FALSE),-100)</f>
        <v>-100</v>
      </c>
      <c r="BO163">
        <f>IF(Table29128[[#This Row],[Isovalerate '[%']]]&lt;W$10,_xlfn.NORM.DIST(Table29128[[#This Row],[Isovalerate '[%']]],W$6,W$2,FALSE),-100)</f>
        <v>-100</v>
      </c>
      <c r="BP163">
        <f>IF(Table29128[[#This Row],[CH4 '[g/mmol SCFA']]]&lt;X$10,_xlfn.NORM.DIST(Table29128[[#This Row],[CH4 '[g/mmol SCFA']]],X$6,X$2,FALSE),-100)</f>
        <v>-100</v>
      </c>
      <c r="BQ163" t="e">
        <f>IF(Table29128[[#This Row],[DMD '[mg/g']]]&gt;Y$10,_xlfn.NORM.DIST(Table29128[[#This Row],[DMD '[mg/g']]],Y$6,Y$2,FALSE),-100)</f>
        <v>#REF!</v>
      </c>
      <c r="BR163" t="e">
        <f>IF(Table29128[[#This Row],[CH4 '[ml/g']]]&lt;Z$10,_xlfn.NORM.DIST(Table29128[[#This Row],[CH4 '[ml/g']]],Z$6,Z$2,FALSE),-100)</f>
        <v>#REF!</v>
      </c>
      <c r="BS163" t="e">
        <f>IF(Table29128[[#This Row],[CH4 '[% GP']]]&lt;AA$10,_xlfn.NORM.DIST(Table29128[[#This Row],[CH4 '[% GP']]],AA$6,AA$2,FALSE),-100)</f>
        <v>#REF!</v>
      </c>
      <c r="BT163" t="e">
        <f>IF(Table29128[[#This Row],[CH4 '[g/g DDM']]]&lt;AB$10,_xlfn.NORM.DIST(Table29128[[#This Row],[CH4 '[g/g DDM']]],AB$6,AB$2,FALSE),-100)</f>
        <v>#REF!</v>
      </c>
    </row>
    <row r="164" spans="1:72" x14ac:dyDescent="0.25">
      <c r="A164" s="12" t="s">
        <v>200</v>
      </c>
      <c r="B164" s="13">
        <v>1182</v>
      </c>
      <c r="C164" s="113" t="s">
        <v>581</v>
      </c>
      <c r="D164" s="113" t="s">
        <v>582</v>
      </c>
      <c r="E164" s="113" t="s">
        <v>583</v>
      </c>
      <c r="F164" s="113" t="s">
        <v>584</v>
      </c>
      <c r="G164" t="s">
        <v>457</v>
      </c>
      <c r="H164" t="s">
        <v>458</v>
      </c>
      <c r="I164" s="115" t="s">
        <v>48</v>
      </c>
      <c r="J164" s="107">
        <v>1</v>
      </c>
      <c r="K164" s="107"/>
      <c r="L164" s="107"/>
      <c r="M164" t="s">
        <v>585</v>
      </c>
      <c r="N164" t="s">
        <v>363</v>
      </c>
      <c r="O164" s="18"/>
      <c r="P164" s="18"/>
      <c r="Q164" s="97"/>
      <c r="R164" s="97"/>
      <c r="S164" s="97"/>
      <c r="T164" s="97"/>
      <c r="U164" s="97"/>
      <c r="V164" s="97"/>
      <c r="W164" s="97"/>
      <c r="X164" s="51"/>
      <c r="Y164" s="18" t="e">
        <f>AVERAGEIFS([1]!Table2912[DMD '[mg/g']],[1]!Table2912[Substrate ID],Table29128[[#This Row],[Substrate ID]])</f>
        <v>#REF!</v>
      </c>
      <c r="Z164" s="18" t="e">
        <f>AVERAGEIFS([1]!Table2912[CH4 '[ml/g']],[1]!Table2912[Substrate ID],Table29128[[#This Row],[Substrate ID]])</f>
        <v>#REF!</v>
      </c>
      <c r="AA164" s="18" t="e">
        <f>AVERAGEIFS([1]!Table2912[CH4 '[% GP']],[1]!Table2912[Substrate ID],Table29128[[#This Row],[Substrate ID]])</f>
        <v>#REF!</v>
      </c>
      <c r="AB164" s="18" t="e">
        <f>AVERAGEIFS([1]!Table2912[CH4 '[g/g DDM']],[1]!Table2912[Substrate ID],Table29128[[#This Row],[Substrate ID]])</f>
        <v>#REF!</v>
      </c>
      <c r="AC164" s="18" t="e">
        <f>$CP$17*Table29128[[#This Row],[DMD '[mg/g']]]+$CQ$17*Table29128[[#This Row],[CH4 '[g/g DDM']]]</f>
        <v>#REF!</v>
      </c>
      <c r="AD164" s="18" t="e">
        <f>_xlfn.RANK.AVG(Table29128[[#This Row],[Index]],Table29128[Index])</f>
        <v>#REF!</v>
      </c>
      <c r="AE164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64" s="18" t="e">
        <f>Table29128[[#This Row],[CH4 '[ml/g']]]/Table29128[[#This Row],[APB]]</f>
        <v>#REF!</v>
      </c>
      <c r="AG164" s="18" t="e">
        <f>Table29128[[#This Row],[Propionate '[%']]]/Table29128[[#This Row],[Acetate '[%']]]</f>
        <v>#DIV/0!</v>
      </c>
      <c r="AH164" s="51"/>
      <c r="AI164" s="18"/>
      <c r="AJ164" s="18"/>
      <c r="AK164" s="135" t="e">
        <f t="shared" si="8"/>
        <v>#REF!</v>
      </c>
      <c r="AL164" s="18"/>
      <c r="AM164" s="135" t="e">
        <f t="shared" si="9"/>
        <v>#REF!</v>
      </c>
      <c r="AN164" s="18" t="e">
        <f>(Table29128[[#This Row],[CH4 '[g/g DDM']]]-AN$15)/AN$15%</f>
        <v>#REF!</v>
      </c>
      <c r="AO164" s="18"/>
      <c r="AP164" s="18"/>
      <c r="AR164" t="e">
        <f>_xlfn.NORM.DIST(Table29128[[#This Row],[GP '[ml/g']]],O$6,O$2,FALSE)</f>
        <v>#DIV/0!</v>
      </c>
      <c r="AS164" t="e">
        <f>_xlfn.NORM.DIST(Table29128[[#This Row],[SCFA '[mmol/g']]],P$6,P$2,FALSE)</f>
        <v>#DIV/0!</v>
      </c>
      <c r="AT164" t="e">
        <f>_xlfn.NORM.DIST(Table29128[[#This Row],[Acetate '[%']]],Q$6,Q$2,FALSE)</f>
        <v>#DIV/0!</v>
      </c>
      <c r="AU164" t="e">
        <f>_xlfn.NORM.DIST(Table29128[[#This Row],[Propionate '[%']]],R$6,R$2,FALSE)</f>
        <v>#DIV/0!</v>
      </c>
      <c r="AV164" t="e">
        <f>_xlfn.NORM.DIST(Table29128[[#This Row],[Butyrate '[%']]],S$6,S$2,FALSE)</f>
        <v>#DIV/0!</v>
      </c>
      <c r="AW164" t="e">
        <f>_xlfn.NORM.DIST(Table29128[[#This Row],[Valerate '[%']]],T$6,T$2,FALSE)</f>
        <v>#DIV/0!</v>
      </c>
      <c r="AX164" t="e">
        <f>_xlfn.NORM.DIST(Table29128[[#This Row],[Caproate '[%']]],U$6,U$2,FALSE)</f>
        <v>#DIV/0!</v>
      </c>
      <c r="AY164" t="e">
        <f>_xlfn.NORM.DIST(Table29128[[#This Row],[Isobutyrate '[%']]],V$6,V$2,FALSE)</f>
        <v>#DIV/0!</v>
      </c>
      <c r="AZ164" t="e">
        <f>_xlfn.NORM.DIST(Table29128[[#This Row],[Isovalerate '[%']]],W$6,W$2,FALSE)</f>
        <v>#DIV/0!</v>
      </c>
      <c r="BA164" t="e">
        <f>_xlfn.NORM.DIST(Table29128[[#This Row],[CH4 '[g/mmol SCFA']]],X$6,X$2,FALSE)</f>
        <v>#DIV/0!</v>
      </c>
      <c r="BB164" t="e">
        <f>_xlfn.NORM.DIST(Table29128[[#This Row],[DMD '[mg/g']]],Y$6,Y$2,FALSE)</f>
        <v>#REF!</v>
      </c>
      <c r="BC164" t="e">
        <f>_xlfn.NORM.DIST(Table29128[[#This Row],[CH4 '[ml/g']]],Z$6,Z$2,FALSE)</f>
        <v>#REF!</v>
      </c>
      <c r="BD164" t="e">
        <f>_xlfn.NORM.DIST(Table29128[[#This Row],[CH4 '[% GP']]],AA$6,AA$2,FALSE)</f>
        <v>#REF!</v>
      </c>
      <c r="BE164" t="e">
        <f>_xlfn.NORM.DIST(Table29128[[#This Row],[CH4 '[g/g DDM']]],AB$6,AB$2,FALSE)</f>
        <v>#REF!</v>
      </c>
      <c r="BG164">
        <f>IF(Table29128[[#This Row],[GP '[ml/g']]]&lt;O$10,_xlfn.NORM.DIST(Table29128[[#This Row],[GP '[ml/g']]],O$6,O$2,FALSE),-100)</f>
        <v>-100</v>
      </c>
      <c r="BH164">
        <f>IF(Table29128[[#This Row],[SCFA '[mmol/g']]]&lt;P$10,_xlfn.NORM.DIST(Table29128[[#This Row],[SCFA '[mmol/g']]],P$6,P$2,FALSE),-100)</f>
        <v>-100</v>
      </c>
      <c r="BI164">
        <f>IF(Table29128[[#This Row],[Acetate '[%']]]&lt;Q$10,_xlfn.NORM.DIST(Table29128[[#This Row],[Acetate '[%']]],Q$6,Q$2,FALSE),-100)</f>
        <v>-100</v>
      </c>
      <c r="BJ164">
        <f>IF(Table29128[[#This Row],[Propionate '[%']]]&lt;R$10,_xlfn.NORM.DIST(Table29128[[#This Row],[Propionate '[%']]],R$6,R$2,FALSE),-100)</f>
        <v>-100</v>
      </c>
      <c r="BK164">
        <f>IF(Table29128[[#This Row],[Butyrate '[%']]]&lt;S$10,_xlfn.NORM.DIST(Table29128[[#This Row],[Butyrate '[%']]],S$6,S$2,FALSE),-100)</f>
        <v>-100</v>
      </c>
      <c r="BL164">
        <f>IF(Table29128[[#This Row],[Valerate '[%']]]&lt;T$10,_xlfn.NORM.DIST(Table29128[[#This Row],[Valerate '[%']]],T$6,T$2,FALSE),-100)</f>
        <v>-100</v>
      </c>
      <c r="BM164">
        <f>IF(Table29128[[#This Row],[Caproate '[%']]]&lt;U$10,_xlfn.NORM.DIST(Table29128[[#This Row],[Caproate '[%']]],U$6,U$2,FALSE),-100)</f>
        <v>-100</v>
      </c>
      <c r="BN164">
        <f>IF(Table29128[[#This Row],[Isobutyrate '[%']]]&lt;V$10,_xlfn.NORM.DIST(Table29128[[#This Row],[Isobutyrate '[%']]],V$6,V$2,FALSE),-100)</f>
        <v>-100</v>
      </c>
      <c r="BO164">
        <f>IF(Table29128[[#This Row],[Isovalerate '[%']]]&lt;W$10,_xlfn.NORM.DIST(Table29128[[#This Row],[Isovalerate '[%']]],W$6,W$2,FALSE),-100)</f>
        <v>-100</v>
      </c>
      <c r="BP164">
        <f>IF(Table29128[[#This Row],[CH4 '[g/mmol SCFA']]]&lt;X$10,_xlfn.NORM.DIST(Table29128[[#This Row],[CH4 '[g/mmol SCFA']]],X$6,X$2,FALSE),-100)</f>
        <v>-100</v>
      </c>
      <c r="BQ164" t="e">
        <f>IF(Table29128[[#This Row],[DMD '[mg/g']]]&gt;Y$10,_xlfn.NORM.DIST(Table29128[[#This Row],[DMD '[mg/g']]],Y$6,Y$2,FALSE),-100)</f>
        <v>#REF!</v>
      </c>
      <c r="BR164" t="e">
        <f>IF(Table29128[[#This Row],[CH4 '[ml/g']]]&lt;Z$10,_xlfn.NORM.DIST(Table29128[[#This Row],[CH4 '[ml/g']]],Z$6,Z$2,FALSE),-100)</f>
        <v>#REF!</v>
      </c>
      <c r="BS164" t="e">
        <f>IF(Table29128[[#This Row],[CH4 '[% GP']]]&lt;AA$10,_xlfn.NORM.DIST(Table29128[[#This Row],[CH4 '[% GP']]],AA$6,AA$2,FALSE),-100)</f>
        <v>#REF!</v>
      </c>
      <c r="BT164" t="e">
        <f>IF(Table29128[[#This Row],[CH4 '[g/g DDM']]]&lt;AB$10,_xlfn.NORM.DIST(Table29128[[#This Row],[CH4 '[g/g DDM']]],AB$6,AB$2,FALSE),-100)</f>
        <v>#REF!</v>
      </c>
    </row>
    <row r="165" spans="1:72" x14ac:dyDescent="0.25">
      <c r="A165" s="12" t="s">
        <v>200</v>
      </c>
      <c r="B165" s="13">
        <v>1187</v>
      </c>
      <c r="C165" s="113" t="s">
        <v>591</v>
      </c>
      <c r="D165" s="113" t="s">
        <v>592</v>
      </c>
      <c r="E165" s="113" t="s">
        <v>593</v>
      </c>
      <c r="F165" s="131" t="s">
        <v>594</v>
      </c>
      <c r="G165" t="s">
        <v>595</v>
      </c>
      <c r="H165" t="s">
        <v>539</v>
      </c>
      <c r="I165" s="115" t="s">
        <v>48</v>
      </c>
      <c r="J165" s="107">
        <v>1</v>
      </c>
      <c r="K165" s="107"/>
      <c r="L165" s="107"/>
      <c r="M165" t="s">
        <v>596</v>
      </c>
      <c r="N165" t="s">
        <v>363</v>
      </c>
      <c r="O165" s="18"/>
      <c r="P165" s="18"/>
      <c r="Q165" s="97"/>
      <c r="R165" s="97"/>
      <c r="S165" s="97"/>
      <c r="T165" s="97"/>
      <c r="U165" s="97"/>
      <c r="V165" s="97"/>
      <c r="W165" s="97"/>
      <c r="X165" s="51"/>
      <c r="Y165" s="18" t="e">
        <f>AVERAGEIFS([1]!Table2912[DMD '[mg/g']],[1]!Table2912[Substrate ID],Table29128[[#This Row],[Substrate ID]])</f>
        <v>#REF!</v>
      </c>
      <c r="Z165" s="18" t="e">
        <f>AVERAGEIFS([1]!Table2912[CH4 '[ml/g']],[1]!Table2912[Substrate ID],Table29128[[#This Row],[Substrate ID]])</f>
        <v>#REF!</v>
      </c>
      <c r="AA165" s="18" t="e">
        <f>AVERAGEIFS([1]!Table2912[CH4 '[% GP']],[1]!Table2912[Substrate ID],Table29128[[#This Row],[Substrate ID]])</f>
        <v>#REF!</v>
      </c>
      <c r="AB165" s="18" t="e">
        <f>AVERAGEIFS([1]!Table2912[CH4 '[g/g DDM']],[1]!Table2912[Substrate ID],Table29128[[#This Row],[Substrate ID]])</f>
        <v>#REF!</v>
      </c>
      <c r="AC165" s="18" t="e">
        <f>$CP$17*Table29128[[#This Row],[DMD '[mg/g']]]+$CQ$17*Table29128[[#This Row],[CH4 '[g/g DDM']]]</f>
        <v>#REF!</v>
      </c>
      <c r="AD165" s="18" t="e">
        <f>_xlfn.RANK.AVG(Table29128[[#This Row],[Index]],Table29128[Index])</f>
        <v>#REF!</v>
      </c>
      <c r="AE165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65" s="18" t="e">
        <f>Table29128[[#This Row],[CH4 '[ml/g']]]/Table29128[[#This Row],[APB]]</f>
        <v>#REF!</v>
      </c>
      <c r="AG165" s="18" t="e">
        <f>Table29128[[#This Row],[Propionate '[%']]]/Table29128[[#This Row],[Acetate '[%']]]</f>
        <v>#DIV/0!</v>
      </c>
      <c r="AH165" s="51"/>
      <c r="AI165" s="18"/>
      <c r="AJ165" s="18"/>
      <c r="AK165" s="135" t="e">
        <f t="shared" si="8"/>
        <v>#REF!</v>
      </c>
      <c r="AL165" s="18"/>
      <c r="AM165" s="135" t="e">
        <f t="shared" si="9"/>
        <v>#REF!</v>
      </c>
      <c r="AN165" s="18" t="e">
        <f>(Table29128[[#This Row],[CH4 '[g/g DDM']]]-AN$15)/AN$15%</f>
        <v>#REF!</v>
      </c>
      <c r="AO165" s="18"/>
      <c r="AP165" s="18"/>
      <c r="AR165" t="e">
        <f>_xlfn.NORM.DIST(Table29128[[#This Row],[GP '[ml/g']]],O$6,O$2,FALSE)</f>
        <v>#DIV/0!</v>
      </c>
      <c r="AS165" t="e">
        <f>_xlfn.NORM.DIST(Table29128[[#This Row],[SCFA '[mmol/g']]],P$6,P$2,FALSE)</f>
        <v>#DIV/0!</v>
      </c>
      <c r="AT165" t="e">
        <f>_xlfn.NORM.DIST(Table29128[[#This Row],[Acetate '[%']]],Q$6,Q$2,FALSE)</f>
        <v>#DIV/0!</v>
      </c>
      <c r="AU165" t="e">
        <f>_xlfn.NORM.DIST(Table29128[[#This Row],[Propionate '[%']]],R$6,R$2,FALSE)</f>
        <v>#DIV/0!</v>
      </c>
      <c r="AV165" t="e">
        <f>_xlfn.NORM.DIST(Table29128[[#This Row],[Butyrate '[%']]],S$6,S$2,FALSE)</f>
        <v>#DIV/0!</v>
      </c>
      <c r="AW165" t="e">
        <f>_xlfn.NORM.DIST(Table29128[[#This Row],[Valerate '[%']]],T$6,T$2,FALSE)</f>
        <v>#DIV/0!</v>
      </c>
      <c r="AX165" t="e">
        <f>_xlfn.NORM.DIST(Table29128[[#This Row],[Caproate '[%']]],U$6,U$2,FALSE)</f>
        <v>#DIV/0!</v>
      </c>
      <c r="AY165" t="e">
        <f>_xlfn.NORM.DIST(Table29128[[#This Row],[Isobutyrate '[%']]],V$6,V$2,FALSE)</f>
        <v>#DIV/0!</v>
      </c>
      <c r="AZ165" t="e">
        <f>_xlfn.NORM.DIST(Table29128[[#This Row],[Isovalerate '[%']]],W$6,W$2,FALSE)</f>
        <v>#DIV/0!</v>
      </c>
      <c r="BA165" t="e">
        <f>_xlfn.NORM.DIST(Table29128[[#This Row],[CH4 '[g/mmol SCFA']]],X$6,X$2,FALSE)</f>
        <v>#DIV/0!</v>
      </c>
      <c r="BB165" t="e">
        <f>_xlfn.NORM.DIST(Table29128[[#This Row],[DMD '[mg/g']]],Y$6,Y$2,FALSE)</f>
        <v>#REF!</v>
      </c>
      <c r="BC165" t="e">
        <f>_xlfn.NORM.DIST(Table29128[[#This Row],[CH4 '[ml/g']]],Z$6,Z$2,FALSE)</f>
        <v>#REF!</v>
      </c>
      <c r="BD165" t="e">
        <f>_xlfn.NORM.DIST(Table29128[[#This Row],[CH4 '[% GP']]],AA$6,AA$2,FALSE)</f>
        <v>#REF!</v>
      </c>
      <c r="BE165" t="e">
        <f>_xlfn.NORM.DIST(Table29128[[#This Row],[CH4 '[g/g DDM']]],AB$6,AB$2,FALSE)</f>
        <v>#REF!</v>
      </c>
      <c r="BG165">
        <f>IF(Table29128[[#This Row],[GP '[ml/g']]]&lt;O$10,_xlfn.NORM.DIST(Table29128[[#This Row],[GP '[ml/g']]],O$6,O$2,FALSE),-100)</f>
        <v>-100</v>
      </c>
      <c r="BH165">
        <f>IF(Table29128[[#This Row],[SCFA '[mmol/g']]]&lt;P$10,_xlfn.NORM.DIST(Table29128[[#This Row],[SCFA '[mmol/g']]],P$6,P$2,FALSE),-100)</f>
        <v>-100</v>
      </c>
      <c r="BI165">
        <f>IF(Table29128[[#This Row],[Acetate '[%']]]&lt;Q$10,_xlfn.NORM.DIST(Table29128[[#This Row],[Acetate '[%']]],Q$6,Q$2,FALSE),-100)</f>
        <v>-100</v>
      </c>
      <c r="BJ165">
        <f>IF(Table29128[[#This Row],[Propionate '[%']]]&lt;R$10,_xlfn.NORM.DIST(Table29128[[#This Row],[Propionate '[%']]],R$6,R$2,FALSE),-100)</f>
        <v>-100</v>
      </c>
      <c r="BK165">
        <f>IF(Table29128[[#This Row],[Butyrate '[%']]]&lt;S$10,_xlfn.NORM.DIST(Table29128[[#This Row],[Butyrate '[%']]],S$6,S$2,FALSE),-100)</f>
        <v>-100</v>
      </c>
      <c r="BL165">
        <f>IF(Table29128[[#This Row],[Valerate '[%']]]&lt;T$10,_xlfn.NORM.DIST(Table29128[[#This Row],[Valerate '[%']]],T$6,T$2,FALSE),-100)</f>
        <v>-100</v>
      </c>
      <c r="BM165">
        <f>IF(Table29128[[#This Row],[Caproate '[%']]]&lt;U$10,_xlfn.NORM.DIST(Table29128[[#This Row],[Caproate '[%']]],U$6,U$2,FALSE),-100)</f>
        <v>-100</v>
      </c>
      <c r="BN165">
        <f>IF(Table29128[[#This Row],[Isobutyrate '[%']]]&lt;V$10,_xlfn.NORM.DIST(Table29128[[#This Row],[Isobutyrate '[%']]],V$6,V$2,FALSE),-100)</f>
        <v>-100</v>
      </c>
      <c r="BO165">
        <f>IF(Table29128[[#This Row],[Isovalerate '[%']]]&lt;W$10,_xlfn.NORM.DIST(Table29128[[#This Row],[Isovalerate '[%']]],W$6,W$2,FALSE),-100)</f>
        <v>-100</v>
      </c>
      <c r="BP165">
        <f>IF(Table29128[[#This Row],[CH4 '[g/mmol SCFA']]]&lt;X$10,_xlfn.NORM.DIST(Table29128[[#This Row],[CH4 '[g/mmol SCFA']]],X$6,X$2,FALSE),-100)</f>
        <v>-100</v>
      </c>
      <c r="BQ165" t="e">
        <f>IF(Table29128[[#This Row],[DMD '[mg/g']]]&gt;Y$10,_xlfn.NORM.DIST(Table29128[[#This Row],[DMD '[mg/g']]],Y$6,Y$2,FALSE),-100)</f>
        <v>#REF!</v>
      </c>
      <c r="BR165" t="e">
        <f>IF(Table29128[[#This Row],[CH4 '[ml/g']]]&lt;Z$10,_xlfn.NORM.DIST(Table29128[[#This Row],[CH4 '[ml/g']]],Z$6,Z$2,FALSE),-100)</f>
        <v>#REF!</v>
      </c>
      <c r="BS165" t="e">
        <f>IF(Table29128[[#This Row],[CH4 '[% GP']]]&lt;AA$10,_xlfn.NORM.DIST(Table29128[[#This Row],[CH4 '[% GP']]],AA$6,AA$2,FALSE),-100)</f>
        <v>#REF!</v>
      </c>
      <c r="BT165" t="e">
        <f>IF(Table29128[[#This Row],[CH4 '[g/g DDM']]]&lt;AB$10,_xlfn.NORM.DIST(Table29128[[#This Row],[CH4 '[g/g DDM']]],AB$6,AB$2,FALSE),-100)</f>
        <v>#REF!</v>
      </c>
    </row>
    <row r="166" spans="1:72" x14ac:dyDescent="0.25">
      <c r="A166" s="12" t="s">
        <v>86</v>
      </c>
      <c r="B166" s="13">
        <v>1078</v>
      </c>
      <c r="C166" s="104" t="s">
        <v>493</v>
      </c>
      <c r="D166" s="104" t="s">
        <v>494</v>
      </c>
      <c r="E166" s="104" t="s">
        <v>495</v>
      </c>
      <c r="F166" s="104" t="s">
        <v>496</v>
      </c>
      <c r="G166" s="32" t="s">
        <v>73</v>
      </c>
      <c r="H166" s="32" t="s">
        <v>74</v>
      </c>
      <c r="I166" s="104" t="s">
        <v>75</v>
      </c>
      <c r="J166" s="107">
        <v>1</v>
      </c>
      <c r="K166" s="100" t="s">
        <v>627</v>
      </c>
      <c r="L166" s="100" t="s">
        <v>627</v>
      </c>
      <c r="M166" s="118" t="s">
        <v>496</v>
      </c>
      <c r="N166" t="s">
        <v>145</v>
      </c>
      <c r="O166" s="18"/>
      <c r="P166" s="18"/>
      <c r="Q166" s="97"/>
      <c r="R166" s="97"/>
      <c r="S166" s="97"/>
      <c r="T166" s="97"/>
      <c r="U166" s="97"/>
      <c r="V166" s="97"/>
      <c r="W166" s="97"/>
      <c r="X166" s="51"/>
      <c r="Y166" s="18" t="e">
        <f>AVERAGEIFS([1]!Table2912[DMD '[mg/g']],[1]!Table2912[Substrate ID],Table29128[[#This Row],[Substrate ID]])</f>
        <v>#REF!</v>
      </c>
      <c r="Z166" s="18" t="e">
        <f>AVERAGEIFS([1]!Table2912[CH4 '[ml/g']],[1]!Table2912[Substrate ID],Table29128[[#This Row],[Substrate ID]])</f>
        <v>#REF!</v>
      </c>
      <c r="AA166" s="18" t="e">
        <f>AVERAGEIFS([1]!Table2912[CH4 '[% GP']],[1]!Table2912[Substrate ID],Table29128[[#This Row],[Substrate ID]])</f>
        <v>#REF!</v>
      </c>
      <c r="AB166" s="18" t="e">
        <f>AVERAGEIFS([1]!Table2912[CH4 '[g/g DDM']],[1]!Table2912[Substrate ID],Table29128[[#This Row],[Substrate ID]])</f>
        <v>#REF!</v>
      </c>
      <c r="AC166" s="18" t="e">
        <f>$CP$17*Table29128[[#This Row],[DMD '[mg/g']]]+$CQ$17*Table29128[[#This Row],[CH4 '[g/g DDM']]]</f>
        <v>#REF!</v>
      </c>
      <c r="AD166" s="18" t="e">
        <f>_xlfn.RANK.AVG(Table29128[[#This Row],[Index]],Table29128[Index])</f>
        <v>#REF!</v>
      </c>
      <c r="AE166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66" s="18" t="e">
        <f>Table29128[[#This Row],[CH4 '[ml/g']]]/Table29128[[#This Row],[APB]]</f>
        <v>#REF!</v>
      </c>
      <c r="AG166" s="18" t="e">
        <f>Table29128[[#This Row],[Propionate '[%']]]/Table29128[[#This Row],[Acetate '[%']]]</f>
        <v>#DIV/0!</v>
      </c>
      <c r="AH166" s="51"/>
      <c r="AI166" s="18"/>
      <c r="AJ166" s="18"/>
      <c r="AK166" s="135" t="e">
        <f t="shared" si="8"/>
        <v>#REF!</v>
      </c>
      <c r="AL166" s="18"/>
      <c r="AM166" s="135" t="e">
        <f t="shared" si="9"/>
        <v>#REF!</v>
      </c>
      <c r="AN166" s="18" t="e">
        <f>(Table29128[[#This Row],[CH4 '[g/g DDM']]]-AN$15)/AN$15%</f>
        <v>#REF!</v>
      </c>
      <c r="AO166" s="18"/>
      <c r="AP166" s="18"/>
      <c r="AR166" t="e">
        <f>_xlfn.NORM.DIST(Table29128[[#This Row],[GP '[ml/g']]],O$6,O$2,FALSE)</f>
        <v>#DIV/0!</v>
      </c>
      <c r="AS166" t="e">
        <f>_xlfn.NORM.DIST(Table29128[[#This Row],[SCFA '[mmol/g']]],P$6,P$2,FALSE)</f>
        <v>#DIV/0!</v>
      </c>
      <c r="AT166" t="e">
        <f>_xlfn.NORM.DIST(Table29128[[#This Row],[Acetate '[%']]],Q$6,Q$2,FALSE)</f>
        <v>#DIV/0!</v>
      </c>
      <c r="AU166" t="e">
        <f>_xlfn.NORM.DIST(Table29128[[#This Row],[Propionate '[%']]],R$6,R$2,FALSE)</f>
        <v>#DIV/0!</v>
      </c>
      <c r="AV166" t="e">
        <f>_xlfn.NORM.DIST(Table29128[[#This Row],[Butyrate '[%']]],S$6,S$2,FALSE)</f>
        <v>#DIV/0!</v>
      </c>
      <c r="AW166" t="e">
        <f>_xlfn.NORM.DIST(Table29128[[#This Row],[Valerate '[%']]],T$6,T$2,FALSE)</f>
        <v>#DIV/0!</v>
      </c>
      <c r="AX166" t="e">
        <f>_xlfn.NORM.DIST(Table29128[[#This Row],[Caproate '[%']]],U$6,U$2,FALSE)</f>
        <v>#DIV/0!</v>
      </c>
      <c r="AY166" t="e">
        <f>_xlfn.NORM.DIST(Table29128[[#This Row],[Isobutyrate '[%']]],V$6,V$2,FALSE)</f>
        <v>#DIV/0!</v>
      </c>
      <c r="AZ166" t="e">
        <f>_xlfn.NORM.DIST(Table29128[[#This Row],[Isovalerate '[%']]],W$6,W$2,FALSE)</f>
        <v>#DIV/0!</v>
      </c>
      <c r="BA166" t="e">
        <f>_xlfn.NORM.DIST(Table29128[[#This Row],[CH4 '[g/mmol SCFA']]],X$6,X$2,FALSE)</f>
        <v>#DIV/0!</v>
      </c>
      <c r="BB166" t="e">
        <f>_xlfn.NORM.DIST(Table29128[[#This Row],[DMD '[mg/g']]],Y$6,Y$2,FALSE)</f>
        <v>#REF!</v>
      </c>
      <c r="BC166" t="e">
        <f>_xlfn.NORM.DIST(Table29128[[#This Row],[CH4 '[ml/g']]],Z$6,Z$2,FALSE)</f>
        <v>#REF!</v>
      </c>
      <c r="BD166" t="e">
        <f>_xlfn.NORM.DIST(Table29128[[#This Row],[CH4 '[% GP']]],AA$6,AA$2,FALSE)</f>
        <v>#REF!</v>
      </c>
      <c r="BE166" t="e">
        <f>_xlfn.NORM.DIST(Table29128[[#This Row],[CH4 '[g/g DDM']]],AB$6,AB$2,FALSE)</f>
        <v>#REF!</v>
      </c>
      <c r="BG166">
        <f>IF(Table29128[[#This Row],[GP '[ml/g']]]&lt;O$10,_xlfn.NORM.DIST(Table29128[[#This Row],[GP '[ml/g']]],O$6,O$2,FALSE),-100)</f>
        <v>-100</v>
      </c>
      <c r="BH166">
        <f>IF(Table29128[[#This Row],[SCFA '[mmol/g']]]&lt;P$10,_xlfn.NORM.DIST(Table29128[[#This Row],[SCFA '[mmol/g']]],P$6,P$2,FALSE),-100)</f>
        <v>-100</v>
      </c>
      <c r="BI166">
        <f>IF(Table29128[[#This Row],[Acetate '[%']]]&lt;Q$10,_xlfn.NORM.DIST(Table29128[[#This Row],[Acetate '[%']]],Q$6,Q$2,FALSE),-100)</f>
        <v>-100</v>
      </c>
      <c r="BJ166">
        <f>IF(Table29128[[#This Row],[Propionate '[%']]]&lt;R$10,_xlfn.NORM.DIST(Table29128[[#This Row],[Propionate '[%']]],R$6,R$2,FALSE),-100)</f>
        <v>-100</v>
      </c>
      <c r="BK166">
        <f>IF(Table29128[[#This Row],[Butyrate '[%']]]&lt;S$10,_xlfn.NORM.DIST(Table29128[[#This Row],[Butyrate '[%']]],S$6,S$2,FALSE),-100)</f>
        <v>-100</v>
      </c>
      <c r="BL166">
        <f>IF(Table29128[[#This Row],[Valerate '[%']]]&lt;T$10,_xlfn.NORM.DIST(Table29128[[#This Row],[Valerate '[%']]],T$6,T$2,FALSE),-100)</f>
        <v>-100</v>
      </c>
      <c r="BM166">
        <f>IF(Table29128[[#This Row],[Caproate '[%']]]&lt;U$10,_xlfn.NORM.DIST(Table29128[[#This Row],[Caproate '[%']]],U$6,U$2,FALSE),-100)</f>
        <v>-100</v>
      </c>
      <c r="BN166">
        <f>IF(Table29128[[#This Row],[Isobutyrate '[%']]]&lt;V$10,_xlfn.NORM.DIST(Table29128[[#This Row],[Isobutyrate '[%']]],V$6,V$2,FALSE),-100)</f>
        <v>-100</v>
      </c>
      <c r="BO166">
        <f>IF(Table29128[[#This Row],[Isovalerate '[%']]]&lt;W$10,_xlfn.NORM.DIST(Table29128[[#This Row],[Isovalerate '[%']]],W$6,W$2,FALSE),-100)</f>
        <v>-100</v>
      </c>
      <c r="BP166">
        <f>IF(Table29128[[#This Row],[CH4 '[g/mmol SCFA']]]&lt;X$10,_xlfn.NORM.DIST(Table29128[[#This Row],[CH4 '[g/mmol SCFA']]],X$6,X$2,FALSE),-100)</f>
        <v>-100</v>
      </c>
      <c r="BQ166" t="e">
        <f>IF(Table29128[[#This Row],[DMD '[mg/g']]]&gt;Y$10,_xlfn.NORM.DIST(Table29128[[#This Row],[DMD '[mg/g']]],Y$6,Y$2,FALSE),-100)</f>
        <v>#REF!</v>
      </c>
      <c r="BR166" t="e">
        <f>IF(Table29128[[#This Row],[CH4 '[ml/g']]]&lt;Z$10,_xlfn.NORM.DIST(Table29128[[#This Row],[CH4 '[ml/g']]],Z$6,Z$2,FALSE),-100)</f>
        <v>#REF!</v>
      </c>
      <c r="BS166" t="e">
        <f>IF(Table29128[[#This Row],[CH4 '[% GP']]]&lt;AA$10,_xlfn.NORM.DIST(Table29128[[#This Row],[CH4 '[% GP']]],AA$6,AA$2,FALSE),-100)</f>
        <v>#REF!</v>
      </c>
      <c r="BT166" t="e">
        <f>IF(Table29128[[#This Row],[CH4 '[g/g DDM']]]&lt;AB$10,_xlfn.NORM.DIST(Table29128[[#This Row],[CH4 '[g/g DDM']]],AB$6,AB$2,FALSE),-100)</f>
        <v>#REF!</v>
      </c>
    </row>
    <row r="167" spans="1:72" x14ac:dyDescent="0.25">
      <c r="A167" s="12" t="s">
        <v>70</v>
      </c>
      <c r="B167" s="13">
        <v>1007</v>
      </c>
      <c r="C167" s="96" t="s">
        <v>216</v>
      </c>
      <c r="D167" s="96"/>
      <c r="E167" s="96"/>
      <c r="F167" s="96" t="s">
        <v>217</v>
      </c>
      <c r="G167" t="s">
        <v>73</v>
      </c>
      <c r="H167" t="s">
        <v>74</v>
      </c>
      <c r="I167" t="s">
        <v>75</v>
      </c>
      <c r="J167" s="107">
        <v>1</v>
      </c>
      <c r="K167" s="107"/>
      <c r="L167" s="107"/>
      <c r="M167" t="s">
        <v>217</v>
      </c>
      <c r="N167" t="s">
        <v>85</v>
      </c>
      <c r="O167" s="18"/>
      <c r="P167" s="18"/>
      <c r="Q167" s="97"/>
      <c r="R167" s="97"/>
      <c r="S167" s="97"/>
      <c r="T167" s="97"/>
      <c r="U167" s="97"/>
      <c r="V167" s="97"/>
      <c r="W167" s="97"/>
      <c r="X167" s="51"/>
      <c r="Y167" s="18" t="e">
        <f>AVERAGEIFS([1]!Table2912[DMD '[mg/g']],[1]!Table2912[Substrate ID],Table29128[[#This Row],[Substrate ID]])</f>
        <v>#REF!</v>
      </c>
      <c r="Z167" s="18" t="e">
        <f>AVERAGEIFS([1]!Table2912[CH4 '[ml/g']],[1]!Table2912[Substrate ID],Table29128[[#This Row],[Substrate ID]])</f>
        <v>#REF!</v>
      </c>
      <c r="AA167" s="18" t="e">
        <f>AVERAGEIFS([1]!Table2912[CH4 '[% GP']],[1]!Table2912[Substrate ID],Table29128[[#This Row],[Substrate ID]])</f>
        <v>#REF!</v>
      </c>
      <c r="AB167" s="18" t="e">
        <f>AVERAGEIFS([1]!Table2912[CH4 '[g/g DDM']],[1]!Table2912[Substrate ID],Table29128[[#This Row],[Substrate ID]])</f>
        <v>#REF!</v>
      </c>
      <c r="AC167" s="18" t="e">
        <f>$CP$17*Table29128[[#This Row],[DMD '[mg/g']]]+$CQ$17*Table29128[[#This Row],[CH4 '[g/g DDM']]]</f>
        <v>#REF!</v>
      </c>
      <c r="AD167" s="18" t="e">
        <f>_xlfn.RANK.AVG(Table29128[[#This Row],[Index]],Table29128[Index])</f>
        <v>#REF!</v>
      </c>
      <c r="AE167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67" s="18" t="e">
        <f>Table29128[[#This Row],[CH4 '[ml/g']]]/Table29128[[#This Row],[APB]]</f>
        <v>#REF!</v>
      </c>
      <c r="AG167" s="18" t="e">
        <f>Table29128[[#This Row],[Propionate '[%']]]/Table29128[[#This Row],[Acetate '[%']]]</f>
        <v>#DIV/0!</v>
      </c>
      <c r="AH167" s="51"/>
      <c r="AI167" s="18"/>
      <c r="AJ167" s="18"/>
      <c r="AK167" s="135" t="e">
        <f t="shared" si="8"/>
        <v>#REF!</v>
      </c>
      <c r="AL167" s="18"/>
      <c r="AM167" s="135" t="e">
        <f t="shared" si="9"/>
        <v>#REF!</v>
      </c>
      <c r="AN167" s="18" t="e">
        <f>(Table29128[[#This Row],[CH4 '[g/g DDM']]]-AN$15)/AN$15%</f>
        <v>#REF!</v>
      </c>
      <c r="AO167" s="18"/>
      <c r="AP167" s="18"/>
      <c r="AR167" t="e">
        <f>_xlfn.NORM.DIST(Table29128[[#This Row],[GP '[ml/g']]],O$6,O$2,FALSE)</f>
        <v>#DIV/0!</v>
      </c>
      <c r="AS167" t="e">
        <f>_xlfn.NORM.DIST(Table29128[[#This Row],[SCFA '[mmol/g']]],P$6,P$2,FALSE)</f>
        <v>#DIV/0!</v>
      </c>
      <c r="AT167" t="e">
        <f>_xlfn.NORM.DIST(Table29128[[#This Row],[Acetate '[%']]],Q$6,Q$2,FALSE)</f>
        <v>#DIV/0!</v>
      </c>
      <c r="AU167" t="e">
        <f>_xlfn.NORM.DIST(Table29128[[#This Row],[Propionate '[%']]],R$6,R$2,FALSE)</f>
        <v>#DIV/0!</v>
      </c>
      <c r="AV167" t="e">
        <f>_xlfn.NORM.DIST(Table29128[[#This Row],[Butyrate '[%']]],S$6,S$2,FALSE)</f>
        <v>#DIV/0!</v>
      </c>
      <c r="AW167" t="e">
        <f>_xlfn.NORM.DIST(Table29128[[#This Row],[Valerate '[%']]],T$6,T$2,FALSE)</f>
        <v>#DIV/0!</v>
      </c>
      <c r="AX167" t="e">
        <f>_xlfn.NORM.DIST(Table29128[[#This Row],[Caproate '[%']]],U$6,U$2,FALSE)</f>
        <v>#DIV/0!</v>
      </c>
      <c r="AY167" t="e">
        <f>_xlfn.NORM.DIST(Table29128[[#This Row],[Isobutyrate '[%']]],V$6,V$2,FALSE)</f>
        <v>#DIV/0!</v>
      </c>
      <c r="AZ167" t="e">
        <f>_xlfn.NORM.DIST(Table29128[[#This Row],[Isovalerate '[%']]],W$6,W$2,FALSE)</f>
        <v>#DIV/0!</v>
      </c>
      <c r="BA167" t="e">
        <f>_xlfn.NORM.DIST(Table29128[[#This Row],[CH4 '[g/mmol SCFA']]],X$6,X$2,FALSE)</f>
        <v>#DIV/0!</v>
      </c>
      <c r="BB167" t="e">
        <f>_xlfn.NORM.DIST(Table29128[[#This Row],[DMD '[mg/g']]],Y$6,Y$2,FALSE)</f>
        <v>#REF!</v>
      </c>
      <c r="BC167" t="e">
        <f>_xlfn.NORM.DIST(Table29128[[#This Row],[CH4 '[ml/g']]],Z$6,Z$2,FALSE)</f>
        <v>#REF!</v>
      </c>
      <c r="BD167" t="e">
        <f>_xlfn.NORM.DIST(Table29128[[#This Row],[CH4 '[% GP']]],AA$6,AA$2,FALSE)</f>
        <v>#REF!</v>
      </c>
      <c r="BE167" t="e">
        <f>_xlfn.NORM.DIST(Table29128[[#This Row],[CH4 '[g/g DDM']]],AB$6,AB$2,FALSE)</f>
        <v>#REF!</v>
      </c>
      <c r="BG167">
        <f>IF(Table29128[[#This Row],[GP '[ml/g']]]&lt;O$10,_xlfn.NORM.DIST(Table29128[[#This Row],[GP '[ml/g']]],O$6,O$2,FALSE),-100)</f>
        <v>-100</v>
      </c>
      <c r="BH167">
        <f>IF(Table29128[[#This Row],[SCFA '[mmol/g']]]&lt;P$10,_xlfn.NORM.DIST(Table29128[[#This Row],[SCFA '[mmol/g']]],P$6,P$2,FALSE),-100)</f>
        <v>-100</v>
      </c>
      <c r="BI167">
        <f>IF(Table29128[[#This Row],[Acetate '[%']]]&lt;Q$10,_xlfn.NORM.DIST(Table29128[[#This Row],[Acetate '[%']]],Q$6,Q$2,FALSE),-100)</f>
        <v>-100</v>
      </c>
      <c r="BJ167">
        <f>IF(Table29128[[#This Row],[Propionate '[%']]]&lt;R$10,_xlfn.NORM.DIST(Table29128[[#This Row],[Propionate '[%']]],R$6,R$2,FALSE),-100)</f>
        <v>-100</v>
      </c>
      <c r="BK167">
        <f>IF(Table29128[[#This Row],[Butyrate '[%']]]&lt;S$10,_xlfn.NORM.DIST(Table29128[[#This Row],[Butyrate '[%']]],S$6,S$2,FALSE),-100)</f>
        <v>-100</v>
      </c>
      <c r="BL167">
        <f>IF(Table29128[[#This Row],[Valerate '[%']]]&lt;T$10,_xlfn.NORM.DIST(Table29128[[#This Row],[Valerate '[%']]],T$6,T$2,FALSE),-100)</f>
        <v>-100</v>
      </c>
      <c r="BM167">
        <f>IF(Table29128[[#This Row],[Caproate '[%']]]&lt;U$10,_xlfn.NORM.DIST(Table29128[[#This Row],[Caproate '[%']]],U$6,U$2,FALSE),-100)</f>
        <v>-100</v>
      </c>
      <c r="BN167">
        <f>IF(Table29128[[#This Row],[Isobutyrate '[%']]]&lt;V$10,_xlfn.NORM.DIST(Table29128[[#This Row],[Isobutyrate '[%']]],V$6,V$2,FALSE),-100)</f>
        <v>-100</v>
      </c>
      <c r="BO167">
        <f>IF(Table29128[[#This Row],[Isovalerate '[%']]]&lt;W$10,_xlfn.NORM.DIST(Table29128[[#This Row],[Isovalerate '[%']]],W$6,W$2,FALSE),-100)</f>
        <v>-100</v>
      </c>
      <c r="BP167">
        <f>IF(Table29128[[#This Row],[CH4 '[g/mmol SCFA']]]&lt;X$10,_xlfn.NORM.DIST(Table29128[[#This Row],[CH4 '[g/mmol SCFA']]],X$6,X$2,FALSE),-100)</f>
        <v>-100</v>
      </c>
      <c r="BQ167" t="e">
        <f>IF(Table29128[[#This Row],[DMD '[mg/g']]]&gt;Y$10,_xlfn.NORM.DIST(Table29128[[#This Row],[DMD '[mg/g']]],Y$6,Y$2,FALSE),-100)</f>
        <v>#REF!</v>
      </c>
      <c r="BR167" t="e">
        <f>IF(Table29128[[#This Row],[CH4 '[ml/g']]]&lt;Z$10,_xlfn.NORM.DIST(Table29128[[#This Row],[CH4 '[ml/g']]],Z$6,Z$2,FALSE),-100)</f>
        <v>#REF!</v>
      </c>
      <c r="BS167" t="e">
        <f>IF(Table29128[[#This Row],[CH4 '[% GP']]]&lt;AA$10,_xlfn.NORM.DIST(Table29128[[#This Row],[CH4 '[% GP']]],AA$6,AA$2,FALSE),-100)</f>
        <v>#REF!</v>
      </c>
      <c r="BT167" t="e">
        <f>IF(Table29128[[#This Row],[CH4 '[g/g DDM']]]&lt;AB$10,_xlfn.NORM.DIST(Table29128[[#This Row],[CH4 '[g/g DDM']]],AB$6,AB$2,FALSE),-100)</f>
        <v>#REF!</v>
      </c>
    </row>
    <row r="168" spans="1:72" x14ac:dyDescent="0.25">
      <c r="A168" s="12" t="s">
        <v>70</v>
      </c>
      <c r="B168" s="13">
        <v>1030</v>
      </c>
      <c r="C168" s="96" t="s">
        <v>224</v>
      </c>
      <c r="D168" s="96"/>
      <c r="E168" s="96"/>
      <c r="F168" s="96" t="s">
        <v>225</v>
      </c>
      <c r="G168" s="15" t="s">
        <v>73</v>
      </c>
      <c r="H168" s="15" t="s">
        <v>74</v>
      </c>
      <c r="I168" t="s">
        <v>75</v>
      </c>
      <c r="J168" s="107">
        <v>1</v>
      </c>
      <c r="K168" s="107"/>
      <c r="L168" s="107"/>
      <c r="M168" t="s">
        <v>225</v>
      </c>
      <c r="N168" t="s">
        <v>84</v>
      </c>
      <c r="O168" s="18"/>
      <c r="P168" s="18"/>
      <c r="Q168" s="97"/>
      <c r="R168" s="97"/>
      <c r="S168" s="97"/>
      <c r="T168" s="97"/>
      <c r="U168" s="97"/>
      <c r="V168" s="97"/>
      <c r="W168" s="97"/>
      <c r="X168" s="51"/>
      <c r="Y168" s="18" t="e">
        <f>AVERAGEIFS([1]!Table2912[DMD '[mg/g']],[1]!Table2912[Substrate ID],Table29128[[#This Row],[Substrate ID]])</f>
        <v>#REF!</v>
      </c>
      <c r="Z168" s="18" t="e">
        <f>AVERAGEIFS([1]!Table2912[CH4 '[ml/g']],[1]!Table2912[Substrate ID],Table29128[[#This Row],[Substrate ID]])</f>
        <v>#REF!</v>
      </c>
      <c r="AA168" s="18" t="e">
        <f>AVERAGEIFS([1]!Table2912[CH4 '[% GP']],[1]!Table2912[Substrate ID],Table29128[[#This Row],[Substrate ID]])</f>
        <v>#REF!</v>
      </c>
      <c r="AB168" s="18" t="e">
        <f>AVERAGEIFS([1]!Table2912[CH4 '[g/g DDM']],[1]!Table2912[Substrate ID],Table29128[[#This Row],[Substrate ID]])</f>
        <v>#REF!</v>
      </c>
      <c r="AC168" s="18" t="e">
        <f>$CP$17*Table29128[[#This Row],[DMD '[mg/g']]]+$CQ$17*Table29128[[#This Row],[CH4 '[g/g DDM']]]</f>
        <v>#REF!</v>
      </c>
      <c r="AD168" s="18" t="e">
        <f>_xlfn.RANK.AVG(Table29128[[#This Row],[Index]],Table29128[Index])</f>
        <v>#REF!</v>
      </c>
      <c r="AE168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68" s="18" t="e">
        <f>Table29128[[#This Row],[CH4 '[ml/g']]]/Table29128[[#This Row],[APB]]</f>
        <v>#REF!</v>
      </c>
      <c r="AG168" s="18" t="e">
        <f>Table29128[[#This Row],[Propionate '[%']]]/Table29128[[#This Row],[Acetate '[%']]]</f>
        <v>#DIV/0!</v>
      </c>
      <c r="AH168" s="51"/>
      <c r="AI168" s="18"/>
      <c r="AJ168" s="18"/>
      <c r="AK168" s="135" t="e">
        <f t="shared" si="8"/>
        <v>#REF!</v>
      </c>
      <c r="AL168" s="18"/>
      <c r="AM168" s="135" t="e">
        <f t="shared" si="9"/>
        <v>#REF!</v>
      </c>
      <c r="AN168" s="18" t="e">
        <f>(Table29128[[#This Row],[CH4 '[g/g DDM']]]-AN$15)/AN$15%</f>
        <v>#REF!</v>
      </c>
      <c r="AO168" s="18"/>
      <c r="AP168" s="18"/>
      <c r="AR168" t="e">
        <f>_xlfn.NORM.DIST(Table29128[[#This Row],[GP '[ml/g']]],O$6,O$2,FALSE)</f>
        <v>#DIV/0!</v>
      </c>
      <c r="AS168" t="e">
        <f>_xlfn.NORM.DIST(Table29128[[#This Row],[SCFA '[mmol/g']]],P$6,P$2,FALSE)</f>
        <v>#DIV/0!</v>
      </c>
      <c r="AT168" t="e">
        <f>_xlfn.NORM.DIST(Table29128[[#This Row],[Acetate '[%']]],Q$6,Q$2,FALSE)</f>
        <v>#DIV/0!</v>
      </c>
      <c r="AU168" t="e">
        <f>_xlfn.NORM.DIST(Table29128[[#This Row],[Propionate '[%']]],R$6,R$2,FALSE)</f>
        <v>#DIV/0!</v>
      </c>
      <c r="AV168" t="e">
        <f>_xlfn.NORM.DIST(Table29128[[#This Row],[Butyrate '[%']]],S$6,S$2,FALSE)</f>
        <v>#DIV/0!</v>
      </c>
      <c r="AW168" t="e">
        <f>_xlfn.NORM.DIST(Table29128[[#This Row],[Valerate '[%']]],T$6,T$2,FALSE)</f>
        <v>#DIV/0!</v>
      </c>
      <c r="AX168" t="e">
        <f>_xlfn.NORM.DIST(Table29128[[#This Row],[Caproate '[%']]],U$6,U$2,FALSE)</f>
        <v>#DIV/0!</v>
      </c>
      <c r="AY168" t="e">
        <f>_xlfn.NORM.DIST(Table29128[[#This Row],[Isobutyrate '[%']]],V$6,V$2,FALSE)</f>
        <v>#DIV/0!</v>
      </c>
      <c r="AZ168" t="e">
        <f>_xlfn.NORM.DIST(Table29128[[#This Row],[Isovalerate '[%']]],W$6,W$2,FALSE)</f>
        <v>#DIV/0!</v>
      </c>
      <c r="BA168" t="e">
        <f>_xlfn.NORM.DIST(Table29128[[#This Row],[CH4 '[g/mmol SCFA']]],X$6,X$2,FALSE)</f>
        <v>#DIV/0!</v>
      </c>
      <c r="BB168" t="e">
        <f>_xlfn.NORM.DIST(Table29128[[#This Row],[DMD '[mg/g']]],Y$6,Y$2,FALSE)</f>
        <v>#REF!</v>
      </c>
      <c r="BC168" t="e">
        <f>_xlfn.NORM.DIST(Table29128[[#This Row],[CH4 '[ml/g']]],Z$6,Z$2,FALSE)</f>
        <v>#REF!</v>
      </c>
      <c r="BD168" t="e">
        <f>_xlfn.NORM.DIST(Table29128[[#This Row],[CH4 '[% GP']]],AA$6,AA$2,FALSE)</f>
        <v>#REF!</v>
      </c>
      <c r="BE168" t="e">
        <f>_xlfn.NORM.DIST(Table29128[[#This Row],[CH4 '[g/g DDM']]],AB$6,AB$2,FALSE)</f>
        <v>#REF!</v>
      </c>
      <c r="BG168">
        <f>IF(Table29128[[#This Row],[GP '[ml/g']]]&lt;O$10,_xlfn.NORM.DIST(Table29128[[#This Row],[GP '[ml/g']]],O$6,O$2,FALSE),-100)</f>
        <v>-100</v>
      </c>
      <c r="BH168">
        <f>IF(Table29128[[#This Row],[SCFA '[mmol/g']]]&lt;P$10,_xlfn.NORM.DIST(Table29128[[#This Row],[SCFA '[mmol/g']]],P$6,P$2,FALSE),-100)</f>
        <v>-100</v>
      </c>
      <c r="BI168">
        <f>IF(Table29128[[#This Row],[Acetate '[%']]]&lt;Q$10,_xlfn.NORM.DIST(Table29128[[#This Row],[Acetate '[%']]],Q$6,Q$2,FALSE),-100)</f>
        <v>-100</v>
      </c>
      <c r="BJ168">
        <f>IF(Table29128[[#This Row],[Propionate '[%']]]&lt;R$10,_xlfn.NORM.DIST(Table29128[[#This Row],[Propionate '[%']]],R$6,R$2,FALSE),-100)</f>
        <v>-100</v>
      </c>
      <c r="BK168">
        <f>IF(Table29128[[#This Row],[Butyrate '[%']]]&lt;S$10,_xlfn.NORM.DIST(Table29128[[#This Row],[Butyrate '[%']]],S$6,S$2,FALSE),-100)</f>
        <v>-100</v>
      </c>
      <c r="BL168">
        <f>IF(Table29128[[#This Row],[Valerate '[%']]]&lt;T$10,_xlfn.NORM.DIST(Table29128[[#This Row],[Valerate '[%']]],T$6,T$2,FALSE),-100)</f>
        <v>-100</v>
      </c>
      <c r="BM168">
        <f>IF(Table29128[[#This Row],[Caproate '[%']]]&lt;U$10,_xlfn.NORM.DIST(Table29128[[#This Row],[Caproate '[%']]],U$6,U$2,FALSE),-100)</f>
        <v>-100</v>
      </c>
      <c r="BN168">
        <f>IF(Table29128[[#This Row],[Isobutyrate '[%']]]&lt;V$10,_xlfn.NORM.DIST(Table29128[[#This Row],[Isobutyrate '[%']]],V$6,V$2,FALSE),-100)</f>
        <v>-100</v>
      </c>
      <c r="BO168">
        <f>IF(Table29128[[#This Row],[Isovalerate '[%']]]&lt;W$10,_xlfn.NORM.DIST(Table29128[[#This Row],[Isovalerate '[%']]],W$6,W$2,FALSE),-100)</f>
        <v>-100</v>
      </c>
      <c r="BP168">
        <f>IF(Table29128[[#This Row],[CH4 '[g/mmol SCFA']]]&lt;X$10,_xlfn.NORM.DIST(Table29128[[#This Row],[CH4 '[g/mmol SCFA']]],X$6,X$2,FALSE),-100)</f>
        <v>-100</v>
      </c>
      <c r="BQ168" t="e">
        <f>IF(Table29128[[#This Row],[DMD '[mg/g']]]&gt;Y$10,_xlfn.NORM.DIST(Table29128[[#This Row],[DMD '[mg/g']]],Y$6,Y$2,FALSE),-100)</f>
        <v>#REF!</v>
      </c>
      <c r="BR168" t="e">
        <f>IF(Table29128[[#This Row],[CH4 '[ml/g']]]&lt;Z$10,_xlfn.NORM.DIST(Table29128[[#This Row],[CH4 '[ml/g']]],Z$6,Z$2,FALSE),-100)</f>
        <v>#REF!</v>
      </c>
      <c r="BS168" t="e">
        <f>IF(Table29128[[#This Row],[CH4 '[% GP']]]&lt;AA$10,_xlfn.NORM.DIST(Table29128[[#This Row],[CH4 '[% GP']]],AA$6,AA$2,FALSE),-100)</f>
        <v>#REF!</v>
      </c>
      <c r="BT168" t="e">
        <f>IF(Table29128[[#This Row],[CH4 '[g/g DDM']]]&lt;AB$10,_xlfn.NORM.DIST(Table29128[[#This Row],[CH4 '[g/g DDM']]],AB$6,AB$2,FALSE),-100)</f>
        <v>#REF!</v>
      </c>
    </row>
    <row r="169" spans="1:72" x14ac:dyDescent="0.25">
      <c r="A169" s="12" t="s">
        <v>86</v>
      </c>
      <c r="B169" s="13">
        <v>1079</v>
      </c>
      <c r="C169" s="104" t="s">
        <v>516</v>
      </c>
      <c r="D169" s="104" t="s">
        <v>494</v>
      </c>
      <c r="E169" s="104" t="s">
        <v>517</v>
      </c>
      <c r="F169" s="104" t="s">
        <v>518</v>
      </c>
      <c r="G169" s="32" t="s">
        <v>73</v>
      </c>
      <c r="H169" s="32" t="s">
        <v>74</v>
      </c>
      <c r="I169" s="104" t="s">
        <v>75</v>
      </c>
      <c r="J169" s="107">
        <v>1</v>
      </c>
      <c r="K169" s="100" t="s">
        <v>627</v>
      </c>
      <c r="L169" s="107"/>
      <c r="M169" t="s">
        <v>518</v>
      </c>
      <c r="N169" t="s">
        <v>145</v>
      </c>
      <c r="O169" s="18"/>
      <c r="P169" s="18"/>
      <c r="Q169" s="97"/>
      <c r="R169" s="97"/>
      <c r="S169" s="97"/>
      <c r="T169" s="97"/>
      <c r="U169" s="97"/>
      <c r="V169" s="97"/>
      <c r="W169" s="97"/>
      <c r="X169" s="51"/>
      <c r="Y169" s="18" t="e">
        <f>AVERAGEIFS([1]!Table2912[DMD '[mg/g']],[1]!Table2912[Substrate ID],Table29128[[#This Row],[Substrate ID]])</f>
        <v>#REF!</v>
      </c>
      <c r="Z169" s="18" t="e">
        <f>AVERAGEIFS([1]!Table2912[CH4 '[ml/g']],[1]!Table2912[Substrate ID],Table29128[[#This Row],[Substrate ID]])</f>
        <v>#REF!</v>
      </c>
      <c r="AA169" s="18" t="e">
        <f>AVERAGEIFS([1]!Table2912[CH4 '[% GP']],[1]!Table2912[Substrate ID],Table29128[[#This Row],[Substrate ID]])</f>
        <v>#REF!</v>
      </c>
      <c r="AB169" s="18" t="e">
        <f>AVERAGEIFS([1]!Table2912[CH4 '[g/g DDM']],[1]!Table2912[Substrate ID],Table29128[[#This Row],[Substrate ID]])</f>
        <v>#REF!</v>
      </c>
      <c r="AC169" s="18" t="e">
        <f>$CP$17*Table29128[[#This Row],[DMD '[mg/g']]]+$CQ$17*Table29128[[#This Row],[CH4 '[g/g DDM']]]</f>
        <v>#REF!</v>
      </c>
      <c r="AD169" s="18" t="e">
        <f>_xlfn.RANK.AVG(Table29128[[#This Row],[Index]],Table29128[Index])</f>
        <v>#REF!</v>
      </c>
      <c r="AE169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69" s="18" t="e">
        <f>Table29128[[#This Row],[CH4 '[ml/g']]]/Table29128[[#This Row],[APB]]</f>
        <v>#REF!</v>
      </c>
      <c r="AG169" s="18" t="e">
        <f>Table29128[[#This Row],[Propionate '[%']]]/Table29128[[#This Row],[Acetate '[%']]]</f>
        <v>#DIV/0!</v>
      </c>
      <c r="AH169" s="51"/>
      <c r="AI169" s="18"/>
      <c r="AJ169" s="18"/>
      <c r="AK169" s="135" t="e">
        <f t="shared" si="8"/>
        <v>#REF!</v>
      </c>
      <c r="AL169" s="18"/>
      <c r="AM169" s="135" t="e">
        <f t="shared" si="9"/>
        <v>#REF!</v>
      </c>
      <c r="AN169" s="18" t="e">
        <f>(Table29128[[#This Row],[CH4 '[g/g DDM']]]-AN$15)/AN$15%</f>
        <v>#REF!</v>
      </c>
      <c r="AO169" s="18"/>
      <c r="AP169" s="18"/>
      <c r="AR169" t="e">
        <f>_xlfn.NORM.DIST(Table29128[[#This Row],[GP '[ml/g']]],O$6,O$2,FALSE)</f>
        <v>#DIV/0!</v>
      </c>
      <c r="AS169" t="e">
        <f>_xlfn.NORM.DIST(Table29128[[#This Row],[SCFA '[mmol/g']]],P$6,P$2,FALSE)</f>
        <v>#DIV/0!</v>
      </c>
      <c r="AT169" t="e">
        <f>_xlfn.NORM.DIST(Table29128[[#This Row],[Acetate '[%']]],Q$6,Q$2,FALSE)</f>
        <v>#DIV/0!</v>
      </c>
      <c r="AU169" t="e">
        <f>_xlfn.NORM.DIST(Table29128[[#This Row],[Propionate '[%']]],R$6,R$2,FALSE)</f>
        <v>#DIV/0!</v>
      </c>
      <c r="AV169" t="e">
        <f>_xlfn.NORM.DIST(Table29128[[#This Row],[Butyrate '[%']]],S$6,S$2,FALSE)</f>
        <v>#DIV/0!</v>
      </c>
      <c r="AW169" t="e">
        <f>_xlfn.NORM.DIST(Table29128[[#This Row],[Valerate '[%']]],T$6,T$2,FALSE)</f>
        <v>#DIV/0!</v>
      </c>
      <c r="AX169" t="e">
        <f>_xlfn.NORM.DIST(Table29128[[#This Row],[Caproate '[%']]],U$6,U$2,FALSE)</f>
        <v>#DIV/0!</v>
      </c>
      <c r="AY169" t="e">
        <f>_xlfn.NORM.DIST(Table29128[[#This Row],[Isobutyrate '[%']]],V$6,V$2,FALSE)</f>
        <v>#DIV/0!</v>
      </c>
      <c r="AZ169" t="e">
        <f>_xlfn.NORM.DIST(Table29128[[#This Row],[Isovalerate '[%']]],W$6,W$2,FALSE)</f>
        <v>#DIV/0!</v>
      </c>
      <c r="BA169" t="e">
        <f>_xlfn.NORM.DIST(Table29128[[#This Row],[CH4 '[g/mmol SCFA']]],X$6,X$2,FALSE)</f>
        <v>#DIV/0!</v>
      </c>
      <c r="BB169" t="e">
        <f>_xlfn.NORM.DIST(Table29128[[#This Row],[DMD '[mg/g']]],Y$6,Y$2,FALSE)</f>
        <v>#REF!</v>
      </c>
      <c r="BC169" t="e">
        <f>_xlfn.NORM.DIST(Table29128[[#This Row],[CH4 '[ml/g']]],Z$6,Z$2,FALSE)</f>
        <v>#REF!</v>
      </c>
      <c r="BD169" t="e">
        <f>_xlfn.NORM.DIST(Table29128[[#This Row],[CH4 '[% GP']]],AA$6,AA$2,FALSE)</f>
        <v>#REF!</v>
      </c>
      <c r="BE169" t="e">
        <f>_xlfn.NORM.DIST(Table29128[[#This Row],[CH4 '[g/g DDM']]],AB$6,AB$2,FALSE)</f>
        <v>#REF!</v>
      </c>
      <c r="BG169">
        <f>IF(Table29128[[#This Row],[GP '[ml/g']]]&lt;O$10,_xlfn.NORM.DIST(Table29128[[#This Row],[GP '[ml/g']]],O$6,O$2,FALSE),-100)</f>
        <v>-100</v>
      </c>
      <c r="BH169">
        <f>IF(Table29128[[#This Row],[SCFA '[mmol/g']]]&lt;P$10,_xlfn.NORM.DIST(Table29128[[#This Row],[SCFA '[mmol/g']]],P$6,P$2,FALSE),-100)</f>
        <v>-100</v>
      </c>
      <c r="BI169">
        <f>IF(Table29128[[#This Row],[Acetate '[%']]]&lt;Q$10,_xlfn.NORM.DIST(Table29128[[#This Row],[Acetate '[%']]],Q$6,Q$2,FALSE),-100)</f>
        <v>-100</v>
      </c>
      <c r="BJ169">
        <f>IF(Table29128[[#This Row],[Propionate '[%']]]&lt;R$10,_xlfn.NORM.DIST(Table29128[[#This Row],[Propionate '[%']]],R$6,R$2,FALSE),-100)</f>
        <v>-100</v>
      </c>
      <c r="BK169">
        <f>IF(Table29128[[#This Row],[Butyrate '[%']]]&lt;S$10,_xlfn.NORM.DIST(Table29128[[#This Row],[Butyrate '[%']]],S$6,S$2,FALSE),-100)</f>
        <v>-100</v>
      </c>
      <c r="BL169">
        <f>IF(Table29128[[#This Row],[Valerate '[%']]]&lt;T$10,_xlfn.NORM.DIST(Table29128[[#This Row],[Valerate '[%']]],T$6,T$2,FALSE),-100)</f>
        <v>-100</v>
      </c>
      <c r="BM169">
        <f>IF(Table29128[[#This Row],[Caproate '[%']]]&lt;U$10,_xlfn.NORM.DIST(Table29128[[#This Row],[Caproate '[%']]],U$6,U$2,FALSE),-100)</f>
        <v>-100</v>
      </c>
      <c r="BN169">
        <f>IF(Table29128[[#This Row],[Isobutyrate '[%']]]&lt;V$10,_xlfn.NORM.DIST(Table29128[[#This Row],[Isobutyrate '[%']]],V$6,V$2,FALSE),-100)</f>
        <v>-100</v>
      </c>
      <c r="BO169">
        <f>IF(Table29128[[#This Row],[Isovalerate '[%']]]&lt;W$10,_xlfn.NORM.DIST(Table29128[[#This Row],[Isovalerate '[%']]],W$6,W$2,FALSE),-100)</f>
        <v>-100</v>
      </c>
      <c r="BP169">
        <f>IF(Table29128[[#This Row],[CH4 '[g/mmol SCFA']]]&lt;X$10,_xlfn.NORM.DIST(Table29128[[#This Row],[CH4 '[g/mmol SCFA']]],X$6,X$2,FALSE),-100)</f>
        <v>-100</v>
      </c>
      <c r="BQ169" t="e">
        <f>IF(Table29128[[#This Row],[DMD '[mg/g']]]&gt;Y$10,_xlfn.NORM.DIST(Table29128[[#This Row],[DMD '[mg/g']]],Y$6,Y$2,FALSE),-100)</f>
        <v>#REF!</v>
      </c>
      <c r="BR169" t="e">
        <f>IF(Table29128[[#This Row],[CH4 '[ml/g']]]&lt;Z$10,_xlfn.NORM.DIST(Table29128[[#This Row],[CH4 '[ml/g']]],Z$6,Z$2,FALSE),-100)</f>
        <v>#REF!</v>
      </c>
      <c r="BS169" t="e">
        <f>IF(Table29128[[#This Row],[CH4 '[% GP']]]&lt;AA$10,_xlfn.NORM.DIST(Table29128[[#This Row],[CH4 '[% GP']]],AA$6,AA$2,FALSE),-100)</f>
        <v>#REF!</v>
      </c>
      <c r="BT169" t="e">
        <f>IF(Table29128[[#This Row],[CH4 '[g/g DDM']]]&lt;AB$10,_xlfn.NORM.DIST(Table29128[[#This Row],[CH4 '[g/g DDM']]],AB$6,AB$2,FALSE),-100)</f>
        <v>#REF!</v>
      </c>
    </row>
    <row r="170" spans="1:72" x14ac:dyDescent="0.25">
      <c r="A170" s="12" t="s">
        <v>70</v>
      </c>
      <c r="B170" s="13">
        <v>1015</v>
      </c>
      <c r="C170" s="96" t="s">
        <v>176</v>
      </c>
      <c r="D170" s="96"/>
      <c r="E170" s="96"/>
      <c r="F170" s="96" t="s">
        <v>177</v>
      </c>
      <c r="G170" s="15" t="s">
        <v>73</v>
      </c>
      <c r="H170" s="15" t="s">
        <v>74</v>
      </c>
      <c r="I170" t="s">
        <v>75</v>
      </c>
      <c r="J170" s="107">
        <v>1</v>
      </c>
      <c r="K170" s="107"/>
      <c r="L170" s="100" t="s">
        <v>627</v>
      </c>
      <c r="M170" t="s">
        <v>177</v>
      </c>
      <c r="N170" t="s">
        <v>80</v>
      </c>
      <c r="O170" s="18"/>
      <c r="P170" s="18"/>
      <c r="Q170" s="97"/>
      <c r="R170" s="97"/>
      <c r="S170" s="97"/>
      <c r="T170" s="97"/>
      <c r="U170" s="97"/>
      <c r="V170" s="97"/>
      <c r="W170" s="97"/>
      <c r="X170" s="51"/>
      <c r="Y170" s="18" t="e">
        <f>AVERAGEIFS([1]!Table2912[DMD '[mg/g']],[1]!Table2912[Substrate ID],Table29128[[#This Row],[Substrate ID]])</f>
        <v>#REF!</v>
      </c>
      <c r="Z170" s="18" t="e">
        <f>AVERAGEIFS([1]!Table2912[CH4 '[ml/g']],[1]!Table2912[Substrate ID],Table29128[[#This Row],[Substrate ID]])</f>
        <v>#REF!</v>
      </c>
      <c r="AA170" s="18" t="e">
        <f>AVERAGEIFS([1]!Table2912[CH4 '[% GP']],[1]!Table2912[Substrate ID],Table29128[[#This Row],[Substrate ID]])</f>
        <v>#REF!</v>
      </c>
      <c r="AB170" s="18" t="e">
        <f>AVERAGEIFS([1]!Table2912[CH4 '[g/g DDM']],[1]!Table2912[Substrate ID],Table29128[[#This Row],[Substrate ID]])</f>
        <v>#REF!</v>
      </c>
      <c r="AC170" s="18" t="e">
        <f>$CP$17*Table29128[[#This Row],[DMD '[mg/g']]]+$CQ$17*Table29128[[#This Row],[CH4 '[g/g DDM']]]</f>
        <v>#REF!</v>
      </c>
      <c r="AD170" s="18" t="e">
        <f>_xlfn.RANK.AVG(Table29128[[#This Row],[Index]],Table29128[Index])</f>
        <v>#REF!</v>
      </c>
      <c r="AE170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70" s="18" t="e">
        <f>Table29128[[#This Row],[CH4 '[ml/g']]]/Table29128[[#This Row],[APB]]</f>
        <v>#REF!</v>
      </c>
      <c r="AG170" s="18" t="e">
        <f>Table29128[[#This Row],[Propionate '[%']]]/Table29128[[#This Row],[Acetate '[%']]]</f>
        <v>#DIV/0!</v>
      </c>
      <c r="AH170" s="51"/>
      <c r="AI170" s="18"/>
      <c r="AJ170" s="18"/>
      <c r="AK170" s="135" t="e">
        <f t="shared" si="8"/>
        <v>#REF!</v>
      </c>
      <c r="AL170" s="18"/>
      <c r="AM170" s="135" t="e">
        <f t="shared" si="9"/>
        <v>#REF!</v>
      </c>
      <c r="AN170" s="18" t="e">
        <f>(Table29128[[#This Row],[CH4 '[g/g DDM']]]-AN$15)/AN$15%</f>
        <v>#REF!</v>
      </c>
      <c r="AO170" s="18"/>
      <c r="AP170" s="18"/>
      <c r="AR170" t="e">
        <f>_xlfn.NORM.DIST(Table29128[[#This Row],[GP '[ml/g']]],O$6,O$2,FALSE)</f>
        <v>#DIV/0!</v>
      </c>
      <c r="AS170" t="e">
        <f>_xlfn.NORM.DIST(Table29128[[#This Row],[SCFA '[mmol/g']]],P$6,P$2,FALSE)</f>
        <v>#DIV/0!</v>
      </c>
      <c r="AT170" t="e">
        <f>_xlfn.NORM.DIST(Table29128[[#This Row],[Acetate '[%']]],Q$6,Q$2,FALSE)</f>
        <v>#DIV/0!</v>
      </c>
      <c r="AU170" t="e">
        <f>_xlfn.NORM.DIST(Table29128[[#This Row],[Propionate '[%']]],R$6,R$2,FALSE)</f>
        <v>#DIV/0!</v>
      </c>
      <c r="AV170" t="e">
        <f>_xlfn.NORM.DIST(Table29128[[#This Row],[Butyrate '[%']]],S$6,S$2,FALSE)</f>
        <v>#DIV/0!</v>
      </c>
      <c r="AW170" t="e">
        <f>_xlfn.NORM.DIST(Table29128[[#This Row],[Valerate '[%']]],T$6,T$2,FALSE)</f>
        <v>#DIV/0!</v>
      </c>
      <c r="AX170" t="e">
        <f>_xlfn.NORM.DIST(Table29128[[#This Row],[Caproate '[%']]],U$6,U$2,FALSE)</f>
        <v>#DIV/0!</v>
      </c>
      <c r="AY170" t="e">
        <f>_xlfn.NORM.DIST(Table29128[[#This Row],[Isobutyrate '[%']]],V$6,V$2,FALSE)</f>
        <v>#DIV/0!</v>
      </c>
      <c r="AZ170" t="e">
        <f>_xlfn.NORM.DIST(Table29128[[#This Row],[Isovalerate '[%']]],W$6,W$2,FALSE)</f>
        <v>#DIV/0!</v>
      </c>
      <c r="BA170" t="e">
        <f>_xlfn.NORM.DIST(Table29128[[#This Row],[CH4 '[g/mmol SCFA']]],X$6,X$2,FALSE)</f>
        <v>#DIV/0!</v>
      </c>
      <c r="BB170" t="e">
        <f>_xlfn.NORM.DIST(Table29128[[#This Row],[DMD '[mg/g']]],Y$6,Y$2,FALSE)</f>
        <v>#REF!</v>
      </c>
      <c r="BC170" t="e">
        <f>_xlfn.NORM.DIST(Table29128[[#This Row],[CH4 '[ml/g']]],Z$6,Z$2,FALSE)</f>
        <v>#REF!</v>
      </c>
      <c r="BD170" t="e">
        <f>_xlfn.NORM.DIST(Table29128[[#This Row],[CH4 '[% GP']]],AA$6,AA$2,FALSE)</f>
        <v>#REF!</v>
      </c>
      <c r="BE170" t="e">
        <f>_xlfn.NORM.DIST(Table29128[[#This Row],[CH4 '[g/g DDM']]],AB$6,AB$2,FALSE)</f>
        <v>#REF!</v>
      </c>
      <c r="BG170">
        <f>IF(Table29128[[#This Row],[GP '[ml/g']]]&lt;O$10,_xlfn.NORM.DIST(Table29128[[#This Row],[GP '[ml/g']]],O$6,O$2,FALSE),-100)</f>
        <v>-100</v>
      </c>
      <c r="BH170">
        <f>IF(Table29128[[#This Row],[SCFA '[mmol/g']]]&lt;P$10,_xlfn.NORM.DIST(Table29128[[#This Row],[SCFA '[mmol/g']]],P$6,P$2,FALSE),-100)</f>
        <v>-100</v>
      </c>
      <c r="BI170">
        <f>IF(Table29128[[#This Row],[Acetate '[%']]]&lt;Q$10,_xlfn.NORM.DIST(Table29128[[#This Row],[Acetate '[%']]],Q$6,Q$2,FALSE),-100)</f>
        <v>-100</v>
      </c>
      <c r="BJ170">
        <f>IF(Table29128[[#This Row],[Propionate '[%']]]&lt;R$10,_xlfn.NORM.DIST(Table29128[[#This Row],[Propionate '[%']]],R$6,R$2,FALSE),-100)</f>
        <v>-100</v>
      </c>
      <c r="BK170">
        <f>IF(Table29128[[#This Row],[Butyrate '[%']]]&lt;S$10,_xlfn.NORM.DIST(Table29128[[#This Row],[Butyrate '[%']]],S$6,S$2,FALSE),-100)</f>
        <v>-100</v>
      </c>
      <c r="BL170">
        <f>IF(Table29128[[#This Row],[Valerate '[%']]]&lt;T$10,_xlfn.NORM.DIST(Table29128[[#This Row],[Valerate '[%']]],T$6,T$2,FALSE),-100)</f>
        <v>-100</v>
      </c>
      <c r="BM170">
        <f>IF(Table29128[[#This Row],[Caproate '[%']]]&lt;U$10,_xlfn.NORM.DIST(Table29128[[#This Row],[Caproate '[%']]],U$6,U$2,FALSE),-100)</f>
        <v>-100</v>
      </c>
      <c r="BN170">
        <f>IF(Table29128[[#This Row],[Isobutyrate '[%']]]&lt;V$10,_xlfn.NORM.DIST(Table29128[[#This Row],[Isobutyrate '[%']]],V$6,V$2,FALSE),-100)</f>
        <v>-100</v>
      </c>
      <c r="BO170">
        <f>IF(Table29128[[#This Row],[Isovalerate '[%']]]&lt;W$10,_xlfn.NORM.DIST(Table29128[[#This Row],[Isovalerate '[%']]],W$6,W$2,FALSE),-100)</f>
        <v>-100</v>
      </c>
      <c r="BP170">
        <f>IF(Table29128[[#This Row],[CH4 '[g/mmol SCFA']]]&lt;X$10,_xlfn.NORM.DIST(Table29128[[#This Row],[CH4 '[g/mmol SCFA']]],X$6,X$2,FALSE),-100)</f>
        <v>-100</v>
      </c>
      <c r="BQ170" t="e">
        <f>IF(Table29128[[#This Row],[DMD '[mg/g']]]&gt;Y$10,_xlfn.NORM.DIST(Table29128[[#This Row],[DMD '[mg/g']]],Y$6,Y$2,FALSE),-100)</f>
        <v>#REF!</v>
      </c>
      <c r="BR170" t="e">
        <f>IF(Table29128[[#This Row],[CH4 '[ml/g']]]&lt;Z$10,_xlfn.NORM.DIST(Table29128[[#This Row],[CH4 '[ml/g']]],Z$6,Z$2,FALSE),-100)</f>
        <v>#REF!</v>
      </c>
      <c r="BS170" t="e">
        <f>IF(Table29128[[#This Row],[CH4 '[% GP']]]&lt;AA$10,_xlfn.NORM.DIST(Table29128[[#This Row],[CH4 '[% GP']]],AA$6,AA$2,FALSE),-100)</f>
        <v>#REF!</v>
      </c>
      <c r="BT170" t="e">
        <f>IF(Table29128[[#This Row],[CH4 '[g/g DDM']]]&lt;AB$10,_xlfn.NORM.DIST(Table29128[[#This Row],[CH4 '[g/g DDM']]],AB$6,AB$2,FALSE),-100)</f>
        <v>#REF!</v>
      </c>
    </row>
    <row r="171" spans="1:72" x14ac:dyDescent="0.25">
      <c r="A171" s="12" t="s">
        <v>70</v>
      </c>
      <c r="B171" s="13">
        <v>1001</v>
      </c>
      <c r="C171" s="96" t="s">
        <v>279</v>
      </c>
      <c r="D171" s="96"/>
      <c r="E171" s="96"/>
      <c r="F171" s="96" t="s">
        <v>280</v>
      </c>
      <c r="G171" t="s">
        <v>73</v>
      </c>
      <c r="H171" t="s">
        <v>74</v>
      </c>
      <c r="I171" t="s">
        <v>75</v>
      </c>
      <c r="J171" s="107">
        <v>1</v>
      </c>
      <c r="K171" s="107"/>
      <c r="L171" s="107"/>
      <c r="M171" t="s">
        <v>280</v>
      </c>
      <c r="N171" t="s">
        <v>76</v>
      </c>
      <c r="O171" s="18"/>
      <c r="P171" s="18"/>
      <c r="Q171" s="97"/>
      <c r="R171" s="97"/>
      <c r="S171" s="97"/>
      <c r="T171" s="97"/>
      <c r="U171" s="97"/>
      <c r="V171" s="97"/>
      <c r="W171" s="97"/>
      <c r="X171" s="51"/>
      <c r="Y171" s="18" t="e">
        <f>AVERAGEIFS([1]!Table2912[DMD '[mg/g']],[1]!Table2912[Substrate ID],Table29128[[#This Row],[Substrate ID]])</f>
        <v>#REF!</v>
      </c>
      <c r="Z171" s="18" t="e">
        <f>AVERAGEIFS([1]!Table2912[CH4 '[ml/g']],[1]!Table2912[Substrate ID],Table29128[[#This Row],[Substrate ID]])</f>
        <v>#REF!</v>
      </c>
      <c r="AA171" s="18" t="e">
        <f>AVERAGEIFS([1]!Table2912[CH4 '[% GP']],[1]!Table2912[Substrate ID],Table29128[[#This Row],[Substrate ID]])</f>
        <v>#REF!</v>
      </c>
      <c r="AB171" s="18" t="e">
        <f>AVERAGEIFS([1]!Table2912[CH4 '[g/g DDM']],[1]!Table2912[Substrate ID],Table29128[[#This Row],[Substrate ID]])</f>
        <v>#REF!</v>
      </c>
      <c r="AC171" s="18" t="e">
        <f>$CP$17*Table29128[[#This Row],[DMD '[mg/g']]]+$CQ$17*Table29128[[#This Row],[CH4 '[g/g DDM']]]</f>
        <v>#REF!</v>
      </c>
      <c r="AD171" s="18" t="e">
        <f>_xlfn.RANK.AVG(Table29128[[#This Row],[Index]],Table29128[Index])</f>
        <v>#REF!</v>
      </c>
      <c r="AE171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71" s="18" t="e">
        <f>Table29128[[#This Row],[CH4 '[ml/g']]]/Table29128[[#This Row],[APB]]</f>
        <v>#REF!</v>
      </c>
      <c r="AG171" s="18" t="e">
        <f>Table29128[[#This Row],[Propionate '[%']]]/Table29128[[#This Row],[Acetate '[%']]]</f>
        <v>#DIV/0!</v>
      </c>
      <c r="AH171" s="51"/>
      <c r="AI171" s="18"/>
      <c r="AJ171" s="18"/>
      <c r="AK171" s="135" t="e">
        <f t="shared" si="8"/>
        <v>#REF!</v>
      </c>
      <c r="AL171" s="18"/>
      <c r="AM171" s="135" t="e">
        <f t="shared" si="9"/>
        <v>#REF!</v>
      </c>
      <c r="AN171" s="18" t="e">
        <f>(Table29128[[#This Row],[CH4 '[g/g DDM']]]-AN$15)/AN$15%</f>
        <v>#REF!</v>
      </c>
      <c r="AO171" s="18"/>
      <c r="AP171" s="18"/>
      <c r="AR171" t="e">
        <f>_xlfn.NORM.DIST(Table29128[[#This Row],[GP '[ml/g']]],O$6,O$2,FALSE)</f>
        <v>#DIV/0!</v>
      </c>
      <c r="AS171" t="e">
        <f>_xlfn.NORM.DIST(Table29128[[#This Row],[SCFA '[mmol/g']]],P$6,P$2,FALSE)</f>
        <v>#DIV/0!</v>
      </c>
      <c r="AT171" t="e">
        <f>_xlfn.NORM.DIST(Table29128[[#This Row],[Acetate '[%']]],Q$6,Q$2,FALSE)</f>
        <v>#DIV/0!</v>
      </c>
      <c r="AU171" t="e">
        <f>_xlfn.NORM.DIST(Table29128[[#This Row],[Propionate '[%']]],R$6,R$2,FALSE)</f>
        <v>#DIV/0!</v>
      </c>
      <c r="AV171" t="e">
        <f>_xlfn.NORM.DIST(Table29128[[#This Row],[Butyrate '[%']]],S$6,S$2,FALSE)</f>
        <v>#DIV/0!</v>
      </c>
      <c r="AW171" t="e">
        <f>_xlfn.NORM.DIST(Table29128[[#This Row],[Valerate '[%']]],T$6,T$2,FALSE)</f>
        <v>#DIV/0!</v>
      </c>
      <c r="AX171" t="e">
        <f>_xlfn.NORM.DIST(Table29128[[#This Row],[Caproate '[%']]],U$6,U$2,FALSE)</f>
        <v>#DIV/0!</v>
      </c>
      <c r="AY171" t="e">
        <f>_xlfn.NORM.DIST(Table29128[[#This Row],[Isobutyrate '[%']]],V$6,V$2,FALSE)</f>
        <v>#DIV/0!</v>
      </c>
      <c r="AZ171" t="e">
        <f>_xlfn.NORM.DIST(Table29128[[#This Row],[Isovalerate '[%']]],W$6,W$2,FALSE)</f>
        <v>#DIV/0!</v>
      </c>
      <c r="BA171" t="e">
        <f>_xlfn.NORM.DIST(Table29128[[#This Row],[CH4 '[g/mmol SCFA']]],X$6,X$2,FALSE)</f>
        <v>#DIV/0!</v>
      </c>
      <c r="BB171" t="e">
        <f>_xlfn.NORM.DIST(Table29128[[#This Row],[DMD '[mg/g']]],Y$6,Y$2,FALSE)</f>
        <v>#REF!</v>
      </c>
      <c r="BC171" t="e">
        <f>_xlfn.NORM.DIST(Table29128[[#This Row],[CH4 '[ml/g']]],Z$6,Z$2,FALSE)</f>
        <v>#REF!</v>
      </c>
      <c r="BD171" t="e">
        <f>_xlfn.NORM.DIST(Table29128[[#This Row],[CH4 '[% GP']]],AA$6,AA$2,FALSE)</f>
        <v>#REF!</v>
      </c>
      <c r="BE171" t="e">
        <f>_xlfn.NORM.DIST(Table29128[[#This Row],[CH4 '[g/g DDM']]],AB$6,AB$2,FALSE)</f>
        <v>#REF!</v>
      </c>
      <c r="BG171">
        <f>IF(Table29128[[#This Row],[GP '[ml/g']]]&lt;O$10,_xlfn.NORM.DIST(Table29128[[#This Row],[GP '[ml/g']]],O$6,O$2,FALSE),-100)</f>
        <v>-100</v>
      </c>
      <c r="BH171">
        <f>IF(Table29128[[#This Row],[SCFA '[mmol/g']]]&lt;P$10,_xlfn.NORM.DIST(Table29128[[#This Row],[SCFA '[mmol/g']]],P$6,P$2,FALSE),-100)</f>
        <v>-100</v>
      </c>
      <c r="BI171">
        <f>IF(Table29128[[#This Row],[Acetate '[%']]]&lt;Q$10,_xlfn.NORM.DIST(Table29128[[#This Row],[Acetate '[%']]],Q$6,Q$2,FALSE),-100)</f>
        <v>-100</v>
      </c>
      <c r="BJ171">
        <f>IF(Table29128[[#This Row],[Propionate '[%']]]&lt;R$10,_xlfn.NORM.DIST(Table29128[[#This Row],[Propionate '[%']]],R$6,R$2,FALSE),-100)</f>
        <v>-100</v>
      </c>
      <c r="BK171">
        <f>IF(Table29128[[#This Row],[Butyrate '[%']]]&lt;S$10,_xlfn.NORM.DIST(Table29128[[#This Row],[Butyrate '[%']]],S$6,S$2,FALSE),-100)</f>
        <v>-100</v>
      </c>
      <c r="BL171">
        <f>IF(Table29128[[#This Row],[Valerate '[%']]]&lt;T$10,_xlfn.NORM.DIST(Table29128[[#This Row],[Valerate '[%']]],T$6,T$2,FALSE),-100)</f>
        <v>-100</v>
      </c>
      <c r="BM171">
        <f>IF(Table29128[[#This Row],[Caproate '[%']]]&lt;U$10,_xlfn.NORM.DIST(Table29128[[#This Row],[Caproate '[%']]],U$6,U$2,FALSE),-100)</f>
        <v>-100</v>
      </c>
      <c r="BN171">
        <f>IF(Table29128[[#This Row],[Isobutyrate '[%']]]&lt;V$10,_xlfn.NORM.DIST(Table29128[[#This Row],[Isobutyrate '[%']]],V$6,V$2,FALSE),-100)</f>
        <v>-100</v>
      </c>
      <c r="BO171">
        <f>IF(Table29128[[#This Row],[Isovalerate '[%']]]&lt;W$10,_xlfn.NORM.DIST(Table29128[[#This Row],[Isovalerate '[%']]],W$6,W$2,FALSE),-100)</f>
        <v>-100</v>
      </c>
      <c r="BP171">
        <f>IF(Table29128[[#This Row],[CH4 '[g/mmol SCFA']]]&lt;X$10,_xlfn.NORM.DIST(Table29128[[#This Row],[CH4 '[g/mmol SCFA']]],X$6,X$2,FALSE),-100)</f>
        <v>-100</v>
      </c>
      <c r="BQ171" t="e">
        <f>IF(Table29128[[#This Row],[DMD '[mg/g']]]&gt;Y$10,_xlfn.NORM.DIST(Table29128[[#This Row],[DMD '[mg/g']]],Y$6,Y$2,FALSE),-100)</f>
        <v>#REF!</v>
      </c>
      <c r="BR171" t="e">
        <f>IF(Table29128[[#This Row],[CH4 '[ml/g']]]&lt;Z$10,_xlfn.NORM.DIST(Table29128[[#This Row],[CH4 '[ml/g']]],Z$6,Z$2,FALSE),-100)</f>
        <v>#REF!</v>
      </c>
      <c r="BS171" t="e">
        <f>IF(Table29128[[#This Row],[CH4 '[% GP']]]&lt;AA$10,_xlfn.NORM.DIST(Table29128[[#This Row],[CH4 '[% GP']]],AA$6,AA$2,FALSE),-100)</f>
        <v>#REF!</v>
      </c>
      <c r="BT171" t="e">
        <f>IF(Table29128[[#This Row],[CH4 '[g/g DDM']]]&lt;AB$10,_xlfn.NORM.DIST(Table29128[[#This Row],[CH4 '[g/g DDM']]],AB$6,AB$2,FALSE),-100)</f>
        <v>#REF!</v>
      </c>
    </row>
    <row r="172" spans="1:72" x14ac:dyDescent="0.25">
      <c r="A172" s="12" t="s">
        <v>70</v>
      </c>
      <c r="B172" s="13">
        <v>1000</v>
      </c>
      <c r="C172" s="96" t="s">
        <v>178</v>
      </c>
      <c r="D172" s="96"/>
      <c r="E172" s="96"/>
      <c r="F172" s="96" t="s">
        <v>179</v>
      </c>
      <c r="G172" t="s">
        <v>73</v>
      </c>
      <c r="H172" t="s">
        <v>74</v>
      </c>
      <c r="I172" t="s">
        <v>75</v>
      </c>
      <c r="J172" s="107">
        <v>1</v>
      </c>
      <c r="K172" s="107"/>
      <c r="L172" s="107"/>
      <c r="M172" t="s">
        <v>179</v>
      </c>
      <c r="N172" t="s">
        <v>180</v>
      </c>
      <c r="O172" s="18"/>
      <c r="P172" s="18"/>
      <c r="Q172" s="97"/>
      <c r="R172" s="97"/>
      <c r="S172" s="97"/>
      <c r="T172" s="97"/>
      <c r="U172" s="97"/>
      <c r="V172" s="97"/>
      <c r="W172" s="97"/>
      <c r="X172" s="51"/>
      <c r="Y172" s="18" t="e">
        <f>AVERAGEIFS([1]!Table2912[DMD '[mg/g']],[1]!Table2912[Substrate ID],Table29128[[#This Row],[Substrate ID]])</f>
        <v>#REF!</v>
      </c>
      <c r="Z172" s="18" t="e">
        <f>AVERAGEIFS([1]!Table2912[CH4 '[ml/g']],[1]!Table2912[Substrate ID],Table29128[[#This Row],[Substrate ID]])</f>
        <v>#REF!</v>
      </c>
      <c r="AA172" s="18" t="e">
        <f>AVERAGEIFS([1]!Table2912[CH4 '[% GP']],[1]!Table2912[Substrate ID],Table29128[[#This Row],[Substrate ID]])</f>
        <v>#REF!</v>
      </c>
      <c r="AB172" s="18" t="e">
        <f>AVERAGEIFS([1]!Table2912[CH4 '[g/g DDM']],[1]!Table2912[Substrate ID],Table29128[[#This Row],[Substrate ID]])</f>
        <v>#REF!</v>
      </c>
      <c r="AC172" s="18" t="e">
        <f>$CP$17*Table29128[[#This Row],[DMD '[mg/g']]]+$CQ$17*Table29128[[#This Row],[CH4 '[g/g DDM']]]</f>
        <v>#REF!</v>
      </c>
      <c r="AD172" s="18" t="e">
        <f>_xlfn.RANK.AVG(Table29128[[#This Row],[Index]],Table29128[Index])</f>
        <v>#REF!</v>
      </c>
      <c r="AE172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72" s="18" t="e">
        <f>Table29128[[#This Row],[CH4 '[ml/g']]]/Table29128[[#This Row],[APB]]</f>
        <v>#REF!</v>
      </c>
      <c r="AG172" s="18" t="e">
        <f>Table29128[[#This Row],[Propionate '[%']]]/Table29128[[#This Row],[Acetate '[%']]]</f>
        <v>#DIV/0!</v>
      </c>
      <c r="AH172" s="51"/>
      <c r="AI172" s="18"/>
      <c r="AJ172" s="18"/>
      <c r="AK172" s="135" t="e">
        <f t="shared" si="8"/>
        <v>#REF!</v>
      </c>
      <c r="AL172" s="18"/>
      <c r="AM172" s="135" t="e">
        <f t="shared" si="9"/>
        <v>#REF!</v>
      </c>
      <c r="AN172" s="18" t="e">
        <f>(Table29128[[#This Row],[CH4 '[g/g DDM']]]-AN$15)/AN$15%</f>
        <v>#REF!</v>
      </c>
      <c r="AO172" s="18"/>
      <c r="AP172" s="18"/>
      <c r="AR172" t="e">
        <f>_xlfn.NORM.DIST(Table29128[[#This Row],[GP '[ml/g']]],O$6,O$2,FALSE)</f>
        <v>#DIV/0!</v>
      </c>
      <c r="AS172" t="e">
        <f>_xlfn.NORM.DIST(Table29128[[#This Row],[SCFA '[mmol/g']]],P$6,P$2,FALSE)</f>
        <v>#DIV/0!</v>
      </c>
      <c r="AT172" t="e">
        <f>_xlfn.NORM.DIST(Table29128[[#This Row],[Acetate '[%']]],Q$6,Q$2,FALSE)</f>
        <v>#DIV/0!</v>
      </c>
      <c r="AU172" t="e">
        <f>_xlfn.NORM.DIST(Table29128[[#This Row],[Propionate '[%']]],R$6,R$2,FALSE)</f>
        <v>#DIV/0!</v>
      </c>
      <c r="AV172" t="e">
        <f>_xlfn.NORM.DIST(Table29128[[#This Row],[Butyrate '[%']]],S$6,S$2,FALSE)</f>
        <v>#DIV/0!</v>
      </c>
      <c r="AW172" t="e">
        <f>_xlfn.NORM.DIST(Table29128[[#This Row],[Valerate '[%']]],T$6,T$2,FALSE)</f>
        <v>#DIV/0!</v>
      </c>
      <c r="AX172" t="e">
        <f>_xlfn.NORM.DIST(Table29128[[#This Row],[Caproate '[%']]],U$6,U$2,FALSE)</f>
        <v>#DIV/0!</v>
      </c>
      <c r="AY172" t="e">
        <f>_xlfn.NORM.DIST(Table29128[[#This Row],[Isobutyrate '[%']]],V$6,V$2,FALSE)</f>
        <v>#DIV/0!</v>
      </c>
      <c r="AZ172" t="e">
        <f>_xlfn.NORM.DIST(Table29128[[#This Row],[Isovalerate '[%']]],W$6,W$2,FALSE)</f>
        <v>#DIV/0!</v>
      </c>
      <c r="BA172" t="e">
        <f>_xlfn.NORM.DIST(Table29128[[#This Row],[CH4 '[g/mmol SCFA']]],X$6,X$2,FALSE)</f>
        <v>#DIV/0!</v>
      </c>
      <c r="BB172" t="e">
        <f>_xlfn.NORM.DIST(Table29128[[#This Row],[DMD '[mg/g']]],Y$6,Y$2,FALSE)</f>
        <v>#REF!</v>
      </c>
      <c r="BC172" t="e">
        <f>_xlfn.NORM.DIST(Table29128[[#This Row],[CH4 '[ml/g']]],Z$6,Z$2,FALSE)</f>
        <v>#REF!</v>
      </c>
      <c r="BD172" t="e">
        <f>_xlfn.NORM.DIST(Table29128[[#This Row],[CH4 '[% GP']]],AA$6,AA$2,FALSE)</f>
        <v>#REF!</v>
      </c>
      <c r="BE172" t="e">
        <f>_xlfn.NORM.DIST(Table29128[[#This Row],[CH4 '[g/g DDM']]],AB$6,AB$2,FALSE)</f>
        <v>#REF!</v>
      </c>
      <c r="BG172">
        <f>IF(Table29128[[#This Row],[GP '[ml/g']]]&lt;O$10,_xlfn.NORM.DIST(Table29128[[#This Row],[GP '[ml/g']]],O$6,O$2,FALSE),-100)</f>
        <v>-100</v>
      </c>
      <c r="BH172">
        <f>IF(Table29128[[#This Row],[SCFA '[mmol/g']]]&lt;P$10,_xlfn.NORM.DIST(Table29128[[#This Row],[SCFA '[mmol/g']]],P$6,P$2,FALSE),-100)</f>
        <v>-100</v>
      </c>
      <c r="BI172">
        <f>IF(Table29128[[#This Row],[Acetate '[%']]]&lt;Q$10,_xlfn.NORM.DIST(Table29128[[#This Row],[Acetate '[%']]],Q$6,Q$2,FALSE),-100)</f>
        <v>-100</v>
      </c>
      <c r="BJ172">
        <f>IF(Table29128[[#This Row],[Propionate '[%']]]&lt;R$10,_xlfn.NORM.DIST(Table29128[[#This Row],[Propionate '[%']]],R$6,R$2,FALSE),-100)</f>
        <v>-100</v>
      </c>
      <c r="BK172">
        <f>IF(Table29128[[#This Row],[Butyrate '[%']]]&lt;S$10,_xlfn.NORM.DIST(Table29128[[#This Row],[Butyrate '[%']]],S$6,S$2,FALSE),-100)</f>
        <v>-100</v>
      </c>
      <c r="BL172">
        <f>IF(Table29128[[#This Row],[Valerate '[%']]]&lt;T$10,_xlfn.NORM.DIST(Table29128[[#This Row],[Valerate '[%']]],T$6,T$2,FALSE),-100)</f>
        <v>-100</v>
      </c>
      <c r="BM172">
        <f>IF(Table29128[[#This Row],[Caproate '[%']]]&lt;U$10,_xlfn.NORM.DIST(Table29128[[#This Row],[Caproate '[%']]],U$6,U$2,FALSE),-100)</f>
        <v>-100</v>
      </c>
      <c r="BN172">
        <f>IF(Table29128[[#This Row],[Isobutyrate '[%']]]&lt;V$10,_xlfn.NORM.DIST(Table29128[[#This Row],[Isobutyrate '[%']]],V$6,V$2,FALSE),-100)</f>
        <v>-100</v>
      </c>
      <c r="BO172">
        <f>IF(Table29128[[#This Row],[Isovalerate '[%']]]&lt;W$10,_xlfn.NORM.DIST(Table29128[[#This Row],[Isovalerate '[%']]],W$6,W$2,FALSE),-100)</f>
        <v>-100</v>
      </c>
      <c r="BP172">
        <f>IF(Table29128[[#This Row],[CH4 '[g/mmol SCFA']]]&lt;X$10,_xlfn.NORM.DIST(Table29128[[#This Row],[CH4 '[g/mmol SCFA']]],X$6,X$2,FALSE),-100)</f>
        <v>-100</v>
      </c>
      <c r="BQ172" t="e">
        <f>IF(Table29128[[#This Row],[DMD '[mg/g']]]&gt;Y$10,_xlfn.NORM.DIST(Table29128[[#This Row],[DMD '[mg/g']]],Y$6,Y$2,FALSE),-100)</f>
        <v>#REF!</v>
      </c>
      <c r="BR172" t="e">
        <f>IF(Table29128[[#This Row],[CH4 '[ml/g']]]&lt;Z$10,_xlfn.NORM.DIST(Table29128[[#This Row],[CH4 '[ml/g']]],Z$6,Z$2,FALSE),-100)</f>
        <v>#REF!</v>
      </c>
      <c r="BS172" t="e">
        <f>IF(Table29128[[#This Row],[CH4 '[% GP']]]&lt;AA$10,_xlfn.NORM.DIST(Table29128[[#This Row],[CH4 '[% GP']]],AA$6,AA$2,FALSE),-100)</f>
        <v>#REF!</v>
      </c>
      <c r="BT172" t="e">
        <f>IF(Table29128[[#This Row],[CH4 '[g/g DDM']]]&lt;AB$10,_xlfn.NORM.DIST(Table29128[[#This Row],[CH4 '[g/g DDM']]],AB$6,AB$2,FALSE),-100)</f>
        <v>#REF!</v>
      </c>
    </row>
    <row r="173" spans="1:72" x14ac:dyDescent="0.25">
      <c r="A173" s="12" t="s">
        <v>200</v>
      </c>
      <c r="B173" s="13">
        <v>1193</v>
      </c>
      <c r="C173" s="113" t="s">
        <v>576</v>
      </c>
      <c r="D173" s="113" t="s">
        <v>577</v>
      </c>
      <c r="E173" s="113" t="s">
        <v>578</v>
      </c>
      <c r="F173" s="113" t="s">
        <v>579</v>
      </c>
      <c r="G173" s="32" t="s">
        <v>143</v>
      </c>
      <c r="H173" s="32" t="s">
        <v>144</v>
      </c>
      <c r="I173" s="32" t="s">
        <v>52</v>
      </c>
      <c r="J173" s="107">
        <v>1</v>
      </c>
      <c r="K173" s="107"/>
      <c r="L173" s="107"/>
      <c r="M173" t="s">
        <v>580</v>
      </c>
      <c r="N173" t="s">
        <v>363</v>
      </c>
      <c r="O173" s="18"/>
      <c r="P173" s="18"/>
      <c r="Q173" s="97"/>
      <c r="R173" s="97"/>
      <c r="S173" s="97"/>
      <c r="T173" s="97"/>
      <c r="U173" s="97"/>
      <c r="V173" s="97"/>
      <c r="W173" s="97"/>
      <c r="X173" s="51"/>
      <c r="Y173" s="18" t="e">
        <f>AVERAGEIFS([1]!Table2912[DMD '[mg/g']],[1]!Table2912[Substrate ID],Table29128[[#This Row],[Substrate ID]])</f>
        <v>#REF!</v>
      </c>
      <c r="Z173" s="18" t="e">
        <f>AVERAGEIFS([1]!Table2912[CH4 '[ml/g']],[1]!Table2912[Substrate ID],Table29128[[#This Row],[Substrate ID]])</f>
        <v>#REF!</v>
      </c>
      <c r="AA173" s="18" t="e">
        <f>AVERAGEIFS([1]!Table2912[CH4 '[% GP']],[1]!Table2912[Substrate ID],Table29128[[#This Row],[Substrate ID]])</f>
        <v>#REF!</v>
      </c>
      <c r="AB173" s="18" t="e">
        <f>AVERAGEIFS([1]!Table2912[CH4 '[g/g DDM']],[1]!Table2912[Substrate ID],Table29128[[#This Row],[Substrate ID]])</f>
        <v>#REF!</v>
      </c>
      <c r="AC173" s="18" t="e">
        <f>$CP$17*Table29128[[#This Row],[DMD '[mg/g']]]+$CQ$17*Table29128[[#This Row],[CH4 '[g/g DDM']]]</f>
        <v>#REF!</v>
      </c>
      <c r="AD173" s="18" t="e">
        <f>_xlfn.RANK.AVG(Table29128[[#This Row],[Index]],Table29128[Index])</f>
        <v>#REF!</v>
      </c>
      <c r="AE173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73" s="18" t="e">
        <f>Table29128[[#This Row],[CH4 '[ml/g']]]/Table29128[[#This Row],[APB]]</f>
        <v>#REF!</v>
      </c>
      <c r="AG173" s="18" t="e">
        <f>Table29128[[#This Row],[Propionate '[%']]]/Table29128[[#This Row],[Acetate '[%']]]</f>
        <v>#DIV/0!</v>
      </c>
      <c r="AH173" s="51"/>
      <c r="AI173" s="18"/>
      <c r="AJ173" s="18"/>
      <c r="AK173" s="135" t="e">
        <f t="shared" si="8"/>
        <v>#REF!</v>
      </c>
      <c r="AL173" s="18"/>
      <c r="AM173" s="135" t="e">
        <f t="shared" si="9"/>
        <v>#REF!</v>
      </c>
      <c r="AN173" s="18" t="e">
        <f>(Table29128[[#This Row],[CH4 '[g/g DDM']]]-AN$15)/AN$15%</f>
        <v>#REF!</v>
      </c>
      <c r="AO173" s="18"/>
      <c r="AP173" s="18"/>
      <c r="AR173" t="e">
        <f>_xlfn.NORM.DIST(Table29128[[#This Row],[GP '[ml/g']]],O$6,O$2,FALSE)</f>
        <v>#DIV/0!</v>
      </c>
      <c r="AS173" t="e">
        <f>_xlfn.NORM.DIST(Table29128[[#This Row],[SCFA '[mmol/g']]],P$6,P$2,FALSE)</f>
        <v>#DIV/0!</v>
      </c>
      <c r="AT173" t="e">
        <f>_xlfn.NORM.DIST(Table29128[[#This Row],[Acetate '[%']]],Q$6,Q$2,FALSE)</f>
        <v>#DIV/0!</v>
      </c>
      <c r="AU173" t="e">
        <f>_xlfn.NORM.DIST(Table29128[[#This Row],[Propionate '[%']]],R$6,R$2,FALSE)</f>
        <v>#DIV/0!</v>
      </c>
      <c r="AV173" t="e">
        <f>_xlfn.NORM.DIST(Table29128[[#This Row],[Butyrate '[%']]],S$6,S$2,FALSE)</f>
        <v>#DIV/0!</v>
      </c>
      <c r="AW173" t="e">
        <f>_xlfn.NORM.DIST(Table29128[[#This Row],[Valerate '[%']]],T$6,T$2,FALSE)</f>
        <v>#DIV/0!</v>
      </c>
      <c r="AX173" t="e">
        <f>_xlfn.NORM.DIST(Table29128[[#This Row],[Caproate '[%']]],U$6,U$2,FALSE)</f>
        <v>#DIV/0!</v>
      </c>
      <c r="AY173" t="e">
        <f>_xlfn.NORM.DIST(Table29128[[#This Row],[Isobutyrate '[%']]],V$6,V$2,FALSE)</f>
        <v>#DIV/0!</v>
      </c>
      <c r="AZ173" t="e">
        <f>_xlfn.NORM.DIST(Table29128[[#This Row],[Isovalerate '[%']]],W$6,W$2,FALSE)</f>
        <v>#DIV/0!</v>
      </c>
      <c r="BA173" t="e">
        <f>_xlfn.NORM.DIST(Table29128[[#This Row],[CH4 '[g/mmol SCFA']]],X$6,X$2,FALSE)</f>
        <v>#DIV/0!</v>
      </c>
      <c r="BB173" t="e">
        <f>_xlfn.NORM.DIST(Table29128[[#This Row],[DMD '[mg/g']]],Y$6,Y$2,FALSE)</f>
        <v>#REF!</v>
      </c>
      <c r="BC173" t="e">
        <f>_xlfn.NORM.DIST(Table29128[[#This Row],[CH4 '[ml/g']]],Z$6,Z$2,FALSE)</f>
        <v>#REF!</v>
      </c>
      <c r="BD173" t="e">
        <f>_xlfn.NORM.DIST(Table29128[[#This Row],[CH4 '[% GP']]],AA$6,AA$2,FALSE)</f>
        <v>#REF!</v>
      </c>
      <c r="BE173" t="e">
        <f>_xlfn.NORM.DIST(Table29128[[#This Row],[CH4 '[g/g DDM']]],AB$6,AB$2,FALSE)</f>
        <v>#REF!</v>
      </c>
      <c r="BG173">
        <f>IF(Table29128[[#This Row],[GP '[ml/g']]]&lt;O$10,_xlfn.NORM.DIST(Table29128[[#This Row],[GP '[ml/g']]],O$6,O$2,FALSE),-100)</f>
        <v>-100</v>
      </c>
      <c r="BH173">
        <f>IF(Table29128[[#This Row],[SCFA '[mmol/g']]]&lt;P$10,_xlfn.NORM.DIST(Table29128[[#This Row],[SCFA '[mmol/g']]],P$6,P$2,FALSE),-100)</f>
        <v>-100</v>
      </c>
      <c r="BI173">
        <f>IF(Table29128[[#This Row],[Acetate '[%']]]&lt;Q$10,_xlfn.NORM.DIST(Table29128[[#This Row],[Acetate '[%']]],Q$6,Q$2,FALSE),-100)</f>
        <v>-100</v>
      </c>
      <c r="BJ173">
        <f>IF(Table29128[[#This Row],[Propionate '[%']]]&lt;R$10,_xlfn.NORM.DIST(Table29128[[#This Row],[Propionate '[%']]],R$6,R$2,FALSE),-100)</f>
        <v>-100</v>
      </c>
      <c r="BK173">
        <f>IF(Table29128[[#This Row],[Butyrate '[%']]]&lt;S$10,_xlfn.NORM.DIST(Table29128[[#This Row],[Butyrate '[%']]],S$6,S$2,FALSE),-100)</f>
        <v>-100</v>
      </c>
      <c r="BL173">
        <f>IF(Table29128[[#This Row],[Valerate '[%']]]&lt;T$10,_xlfn.NORM.DIST(Table29128[[#This Row],[Valerate '[%']]],T$6,T$2,FALSE),-100)</f>
        <v>-100</v>
      </c>
      <c r="BM173">
        <f>IF(Table29128[[#This Row],[Caproate '[%']]]&lt;U$10,_xlfn.NORM.DIST(Table29128[[#This Row],[Caproate '[%']]],U$6,U$2,FALSE),-100)</f>
        <v>-100</v>
      </c>
      <c r="BN173">
        <f>IF(Table29128[[#This Row],[Isobutyrate '[%']]]&lt;V$10,_xlfn.NORM.DIST(Table29128[[#This Row],[Isobutyrate '[%']]],V$6,V$2,FALSE),-100)</f>
        <v>-100</v>
      </c>
      <c r="BO173">
        <f>IF(Table29128[[#This Row],[Isovalerate '[%']]]&lt;W$10,_xlfn.NORM.DIST(Table29128[[#This Row],[Isovalerate '[%']]],W$6,W$2,FALSE),-100)</f>
        <v>-100</v>
      </c>
      <c r="BP173">
        <f>IF(Table29128[[#This Row],[CH4 '[g/mmol SCFA']]]&lt;X$10,_xlfn.NORM.DIST(Table29128[[#This Row],[CH4 '[g/mmol SCFA']]],X$6,X$2,FALSE),-100)</f>
        <v>-100</v>
      </c>
      <c r="BQ173" t="e">
        <f>IF(Table29128[[#This Row],[DMD '[mg/g']]]&gt;Y$10,_xlfn.NORM.DIST(Table29128[[#This Row],[DMD '[mg/g']]],Y$6,Y$2,FALSE),-100)</f>
        <v>#REF!</v>
      </c>
      <c r="BR173" t="e">
        <f>IF(Table29128[[#This Row],[CH4 '[ml/g']]]&lt;Z$10,_xlfn.NORM.DIST(Table29128[[#This Row],[CH4 '[ml/g']]],Z$6,Z$2,FALSE),-100)</f>
        <v>#REF!</v>
      </c>
      <c r="BS173" t="e">
        <f>IF(Table29128[[#This Row],[CH4 '[% GP']]]&lt;AA$10,_xlfn.NORM.DIST(Table29128[[#This Row],[CH4 '[% GP']]],AA$6,AA$2,FALSE),-100)</f>
        <v>#REF!</v>
      </c>
      <c r="BT173" t="e">
        <f>IF(Table29128[[#This Row],[CH4 '[g/g DDM']]]&lt;AB$10,_xlfn.NORM.DIST(Table29128[[#This Row],[CH4 '[g/g DDM']]],AB$6,AB$2,FALSE),-100)</f>
        <v>#REF!</v>
      </c>
    </row>
    <row r="174" spans="1:72" x14ac:dyDescent="0.25">
      <c r="A174" s="12" t="s">
        <v>70</v>
      </c>
      <c r="B174" s="13">
        <v>1013</v>
      </c>
      <c r="C174" s="96" t="s">
        <v>131</v>
      </c>
      <c r="D174" s="96"/>
      <c r="E174" s="96"/>
      <c r="F174" s="96" t="s">
        <v>132</v>
      </c>
      <c r="G174" t="s">
        <v>73</v>
      </c>
      <c r="H174" t="s">
        <v>74</v>
      </c>
      <c r="I174" t="s">
        <v>75</v>
      </c>
      <c r="J174" s="107">
        <v>1</v>
      </c>
      <c r="K174" s="107"/>
      <c r="L174" s="100" t="s">
        <v>627</v>
      </c>
      <c r="M174" t="s">
        <v>132</v>
      </c>
      <c r="N174" t="s">
        <v>85</v>
      </c>
      <c r="O174" s="18"/>
      <c r="P174" s="18"/>
      <c r="Q174" s="97"/>
      <c r="R174" s="97"/>
      <c r="S174" s="97"/>
      <c r="T174" s="97"/>
      <c r="U174" s="97"/>
      <c r="V174" s="97"/>
      <c r="W174" s="97"/>
      <c r="X174" s="51"/>
      <c r="Y174" s="18" t="e">
        <f>AVERAGEIFS([1]!Table2912[DMD '[mg/g']],[1]!Table2912[Substrate ID],Table29128[[#This Row],[Substrate ID]])</f>
        <v>#REF!</v>
      </c>
      <c r="Z174" s="18" t="e">
        <f>AVERAGEIFS([1]!Table2912[CH4 '[ml/g']],[1]!Table2912[Substrate ID],Table29128[[#This Row],[Substrate ID]])</f>
        <v>#REF!</v>
      </c>
      <c r="AA174" s="18" t="e">
        <f>AVERAGEIFS([1]!Table2912[CH4 '[% GP']],[1]!Table2912[Substrate ID],Table29128[[#This Row],[Substrate ID]])</f>
        <v>#REF!</v>
      </c>
      <c r="AB174" s="18" t="e">
        <f>AVERAGEIFS([1]!Table2912[CH4 '[g/g DDM']],[1]!Table2912[Substrate ID],Table29128[[#This Row],[Substrate ID]])</f>
        <v>#REF!</v>
      </c>
      <c r="AC174" s="18" t="e">
        <f>$CP$17*Table29128[[#This Row],[DMD '[mg/g']]]+$CQ$17*Table29128[[#This Row],[CH4 '[g/g DDM']]]</f>
        <v>#REF!</v>
      </c>
      <c r="AD174" s="18" t="e">
        <f>_xlfn.RANK.AVG(Table29128[[#This Row],[Index]],Table29128[Index])</f>
        <v>#REF!</v>
      </c>
      <c r="AE174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74" s="18" t="e">
        <f>Table29128[[#This Row],[CH4 '[ml/g']]]/Table29128[[#This Row],[APB]]</f>
        <v>#REF!</v>
      </c>
      <c r="AG174" s="18" t="e">
        <f>Table29128[[#This Row],[Propionate '[%']]]/Table29128[[#This Row],[Acetate '[%']]]</f>
        <v>#DIV/0!</v>
      </c>
      <c r="AH174" s="51"/>
      <c r="AI174" s="18"/>
      <c r="AJ174" s="18"/>
      <c r="AK174" s="135" t="e">
        <f t="shared" si="8"/>
        <v>#REF!</v>
      </c>
      <c r="AL174" s="18"/>
      <c r="AM174" s="135" t="e">
        <f t="shared" si="9"/>
        <v>#REF!</v>
      </c>
      <c r="AN174" s="18" t="e">
        <f>(Table29128[[#This Row],[CH4 '[g/g DDM']]]-AN$15)/AN$15%</f>
        <v>#REF!</v>
      </c>
      <c r="AO174" s="18"/>
      <c r="AP174" s="150"/>
      <c r="AR174" t="e">
        <f>_xlfn.NORM.DIST(Table29128[[#This Row],[GP '[ml/g']]],O$6,O$2,FALSE)</f>
        <v>#DIV/0!</v>
      </c>
      <c r="AS174" t="e">
        <f>_xlfn.NORM.DIST(Table29128[[#This Row],[SCFA '[mmol/g']]],P$6,P$2,FALSE)</f>
        <v>#DIV/0!</v>
      </c>
      <c r="AT174" t="e">
        <f>_xlfn.NORM.DIST(Table29128[[#This Row],[Acetate '[%']]],Q$6,Q$2,FALSE)</f>
        <v>#DIV/0!</v>
      </c>
      <c r="AU174" t="e">
        <f>_xlfn.NORM.DIST(Table29128[[#This Row],[Propionate '[%']]],R$6,R$2,FALSE)</f>
        <v>#DIV/0!</v>
      </c>
      <c r="AV174" t="e">
        <f>_xlfn.NORM.DIST(Table29128[[#This Row],[Butyrate '[%']]],S$6,S$2,FALSE)</f>
        <v>#DIV/0!</v>
      </c>
      <c r="AW174" t="e">
        <f>_xlfn.NORM.DIST(Table29128[[#This Row],[Valerate '[%']]],T$6,T$2,FALSE)</f>
        <v>#DIV/0!</v>
      </c>
      <c r="AX174" t="e">
        <f>_xlfn.NORM.DIST(Table29128[[#This Row],[Caproate '[%']]],U$6,U$2,FALSE)</f>
        <v>#DIV/0!</v>
      </c>
      <c r="AY174" t="e">
        <f>_xlfn.NORM.DIST(Table29128[[#This Row],[Isobutyrate '[%']]],V$6,V$2,FALSE)</f>
        <v>#DIV/0!</v>
      </c>
      <c r="AZ174" t="e">
        <f>_xlfn.NORM.DIST(Table29128[[#This Row],[Isovalerate '[%']]],W$6,W$2,FALSE)</f>
        <v>#DIV/0!</v>
      </c>
      <c r="BA174" t="e">
        <f>_xlfn.NORM.DIST(Table29128[[#This Row],[CH4 '[g/mmol SCFA']]],X$6,X$2,FALSE)</f>
        <v>#DIV/0!</v>
      </c>
      <c r="BB174" t="e">
        <f>_xlfn.NORM.DIST(Table29128[[#This Row],[DMD '[mg/g']]],Y$6,Y$2,FALSE)</f>
        <v>#REF!</v>
      </c>
      <c r="BC174" t="e">
        <f>_xlfn.NORM.DIST(Table29128[[#This Row],[CH4 '[ml/g']]],Z$6,Z$2,FALSE)</f>
        <v>#REF!</v>
      </c>
      <c r="BD174" t="e">
        <f>_xlfn.NORM.DIST(Table29128[[#This Row],[CH4 '[% GP']]],AA$6,AA$2,FALSE)</f>
        <v>#REF!</v>
      </c>
      <c r="BE174" t="e">
        <f>_xlfn.NORM.DIST(Table29128[[#This Row],[CH4 '[g/g DDM']]],AB$6,AB$2,FALSE)</f>
        <v>#REF!</v>
      </c>
      <c r="BG174">
        <f>IF(Table29128[[#This Row],[GP '[ml/g']]]&lt;O$10,_xlfn.NORM.DIST(Table29128[[#This Row],[GP '[ml/g']]],O$6,O$2,FALSE),-100)</f>
        <v>-100</v>
      </c>
      <c r="BH174">
        <f>IF(Table29128[[#This Row],[SCFA '[mmol/g']]]&lt;P$10,_xlfn.NORM.DIST(Table29128[[#This Row],[SCFA '[mmol/g']]],P$6,P$2,FALSE),-100)</f>
        <v>-100</v>
      </c>
      <c r="BI174">
        <f>IF(Table29128[[#This Row],[Acetate '[%']]]&lt;Q$10,_xlfn.NORM.DIST(Table29128[[#This Row],[Acetate '[%']]],Q$6,Q$2,FALSE),-100)</f>
        <v>-100</v>
      </c>
      <c r="BJ174">
        <f>IF(Table29128[[#This Row],[Propionate '[%']]]&lt;R$10,_xlfn.NORM.DIST(Table29128[[#This Row],[Propionate '[%']]],R$6,R$2,FALSE),-100)</f>
        <v>-100</v>
      </c>
      <c r="BK174">
        <f>IF(Table29128[[#This Row],[Butyrate '[%']]]&lt;S$10,_xlfn.NORM.DIST(Table29128[[#This Row],[Butyrate '[%']]],S$6,S$2,FALSE),-100)</f>
        <v>-100</v>
      </c>
      <c r="BL174">
        <f>IF(Table29128[[#This Row],[Valerate '[%']]]&lt;T$10,_xlfn.NORM.DIST(Table29128[[#This Row],[Valerate '[%']]],T$6,T$2,FALSE),-100)</f>
        <v>-100</v>
      </c>
      <c r="BM174">
        <f>IF(Table29128[[#This Row],[Caproate '[%']]]&lt;U$10,_xlfn.NORM.DIST(Table29128[[#This Row],[Caproate '[%']]],U$6,U$2,FALSE),-100)</f>
        <v>-100</v>
      </c>
      <c r="BN174">
        <f>IF(Table29128[[#This Row],[Isobutyrate '[%']]]&lt;V$10,_xlfn.NORM.DIST(Table29128[[#This Row],[Isobutyrate '[%']]],V$6,V$2,FALSE),-100)</f>
        <v>-100</v>
      </c>
      <c r="BO174">
        <f>IF(Table29128[[#This Row],[Isovalerate '[%']]]&lt;W$10,_xlfn.NORM.DIST(Table29128[[#This Row],[Isovalerate '[%']]],W$6,W$2,FALSE),-100)</f>
        <v>-100</v>
      </c>
      <c r="BP174">
        <f>IF(Table29128[[#This Row],[CH4 '[g/mmol SCFA']]]&lt;X$10,_xlfn.NORM.DIST(Table29128[[#This Row],[CH4 '[g/mmol SCFA']]],X$6,X$2,FALSE),-100)</f>
        <v>-100</v>
      </c>
      <c r="BQ174" t="e">
        <f>IF(Table29128[[#This Row],[DMD '[mg/g']]]&gt;Y$10,_xlfn.NORM.DIST(Table29128[[#This Row],[DMD '[mg/g']]],Y$6,Y$2,FALSE),-100)</f>
        <v>#REF!</v>
      </c>
      <c r="BR174" t="e">
        <f>IF(Table29128[[#This Row],[CH4 '[ml/g']]]&lt;Z$10,_xlfn.NORM.DIST(Table29128[[#This Row],[CH4 '[ml/g']]],Z$6,Z$2,FALSE),-100)</f>
        <v>#REF!</v>
      </c>
      <c r="BS174" t="e">
        <f>IF(Table29128[[#This Row],[CH4 '[% GP']]]&lt;AA$10,_xlfn.NORM.DIST(Table29128[[#This Row],[CH4 '[% GP']]],AA$6,AA$2,FALSE),-100)</f>
        <v>#REF!</v>
      </c>
      <c r="BT174" t="e">
        <f>IF(Table29128[[#This Row],[CH4 '[g/g DDM']]]&lt;AB$10,_xlfn.NORM.DIST(Table29128[[#This Row],[CH4 '[g/g DDM']]],AB$6,AB$2,FALSE),-100)</f>
        <v>#REF!</v>
      </c>
    </row>
    <row r="175" spans="1:72" x14ac:dyDescent="0.25">
      <c r="A175" s="12" t="s">
        <v>70</v>
      </c>
      <c r="B175" s="13">
        <v>1009</v>
      </c>
      <c r="C175" s="96" t="s">
        <v>384</v>
      </c>
      <c r="D175" s="96"/>
      <c r="E175" s="96"/>
      <c r="F175" s="96" t="s">
        <v>385</v>
      </c>
      <c r="G175" t="s">
        <v>73</v>
      </c>
      <c r="H175" t="s">
        <v>74</v>
      </c>
      <c r="I175" t="s">
        <v>75</v>
      </c>
      <c r="J175" s="100">
        <v>1</v>
      </c>
      <c r="K175" s="100"/>
      <c r="L175" s="100" t="s">
        <v>627</v>
      </c>
      <c r="M175" t="s">
        <v>385</v>
      </c>
      <c r="N175" t="s">
        <v>76</v>
      </c>
      <c r="O175" s="18"/>
      <c r="P175" s="18"/>
      <c r="Q175" s="97"/>
      <c r="R175" s="97"/>
      <c r="S175" s="97"/>
      <c r="T175" s="97"/>
      <c r="U175" s="97"/>
      <c r="V175" s="97"/>
      <c r="W175" s="97"/>
      <c r="X175" s="51"/>
      <c r="Y175" s="18" t="e">
        <f>AVERAGEIFS([1]!Table2912[DMD '[mg/g']],[1]!Table2912[Substrate ID],Table29128[[#This Row],[Substrate ID]])</f>
        <v>#REF!</v>
      </c>
      <c r="Z175" s="18" t="e">
        <f>AVERAGEIFS([1]!Table2912[CH4 '[ml/g']],[1]!Table2912[Substrate ID],Table29128[[#This Row],[Substrate ID]])</f>
        <v>#REF!</v>
      </c>
      <c r="AA175" s="18" t="e">
        <f>AVERAGEIFS([1]!Table2912[CH4 '[% GP']],[1]!Table2912[Substrate ID],Table29128[[#This Row],[Substrate ID]])</f>
        <v>#REF!</v>
      </c>
      <c r="AB175" s="18" t="e">
        <f>AVERAGEIFS([1]!Table2912[CH4 '[g/g DDM']],[1]!Table2912[Substrate ID],Table29128[[#This Row],[Substrate ID]])</f>
        <v>#REF!</v>
      </c>
      <c r="AC175" s="18" t="e">
        <f>$CP$17*Table29128[[#This Row],[DMD '[mg/g']]]+$CQ$17*Table29128[[#This Row],[CH4 '[g/g DDM']]]</f>
        <v>#REF!</v>
      </c>
      <c r="AD175" s="18" t="e">
        <f>_xlfn.RANK.AVG(Table29128[[#This Row],[Index]],Table29128[Index])</f>
        <v>#REF!</v>
      </c>
      <c r="AE175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75" s="18" t="e">
        <f>Table29128[[#This Row],[CH4 '[ml/g']]]/Table29128[[#This Row],[APB]]</f>
        <v>#REF!</v>
      </c>
      <c r="AG175" s="18" t="e">
        <f>Table29128[[#This Row],[Propionate '[%']]]/Table29128[[#This Row],[Acetate '[%']]]</f>
        <v>#DIV/0!</v>
      </c>
      <c r="AH175" s="51"/>
      <c r="AI175" s="18"/>
      <c r="AJ175" s="18"/>
      <c r="AK175" s="135" t="e">
        <f t="shared" si="8"/>
        <v>#REF!</v>
      </c>
      <c r="AL175" s="18"/>
      <c r="AM175" s="135" t="e">
        <f t="shared" si="9"/>
        <v>#REF!</v>
      </c>
      <c r="AN175" s="18" t="e">
        <f>(Table29128[[#This Row],[CH4 '[g/g DDM']]]-AN$15)/AN$15%</f>
        <v>#REF!</v>
      </c>
      <c r="AO175" s="18"/>
      <c r="AP175" s="18"/>
      <c r="AR175" t="e">
        <f>_xlfn.NORM.DIST(Table29128[[#This Row],[GP '[ml/g']]],O$6,O$2,FALSE)</f>
        <v>#DIV/0!</v>
      </c>
      <c r="AS175" t="e">
        <f>_xlfn.NORM.DIST(Table29128[[#This Row],[SCFA '[mmol/g']]],P$6,P$2,FALSE)</f>
        <v>#DIV/0!</v>
      </c>
      <c r="AT175" t="e">
        <f>_xlfn.NORM.DIST(Table29128[[#This Row],[Acetate '[%']]],Q$6,Q$2,FALSE)</f>
        <v>#DIV/0!</v>
      </c>
      <c r="AU175" t="e">
        <f>_xlfn.NORM.DIST(Table29128[[#This Row],[Propionate '[%']]],R$6,R$2,FALSE)</f>
        <v>#DIV/0!</v>
      </c>
      <c r="AV175" t="e">
        <f>_xlfn.NORM.DIST(Table29128[[#This Row],[Butyrate '[%']]],S$6,S$2,FALSE)</f>
        <v>#DIV/0!</v>
      </c>
      <c r="AW175" t="e">
        <f>_xlfn.NORM.DIST(Table29128[[#This Row],[Valerate '[%']]],T$6,T$2,FALSE)</f>
        <v>#DIV/0!</v>
      </c>
      <c r="AX175" t="e">
        <f>_xlfn.NORM.DIST(Table29128[[#This Row],[Caproate '[%']]],U$6,U$2,FALSE)</f>
        <v>#DIV/0!</v>
      </c>
      <c r="AY175" t="e">
        <f>_xlfn.NORM.DIST(Table29128[[#This Row],[Isobutyrate '[%']]],V$6,V$2,FALSE)</f>
        <v>#DIV/0!</v>
      </c>
      <c r="AZ175" t="e">
        <f>_xlfn.NORM.DIST(Table29128[[#This Row],[Isovalerate '[%']]],W$6,W$2,FALSE)</f>
        <v>#DIV/0!</v>
      </c>
      <c r="BA175" t="e">
        <f>_xlfn.NORM.DIST(Table29128[[#This Row],[CH4 '[g/mmol SCFA']]],X$6,X$2,FALSE)</f>
        <v>#DIV/0!</v>
      </c>
      <c r="BB175" t="e">
        <f>_xlfn.NORM.DIST(Table29128[[#This Row],[DMD '[mg/g']]],Y$6,Y$2,FALSE)</f>
        <v>#REF!</v>
      </c>
      <c r="BC175" t="e">
        <f>_xlfn.NORM.DIST(Table29128[[#This Row],[CH4 '[ml/g']]],Z$6,Z$2,FALSE)</f>
        <v>#REF!</v>
      </c>
      <c r="BD175" t="e">
        <f>_xlfn.NORM.DIST(Table29128[[#This Row],[CH4 '[% GP']]],AA$6,AA$2,FALSE)</f>
        <v>#REF!</v>
      </c>
      <c r="BE175" t="e">
        <f>_xlfn.NORM.DIST(Table29128[[#This Row],[CH4 '[g/g DDM']]],AB$6,AB$2,FALSE)</f>
        <v>#REF!</v>
      </c>
      <c r="BG175">
        <f>IF(Table29128[[#This Row],[GP '[ml/g']]]&lt;O$10,_xlfn.NORM.DIST(Table29128[[#This Row],[GP '[ml/g']]],O$6,O$2,FALSE),-100)</f>
        <v>-100</v>
      </c>
      <c r="BH175">
        <f>IF(Table29128[[#This Row],[SCFA '[mmol/g']]]&lt;P$10,_xlfn.NORM.DIST(Table29128[[#This Row],[SCFA '[mmol/g']]],P$6,P$2,FALSE),-100)</f>
        <v>-100</v>
      </c>
      <c r="BI175">
        <f>IF(Table29128[[#This Row],[Acetate '[%']]]&lt;Q$10,_xlfn.NORM.DIST(Table29128[[#This Row],[Acetate '[%']]],Q$6,Q$2,FALSE),-100)</f>
        <v>-100</v>
      </c>
      <c r="BJ175">
        <f>IF(Table29128[[#This Row],[Propionate '[%']]]&lt;R$10,_xlfn.NORM.DIST(Table29128[[#This Row],[Propionate '[%']]],R$6,R$2,FALSE),-100)</f>
        <v>-100</v>
      </c>
      <c r="BK175">
        <f>IF(Table29128[[#This Row],[Butyrate '[%']]]&lt;S$10,_xlfn.NORM.DIST(Table29128[[#This Row],[Butyrate '[%']]],S$6,S$2,FALSE),-100)</f>
        <v>-100</v>
      </c>
      <c r="BL175">
        <f>IF(Table29128[[#This Row],[Valerate '[%']]]&lt;T$10,_xlfn.NORM.DIST(Table29128[[#This Row],[Valerate '[%']]],T$6,T$2,FALSE),-100)</f>
        <v>-100</v>
      </c>
      <c r="BM175">
        <f>IF(Table29128[[#This Row],[Caproate '[%']]]&lt;U$10,_xlfn.NORM.DIST(Table29128[[#This Row],[Caproate '[%']]],U$6,U$2,FALSE),-100)</f>
        <v>-100</v>
      </c>
      <c r="BN175">
        <f>IF(Table29128[[#This Row],[Isobutyrate '[%']]]&lt;V$10,_xlfn.NORM.DIST(Table29128[[#This Row],[Isobutyrate '[%']]],V$6,V$2,FALSE),-100)</f>
        <v>-100</v>
      </c>
      <c r="BO175">
        <f>IF(Table29128[[#This Row],[Isovalerate '[%']]]&lt;W$10,_xlfn.NORM.DIST(Table29128[[#This Row],[Isovalerate '[%']]],W$6,W$2,FALSE),-100)</f>
        <v>-100</v>
      </c>
      <c r="BP175">
        <f>IF(Table29128[[#This Row],[CH4 '[g/mmol SCFA']]]&lt;X$10,_xlfn.NORM.DIST(Table29128[[#This Row],[CH4 '[g/mmol SCFA']]],X$6,X$2,FALSE),-100)</f>
        <v>-100</v>
      </c>
      <c r="BQ175" t="e">
        <f>IF(Table29128[[#This Row],[DMD '[mg/g']]]&gt;Y$10,_xlfn.NORM.DIST(Table29128[[#This Row],[DMD '[mg/g']]],Y$6,Y$2,FALSE),-100)</f>
        <v>#REF!</v>
      </c>
      <c r="BR175" t="e">
        <f>IF(Table29128[[#This Row],[CH4 '[ml/g']]]&lt;Z$10,_xlfn.NORM.DIST(Table29128[[#This Row],[CH4 '[ml/g']]],Z$6,Z$2,FALSE),-100)</f>
        <v>#REF!</v>
      </c>
      <c r="BS175" t="e">
        <f>IF(Table29128[[#This Row],[CH4 '[% GP']]]&lt;AA$10,_xlfn.NORM.DIST(Table29128[[#This Row],[CH4 '[% GP']]],AA$6,AA$2,FALSE),-100)</f>
        <v>#REF!</v>
      </c>
      <c r="BT175" t="e">
        <f>IF(Table29128[[#This Row],[CH4 '[g/g DDM']]]&lt;AB$10,_xlfn.NORM.DIST(Table29128[[#This Row],[CH4 '[g/g DDM']]],AB$6,AB$2,FALSE),-100)</f>
        <v>#REF!</v>
      </c>
    </row>
    <row r="176" spans="1:72" x14ac:dyDescent="0.25">
      <c r="A176" s="12" t="s">
        <v>200</v>
      </c>
      <c r="B176" s="13">
        <v>1145</v>
      </c>
      <c r="C176" s="117" t="s">
        <v>380</v>
      </c>
      <c r="D176" s="117" t="s">
        <v>212</v>
      </c>
      <c r="E176" s="117" t="s">
        <v>213</v>
      </c>
      <c r="F176" s="117" t="s">
        <v>214</v>
      </c>
      <c r="G176" t="s">
        <v>73</v>
      </c>
      <c r="H176" t="s">
        <v>74</v>
      </c>
      <c r="I176" t="s">
        <v>75</v>
      </c>
      <c r="J176" s="70">
        <v>1</v>
      </c>
      <c r="K176" s="70"/>
      <c r="L176" s="70"/>
      <c r="M176" t="s">
        <v>381</v>
      </c>
      <c r="N176" t="s">
        <v>171</v>
      </c>
      <c r="O176" s="18"/>
      <c r="P176" s="18"/>
      <c r="Q176" s="97"/>
      <c r="R176" s="97"/>
      <c r="S176" s="97"/>
      <c r="T176" s="97"/>
      <c r="U176" s="97"/>
      <c r="V176" s="97"/>
      <c r="W176" s="97"/>
      <c r="X176" s="51"/>
      <c r="Y176" s="18" t="e">
        <f>AVERAGEIFS([1]!Table2912[DMD '[mg/g']],[1]!Table2912[Substrate ID],Table29128[[#This Row],[Substrate ID]])</f>
        <v>#REF!</v>
      </c>
      <c r="Z176" s="18" t="e">
        <f>AVERAGEIFS([1]!Table2912[CH4 '[ml/g']],[1]!Table2912[Substrate ID],Table29128[[#This Row],[Substrate ID]])</f>
        <v>#REF!</v>
      </c>
      <c r="AA176" s="18" t="e">
        <f>AVERAGEIFS([1]!Table2912[CH4 '[% GP']],[1]!Table2912[Substrate ID],Table29128[[#This Row],[Substrate ID]])</f>
        <v>#REF!</v>
      </c>
      <c r="AB176" s="18" t="e">
        <f>AVERAGEIFS([1]!Table2912[CH4 '[g/g DDM']],[1]!Table2912[Substrate ID],Table29128[[#This Row],[Substrate ID]])</f>
        <v>#REF!</v>
      </c>
      <c r="AC176" s="18" t="e">
        <f>$CP$17*Table29128[[#This Row],[DMD '[mg/g']]]+$CQ$17*Table29128[[#This Row],[CH4 '[g/g DDM']]]</f>
        <v>#REF!</v>
      </c>
      <c r="AD176" s="18" t="e">
        <f>_xlfn.RANK.AVG(Table29128[[#This Row],[Index]],Table29128[Index])</f>
        <v>#REF!</v>
      </c>
      <c r="AE176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76" s="18" t="e">
        <f>Table29128[[#This Row],[CH4 '[ml/g']]]/Table29128[[#This Row],[APB]]</f>
        <v>#REF!</v>
      </c>
      <c r="AG176" s="18" t="e">
        <f>Table29128[[#This Row],[Propionate '[%']]]/Table29128[[#This Row],[Acetate '[%']]]</f>
        <v>#DIV/0!</v>
      </c>
      <c r="AH176" s="51"/>
      <c r="AI176" s="18"/>
      <c r="AJ176" s="18"/>
      <c r="AK176" s="135" t="e">
        <f t="shared" si="8"/>
        <v>#REF!</v>
      </c>
      <c r="AL176" s="18"/>
      <c r="AM176" s="135" t="e">
        <f t="shared" si="9"/>
        <v>#REF!</v>
      </c>
      <c r="AN176" s="18" t="e">
        <f>(Table29128[[#This Row],[CH4 '[g/g DDM']]]-AN$15)/AN$15%</f>
        <v>#REF!</v>
      </c>
      <c r="AO176" s="18"/>
      <c r="AP176" s="18"/>
      <c r="AR176" t="e">
        <f>_xlfn.NORM.DIST(Table29128[[#This Row],[GP '[ml/g']]],O$6,O$2,FALSE)</f>
        <v>#DIV/0!</v>
      </c>
      <c r="AS176" t="e">
        <f>_xlfn.NORM.DIST(Table29128[[#This Row],[SCFA '[mmol/g']]],P$6,P$2,FALSE)</f>
        <v>#DIV/0!</v>
      </c>
      <c r="AT176" t="e">
        <f>_xlfn.NORM.DIST(Table29128[[#This Row],[Acetate '[%']]],Q$6,Q$2,FALSE)</f>
        <v>#DIV/0!</v>
      </c>
      <c r="AU176" t="e">
        <f>_xlfn.NORM.DIST(Table29128[[#This Row],[Propionate '[%']]],R$6,R$2,FALSE)</f>
        <v>#DIV/0!</v>
      </c>
      <c r="AV176" t="e">
        <f>_xlfn.NORM.DIST(Table29128[[#This Row],[Butyrate '[%']]],S$6,S$2,FALSE)</f>
        <v>#DIV/0!</v>
      </c>
      <c r="AW176" t="e">
        <f>_xlfn.NORM.DIST(Table29128[[#This Row],[Valerate '[%']]],T$6,T$2,FALSE)</f>
        <v>#DIV/0!</v>
      </c>
      <c r="AX176" t="e">
        <f>_xlfn.NORM.DIST(Table29128[[#This Row],[Caproate '[%']]],U$6,U$2,FALSE)</f>
        <v>#DIV/0!</v>
      </c>
      <c r="AY176" t="e">
        <f>_xlfn.NORM.DIST(Table29128[[#This Row],[Isobutyrate '[%']]],V$6,V$2,FALSE)</f>
        <v>#DIV/0!</v>
      </c>
      <c r="AZ176" t="e">
        <f>_xlfn.NORM.DIST(Table29128[[#This Row],[Isovalerate '[%']]],W$6,W$2,FALSE)</f>
        <v>#DIV/0!</v>
      </c>
      <c r="BA176" t="e">
        <f>_xlfn.NORM.DIST(Table29128[[#This Row],[CH4 '[g/mmol SCFA']]],X$6,X$2,FALSE)</f>
        <v>#DIV/0!</v>
      </c>
      <c r="BB176" t="e">
        <f>_xlfn.NORM.DIST(Table29128[[#This Row],[DMD '[mg/g']]],Y$6,Y$2,FALSE)</f>
        <v>#REF!</v>
      </c>
      <c r="BC176" t="e">
        <f>_xlfn.NORM.DIST(Table29128[[#This Row],[CH4 '[ml/g']]],Z$6,Z$2,FALSE)</f>
        <v>#REF!</v>
      </c>
      <c r="BD176" t="e">
        <f>_xlfn.NORM.DIST(Table29128[[#This Row],[CH4 '[% GP']]],AA$6,AA$2,FALSE)</f>
        <v>#REF!</v>
      </c>
      <c r="BE176" t="e">
        <f>_xlfn.NORM.DIST(Table29128[[#This Row],[CH4 '[g/g DDM']]],AB$6,AB$2,FALSE)</f>
        <v>#REF!</v>
      </c>
      <c r="BG176">
        <f>IF(Table29128[[#This Row],[GP '[ml/g']]]&lt;O$10,_xlfn.NORM.DIST(Table29128[[#This Row],[GP '[ml/g']]],O$6,O$2,FALSE),-100)</f>
        <v>-100</v>
      </c>
      <c r="BH176">
        <f>IF(Table29128[[#This Row],[SCFA '[mmol/g']]]&lt;P$10,_xlfn.NORM.DIST(Table29128[[#This Row],[SCFA '[mmol/g']]],P$6,P$2,FALSE),-100)</f>
        <v>-100</v>
      </c>
      <c r="BI176">
        <f>IF(Table29128[[#This Row],[Acetate '[%']]]&lt;Q$10,_xlfn.NORM.DIST(Table29128[[#This Row],[Acetate '[%']]],Q$6,Q$2,FALSE),-100)</f>
        <v>-100</v>
      </c>
      <c r="BJ176">
        <f>IF(Table29128[[#This Row],[Propionate '[%']]]&lt;R$10,_xlfn.NORM.DIST(Table29128[[#This Row],[Propionate '[%']]],R$6,R$2,FALSE),-100)</f>
        <v>-100</v>
      </c>
      <c r="BK176">
        <f>IF(Table29128[[#This Row],[Butyrate '[%']]]&lt;S$10,_xlfn.NORM.DIST(Table29128[[#This Row],[Butyrate '[%']]],S$6,S$2,FALSE),-100)</f>
        <v>-100</v>
      </c>
      <c r="BL176">
        <f>IF(Table29128[[#This Row],[Valerate '[%']]]&lt;T$10,_xlfn.NORM.DIST(Table29128[[#This Row],[Valerate '[%']]],T$6,T$2,FALSE),-100)</f>
        <v>-100</v>
      </c>
      <c r="BM176">
        <f>IF(Table29128[[#This Row],[Caproate '[%']]]&lt;U$10,_xlfn.NORM.DIST(Table29128[[#This Row],[Caproate '[%']]],U$6,U$2,FALSE),-100)</f>
        <v>-100</v>
      </c>
      <c r="BN176">
        <f>IF(Table29128[[#This Row],[Isobutyrate '[%']]]&lt;V$10,_xlfn.NORM.DIST(Table29128[[#This Row],[Isobutyrate '[%']]],V$6,V$2,FALSE),-100)</f>
        <v>-100</v>
      </c>
      <c r="BO176">
        <f>IF(Table29128[[#This Row],[Isovalerate '[%']]]&lt;W$10,_xlfn.NORM.DIST(Table29128[[#This Row],[Isovalerate '[%']]],W$6,W$2,FALSE),-100)</f>
        <v>-100</v>
      </c>
      <c r="BP176">
        <f>IF(Table29128[[#This Row],[CH4 '[g/mmol SCFA']]]&lt;X$10,_xlfn.NORM.DIST(Table29128[[#This Row],[CH4 '[g/mmol SCFA']]],X$6,X$2,FALSE),-100)</f>
        <v>-100</v>
      </c>
      <c r="BQ176" t="e">
        <f>IF(Table29128[[#This Row],[DMD '[mg/g']]]&gt;Y$10,_xlfn.NORM.DIST(Table29128[[#This Row],[DMD '[mg/g']]],Y$6,Y$2,FALSE),-100)</f>
        <v>#REF!</v>
      </c>
      <c r="BR176" t="e">
        <f>IF(Table29128[[#This Row],[CH4 '[ml/g']]]&lt;Z$10,_xlfn.NORM.DIST(Table29128[[#This Row],[CH4 '[ml/g']]],Z$6,Z$2,FALSE),-100)</f>
        <v>#REF!</v>
      </c>
      <c r="BS176" t="e">
        <f>IF(Table29128[[#This Row],[CH4 '[% GP']]]&lt;AA$10,_xlfn.NORM.DIST(Table29128[[#This Row],[CH4 '[% GP']]],AA$6,AA$2,FALSE),-100)</f>
        <v>#REF!</v>
      </c>
      <c r="BT176" t="e">
        <f>IF(Table29128[[#This Row],[CH4 '[g/g DDM']]]&lt;AB$10,_xlfn.NORM.DIST(Table29128[[#This Row],[CH4 '[g/g DDM']]],AB$6,AB$2,FALSE),-100)</f>
        <v>#REF!</v>
      </c>
    </row>
    <row r="177" spans="1:72" x14ac:dyDescent="0.25">
      <c r="A177" s="12" t="s">
        <v>200</v>
      </c>
      <c r="B177" s="13">
        <v>1146</v>
      </c>
      <c r="C177" s="117" t="s">
        <v>425</v>
      </c>
      <c r="D177" s="117" t="s">
        <v>212</v>
      </c>
      <c r="E177" s="117" t="s">
        <v>213</v>
      </c>
      <c r="F177" s="117" t="s">
        <v>214</v>
      </c>
      <c r="G177" t="s">
        <v>73</v>
      </c>
      <c r="H177" t="s">
        <v>74</v>
      </c>
      <c r="I177" t="s">
        <v>75</v>
      </c>
      <c r="J177" s="70">
        <v>1</v>
      </c>
      <c r="K177" s="70"/>
      <c r="L177" s="70"/>
      <c r="M177" t="s">
        <v>426</v>
      </c>
      <c r="N177" t="s">
        <v>237</v>
      </c>
      <c r="O177" s="18"/>
      <c r="P177" s="18"/>
      <c r="Q177" s="97"/>
      <c r="R177" s="97"/>
      <c r="S177" s="97"/>
      <c r="T177" s="97"/>
      <c r="U177" s="97"/>
      <c r="V177" s="97"/>
      <c r="W177" s="97"/>
      <c r="X177" s="51"/>
      <c r="Y177" s="18" t="e">
        <f>AVERAGEIFS([1]!Table2912[DMD '[mg/g']],[1]!Table2912[Substrate ID],Table29128[[#This Row],[Substrate ID]])</f>
        <v>#REF!</v>
      </c>
      <c r="Z177" s="18" t="e">
        <f>AVERAGEIFS([1]!Table2912[CH4 '[ml/g']],[1]!Table2912[Substrate ID],Table29128[[#This Row],[Substrate ID]])</f>
        <v>#REF!</v>
      </c>
      <c r="AA177" s="18" t="e">
        <f>AVERAGEIFS([1]!Table2912[CH4 '[% GP']],[1]!Table2912[Substrate ID],Table29128[[#This Row],[Substrate ID]])</f>
        <v>#REF!</v>
      </c>
      <c r="AB177" s="18" t="e">
        <f>AVERAGEIFS([1]!Table2912[CH4 '[g/g DDM']],[1]!Table2912[Substrate ID],Table29128[[#This Row],[Substrate ID]])</f>
        <v>#REF!</v>
      </c>
      <c r="AC177" s="18" t="e">
        <f>$CP$17*Table29128[[#This Row],[DMD '[mg/g']]]+$CQ$17*Table29128[[#This Row],[CH4 '[g/g DDM']]]</f>
        <v>#REF!</v>
      </c>
      <c r="AD177" s="18" t="e">
        <f>_xlfn.RANK.AVG(Table29128[[#This Row],[Index]],Table29128[Index])</f>
        <v>#REF!</v>
      </c>
      <c r="AE177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77" s="18" t="e">
        <f>Table29128[[#This Row],[CH4 '[ml/g']]]/Table29128[[#This Row],[APB]]</f>
        <v>#REF!</v>
      </c>
      <c r="AG177" s="18" t="e">
        <f>Table29128[[#This Row],[Propionate '[%']]]/Table29128[[#This Row],[Acetate '[%']]]</f>
        <v>#DIV/0!</v>
      </c>
      <c r="AH177" s="51"/>
      <c r="AI177" s="18"/>
      <c r="AJ177" s="18"/>
      <c r="AK177" s="135" t="e">
        <f t="shared" si="8"/>
        <v>#REF!</v>
      </c>
      <c r="AL177" s="18"/>
      <c r="AM177" s="135" t="e">
        <f t="shared" si="9"/>
        <v>#REF!</v>
      </c>
      <c r="AN177" s="18" t="e">
        <f>(Table29128[[#This Row],[CH4 '[g/g DDM']]]-AN$15)/AN$15%</f>
        <v>#REF!</v>
      </c>
      <c r="AO177" s="18"/>
      <c r="AP177" s="18"/>
      <c r="AR177" t="e">
        <f>_xlfn.NORM.DIST(Table29128[[#This Row],[GP '[ml/g']]],O$6,O$2,FALSE)</f>
        <v>#DIV/0!</v>
      </c>
      <c r="AS177" t="e">
        <f>_xlfn.NORM.DIST(Table29128[[#This Row],[SCFA '[mmol/g']]],P$6,P$2,FALSE)</f>
        <v>#DIV/0!</v>
      </c>
      <c r="AT177" t="e">
        <f>_xlfn.NORM.DIST(Table29128[[#This Row],[Acetate '[%']]],Q$6,Q$2,FALSE)</f>
        <v>#DIV/0!</v>
      </c>
      <c r="AU177" t="e">
        <f>_xlfn.NORM.DIST(Table29128[[#This Row],[Propionate '[%']]],R$6,R$2,FALSE)</f>
        <v>#DIV/0!</v>
      </c>
      <c r="AV177" t="e">
        <f>_xlfn.NORM.DIST(Table29128[[#This Row],[Butyrate '[%']]],S$6,S$2,FALSE)</f>
        <v>#DIV/0!</v>
      </c>
      <c r="AW177" t="e">
        <f>_xlfn.NORM.DIST(Table29128[[#This Row],[Valerate '[%']]],T$6,T$2,FALSE)</f>
        <v>#DIV/0!</v>
      </c>
      <c r="AX177" t="e">
        <f>_xlfn.NORM.DIST(Table29128[[#This Row],[Caproate '[%']]],U$6,U$2,FALSE)</f>
        <v>#DIV/0!</v>
      </c>
      <c r="AY177" t="e">
        <f>_xlfn.NORM.DIST(Table29128[[#This Row],[Isobutyrate '[%']]],V$6,V$2,FALSE)</f>
        <v>#DIV/0!</v>
      </c>
      <c r="AZ177" t="e">
        <f>_xlfn.NORM.DIST(Table29128[[#This Row],[Isovalerate '[%']]],W$6,W$2,FALSE)</f>
        <v>#DIV/0!</v>
      </c>
      <c r="BA177" t="e">
        <f>_xlfn.NORM.DIST(Table29128[[#This Row],[CH4 '[g/mmol SCFA']]],X$6,X$2,FALSE)</f>
        <v>#DIV/0!</v>
      </c>
      <c r="BB177" t="e">
        <f>_xlfn.NORM.DIST(Table29128[[#This Row],[DMD '[mg/g']]],Y$6,Y$2,FALSE)</f>
        <v>#REF!</v>
      </c>
      <c r="BC177" t="e">
        <f>_xlfn.NORM.DIST(Table29128[[#This Row],[CH4 '[ml/g']]],Z$6,Z$2,FALSE)</f>
        <v>#REF!</v>
      </c>
      <c r="BD177" t="e">
        <f>_xlfn.NORM.DIST(Table29128[[#This Row],[CH4 '[% GP']]],AA$6,AA$2,FALSE)</f>
        <v>#REF!</v>
      </c>
      <c r="BE177" t="e">
        <f>_xlfn.NORM.DIST(Table29128[[#This Row],[CH4 '[g/g DDM']]],AB$6,AB$2,FALSE)</f>
        <v>#REF!</v>
      </c>
      <c r="BG177">
        <f>IF(Table29128[[#This Row],[GP '[ml/g']]]&lt;O$10,_xlfn.NORM.DIST(Table29128[[#This Row],[GP '[ml/g']]],O$6,O$2,FALSE),-100)</f>
        <v>-100</v>
      </c>
      <c r="BH177">
        <f>IF(Table29128[[#This Row],[SCFA '[mmol/g']]]&lt;P$10,_xlfn.NORM.DIST(Table29128[[#This Row],[SCFA '[mmol/g']]],P$6,P$2,FALSE),-100)</f>
        <v>-100</v>
      </c>
      <c r="BI177">
        <f>IF(Table29128[[#This Row],[Acetate '[%']]]&lt;Q$10,_xlfn.NORM.DIST(Table29128[[#This Row],[Acetate '[%']]],Q$6,Q$2,FALSE),-100)</f>
        <v>-100</v>
      </c>
      <c r="BJ177">
        <f>IF(Table29128[[#This Row],[Propionate '[%']]]&lt;R$10,_xlfn.NORM.DIST(Table29128[[#This Row],[Propionate '[%']]],R$6,R$2,FALSE),-100)</f>
        <v>-100</v>
      </c>
      <c r="BK177">
        <f>IF(Table29128[[#This Row],[Butyrate '[%']]]&lt;S$10,_xlfn.NORM.DIST(Table29128[[#This Row],[Butyrate '[%']]],S$6,S$2,FALSE),-100)</f>
        <v>-100</v>
      </c>
      <c r="BL177">
        <f>IF(Table29128[[#This Row],[Valerate '[%']]]&lt;T$10,_xlfn.NORM.DIST(Table29128[[#This Row],[Valerate '[%']]],T$6,T$2,FALSE),-100)</f>
        <v>-100</v>
      </c>
      <c r="BM177">
        <f>IF(Table29128[[#This Row],[Caproate '[%']]]&lt;U$10,_xlfn.NORM.DIST(Table29128[[#This Row],[Caproate '[%']]],U$6,U$2,FALSE),-100)</f>
        <v>-100</v>
      </c>
      <c r="BN177">
        <f>IF(Table29128[[#This Row],[Isobutyrate '[%']]]&lt;V$10,_xlfn.NORM.DIST(Table29128[[#This Row],[Isobutyrate '[%']]],V$6,V$2,FALSE),-100)</f>
        <v>-100</v>
      </c>
      <c r="BO177">
        <f>IF(Table29128[[#This Row],[Isovalerate '[%']]]&lt;W$10,_xlfn.NORM.DIST(Table29128[[#This Row],[Isovalerate '[%']]],W$6,W$2,FALSE),-100)</f>
        <v>-100</v>
      </c>
      <c r="BP177">
        <f>IF(Table29128[[#This Row],[CH4 '[g/mmol SCFA']]]&lt;X$10,_xlfn.NORM.DIST(Table29128[[#This Row],[CH4 '[g/mmol SCFA']]],X$6,X$2,FALSE),-100)</f>
        <v>-100</v>
      </c>
      <c r="BQ177" t="e">
        <f>IF(Table29128[[#This Row],[DMD '[mg/g']]]&gt;Y$10,_xlfn.NORM.DIST(Table29128[[#This Row],[DMD '[mg/g']]],Y$6,Y$2,FALSE),-100)</f>
        <v>#REF!</v>
      </c>
      <c r="BR177" t="e">
        <f>IF(Table29128[[#This Row],[CH4 '[ml/g']]]&lt;Z$10,_xlfn.NORM.DIST(Table29128[[#This Row],[CH4 '[ml/g']]],Z$6,Z$2,FALSE),-100)</f>
        <v>#REF!</v>
      </c>
      <c r="BS177" t="e">
        <f>IF(Table29128[[#This Row],[CH4 '[% GP']]]&lt;AA$10,_xlfn.NORM.DIST(Table29128[[#This Row],[CH4 '[% GP']]],AA$6,AA$2,FALSE),-100)</f>
        <v>#REF!</v>
      </c>
      <c r="BT177" t="e">
        <f>IF(Table29128[[#This Row],[CH4 '[g/g DDM']]]&lt;AB$10,_xlfn.NORM.DIST(Table29128[[#This Row],[CH4 '[g/g DDM']]],AB$6,AB$2,FALSE),-100)</f>
        <v>#REF!</v>
      </c>
    </row>
    <row r="178" spans="1:72" x14ac:dyDescent="0.25">
      <c r="A178" s="12" t="s">
        <v>200</v>
      </c>
      <c r="B178" s="13">
        <v>1147</v>
      </c>
      <c r="C178" s="117" t="s">
        <v>211</v>
      </c>
      <c r="D178" s="117" t="s">
        <v>212</v>
      </c>
      <c r="E178" s="117" t="s">
        <v>213</v>
      </c>
      <c r="F178" s="117" t="s">
        <v>214</v>
      </c>
      <c r="G178" t="s">
        <v>73</v>
      </c>
      <c r="H178" t="s">
        <v>74</v>
      </c>
      <c r="I178" t="s">
        <v>75</v>
      </c>
      <c r="J178" s="70">
        <v>1</v>
      </c>
      <c r="K178" s="70"/>
      <c r="L178" s="70"/>
      <c r="M178" t="s">
        <v>215</v>
      </c>
      <c r="N178" t="s">
        <v>245</v>
      </c>
      <c r="O178" s="18"/>
      <c r="P178" s="18"/>
      <c r="Q178" s="97"/>
      <c r="R178" s="97"/>
      <c r="S178" s="97"/>
      <c r="T178" s="97"/>
      <c r="U178" s="97"/>
      <c r="V178" s="97"/>
      <c r="W178" s="97"/>
      <c r="X178" s="51"/>
      <c r="Y178" s="18" t="e">
        <f>AVERAGEIFS([1]!Table2912[DMD '[mg/g']],[1]!Table2912[Substrate ID],Table29128[[#This Row],[Substrate ID]])</f>
        <v>#REF!</v>
      </c>
      <c r="Z178" s="18" t="e">
        <f>AVERAGEIFS([1]!Table2912[CH4 '[ml/g']],[1]!Table2912[Substrate ID],Table29128[[#This Row],[Substrate ID]])</f>
        <v>#REF!</v>
      </c>
      <c r="AA178" s="18" t="e">
        <f>AVERAGEIFS([1]!Table2912[CH4 '[% GP']],[1]!Table2912[Substrate ID],Table29128[[#This Row],[Substrate ID]])</f>
        <v>#REF!</v>
      </c>
      <c r="AB178" s="18" t="e">
        <f>AVERAGEIFS([1]!Table2912[CH4 '[g/g DDM']],[1]!Table2912[Substrate ID],Table29128[[#This Row],[Substrate ID]])</f>
        <v>#REF!</v>
      </c>
      <c r="AC178" s="18" t="e">
        <f>$CP$17*Table29128[[#This Row],[DMD '[mg/g']]]+$CQ$17*Table29128[[#This Row],[CH4 '[g/g DDM']]]</f>
        <v>#REF!</v>
      </c>
      <c r="AD178" s="18" t="e">
        <f>_xlfn.RANK.AVG(Table29128[[#This Row],[Index]],Table29128[Index])</f>
        <v>#REF!</v>
      </c>
      <c r="AE178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78" s="18" t="e">
        <f>Table29128[[#This Row],[CH4 '[ml/g']]]/Table29128[[#This Row],[APB]]</f>
        <v>#REF!</v>
      </c>
      <c r="AG178" s="18" t="e">
        <f>Table29128[[#This Row],[Propionate '[%']]]/Table29128[[#This Row],[Acetate '[%']]]</f>
        <v>#DIV/0!</v>
      </c>
      <c r="AH178" s="51"/>
      <c r="AI178" s="18"/>
      <c r="AJ178" s="18"/>
      <c r="AK178" s="135" t="e">
        <f t="shared" si="8"/>
        <v>#REF!</v>
      </c>
      <c r="AL178" s="18"/>
      <c r="AM178" s="135" t="e">
        <f t="shared" si="9"/>
        <v>#REF!</v>
      </c>
      <c r="AN178" s="18" t="e">
        <f>(Table29128[[#This Row],[CH4 '[g/g DDM']]]-AN$15)/AN$15%</f>
        <v>#REF!</v>
      </c>
      <c r="AO178" s="18"/>
      <c r="AP178" s="18"/>
      <c r="AR178" t="e">
        <f>_xlfn.NORM.DIST(Table29128[[#This Row],[GP '[ml/g']]],O$6,O$2,FALSE)</f>
        <v>#DIV/0!</v>
      </c>
      <c r="AS178" t="e">
        <f>_xlfn.NORM.DIST(Table29128[[#This Row],[SCFA '[mmol/g']]],P$6,P$2,FALSE)</f>
        <v>#DIV/0!</v>
      </c>
      <c r="AT178" t="e">
        <f>_xlfn.NORM.DIST(Table29128[[#This Row],[Acetate '[%']]],Q$6,Q$2,FALSE)</f>
        <v>#DIV/0!</v>
      </c>
      <c r="AU178" t="e">
        <f>_xlfn.NORM.DIST(Table29128[[#This Row],[Propionate '[%']]],R$6,R$2,FALSE)</f>
        <v>#DIV/0!</v>
      </c>
      <c r="AV178" t="e">
        <f>_xlfn.NORM.DIST(Table29128[[#This Row],[Butyrate '[%']]],S$6,S$2,FALSE)</f>
        <v>#DIV/0!</v>
      </c>
      <c r="AW178" t="e">
        <f>_xlfn.NORM.DIST(Table29128[[#This Row],[Valerate '[%']]],T$6,T$2,FALSE)</f>
        <v>#DIV/0!</v>
      </c>
      <c r="AX178" t="e">
        <f>_xlfn.NORM.DIST(Table29128[[#This Row],[Caproate '[%']]],U$6,U$2,FALSE)</f>
        <v>#DIV/0!</v>
      </c>
      <c r="AY178" t="e">
        <f>_xlfn.NORM.DIST(Table29128[[#This Row],[Isobutyrate '[%']]],V$6,V$2,FALSE)</f>
        <v>#DIV/0!</v>
      </c>
      <c r="AZ178" t="e">
        <f>_xlfn.NORM.DIST(Table29128[[#This Row],[Isovalerate '[%']]],W$6,W$2,FALSE)</f>
        <v>#DIV/0!</v>
      </c>
      <c r="BA178" t="e">
        <f>_xlfn.NORM.DIST(Table29128[[#This Row],[CH4 '[g/mmol SCFA']]],X$6,X$2,FALSE)</f>
        <v>#DIV/0!</v>
      </c>
      <c r="BB178" t="e">
        <f>_xlfn.NORM.DIST(Table29128[[#This Row],[DMD '[mg/g']]],Y$6,Y$2,FALSE)</f>
        <v>#REF!</v>
      </c>
      <c r="BC178" t="e">
        <f>_xlfn.NORM.DIST(Table29128[[#This Row],[CH4 '[ml/g']]],Z$6,Z$2,FALSE)</f>
        <v>#REF!</v>
      </c>
      <c r="BD178" t="e">
        <f>_xlfn.NORM.DIST(Table29128[[#This Row],[CH4 '[% GP']]],AA$6,AA$2,FALSE)</f>
        <v>#REF!</v>
      </c>
      <c r="BE178" t="e">
        <f>_xlfn.NORM.DIST(Table29128[[#This Row],[CH4 '[g/g DDM']]],AB$6,AB$2,FALSE)</f>
        <v>#REF!</v>
      </c>
      <c r="BG178">
        <f>IF(Table29128[[#This Row],[GP '[ml/g']]]&lt;O$10,_xlfn.NORM.DIST(Table29128[[#This Row],[GP '[ml/g']]],O$6,O$2,FALSE),-100)</f>
        <v>-100</v>
      </c>
      <c r="BH178">
        <f>IF(Table29128[[#This Row],[SCFA '[mmol/g']]]&lt;P$10,_xlfn.NORM.DIST(Table29128[[#This Row],[SCFA '[mmol/g']]],P$6,P$2,FALSE),-100)</f>
        <v>-100</v>
      </c>
      <c r="BI178">
        <f>IF(Table29128[[#This Row],[Acetate '[%']]]&lt;Q$10,_xlfn.NORM.DIST(Table29128[[#This Row],[Acetate '[%']]],Q$6,Q$2,FALSE),-100)</f>
        <v>-100</v>
      </c>
      <c r="BJ178">
        <f>IF(Table29128[[#This Row],[Propionate '[%']]]&lt;R$10,_xlfn.NORM.DIST(Table29128[[#This Row],[Propionate '[%']]],R$6,R$2,FALSE),-100)</f>
        <v>-100</v>
      </c>
      <c r="BK178">
        <f>IF(Table29128[[#This Row],[Butyrate '[%']]]&lt;S$10,_xlfn.NORM.DIST(Table29128[[#This Row],[Butyrate '[%']]],S$6,S$2,FALSE),-100)</f>
        <v>-100</v>
      </c>
      <c r="BL178">
        <f>IF(Table29128[[#This Row],[Valerate '[%']]]&lt;T$10,_xlfn.NORM.DIST(Table29128[[#This Row],[Valerate '[%']]],T$6,T$2,FALSE),-100)</f>
        <v>-100</v>
      </c>
      <c r="BM178">
        <f>IF(Table29128[[#This Row],[Caproate '[%']]]&lt;U$10,_xlfn.NORM.DIST(Table29128[[#This Row],[Caproate '[%']]],U$6,U$2,FALSE),-100)</f>
        <v>-100</v>
      </c>
      <c r="BN178">
        <f>IF(Table29128[[#This Row],[Isobutyrate '[%']]]&lt;V$10,_xlfn.NORM.DIST(Table29128[[#This Row],[Isobutyrate '[%']]],V$6,V$2,FALSE),-100)</f>
        <v>-100</v>
      </c>
      <c r="BO178">
        <f>IF(Table29128[[#This Row],[Isovalerate '[%']]]&lt;W$10,_xlfn.NORM.DIST(Table29128[[#This Row],[Isovalerate '[%']]],W$6,W$2,FALSE),-100)</f>
        <v>-100</v>
      </c>
      <c r="BP178">
        <f>IF(Table29128[[#This Row],[CH4 '[g/mmol SCFA']]]&lt;X$10,_xlfn.NORM.DIST(Table29128[[#This Row],[CH4 '[g/mmol SCFA']]],X$6,X$2,FALSE),-100)</f>
        <v>-100</v>
      </c>
      <c r="BQ178" t="e">
        <f>IF(Table29128[[#This Row],[DMD '[mg/g']]]&gt;Y$10,_xlfn.NORM.DIST(Table29128[[#This Row],[DMD '[mg/g']]],Y$6,Y$2,FALSE),-100)</f>
        <v>#REF!</v>
      </c>
      <c r="BR178" t="e">
        <f>IF(Table29128[[#This Row],[CH4 '[ml/g']]]&lt;Z$10,_xlfn.NORM.DIST(Table29128[[#This Row],[CH4 '[ml/g']]],Z$6,Z$2,FALSE),-100)</f>
        <v>#REF!</v>
      </c>
      <c r="BS178" t="e">
        <f>IF(Table29128[[#This Row],[CH4 '[% GP']]]&lt;AA$10,_xlfn.NORM.DIST(Table29128[[#This Row],[CH4 '[% GP']]],AA$6,AA$2,FALSE),-100)</f>
        <v>#REF!</v>
      </c>
      <c r="BT178" t="e">
        <f>IF(Table29128[[#This Row],[CH4 '[g/g DDM']]]&lt;AB$10,_xlfn.NORM.DIST(Table29128[[#This Row],[CH4 '[g/g DDM']]],AB$6,AB$2,FALSE),-100)</f>
        <v>#REF!</v>
      </c>
    </row>
    <row r="179" spans="1:72" x14ac:dyDescent="0.25">
      <c r="A179" s="12" t="s">
        <v>200</v>
      </c>
      <c r="B179" s="13">
        <v>1151</v>
      </c>
      <c r="C179" s="117" t="s">
        <v>407</v>
      </c>
      <c r="D179" s="117" t="s">
        <v>408</v>
      </c>
      <c r="E179" s="117" t="s">
        <v>213</v>
      </c>
      <c r="F179" s="117" t="s">
        <v>214</v>
      </c>
      <c r="G179" s="15" t="s">
        <v>73</v>
      </c>
      <c r="H179" s="15" t="s">
        <v>74</v>
      </c>
      <c r="I179" t="s">
        <v>75</v>
      </c>
      <c r="J179" s="70">
        <v>1</v>
      </c>
      <c r="K179" s="70"/>
      <c r="L179" s="70"/>
      <c r="M179" t="s">
        <v>409</v>
      </c>
      <c r="N179" t="s">
        <v>171</v>
      </c>
      <c r="O179" s="18"/>
      <c r="P179" s="18"/>
      <c r="Q179" s="97"/>
      <c r="R179" s="97"/>
      <c r="S179" s="97"/>
      <c r="T179" s="97"/>
      <c r="U179" s="97"/>
      <c r="V179" s="97"/>
      <c r="W179" s="97"/>
      <c r="X179" s="51"/>
      <c r="Y179" s="18" t="e">
        <f>AVERAGEIFS([1]!Table2912[DMD '[mg/g']],[1]!Table2912[Substrate ID],Table29128[[#This Row],[Substrate ID]])</f>
        <v>#REF!</v>
      </c>
      <c r="Z179" s="18" t="e">
        <f>AVERAGEIFS([1]!Table2912[CH4 '[ml/g']],[1]!Table2912[Substrate ID],Table29128[[#This Row],[Substrate ID]])</f>
        <v>#REF!</v>
      </c>
      <c r="AA179" s="18" t="e">
        <f>AVERAGEIFS([1]!Table2912[CH4 '[% GP']],[1]!Table2912[Substrate ID],Table29128[[#This Row],[Substrate ID]])</f>
        <v>#REF!</v>
      </c>
      <c r="AB179" s="18" t="e">
        <f>AVERAGEIFS([1]!Table2912[CH4 '[g/g DDM']],[1]!Table2912[Substrate ID],Table29128[[#This Row],[Substrate ID]])</f>
        <v>#REF!</v>
      </c>
      <c r="AC179" s="18" t="e">
        <f>$CP$17*Table29128[[#This Row],[DMD '[mg/g']]]+$CQ$17*Table29128[[#This Row],[CH4 '[g/g DDM']]]</f>
        <v>#REF!</v>
      </c>
      <c r="AD179" s="18" t="e">
        <f>_xlfn.RANK.AVG(Table29128[[#This Row],[Index]],Table29128[Index])</f>
        <v>#REF!</v>
      </c>
      <c r="AE179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79" s="18" t="e">
        <f>Table29128[[#This Row],[CH4 '[ml/g']]]/Table29128[[#This Row],[APB]]</f>
        <v>#REF!</v>
      </c>
      <c r="AG179" s="18" t="e">
        <f>Table29128[[#This Row],[Propionate '[%']]]/Table29128[[#This Row],[Acetate '[%']]]</f>
        <v>#DIV/0!</v>
      </c>
      <c r="AH179" s="51"/>
      <c r="AI179" s="18"/>
      <c r="AJ179" s="18"/>
      <c r="AK179" s="135" t="e">
        <f t="shared" si="8"/>
        <v>#REF!</v>
      </c>
      <c r="AL179" s="18"/>
      <c r="AM179" s="135" t="e">
        <f t="shared" si="9"/>
        <v>#REF!</v>
      </c>
      <c r="AN179" s="18" t="e">
        <f>(Table29128[[#This Row],[CH4 '[g/g DDM']]]-AN$15)/AN$15%</f>
        <v>#REF!</v>
      </c>
      <c r="AO179" s="18"/>
      <c r="AP179" s="18"/>
      <c r="AR179" t="e">
        <f>_xlfn.NORM.DIST(Table29128[[#This Row],[GP '[ml/g']]],O$6,O$2,FALSE)</f>
        <v>#DIV/0!</v>
      </c>
      <c r="AS179" t="e">
        <f>_xlfn.NORM.DIST(Table29128[[#This Row],[SCFA '[mmol/g']]],P$6,P$2,FALSE)</f>
        <v>#DIV/0!</v>
      </c>
      <c r="AT179" t="e">
        <f>_xlfn.NORM.DIST(Table29128[[#This Row],[Acetate '[%']]],Q$6,Q$2,FALSE)</f>
        <v>#DIV/0!</v>
      </c>
      <c r="AU179" t="e">
        <f>_xlfn.NORM.DIST(Table29128[[#This Row],[Propionate '[%']]],R$6,R$2,FALSE)</f>
        <v>#DIV/0!</v>
      </c>
      <c r="AV179" t="e">
        <f>_xlfn.NORM.DIST(Table29128[[#This Row],[Butyrate '[%']]],S$6,S$2,FALSE)</f>
        <v>#DIV/0!</v>
      </c>
      <c r="AW179" t="e">
        <f>_xlfn.NORM.DIST(Table29128[[#This Row],[Valerate '[%']]],T$6,T$2,FALSE)</f>
        <v>#DIV/0!</v>
      </c>
      <c r="AX179" t="e">
        <f>_xlfn.NORM.DIST(Table29128[[#This Row],[Caproate '[%']]],U$6,U$2,FALSE)</f>
        <v>#DIV/0!</v>
      </c>
      <c r="AY179" t="e">
        <f>_xlfn.NORM.DIST(Table29128[[#This Row],[Isobutyrate '[%']]],V$6,V$2,FALSE)</f>
        <v>#DIV/0!</v>
      </c>
      <c r="AZ179" t="e">
        <f>_xlfn.NORM.DIST(Table29128[[#This Row],[Isovalerate '[%']]],W$6,W$2,FALSE)</f>
        <v>#DIV/0!</v>
      </c>
      <c r="BA179" t="e">
        <f>_xlfn.NORM.DIST(Table29128[[#This Row],[CH4 '[g/mmol SCFA']]],X$6,X$2,FALSE)</f>
        <v>#DIV/0!</v>
      </c>
      <c r="BB179" t="e">
        <f>_xlfn.NORM.DIST(Table29128[[#This Row],[DMD '[mg/g']]],Y$6,Y$2,FALSE)</f>
        <v>#REF!</v>
      </c>
      <c r="BC179" t="e">
        <f>_xlfn.NORM.DIST(Table29128[[#This Row],[CH4 '[ml/g']]],Z$6,Z$2,FALSE)</f>
        <v>#REF!</v>
      </c>
      <c r="BD179" t="e">
        <f>_xlfn.NORM.DIST(Table29128[[#This Row],[CH4 '[% GP']]],AA$6,AA$2,FALSE)</f>
        <v>#REF!</v>
      </c>
      <c r="BE179" t="e">
        <f>_xlfn.NORM.DIST(Table29128[[#This Row],[CH4 '[g/g DDM']]],AB$6,AB$2,FALSE)</f>
        <v>#REF!</v>
      </c>
      <c r="BG179">
        <f>IF(Table29128[[#This Row],[GP '[ml/g']]]&lt;O$10,_xlfn.NORM.DIST(Table29128[[#This Row],[GP '[ml/g']]],O$6,O$2,FALSE),-100)</f>
        <v>-100</v>
      </c>
      <c r="BH179">
        <f>IF(Table29128[[#This Row],[SCFA '[mmol/g']]]&lt;P$10,_xlfn.NORM.DIST(Table29128[[#This Row],[SCFA '[mmol/g']]],P$6,P$2,FALSE),-100)</f>
        <v>-100</v>
      </c>
      <c r="BI179">
        <f>IF(Table29128[[#This Row],[Acetate '[%']]]&lt;Q$10,_xlfn.NORM.DIST(Table29128[[#This Row],[Acetate '[%']]],Q$6,Q$2,FALSE),-100)</f>
        <v>-100</v>
      </c>
      <c r="BJ179">
        <f>IF(Table29128[[#This Row],[Propionate '[%']]]&lt;R$10,_xlfn.NORM.DIST(Table29128[[#This Row],[Propionate '[%']]],R$6,R$2,FALSE),-100)</f>
        <v>-100</v>
      </c>
      <c r="BK179">
        <f>IF(Table29128[[#This Row],[Butyrate '[%']]]&lt;S$10,_xlfn.NORM.DIST(Table29128[[#This Row],[Butyrate '[%']]],S$6,S$2,FALSE),-100)</f>
        <v>-100</v>
      </c>
      <c r="BL179">
        <f>IF(Table29128[[#This Row],[Valerate '[%']]]&lt;T$10,_xlfn.NORM.DIST(Table29128[[#This Row],[Valerate '[%']]],T$6,T$2,FALSE),-100)</f>
        <v>-100</v>
      </c>
      <c r="BM179">
        <f>IF(Table29128[[#This Row],[Caproate '[%']]]&lt;U$10,_xlfn.NORM.DIST(Table29128[[#This Row],[Caproate '[%']]],U$6,U$2,FALSE),-100)</f>
        <v>-100</v>
      </c>
      <c r="BN179">
        <f>IF(Table29128[[#This Row],[Isobutyrate '[%']]]&lt;V$10,_xlfn.NORM.DIST(Table29128[[#This Row],[Isobutyrate '[%']]],V$6,V$2,FALSE),-100)</f>
        <v>-100</v>
      </c>
      <c r="BO179">
        <f>IF(Table29128[[#This Row],[Isovalerate '[%']]]&lt;W$10,_xlfn.NORM.DIST(Table29128[[#This Row],[Isovalerate '[%']]],W$6,W$2,FALSE),-100)</f>
        <v>-100</v>
      </c>
      <c r="BP179">
        <f>IF(Table29128[[#This Row],[CH4 '[g/mmol SCFA']]]&lt;X$10,_xlfn.NORM.DIST(Table29128[[#This Row],[CH4 '[g/mmol SCFA']]],X$6,X$2,FALSE),-100)</f>
        <v>-100</v>
      </c>
      <c r="BQ179" t="e">
        <f>IF(Table29128[[#This Row],[DMD '[mg/g']]]&gt;Y$10,_xlfn.NORM.DIST(Table29128[[#This Row],[DMD '[mg/g']]],Y$6,Y$2,FALSE),-100)</f>
        <v>#REF!</v>
      </c>
      <c r="BR179" t="e">
        <f>IF(Table29128[[#This Row],[CH4 '[ml/g']]]&lt;Z$10,_xlfn.NORM.DIST(Table29128[[#This Row],[CH4 '[ml/g']]],Z$6,Z$2,FALSE),-100)</f>
        <v>#REF!</v>
      </c>
      <c r="BS179" t="e">
        <f>IF(Table29128[[#This Row],[CH4 '[% GP']]]&lt;AA$10,_xlfn.NORM.DIST(Table29128[[#This Row],[CH4 '[% GP']]],AA$6,AA$2,FALSE),-100)</f>
        <v>#REF!</v>
      </c>
      <c r="BT179" t="e">
        <f>IF(Table29128[[#This Row],[CH4 '[g/g DDM']]]&lt;AB$10,_xlfn.NORM.DIST(Table29128[[#This Row],[CH4 '[g/g DDM']]],AB$6,AB$2,FALSE),-100)</f>
        <v>#REF!</v>
      </c>
    </row>
    <row r="180" spans="1:72" x14ac:dyDescent="0.25">
      <c r="A180" s="12" t="s">
        <v>200</v>
      </c>
      <c r="B180" s="13">
        <v>1152</v>
      </c>
      <c r="C180" s="117" t="s">
        <v>497</v>
      </c>
      <c r="D180" s="117" t="s">
        <v>408</v>
      </c>
      <c r="E180" s="117" t="s">
        <v>213</v>
      </c>
      <c r="F180" s="117" t="s">
        <v>214</v>
      </c>
      <c r="G180" s="15" t="s">
        <v>73</v>
      </c>
      <c r="H180" s="15" t="s">
        <v>74</v>
      </c>
      <c r="I180" t="s">
        <v>75</v>
      </c>
      <c r="J180" s="70">
        <v>1</v>
      </c>
      <c r="K180" s="70" t="s">
        <v>627</v>
      </c>
      <c r="L180" s="70" t="s">
        <v>627</v>
      </c>
      <c r="M180" t="s">
        <v>498</v>
      </c>
      <c r="N180" t="s">
        <v>171</v>
      </c>
      <c r="O180" s="18"/>
      <c r="P180" s="18"/>
      <c r="Q180" s="97"/>
      <c r="R180" s="97"/>
      <c r="S180" s="97"/>
      <c r="T180" s="97"/>
      <c r="U180" s="97"/>
      <c r="V180" s="97"/>
      <c r="W180" s="97"/>
      <c r="X180" s="51"/>
      <c r="Y180" s="18" t="e">
        <f>AVERAGEIFS([1]!Table2912[DMD '[mg/g']],[1]!Table2912[Substrate ID],Table29128[[#This Row],[Substrate ID]])</f>
        <v>#REF!</v>
      </c>
      <c r="Z180" s="18" t="e">
        <f>AVERAGEIFS([1]!Table2912[CH4 '[ml/g']],[1]!Table2912[Substrate ID],Table29128[[#This Row],[Substrate ID]])</f>
        <v>#REF!</v>
      </c>
      <c r="AA180" s="18" t="e">
        <f>AVERAGEIFS([1]!Table2912[CH4 '[% GP']],[1]!Table2912[Substrate ID],Table29128[[#This Row],[Substrate ID]])</f>
        <v>#REF!</v>
      </c>
      <c r="AB180" s="18" t="e">
        <f>AVERAGEIFS([1]!Table2912[CH4 '[g/g DDM']],[1]!Table2912[Substrate ID],Table29128[[#This Row],[Substrate ID]])</f>
        <v>#REF!</v>
      </c>
      <c r="AC180" s="18" t="e">
        <f>$CP$17*Table29128[[#This Row],[DMD '[mg/g']]]+$CQ$17*Table29128[[#This Row],[CH4 '[g/g DDM']]]</f>
        <v>#REF!</v>
      </c>
      <c r="AD180" s="18" t="e">
        <f>_xlfn.RANK.AVG(Table29128[[#This Row],[Index]],Table29128[Index])</f>
        <v>#REF!</v>
      </c>
      <c r="AE180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80" s="18" t="e">
        <f>Table29128[[#This Row],[CH4 '[ml/g']]]/Table29128[[#This Row],[APB]]</f>
        <v>#REF!</v>
      </c>
      <c r="AG180" s="18" t="e">
        <f>Table29128[[#This Row],[Propionate '[%']]]/Table29128[[#This Row],[Acetate '[%']]]</f>
        <v>#DIV/0!</v>
      </c>
      <c r="AH180" s="51"/>
      <c r="AI180" s="18"/>
      <c r="AJ180" s="18"/>
      <c r="AK180" s="135" t="e">
        <f t="shared" si="8"/>
        <v>#REF!</v>
      </c>
      <c r="AL180" s="18"/>
      <c r="AM180" s="135" t="e">
        <f t="shared" si="9"/>
        <v>#REF!</v>
      </c>
      <c r="AN180" s="18" t="e">
        <f>(Table29128[[#This Row],[CH4 '[g/g DDM']]]-AN$15)/AN$15%</f>
        <v>#REF!</v>
      </c>
      <c r="AO180" s="18"/>
      <c r="AP180" s="18"/>
      <c r="AR180" t="e">
        <f>_xlfn.NORM.DIST(Table29128[[#This Row],[GP '[ml/g']]],O$6,O$2,FALSE)</f>
        <v>#DIV/0!</v>
      </c>
      <c r="AS180" t="e">
        <f>_xlfn.NORM.DIST(Table29128[[#This Row],[SCFA '[mmol/g']]],P$6,P$2,FALSE)</f>
        <v>#DIV/0!</v>
      </c>
      <c r="AT180" t="e">
        <f>_xlfn.NORM.DIST(Table29128[[#This Row],[Acetate '[%']]],Q$6,Q$2,FALSE)</f>
        <v>#DIV/0!</v>
      </c>
      <c r="AU180" t="e">
        <f>_xlfn.NORM.DIST(Table29128[[#This Row],[Propionate '[%']]],R$6,R$2,FALSE)</f>
        <v>#DIV/0!</v>
      </c>
      <c r="AV180" t="e">
        <f>_xlfn.NORM.DIST(Table29128[[#This Row],[Butyrate '[%']]],S$6,S$2,FALSE)</f>
        <v>#DIV/0!</v>
      </c>
      <c r="AW180" t="e">
        <f>_xlfn.NORM.DIST(Table29128[[#This Row],[Valerate '[%']]],T$6,T$2,FALSE)</f>
        <v>#DIV/0!</v>
      </c>
      <c r="AX180" t="e">
        <f>_xlfn.NORM.DIST(Table29128[[#This Row],[Caproate '[%']]],U$6,U$2,FALSE)</f>
        <v>#DIV/0!</v>
      </c>
      <c r="AY180" t="e">
        <f>_xlfn.NORM.DIST(Table29128[[#This Row],[Isobutyrate '[%']]],V$6,V$2,FALSE)</f>
        <v>#DIV/0!</v>
      </c>
      <c r="AZ180" t="e">
        <f>_xlfn.NORM.DIST(Table29128[[#This Row],[Isovalerate '[%']]],W$6,W$2,FALSE)</f>
        <v>#DIV/0!</v>
      </c>
      <c r="BA180" t="e">
        <f>_xlfn.NORM.DIST(Table29128[[#This Row],[CH4 '[g/mmol SCFA']]],X$6,X$2,FALSE)</f>
        <v>#DIV/0!</v>
      </c>
      <c r="BB180" t="e">
        <f>_xlfn.NORM.DIST(Table29128[[#This Row],[DMD '[mg/g']]],Y$6,Y$2,FALSE)</f>
        <v>#REF!</v>
      </c>
      <c r="BC180" t="e">
        <f>_xlfn.NORM.DIST(Table29128[[#This Row],[CH4 '[ml/g']]],Z$6,Z$2,FALSE)</f>
        <v>#REF!</v>
      </c>
      <c r="BD180" t="e">
        <f>_xlfn.NORM.DIST(Table29128[[#This Row],[CH4 '[% GP']]],AA$6,AA$2,FALSE)</f>
        <v>#REF!</v>
      </c>
      <c r="BE180" t="e">
        <f>_xlfn.NORM.DIST(Table29128[[#This Row],[CH4 '[g/g DDM']]],AB$6,AB$2,FALSE)</f>
        <v>#REF!</v>
      </c>
      <c r="BG180">
        <f>IF(Table29128[[#This Row],[GP '[ml/g']]]&lt;O$10,_xlfn.NORM.DIST(Table29128[[#This Row],[GP '[ml/g']]],O$6,O$2,FALSE),-100)</f>
        <v>-100</v>
      </c>
      <c r="BH180">
        <f>IF(Table29128[[#This Row],[SCFA '[mmol/g']]]&lt;P$10,_xlfn.NORM.DIST(Table29128[[#This Row],[SCFA '[mmol/g']]],P$6,P$2,FALSE),-100)</f>
        <v>-100</v>
      </c>
      <c r="BI180">
        <f>IF(Table29128[[#This Row],[Acetate '[%']]]&lt;Q$10,_xlfn.NORM.DIST(Table29128[[#This Row],[Acetate '[%']]],Q$6,Q$2,FALSE),-100)</f>
        <v>-100</v>
      </c>
      <c r="BJ180">
        <f>IF(Table29128[[#This Row],[Propionate '[%']]]&lt;R$10,_xlfn.NORM.DIST(Table29128[[#This Row],[Propionate '[%']]],R$6,R$2,FALSE),-100)</f>
        <v>-100</v>
      </c>
      <c r="BK180">
        <f>IF(Table29128[[#This Row],[Butyrate '[%']]]&lt;S$10,_xlfn.NORM.DIST(Table29128[[#This Row],[Butyrate '[%']]],S$6,S$2,FALSE),-100)</f>
        <v>-100</v>
      </c>
      <c r="BL180">
        <f>IF(Table29128[[#This Row],[Valerate '[%']]]&lt;T$10,_xlfn.NORM.DIST(Table29128[[#This Row],[Valerate '[%']]],T$6,T$2,FALSE),-100)</f>
        <v>-100</v>
      </c>
      <c r="BM180">
        <f>IF(Table29128[[#This Row],[Caproate '[%']]]&lt;U$10,_xlfn.NORM.DIST(Table29128[[#This Row],[Caproate '[%']]],U$6,U$2,FALSE),-100)</f>
        <v>-100</v>
      </c>
      <c r="BN180">
        <f>IF(Table29128[[#This Row],[Isobutyrate '[%']]]&lt;V$10,_xlfn.NORM.DIST(Table29128[[#This Row],[Isobutyrate '[%']]],V$6,V$2,FALSE),-100)</f>
        <v>-100</v>
      </c>
      <c r="BO180">
        <f>IF(Table29128[[#This Row],[Isovalerate '[%']]]&lt;W$10,_xlfn.NORM.DIST(Table29128[[#This Row],[Isovalerate '[%']]],W$6,W$2,FALSE),-100)</f>
        <v>-100</v>
      </c>
      <c r="BP180">
        <f>IF(Table29128[[#This Row],[CH4 '[g/mmol SCFA']]]&lt;X$10,_xlfn.NORM.DIST(Table29128[[#This Row],[CH4 '[g/mmol SCFA']]],X$6,X$2,FALSE),-100)</f>
        <v>-100</v>
      </c>
      <c r="BQ180" t="e">
        <f>IF(Table29128[[#This Row],[DMD '[mg/g']]]&gt;Y$10,_xlfn.NORM.DIST(Table29128[[#This Row],[DMD '[mg/g']]],Y$6,Y$2,FALSE),-100)</f>
        <v>#REF!</v>
      </c>
      <c r="BR180" t="e">
        <f>IF(Table29128[[#This Row],[CH4 '[ml/g']]]&lt;Z$10,_xlfn.NORM.DIST(Table29128[[#This Row],[CH4 '[ml/g']]],Z$6,Z$2,FALSE),-100)</f>
        <v>#REF!</v>
      </c>
      <c r="BS180" t="e">
        <f>IF(Table29128[[#This Row],[CH4 '[% GP']]]&lt;AA$10,_xlfn.NORM.DIST(Table29128[[#This Row],[CH4 '[% GP']]],AA$6,AA$2,FALSE),-100)</f>
        <v>#REF!</v>
      </c>
      <c r="BT180" t="e">
        <f>IF(Table29128[[#This Row],[CH4 '[g/g DDM']]]&lt;AB$10,_xlfn.NORM.DIST(Table29128[[#This Row],[CH4 '[g/g DDM']]],AB$6,AB$2,FALSE),-100)</f>
        <v>#REF!</v>
      </c>
    </row>
    <row r="181" spans="1:72" x14ac:dyDescent="0.25">
      <c r="A181" s="12" t="s">
        <v>70</v>
      </c>
      <c r="B181" s="13">
        <v>1004</v>
      </c>
      <c r="C181" s="96" t="s">
        <v>499</v>
      </c>
      <c r="D181" s="96"/>
      <c r="E181" s="96"/>
      <c r="F181" s="96" t="s">
        <v>500</v>
      </c>
      <c r="G181" t="s">
        <v>73</v>
      </c>
      <c r="H181" t="s">
        <v>74</v>
      </c>
      <c r="I181" t="s">
        <v>75</v>
      </c>
      <c r="J181" s="100">
        <v>1</v>
      </c>
      <c r="K181" s="70" t="s">
        <v>627</v>
      </c>
      <c r="L181" s="100"/>
      <c r="M181" t="s">
        <v>500</v>
      </c>
      <c r="N181" t="s">
        <v>85</v>
      </c>
      <c r="O181" s="18"/>
      <c r="P181" s="18"/>
      <c r="Q181" s="97"/>
      <c r="R181" s="97"/>
      <c r="S181" s="97"/>
      <c r="T181" s="97"/>
      <c r="U181" s="97"/>
      <c r="V181" s="97"/>
      <c r="W181" s="97"/>
      <c r="X181" s="51"/>
      <c r="Y181" s="18" t="e">
        <f>AVERAGEIFS([1]!Table2912[DMD '[mg/g']],[1]!Table2912[Substrate ID],Table29128[[#This Row],[Substrate ID]])</f>
        <v>#REF!</v>
      </c>
      <c r="Z181" s="18" t="e">
        <f>AVERAGEIFS([1]!Table2912[CH4 '[ml/g']],[1]!Table2912[Substrate ID],Table29128[[#This Row],[Substrate ID]])</f>
        <v>#REF!</v>
      </c>
      <c r="AA181" s="18" t="e">
        <f>AVERAGEIFS([1]!Table2912[CH4 '[% GP']],[1]!Table2912[Substrate ID],Table29128[[#This Row],[Substrate ID]])</f>
        <v>#REF!</v>
      </c>
      <c r="AB181" s="18" t="e">
        <f>AVERAGEIFS([1]!Table2912[CH4 '[g/g DDM']],[1]!Table2912[Substrate ID],Table29128[[#This Row],[Substrate ID]])</f>
        <v>#REF!</v>
      </c>
      <c r="AC181" s="18" t="e">
        <f>$CP$17*Table29128[[#This Row],[DMD '[mg/g']]]+$CQ$17*Table29128[[#This Row],[CH4 '[g/g DDM']]]</f>
        <v>#REF!</v>
      </c>
      <c r="AD181" s="18" t="e">
        <f>_xlfn.RANK.AVG(Table29128[[#This Row],[Index]],Table29128[Index])</f>
        <v>#REF!</v>
      </c>
      <c r="AE181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81" s="18" t="e">
        <f>Table29128[[#This Row],[CH4 '[ml/g']]]/Table29128[[#This Row],[APB]]</f>
        <v>#REF!</v>
      </c>
      <c r="AG181" s="18" t="e">
        <f>Table29128[[#This Row],[Propionate '[%']]]/Table29128[[#This Row],[Acetate '[%']]]</f>
        <v>#DIV/0!</v>
      </c>
      <c r="AH181" s="51"/>
      <c r="AI181" s="18"/>
      <c r="AJ181" s="18"/>
      <c r="AK181" s="135" t="e">
        <f t="shared" si="8"/>
        <v>#REF!</v>
      </c>
      <c r="AL181" s="18"/>
      <c r="AM181" s="135" t="e">
        <f t="shared" si="9"/>
        <v>#REF!</v>
      </c>
      <c r="AN181" s="18" t="e">
        <f>(Table29128[[#This Row],[CH4 '[g/g DDM']]]-AN$15)/AN$15%</f>
        <v>#REF!</v>
      </c>
      <c r="AO181" s="18"/>
      <c r="AP181" s="18"/>
      <c r="AR181" t="e">
        <f>_xlfn.NORM.DIST(Table29128[[#This Row],[GP '[ml/g']]],O$6,O$2,FALSE)</f>
        <v>#DIV/0!</v>
      </c>
      <c r="AS181" t="e">
        <f>_xlfn.NORM.DIST(Table29128[[#This Row],[SCFA '[mmol/g']]],P$6,P$2,FALSE)</f>
        <v>#DIV/0!</v>
      </c>
      <c r="AT181" t="e">
        <f>_xlfn.NORM.DIST(Table29128[[#This Row],[Acetate '[%']]],Q$6,Q$2,FALSE)</f>
        <v>#DIV/0!</v>
      </c>
      <c r="AU181" t="e">
        <f>_xlfn.NORM.DIST(Table29128[[#This Row],[Propionate '[%']]],R$6,R$2,FALSE)</f>
        <v>#DIV/0!</v>
      </c>
      <c r="AV181" t="e">
        <f>_xlfn.NORM.DIST(Table29128[[#This Row],[Butyrate '[%']]],S$6,S$2,FALSE)</f>
        <v>#DIV/0!</v>
      </c>
      <c r="AW181" t="e">
        <f>_xlfn.NORM.DIST(Table29128[[#This Row],[Valerate '[%']]],T$6,T$2,FALSE)</f>
        <v>#DIV/0!</v>
      </c>
      <c r="AX181" t="e">
        <f>_xlfn.NORM.DIST(Table29128[[#This Row],[Caproate '[%']]],U$6,U$2,FALSE)</f>
        <v>#DIV/0!</v>
      </c>
      <c r="AY181" t="e">
        <f>_xlfn.NORM.DIST(Table29128[[#This Row],[Isobutyrate '[%']]],V$6,V$2,FALSE)</f>
        <v>#DIV/0!</v>
      </c>
      <c r="AZ181" t="e">
        <f>_xlfn.NORM.DIST(Table29128[[#This Row],[Isovalerate '[%']]],W$6,W$2,FALSE)</f>
        <v>#DIV/0!</v>
      </c>
      <c r="BA181" t="e">
        <f>_xlfn.NORM.DIST(Table29128[[#This Row],[CH4 '[g/mmol SCFA']]],X$6,X$2,FALSE)</f>
        <v>#DIV/0!</v>
      </c>
      <c r="BB181" t="e">
        <f>_xlfn.NORM.DIST(Table29128[[#This Row],[DMD '[mg/g']]],Y$6,Y$2,FALSE)</f>
        <v>#REF!</v>
      </c>
      <c r="BC181" t="e">
        <f>_xlfn.NORM.DIST(Table29128[[#This Row],[CH4 '[ml/g']]],Z$6,Z$2,FALSE)</f>
        <v>#REF!</v>
      </c>
      <c r="BD181" t="e">
        <f>_xlfn.NORM.DIST(Table29128[[#This Row],[CH4 '[% GP']]],AA$6,AA$2,FALSE)</f>
        <v>#REF!</v>
      </c>
      <c r="BE181" t="e">
        <f>_xlfn.NORM.DIST(Table29128[[#This Row],[CH4 '[g/g DDM']]],AB$6,AB$2,FALSE)</f>
        <v>#REF!</v>
      </c>
      <c r="BG181">
        <f>IF(Table29128[[#This Row],[GP '[ml/g']]]&lt;O$10,_xlfn.NORM.DIST(Table29128[[#This Row],[GP '[ml/g']]],O$6,O$2,FALSE),-100)</f>
        <v>-100</v>
      </c>
      <c r="BH181">
        <f>IF(Table29128[[#This Row],[SCFA '[mmol/g']]]&lt;P$10,_xlfn.NORM.DIST(Table29128[[#This Row],[SCFA '[mmol/g']]],P$6,P$2,FALSE),-100)</f>
        <v>-100</v>
      </c>
      <c r="BI181">
        <f>IF(Table29128[[#This Row],[Acetate '[%']]]&lt;Q$10,_xlfn.NORM.DIST(Table29128[[#This Row],[Acetate '[%']]],Q$6,Q$2,FALSE),-100)</f>
        <v>-100</v>
      </c>
      <c r="BJ181">
        <f>IF(Table29128[[#This Row],[Propionate '[%']]]&lt;R$10,_xlfn.NORM.DIST(Table29128[[#This Row],[Propionate '[%']]],R$6,R$2,FALSE),-100)</f>
        <v>-100</v>
      </c>
      <c r="BK181">
        <f>IF(Table29128[[#This Row],[Butyrate '[%']]]&lt;S$10,_xlfn.NORM.DIST(Table29128[[#This Row],[Butyrate '[%']]],S$6,S$2,FALSE),-100)</f>
        <v>-100</v>
      </c>
      <c r="BL181">
        <f>IF(Table29128[[#This Row],[Valerate '[%']]]&lt;T$10,_xlfn.NORM.DIST(Table29128[[#This Row],[Valerate '[%']]],T$6,T$2,FALSE),-100)</f>
        <v>-100</v>
      </c>
      <c r="BM181">
        <f>IF(Table29128[[#This Row],[Caproate '[%']]]&lt;U$10,_xlfn.NORM.DIST(Table29128[[#This Row],[Caproate '[%']]],U$6,U$2,FALSE),-100)</f>
        <v>-100</v>
      </c>
      <c r="BN181">
        <f>IF(Table29128[[#This Row],[Isobutyrate '[%']]]&lt;V$10,_xlfn.NORM.DIST(Table29128[[#This Row],[Isobutyrate '[%']]],V$6,V$2,FALSE),-100)</f>
        <v>-100</v>
      </c>
      <c r="BO181">
        <f>IF(Table29128[[#This Row],[Isovalerate '[%']]]&lt;W$10,_xlfn.NORM.DIST(Table29128[[#This Row],[Isovalerate '[%']]],W$6,W$2,FALSE),-100)</f>
        <v>-100</v>
      </c>
      <c r="BP181">
        <f>IF(Table29128[[#This Row],[CH4 '[g/mmol SCFA']]]&lt;X$10,_xlfn.NORM.DIST(Table29128[[#This Row],[CH4 '[g/mmol SCFA']]],X$6,X$2,FALSE),-100)</f>
        <v>-100</v>
      </c>
      <c r="BQ181" t="e">
        <f>IF(Table29128[[#This Row],[DMD '[mg/g']]]&gt;Y$10,_xlfn.NORM.DIST(Table29128[[#This Row],[DMD '[mg/g']]],Y$6,Y$2,FALSE),-100)</f>
        <v>#REF!</v>
      </c>
      <c r="BR181" t="e">
        <f>IF(Table29128[[#This Row],[CH4 '[ml/g']]]&lt;Z$10,_xlfn.NORM.DIST(Table29128[[#This Row],[CH4 '[ml/g']]],Z$6,Z$2,FALSE),-100)</f>
        <v>#REF!</v>
      </c>
      <c r="BS181" t="e">
        <f>IF(Table29128[[#This Row],[CH4 '[% GP']]]&lt;AA$10,_xlfn.NORM.DIST(Table29128[[#This Row],[CH4 '[% GP']]],AA$6,AA$2,FALSE),-100)</f>
        <v>#REF!</v>
      </c>
      <c r="BT181" t="e">
        <f>IF(Table29128[[#This Row],[CH4 '[g/g DDM']]]&lt;AB$10,_xlfn.NORM.DIST(Table29128[[#This Row],[CH4 '[g/g DDM']]],AB$6,AB$2,FALSE),-100)</f>
        <v>#REF!</v>
      </c>
    </row>
    <row r="182" spans="1:72" x14ac:dyDescent="0.25">
      <c r="A182" s="12" t="s">
        <v>200</v>
      </c>
      <c r="B182" s="13">
        <v>1149</v>
      </c>
      <c r="C182" s="117" t="s">
        <v>574</v>
      </c>
      <c r="D182" s="117" t="s">
        <v>212</v>
      </c>
      <c r="E182" s="117" t="s">
        <v>522</v>
      </c>
      <c r="F182" s="117" t="s">
        <v>523</v>
      </c>
      <c r="G182" s="15" t="s">
        <v>73</v>
      </c>
      <c r="H182" s="15" t="s">
        <v>74</v>
      </c>
      <c r="I182" t="s">
        <v>75</v>
      </c>
      <c r="J182" s="70">
        <v>1</v>
      </c>
      <c r="K182" s="70"/>
      <c r="L182" s="70"/>
      <c r="M182" t="s">
        <v>575</v>
      </c>
      <c r="N182" t="s">
        <v>245</v>
      </c>
      <c r="O182" s="18"/>
      <c r="P182" s="18"/>
      <c r="Q182" s="97"/>
      <c r="R182" s="97"/>
      <c r="S182" s="97"/>
      <c r="T182" s="97"/>
      <c r="U182" s="97"/>
      <c r="V182" s="97"/>
      <c r="W182" s="97"/>
      <c r="X182" s="51"/>
      <c r="Y182" s="18" t="e">
        <f>AVERAGEIFS([1]!Table2912[DMD '[mg/g']],[1]!Table2912[Substrate ID],Table29128[[#This Row],[Substrate ID]])</f>
        <v>#REF!</v>
      </c>
      <c r="Z182" s="18" t="e">
        <f>AVERAGEIFS([1]!Table2912[CH4 '[ml/g']],[1]!Table2912[Substrate ID],Table29128[[#This Row],[Substrate ID]])</f>
        <v>#REF!</v>
      </c>
      <c r="AA182" s="18" t="e">
        <f>AVERAGEIFS([1]!Table2912[CH4 '[% GP']],[1]!Table2912[Substrate ID],Table29128[[#This Row],[Substrate ID]])</f>
        <v>#REF!</v>
      </c>
      <c r="AB182" s="18" t="e">
        <f>AVERAGEIFS([1]!Table2912[CH4 '[g/g DDM']],[1]!Table2912[Substrate ID],Table29128[[#This Row],[Substrate ID]])</f>
        <v>#REF!</v>
      </c>
      <c r="AC182" s="18" t="e">
        <f>$CP$17*Table29128[[#This Row],[DMD '[mg/g']]]+$CQ$17*Table29128[[#This Row],[CH4 '[g/g DDM']]]</f>
        <v>#REF!</v>
      </c>
      <c r="AD182" s="18" t="e">
        <f>_xlfn.RANK.AVG(Table29128[[#This Row],[Index]],Table29128[Index])</f>
        <v>#REF!</v>
      </c>
      <c r="AE182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82" s="18" t="e">
        <f>Table29128[[#This Row],[CH4 '[ml/g']]]/Table29128[[#This Row],[APB]]</f>
        <v>#REF!</v>
      </c>
      <c r="AG182" s="18" t="e">
        <f>Table29128[[#This Row],[Propionate '[%']]]/Table29128[[#This Row],[Acetate '[%']]]</f>
        <v>#DIV/0!</v>
      </c>
      <c r="AH182" s="51"/>
      <c r="AI182" s="18"/>
      <c r="AJ182" s="18"/>
      <c r="AK182" s="135" t="e">
        <f t="shared" si="8"/>
        <v>#REF!</v>
      </c>
      <c r="AL182" s="18"/>
      <c r="AM182" s="135" t="e">
        <f t="shared" si="9"/>
        <v>#REF!</v>
      </c>
      <c r="AN182" s="18" t="e">
        <f>(Table29128[[#This Row],[CH4 '[g/g DDM']]]-AN$15)/AN$15%</f>
        <v>#REF!</v>
      </c>
      <c r="AO182" s="18"/>
      <c r="AP182" s="18"/>
      <c r="AR182" t="e">
        <f>_xlfn.NORM.DIST(Table29128[[#This Row],[GP '[ml/g']]],O$6,O$2,FALSE)</f>
        <v>#DIV/0!</v>
      </c>
      <c r="AS182" t="e">
        <f>_xlfn.NORM.DIST(Table29128[[#This Row],[SCFA '[mmol/g']]],P$6,P$2,FALSE)</f>
        <v>#DIV/0!</v>
      </c>
      <c r="AT182" t="e">
        <f>_xlfn.NORM.DIST(Table29128[[#This Row],[Acetate '[%']]],Q$6,Q$2,FALSE)</f>
        <v>#DIV/0!</v>
      </c>
      <c r="AU182" t="e">
        <f>_xlfn.NORM.DIST(Table29128[[#This Row],[Propionate '[%']]],R$6,R$2,FALSE)</f>
        <v>#DIV/0!</v>
      </c>
      <c r="AV182" t="e">
        <f>_xlfn.NORM.DIST(Table29128[[#This Row],[Butyrate '[%']]],S$6,S$2,FALSE)</f>
        <v>#DIV/0!</v>
      </c>
      <c r="AW182" t="e">
        <f>_xlfn.NORM.DIST(Table29128[[#This Row],[Valerate '[%']]],T$6,T$2,FALSE)</f>
        <v>#DIV/0!</v>
      </c>
      <c r="AX182" t="e">
        <f>_xlfn.NORM.DIST(Table29128[[#This Row],[Caproate '[%']]],U$6,U$2,FALSE)</f>
        <v>#DIV/0!</v>
      </c>
      <c r="AY182" t="e">
        <f>_xlfn.NORM.DIST(Table29128[[#This Row],[Isobutyrate '[%']]],V$6,V$2,FALSE)</f>
        <v>#DIV/0!</v>
      </c>
      <c r="AZ182" t="e">
        <f>_xlfn.NORM.DIST(Table29128[[#This Row],[Isovalerate '[%']]],W$6,W$2,FALSE)</f>
        <v>#DIV/0!</v>
      </c>
      <c r="BA182" t="e">
        <f>_xlfn.NORM.DIST(Table29128[[#This Row],[CH4 '[g/mmol SCFA']]],X$6,X$2,FALSE)</f>
        <v>#DIV/0!</v>
      </c>
      <c r="BB182" t="e">
        <f>_xlfn.NORM.DIST(Table29128[[#This Row],[DMD '[mg/g']]],Y$6,Y$2,FALSE)</f>
        <v>#REF!</v>
      </c>
      <c r="BC182" t="e">
        <f>_xlfn.NORM.DIST(Table29128[[#This Row],[CH4 '[ml/g']]],Z$6,Z$2,FALSE)</f>
        <v>#REF!</v>
      </c>
      <c r="BD182" t="e">
        <f>_xlfn.NORM.DIST(Table29128[[#This Row],[CH4 '[% GP']]],AA$6,AA$2,FALSE)</f>
        <v>#REF!</v>
      </c>
      <c r="BE182" t="e">
        <f>_xlfn.NORM.DIST(Table29128[[#This Row],[CH4 '[g/g DDM']]],AB$6,AB$2,FALSE)</f>
        <v>#REF!</v>
      </c>
      <c r="BG182">
        <f>IF(Table29128[[#This Row],[GP '[ml/g']]]&lt;O$10,_xlfn.NORM.DIST(Table29128[[#This Row],[GP '[ml/g']]],O$6,O$2,FALSE),-100)</f>
        <v>-100</v>
      </c>
      <c r="BH182">
        <f>IF(Table29128[[#This Row],[SCFA '[mmol/g']]]&lt;P$10,_xlfn.NORM.DIST(Table29128[[#This Row],[SCFA '[mmol/g']]],P$6,P$2,FALSE),-100)</f>
        <v>-100</v>
      </c>
      <c r="BI182">
        <f>IF(Table29128[[#This Row],[Acetate '[%']]]&lt;Q$10,_xlfn.NORM.DIST(Table29128[[#This Row],[Acetate '[%']]],Q$6,Q$2,FALSE),-100)</f>
        <v>-100</v>
      </c>
      <c r="BJ182">
        <f>IF(Table29128[[#This Row],[Propionate '[%']]]&lt;R$10,_xlfn.NORM.DIST(Table29128[[#This Row],[Propionate '[%']]],R$6,R$2,FALSE),-100)</f>
        <v>-100</v>
      </c>
      <c r="BK182">
        <f>IF(Table29128[[#This Row],[Butyrate '[%']]]&lt;S$10,_xlfn.NORM.DIST(Table29128[[#This Row],[Butyrate '[%']]],S$6,S$2,FALSE),-100)</f>
        <v>-100</v>
      </c>
      <c r="BL182">
        <f>IF(Table29128[[#This Row],[Valerate '[%']]]&lt;T$10,_xlfn.NORM.DIST(Table29128[[#This Row],[Valerate '[%']]],T$6,T$2,FALSE),-100)</f>
        <v>-100</v>
      </c>
      <c r="BM182">
        <f>IF(Table29128[[#This Row],[Caproate '[%']]]&lt;U$10,_xlfn.NORM.DIST(Table29128[[#This Row],[Caproate '[%']]],U$6,U$2,FALSE),-100)</f>
        <v>-100</v>
      </c>
      <c r="BN182">
        <f>IF(Table29128[[#This Row],[Isobutyrate '[%']]]&lt;V$10,_xlfn.NORM.DIST(Table29128[[#This Row],[Isobutyrate '[%']]],V$6,V$2,FALSE),-100)</f>
        <v>-100</v>
      </c>
      <c r="BO182">
        <f>IF(Table29128[[#This Row],[Isovalerate '[%']]]&lt;W$10,_xlfn.NORM.DIST(Table29128[[#This Row],[Isovalerate '[%']]],W$6,W$2,FALSE),-100)</f>
        <v>-100</v>
      </c>
      <c r="BP182">
        <f>IF(Table29128[[#This Row],[CH4 '[g/mmol SCFA']]]&lt;X$10,_xlfn.NORM.DIST(Table29128[[#This Row],[CH4 '[g/mmol SCFA']]],X$6,X$2,FALSE),-100)</f>
        <v>-100</v>
      </c>
      <c r="BQ182" t="e">
        <f>IF(Table29128[[#This Row],[DMD '[mg/g']]]&gt;Y$10,_xlfn.NORM.DIST(Table29128[[#This Row],[DMD '[mg/g']]],Y$6,Y$2,FALSE),-100)</f>
        <v>#REF!</v>
      </c>
      <c r="BR182" t="e">
        <f>IF(Table29128[[#This Row],[CH4 '[ml/g']]]&lt;Z$10,_xlfn.NORM.DIST(Table29128[[#This Row],[CH4 '[ml/g']]],Z$6,Z$2,FALSE),-100)</f>
        <v>#REF!</v>
      </c>
      <c r="BS182" t="e">
        <f>IF(Table29128[[#This Row],[CH4 '[% GP']]]&lt;AA$10,_xlfn.NORM.DIST(Table29128[[#This Row],[CH4 '[% GP']]],AA$6,AA$2,FALSE),-100)</f>
        <v>#REF!</v>
      </c>
      <c r="BT182" t="e">
        <f>IF(Table29128[[#This Row],[CH4 '[g/g DDM']]]&lt;AB$10,_xlfn.NORM.DIST(Table29128[[#This Row],[CH4 '[g/g DDM']]],AB$6,AB$2,FALSE),-100)</f>
        <v>#REF!</v>
      </c>
    </row>
    <row r="183" spans="1:72" x14ac:dyDescent="0.25">
      <c r="A183" s="12" t="s">
        <v>200</v>
      </c>
      <c r="B183" s="13">
        <v>1148</v>
      </c>
      <c r="C183" s="117" t="s">
        <v>521</v>
      </c>
      <c r="D183" s="117" t="s">
        <v>212</v>
      </c>
      <c r="E183" s="117" t="s">
        <v>522</v>
      </c>
      <c r="F183" s="117" t="s">
        <v>523</v>
      </c>
      <c r="G183" t="s">
        <v>73</v>
      </c>
      <c r="H183" t="s">
        <v>74</v>
      </c>
      <c r="I183" t="s">
        <v>75</v>
      </c>
      <c r="J183" s="70">
        <v>1</v>
      </c>
      <c r="K183" s="70"/>
      <c r="L183" s="70"/>
      <c r="M183" t="s">
        <v>524</v>
      </c>
      <c r="N183" t="s">
        <v>237</v>
      </c>
      <c r="O183" s="18"/>
      <c r="P183" s="18"/>
      <c r="Q183" s="97"/>
      <c r="R183" s="97"/>
      <c r="S183" s="97"/>
      <c r="T183" s="97"/>
      <c r="U183" s="97"/>
      <c r="V183" s="97"/>
      <c r="W183" s="97"/>
      <c r="X183" s="51"/>
      <c r="Y183" s="18" t="e">
        <f>AVERAGEIFS([1]!Table2912[DMD '[mg/g']],[1]!Table2912[Substrate ID],Table29128[[#This Row],[Substrate ID]])</f>
        <v>#REF!</v>
      </c>
      <c r="Z183" s="18" t="e">
        <f>AVERAGEIFS([1]!Table2912[CH4 '[ml/g']],[1]!Table2912[Substrate ID],Table29128[[#This Row],[Substrate ID]])</f>
        <v>#REF!</v>
      </c>
      <c r="AA183" s="18" t="e">
        <f>AVERAGEIFS([1]!Table2912[CH4 '[% GP']],[1]!Table2912[Substrate ID],Table29128[[#This Row],[Substrate ID]])</f>
        <v>#REF!</v>
      </c>
      <c r="AB183" s="18" t="e">
        <f>AVERAGEIFS([1]!Table2912[CH4 '[g/g DDM']],[1]!Table2912[Substrate ID],Table29128[[#This Row],[Substrate ID]])</f>
        <v>#REF!</v>
      </c>
      <c r="AC183" s="18" t="e">
        <f>$CP$17*Table29128[[#This Row],[DMD '[mg/g']]]+$CQ$17*Table29128[[#This Row],[CH4 '[g/g DDM']]]</f>
        <v>#REF!</v>
      </c>
      <c r="AD183" s="18" t="e">
        <f>_xlfn.RANK.AVG(Table29128[[#This Row],[Index]],Table29128[Index])</f>
        <v>#REF!</v>
      </c>
      <c r="AE183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83" s="18" t="e">
        <f>Table29128[[#This Row],[CH4 '[ml/g']]]/Table29128[[#This Row],[APB]]</f>
        <v>#REF!</v>
      </c>
      <c r="AG183" s="18" t="e">
        <f>Table29128[[#This Row],[Propionate '[%']]]/Table29128[[#This Row],[Acetate '[%']]]</f>
        <v>#DIV/0!</v>
      </c>
      <c r="AH183" s="51"/>
      <c r="AI183" s="18"/>
      <c r="AJ183" s="18"/>
      <c r="AK183" s="135" t="e">
        <f t="shared" si="8"/>
        <v>#REF!</v>
      </c>
      <c r="AL183" s="18"/>
      <c r="AM183" s="135" t="e">
        <f t="shared" si="9"/>
        <v>#REF!</v>
      </c>
      <c r="AN183" s="18" t="e">
        <f>(Table29128[[#This Row],[CH4 '[g/g DDM']]]-AN$15)/AN$15%</f>
        <v>#REF!</v>
      </c>
      <c r="AO183" s="18"/>
      <c r="AP183" s="18"/>
      <c r="AR183" t="e">
        <f>_xlfn.NORM.DIST(Table29128[[#This Row],[GP '[ml/g']]],O$6,O$2,FALSE)</f>
        <v>#DIV/0!</v>
      </c>
      <c r="AS183" t="e">
        <f>_xlfn.NORM.DIST(Table29128[[#This Row],[SCFA '[mmol/g']]],P$6,P$2,FALSE)</f>
        <v>#DIV/0!</v>
      </c>
      <c r="AT183" t="e">
        <f>_xlfn.NORM.DIST(Table29128[[#This Row],[Acetate '[%']]],Q$6,Q$2,FALSE)</f>
        <v>#DIV/0!</v>
      </c>
      <c r="AU183" t="e">
        <f>_xlfn.NORM.DIST(Table29128[[#This Row],[Propionate '[%']]],R$6,R$2,FALSE)</f>
        <v>#DIV/0!</v>
      </c>
      <c r="AV183" t="e">
        <f>_xlfn.NORM.DIST(Table29128[[#This Row],[Butyrate '[%']]],S$6,S$2,FALSE)</f>
        <v>#DIV/0!</v>
      </c>
      <c r="AW183" t="e">
        <f>_xlfn.NORM.DIST(Table29128[[#This Row],[Valerate '[%']]],T$6,T$2,FALSE)</f>
        <v>#DIV/0!</v>
      </c>
      <c r="AX183" t="e">
        <f>_xlfn.NORM.DIST(Table29128[[#This Row],[Caproate '[%']]],U$6,U$2,FALSE)</f>
        <v>#DIV/0!</v>
      </c>
      <c r="AY183" t="e">
        <f>_xlfn.NORM.DIST(Table29128[[#This Row],[Isobutyrate '[%']]],V$6,V$2,FALSE)</f>
        <v>#DIV/0!</v>
      </c>
      <c r="AZ183" t="e">
        <f>_xlfn.NORM.DIST(Table29128[[#This Row],[Isovalerate '[%']]],W$6,W$2,FALSE)</f>
        <v>#DIV/0!</v>
      </c>
      <c r="BA183" t="e">
        <f>_xlfn.NORM.DIST(Table29128[[#This Row],[CH4 '[g/mmol SCFA']]],X$6,X$2,FALSE)</f>
        <v>#DIV/0!</v>
      </c>
      <c r="BB183" t="e">
        <f>_xlfn.NORM.DIST(Table29128[[#This Row],[DMD '[mg/g']]],Y$6,Y$2,FALSE)</f>
        <v>#REF!</v>
      </c>
      <c r="BC183" t="e">
        <f>_xlfn.NORM.DIST(Table29128[[#This Row],[CH4 '[ml/g']]],Z$6,Z$2,FALSE)</f>
        <v>#REF!</v>
      </c>
      <c r="BD183" t="e">
        <f>_xlfn.NORM.DIST(Table29128[[#This Row],[CH4 '[% GP']]],AA$6,AA$2,FALSE)</f>
        <v>#REF!</v>
      </c>
      <c r="BE183" t="e">
        <f>_xlfn.NORM.DIST(Table29128[[#This Row],[CH4 '[g/g DDM']]],AB$6,AB$2,FALSE)</f>
        <v>#REF!</v>
      </c>
      <c r="BG183">
        <f>IF(Table29128[[#This Row],[GP '[ml/g']]]&lt;O$10,_xlfn.NORM.DIST(Table29128[[#This Row],[GP '[ml/g']]],O$6,O$2,FALSE),-100)</f>
        <v>-100</v>
      </c>
      <c r="BH183">
        <f>IF(Table29128[[#This Row],[SCFA '[mmol/g']]]&lt;P$10,_xlfn.NORM.DIST(Table29128[[#This Row],[SCFA '[mmol/g']]],P$6,P$2,FALSE),-100)</f>
        <v>-100</v>
      </c>
      <c r="BI183">
        <f>IF(Table29128[[#This Row],[Acetate '[%']]]&lt;Q$10,_xlfn.NORM.DIST(Table29128[[#This Row],[Acetate '[%']]],Q$6,Q$2,FALSE),-100)</f>
        <v>-100</v>
      </c>
      <c r="BJ183">
        <f>IF(Table29128[[#This Row],[Propionate '[%']]]&lt;R$10,_xlfn.NORM.DIST(Table29128[[#This Row],[Propionate '[%']]],R$6,R$2,FALSE),-100)</f>
        <v>-100</v>
      </c>
      <c r="BK183">
        <f>IF(Table29128[[#This Row],[Butyrate '[%']]]&lt;S$10,_xlfn.NORM.DIST(Table29128[[#This Row],[Butyrate '[%']]],S$6,S$2,FALSE),-100)</f>
        <v>-100</v>
      </c>
      <c r="BL183">
        <f>IF(Table29128[[#This Row],[Valerate '[%']]]&lt;T$10,_xlfn.NORM.DIST(Table29128[[#This Row],[Valerate '[%']]],T$6,T$2,FALSE),-100)</f>
        <v>-100</v>
      </c>
      <c r="BM183">
        <f>IF(Table29128[[#This Row],[Caproate '[%']]]&lt;U$10,_xlfn.NORM.DIST(Table29128[[#This Row],[Caproate '[%']]],U$6,U$2,FALSE),-100)</f>
        <v>-100</v>
      </c>
      <c r="BN183">
        <f>IF(Table29128[[#This Row],[Isobutyrate '[%']]]&lt;V$10,_xlfn.NORM.DIST(Table29128[[#This Row],[Isobutyrate '[%']]],V$6,V$2,FALSE),-100)</f>
        <v>-100</v>
      </c>
      <c r="BO183">
        <f>IF(Table29128[[#This Row],[Isovalerate '[%']]]&lt;W$10,_xlfn.NORM.DIST(Table29128[[#This Row],[Isovalerate '[%']]],W$6,W$2,FALSE),-100)</f>
        <v>-100</v>
      </c>
      <c r="BP183">
        <f>IF(Table29128[[#This Row],[CH4 '[g/mmol SCFA']]]&lt;X$10,_xlfn.NORM.DIST(Table29128[[#This Row],[CH4 '[g/mmol SCFA']]],X$6,X$2,FALSE),-100)</f>
        <v>-100</v>
      </c>
      <c r="BQ183" t="e">
        <f>IF(Table29128[[#This Row],[DMD '[mg/g']]]&gt;Y$10,_xlfn.NORM.DIST(Table29128[[#This Row],[DMD '[mg/g']]],Y$6,Y$2,FALSE),-100)</f>
        <v>#REF!</v>
      </c>
      <c r="BR183" t="e">
        <f>IF(Table29128[[#This Row],[CH4 '[ml/g']]]&lt;Z$10,_xlfn.NORM.DIST(Table29128[[#This Row],[CH4 '[ml/g']]],Z$6,Z$2,FALSE),-100)</f>
        <v>#REF!</v>
      </c>
      <c r="BS183" t="e">
        <f>IF(Table29128[[#This Row],[CH4 '[% GP']]]&lt;AA$10,_xlfn.NORM.DIST(Table29128[[#This Row],[CH4 '[% GP']]],AA$6,AA$2,FALSE),-100)</f>
        <v>#REF!</v>
      </c>
      <c r="BT183" t="e">
        <f>IF(Table29128[[#This Row],[CH4 '[g/g DDM']]]&lt;AB$10,_xlfn.NORM.DIST(Table29128[[#This Row],[CH4 '[g/g DDM']]],AB$6,AB$2,FALSE),-100)</f>
        <v>#REF!</v>
      </c>
    </row>
    <row r="184" spans="1:72" x14ac:dyDescent="0.25">
      <c r="A184" s="12" t="s">
        <v>70</v>
      </c>
      <c r="B184" s="13">
        <v>1003</v>
      </c>
      <c r="C184" s="96" t="s">
        <v>462</v>
      </c>
      <c r="D184" s="96"/>
      <c r="E184" s="96"/>
      <c r="F184" s="96" t="s">
        <v>463</v>
      </c>
      <c r="G184" t="s">
        <v>73</v>
      </c>
      <c r="H184" t="s">
        <v>74</v>
      </c>
      <c r="I184" t="s">
        <v>75</v>
      </c>
      <c r="J184" s="100">
        <v>1</v>
      </c>
      <c r="K184" s="100"/>
      <c r="L184" s="100"/>
      <c r="M184" t="s">
        <v>463</v>
      </c>
      <c r="N184" t="s">
        <v>76</v>
      </c>
      <c r="O184" s="18"/>
      <c r="P184" s="18"/>
      <c r="Q184" s="97"/>
      <c r="R184" s="97"/>
      <c r="S184" s="97"/>
      <c r="T184" s="97"/>
      <c r="U184" s="97"/>
      <c r="V184" s="97"/>
      <c r="W184" s="97"/>
      <c r="X184" s="51"/>
      <c r="Y184" s="18" t="e">
        <f>AVERAGEIFS([1]!Table2912[DMD '[mg/g']],[1]!Table2912[Substrate ID],Table29128[[#This Row],[Substrate ID]])</f>
        <v>#REF!</v>
      </c>
      <c r="Z184" s="18" t="e">
        <f>AVERAGEIFS([1]!Table2912[CH4 '[ml/g']],[1]!Table2912[Substrate ID],Table29128[[#This Row],[Substrate ID]])</f>
        <v>#REF!</v>
      </c>
      <c r="AA184" s="18" t="e">
        <f>AVERAGEIFS([1]!Table2912[CH4 '[% GP']],[1]!Table2912[Substrate ID],Table29128[[#This Row],[Substrate ID]])</f>
        <v>#REF!</v>
      </c>
      <c r="AB184" s="18" t="e">
        <f>AVERAGEIFS([1]!Table2912[CH4 '[g/g DDM']],[1]!Table2912[Substrate ID],Table29128[[#This Row],[Substrate ID]])</f>
        <v>#REF!</v>
      </c>
      <c r="AC184" s="18" t="e">
        <f>$CP$17*Table29128[[#This Row],[DMD '[mg/g']]]+$CQ$17*Table29128[[#This Row],[CH4 '[g/g DDM']]]</f>
        <v>#REF!</v>
      </c>
      <c r="AD184" s="18" t="e">
        <f>_xlfn.RANK.AVG(Table29128[[#This Row],[Index]],Table29128[Index])</f>
        <v>#REF!</v>
      </c>
      <c r="AE184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84" s="18" t="e">
        <f>Table29128[[#This Row],[CH4 '[ml/g']]]/Table29128[[#This Row],[APB]]</f>
        <v>#REF!</v>
      </c>
      <c r="AG184" s="18" t="e">
        <f>Table29128[[#This Row],[Propionate '[%']]]/Table29128[[#This Row],[Acetate '[%']]]</f>
        <v>#DIV/0!</v>
      </c>
      <c r="AH184" s="51"/>
      <c r="AI184" s="18"/>
      <c r="AJ184" s="18"/>
      <c r="AK184" s="135" t="e">
        <f t="shared" si="8"/>
        <v>#REF!</v>
      </c>
      <c r="AL184" s="18"/>
      <c r="AM184" s="135" t="e">
        <f t="shared" si="9"/>
        <v>#REF!</v>
      </c>
      <c r="AN184" s="18" t="e">
        <f>(Table29128[[#This Row],[CH4 '[g/g DDM']]]-AN$15)/AN$15%</f>
        <v>#REF!</v>
      </c>
      <c r="AO184" s="18"/>
      <c r="AP184" s="18"/>
      <c r="AR184" t="e">
        <f>_xlfn.NORM.DIST(Table29128[[#This Row],[GP '[ml/g']]],O$6,O$2,FALSE)</f>
        <v>#DIV/0!</v>
      </c>
      <c r="AS184" t="e">
        <f>_xlfn.NORM.DIST(Table29128[[#This Row],[SCFA '[mmol/g']]],P$6,P$2,FALSE)</f>
        <v>#DIV/0!</v>
      </c>
      <c r="AT184" t="e">
        <f>_xlfn.NORM.DIST(Table29128[[#This Row],[Acetate '[%']]],Q$6,Q$2,FALSE)</f>
        <v>#DIV/0!</v>
      </c>
      <c r="AU184" t="e">
        <f>_xlfn.NORM.DIST(Table29128[[#This Row],[Propionate '[%']]],R$6,R$2,FALSE)</f>
        <v>#DIV/0!</v>
      </c>
      <c r="AV184" t="e">
        <f>_xlfn.NORM.DIST(Table29128[[#This Row],[Butyrate '[%']]],S$6,S$2,FALSE)</f>
        <v>#DIV/0!</v>
      </c>
      <c r="AW184" t="e">
        <f>_xlfn.NORM.DIST(Table29128[[#This Row],[Valerate '[%']]],T$6,T$2,FALSE)</f>
        <v>#DIV/0!</v>
      </c>
      <c r="AX184" t="e">
        <f>_xlfn.NORM.DIST(Table29128[[#This Row],[Caproate '[%']]],U$6,U$2,FALSE)</f>
        <v>#DIV/0!</v>
      </c>
      <c r="AY184" t="e">
        <f>_xlfn.NORM.DIST(Table29128[[#This Row],[Isobutyrate '[%']]],V$6,V$2,FALSE)</f>
        <v>#DIV/0!</v>
      </c>
      <c r="AZ184" t="e">
        <f>_xlfn.NORM.DIST(Table29128[[#This Row],[Isovalerate '[%']]],W$6,W$2,FALSE)</f>
        <v>#DIV/0!</v>
      </c>
      <c r="BA184" t="e">
        <f>_xlfn.NORM.DIST(Table29128[[#This Row],[CH4 '[g/mmol SCFA']]],X$6,X$2,FALSE)</f>
        <v>#DIV/0!</v>
      </c>
      <c r="BB184" t="e">
        <f>_xlfn.NORM.DIST(Table29128[[#This Row],[DMD '[mg/g']]],Y$6,Y$2,FALSE)</f>
        <v>#REF!</v>
      </c>
      <c r="BC184" t="e">
        <f>_xlfn.NORM.DIST(Table29128[[#This Row],[CH4 '[ml/g']]],Z$6,Z$2,FALSE)</f>
        <v>#REF!</v>
      </c>
      <c r="BD184" t="e">
        <f>_xlfn.NORM.DIST(Table29128[[#This Row],[CH4 '[% GP']]],AA$6,AA$2,FALSE)</f>
        <v>#REF!</v>
      </c>
      <c r="BE184" t="e">
        <f>_xlfn.NORM.DIST(Table29128[[#This Row],[CH4 '[g/g DDM']]],AB$6,AB$2,FALSE)</f>
        <v>#REF!</v>
      </c>
      <c r="BG184">
        <f>IF(Table29128[[#This Row],[GP '[ml/g']]]&lt;O$10,_xlfn.NORM.DIST(Table29128[[#This Row],[GP '[ml/g']]],O$6,O$2,FALSE),-100)</f>
        <v>-100</v>
      </c>
      <c r="BH184">
        <f>IF(Table29128[[#This Row],[SCFA '[mmol/g']]]&lt;P$10,_xlfn.NORM.DIST(Table29128[[#This Row],[SCFA '[mmol/g']]],P$6,P$2,FALSE),-100)</f>
        <v>-100</v>
      </c>
      <c r="BI184">
        <f>IF(Table29128[[#This Row],[Acetate '[%']]]&lt;Q$10,_xlfn.NORM.DIST(Table29128[[#This Row],[Acetate '[%']]],Q$6,Q$2,FALSE),-100)</f>
        <v>-100</v>
      </c>
      <c r="BJ184">
        <f>IF(Table29128[[#This Row],[Propionate '[%']]]&lt;R$10,_xlfn.NORM.DIST(Table29128[[#This Row],[Propionate '[%']]],R$6,R$2,FALSE),-100)</f>
        <v>-100</v>
      </c>
      <c r="BK184">
        <f>IF(Table29128[[#This Row],[Butyrate '[%']]]&lt;S$10,_xlfn.NORM.DIST(Table29128[[#This Row],[Butyrate '[%']]],S$6,S$2,FALSE),-100)</f>
        <v>-100</v>
      </c>
      <c r="BL184">
        <f>IF(Table29128[[#This Row],[Valerate '[%']]]&lt;T$10,_xlfn.NORM.DIST(Table29128[[#This Row],[Valerate '[%']]],T$6,T$2,FALSE),-100)</f>
        <v>-100</v>
      </c>
      <c r="BM184">
        <f>IF(Table29128[[#This Row],[Caproate '[%']]]&lt;U$10,_xlfn.NORM.DIST(Table29128[[#This Row],[Caproate '[%']]],U$6,U$2,FALSE),-100)</f>
        <v>-100</v>
      </c>
      <c r="BN184">
        <f>IF(Table29128[[#This Row],[Isobutyrate '[%']]]&lt;V$10,_xlfn.NORM.DIST(Table29128[[#This Row],[Isobutyrate '[%']]],V$6,V$2,FALSE),-100)</f>
        <v>-100</v>
      </c>
      <c r="BO184">
        <f>IF(Table29128[[#This Row],[Isovalerate '[%']]]&lt;W$10,_xlfn.NORM.DIST(Table29128[[#This Row],[Isovalerate '[%']]],W$6,W$2,FALSE),-100)</f>
        <v>-100</v>
      </c>
      <c r="BP184">
        <f>IF(Table29128[[#This Row],[CH4 '[g/mmol SCFA']]]&lt;X$10,_xlfn.NORM.DIST(Table29128[[#This Row],[CH4 '[g/mmol SCFA']]],X$6,X$2,FALSE),-100)</f>
        <v>-100</v>
      </c>
      <c r="BQ184" t="e">
        <f>IF(Table29128[[#This Row],[DMD '[mg/g']]]&gt;Y$10,_xlfn.NORM.DIST(Table29128[[#This Row],[DMD '[mg/g']]],Y$6,Y$2,FALSE),-100)</f>
        <v>#REF!</v>
      </c>
      <c r="BR184" t="e">
        <f>IF(Table29128[[#This Row],[CH4 '[ml/g']]]&lt;Z$10,_xlfn.NORM.DIST(Table29128[[#This Row],[CH4 '[ml/g']]],Z$6,Z$2,FALSE),-100)</f>
        <v>#REF!</v>
      </c>
      <c r="BS184" t="e">
        <f>IF(Table29128[[#This Row],[CH4 '[% GP']]]&lt;AA$10,_xlfn.NORM.DIST(Table29128[[#This Row],[CH4 '[% GP']]],AA$6,AA$2,FALSE),-100)</f>
        <v>#REF!</v>
      </c>
      <c r="BT184" t="e">
        <f>IF(Table29128[[#This Row],[CH4 '[g/g DDM']]]&lt;AB$10,_xlfn.NORM.DIST(Table29128[[#This Row],[CH4 '[g/g DDM']]],AB$6,AB$2,FALSE),-100)</f>
        <v>#REF!</v>
      </c>
    </row>
    <row r="185" spans="1:72" x14ac:dyDescent="0.25">
      <c r="A185" s="12" t="s">
        <v>200</v>
      </c>
      <c r="B185" s="13">
        <v>1188</v>
      </c>
      <c r="C185" s="113" t="s">
        <v>564</v>
      </c>
      <c r="D185" s="113" t="s">
        <v>565</v>
      </c>
      <c r="E185" s="113" t="s">
        <v>566</v>
      </c>
      <c r="F185" s="113" t="s">
        <v>567</v>
      </c>
      <c r="G185" t="s">
        <v>73</v>
      </c>
      <c r="H185" t="s">
        <v>74</v>
      </c>
      <c r="I185" t="s">
        <v>75</v>
      </c>
      <c r="J185" s="100">
        <v>1</v>
      </c>
      <c r="K185" s="100"/>
      <c r="L185" s="100"/>
      <c r="M185" t="s">
        <v>568</v>
      </c>
      <c r="N185" t="s">
        <v>363</v>
      </c>
      <c r="O185" s="18"/>
      <c r="P185" s="18"/>
      <c r="Q185" s="97"/>
      <c r="R185" s="97"/>
      <c r="S185" s="97"/>
      <c r="T185" s="97"/>
      <c r="U185" s="97"/>
      <c r="V185" s="97"/>
      <c r="W185" s="97"/>
      <c r="X185" s="51"/>
      <c r="Y185" s="18" t="e">
        <f>AVERAGEIFS([1]!Table2912[DMD '[mg/g']],[1]!Table2912[Substrate ID],Table29128[[#This Row],[Substrate ID]])</f>
        <v>#REF!</v>
      </c>
      <c r="Z185" s="18" t="e">
        <f>AVERAGEIFS([1]!Table2912[CH4 '[ml/g']],[1]!Table2912[Substrate ID],Table29128[[#This Row],[Substrate ID]])</f>
        <v>#REF!</v>
      </c>
      <c r="AA185" s="18" t="e">
        <f>AVERAGEIFS([1]!Table2912[CH4 '[% GP']],[1]!Table2912[Substrate ID],Table29128[[#This Row],[Substrate ID]])</f>
        <v>#REF!</v>
      </c>
      <c r="AB185" s="18" t="e">
        <f>AVERAGEIFS([1]!Table2912[CH4 '[g/g DDM']],[1]!Table2912[Substrate ID],Table29128[[#This Row],[Substrate ID]])</f>
        <v>#REF!</v>
      </c>
      <c r="AC185" s="18" t="e">
        <f>$CP$17*Table29128[[#This Row],[DMD '[mg/g']]]+$CQ$17*Table29128[[#This Row],[CH4 '[g/g DDM']]]</f>
        <v>#REF!</v>
      </c>
      <c r="AD185" s="18" t="e">
        <f>_xlfn.RANK.AVG(Table29128[[#This Row],[Index]],Table29128[Index])</f>
        <v>#REF!</v>
      </c>
      <c r="AE185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85" s="18" t="e">
        <f>Table29128[[#This Row],[CH4 '[ml/g']]]/Table29128[[#This Row],[APB]]</f>
        <v>#REF!</v>
      </c>
      <c r="AG185" s="18" t="e">
        <f>Table29128[[#This Row],[Propionate '[%']]]/Table29128[[#This Row],[Acetate '[%']]]</f>
        <v>#DIV/0!</v>
      </c>
      <c r="AH185" s="51"/>
      <c r="AI185" s="18"/>
      <c r="AJ185" s="18"/>
      <c r="AK185" s="135" t="e">
        <f t="shared" si="8"/>
        <v>#REF!</v>
      </c>
      <c r="AL185" s="18"/>
      <c r="AM185" s="135" t="e">
        <f t="shared" si="9"/>
        <v>#REF!</v>
      </c>
      <c r="AN185" s="18" t="e">
        <f>(Table29128[[#This Row],[CH4 '[g/g DDM']]]-AN$15)/AN$15%</f>
        <v>#REF!</v>
      </c>
      <c r="AO185" s="18"/>
      <c r="AP185" s="18"/>
      <c r="AR185" t="e">
        <f>_xlfn.NORM.DIST(Table29128[[#This Row],[GP '[ml/g']]],O$6,O$2,FALSE)</f>
        <v>#DIV/0!</v>
      </c>
      <c r="AS185" t="e">
        <f>_xlfn.NORM.DIST(Table29128[[#This Row],[SCFA '[mmol/g']]],P$6,P$2,FALSE)</f>
        <v>#DIV/0!</v>
      </c>
      <c r="AT185" t="e">
        <f>_xlfn.NORM.DIST(Table29128[[#This Row],[Acetate '[%']]],Q$6,Q$2,FALSE)</f>
        <v>#DIV/0!</v>
      </c>
      <c r="AU185" t="e">
        <f>_xlfn.NORM.DIST(Table29128[[#This Row],[Propionate '[%']]],R$6,R$2,FALSE)</f>
        <v>#DIV/0!</v>
      </c>
      <c r="AV185" t="e">
        <f>_xlfn.NORM.DIST(Table29128[[#This Row],[Butyrate '[%']]],S$6,S$2,FALSE)</f>
        <v>#DIV/0!</v>
      </c>
      <c r="AW185" t="e">
        <f>_xlfn.NORM.DIST(Table29128[[#This Row],[Valerate '[%']]],T$6,T$2,FALSE)</f>
        <v>#DIV/0!</v>
      </c>
      <c r="AX185" t="e">
        <f>_xlfn.NORM.DIST(Table29128[[#This Row],[Caproate '[%']]],U$6,U$2,FALSE)</f>
        <v>#DIV/0!</v>
      </c>
      <c r="AY185" t="e">
        <f>_xlfn.NORM.DIST(Table29128[[#This Row],[Isobutyrate '[%']]],V$6,V$2,FALSE)</f>
        <v>#DIV/0!</v>
      </c>
      <c r="AZ185" t="e">
        <f>_xlfn.NORM.DIST(Table29128[[#This Row],[Isovalerate '[%']]],W$6,W$2,FALSE)</f>
        <v>#DIV/0!</v>
      </c>
      <c r="BA185" t="e">
        <f>_xlfn.NORM.DIST(Table29128[[#This Row],[CH4 '[g/mmol SCFA']]],X$6,X$2,FALSE)</f>
        <v>#DIV/0!</v>
      </c>
      <c r="BB185" t="e">
        <f>_xlfn.NORM.DIST(Table29128[[#This Row],[DMD '[mg/g']]],Y$6,Y$2,FALSE)</f>
        <v>#REF!</v>
      </c>
      <c r="BC185" t="e">
        <f>_xlfn.NORM.DIST(Table29128[[#This Row],[CH4 '[ml/g']]],Z$6,Z$2,FALSE)</f>
        <v>#REF!</v>
      </c>
      <c r="BD185" t="e">
        <f>_xlfn.NORM.DIST(Table29128[[#This Row],[CH4 '[% GP']]],AA$6,AA$2,FALSE)</f>
        <v>#REF!</v>
      </c>
      <c r="BE185" t="e">
        <f>_xlfn.NORM.DIST(Table29128[[#This Row],[CH4 '[g/g DDM']]],AB$6,AB$2,FALSE)</f>
        <v>#REF!</v>
      </c>
      <c r="BG185">
        <f>IF(Table29128[[#This Row],[GP '[ml/g']]]&lt;O$10,_xlfn.NORM.DIST(Table29128[[#This Row],[GP '[ml/g']]],O$6,O$2,FALSE),-100)</f>
        <v>-100</v>
      </c>
      <c r="BH185">
        <f>IF(Table29128[[#This Row],[SCFA '[mmol/g']]]&lt;P$10,_xlfn.NORM.DIST(Table29128[[#This Row],[SCFA '[mmol/g']]],P$6,P$2,FALSE),-100)</f>
        <v>-100</v>
      </c>
      <c r="BI185">
        <f>IF(Table29128[[#This Row],[Acetate '[%']]]&lt;Q$10,_xlfn.NORM.DIST(Table29128[[#This Row],[Acetate '[%']]],Q$6,Q$2,FALSE),-100)</f>
        <v>-100</v>
      </c>
      <c r="BJ185">
        <f>IF(Table29128[[#This Row],[Propionate '[%']]]&lt;R$10,_xlfn.NORM.DIST(Table29128[[#This Row],[Propionate '[%']]],R$6,R$2,FALSE),-100)</f>
        <v>-100</v>
      </c>
      <c r="BK185">
        <f>IF(Table29128[[#This Row],[Butyrate '[%']]]&lt;S$10,_xlfn.NORM.DIST(Table29128[[#This Row],[Butyrate '[%']]],S$6,S$2,FALSE),-100)</f>
        <v>-100</v>
      </c>
      <c r="BL185">
        <f>IF(Table29128[[#This Row],[Valerate '[%']]]&lt;T$10,_xlfn.NORM.DIST(Table29128[[#This Row],[Valerate '[%']]],T$6,T$2,FALSE),-100)</f>
        <v>-100</v>
      </c>
      <c r="BM185">
        <f>IF(Table29128[[#This Row],[Caproate '[%']]]&lt;U$10,_xlfn.NORM.DIST(Table29128[[#This Row],[Caproate '[%']]],U$6,U$2,FALSE),-100)</f>
        <v>-100</v>
      </c>
      <c r="BN185">
        <f>IF(Table29128[[#This Row],[Isobutyrate '[%']]]&lt;V$10,_xlfn.NORM.DIST(Table29128[[#This Row],[Isobutyrate '[%']]],V$6,V$2,FALSE),-100)</f>
        <v>-100</v>
      </c>
      <c r="BO185">
        <f>IF(Table29128[[#This Row],[Isovalerate '[%']]]&lt;W$10,_xlfn.NORM.DIST(Table29128[[#This Row],[Isovalerate '[%']]],W$6,W$2,FALSE),-100)</f>
        <v>-100</v>
      </c>
      <c r="BP185">
        <f>IF(Table29128[[#This Row],[CH4 '[g/mmol SCFA']]]&lt;X$10,_xlfn.NORM.DIST(Table29128[[#This Row],[CH4 '[g/mmol SCFA']]],X$6,X$2,FALSE),-100)</f>
        <v>-100</v>
      </c>
      <c r="BQ185" t="e">
        <f>IF(Table29128[[#This Row],[DMD '[mg/g']]]&gt;Y$10,_xlfn.NORM.DIST(Table29128[[#This Row],[DMD '[mg/g']]],Y$6,Y$2,FALSE),-100)</f>
        <v>#REF!</v>
      </c>
      <c r="BR185" t="e">
        <f>IF(Table29128[[#This Row],[CH4 '[ml/g']]]&lt;Z$10,_xlfn.NORM.DIST(Table29128[[#This Row],[CH4 '[ml/g']]],Z$6,Z$2,FALSE),-100)</f>
        <v>#REF!</v>
      </c>
      <c r="BS185" t="e">
        <f>IF(Table29128[[#This Row],[CH4 '[% GP']]]&lt;AA$10,_xlfn.NORM.DIST(Table29128[[#This Row],[CH4 '[% GP']]],AA$6,AA$2,FALSE),-100)</f>
        <v>#REF!</v>
      </c>
      <c r="BT185" t="e">
        <f>IF(Table29128[[#This Row],[CH4 '[g/g DDM']]]&lt;AB$10,_xlfn.NORM.DIST(Table29128[[#This Row],[CH4 '[g/g DDM']]],AB$6,AB$2,FALSE),-100)</f>
        <v>#REF!</v>
      </c>
    </row>
    <row r="186" spans="1:72" x14ac:dyDescent="0.25">
      <c r="A186" s="12" t="s">
        <v>200</v>
      </c>
      <c r="B186" s="13">
        <v>1255</v>
      </c>
      <c r="C186" s="113" t="s">
        <v>501</v>
      </c>
      <c r="D186" s="113" t="s">
        <v>432</v>
      </c>
      <c r="E186" s="113" t="s">
        <v>502</v>
      </c>
      <c r="F186" s="114" t="s">
        <v>503</v>
      </c>
      <c r="G186" t="s">
        <v>73</v>
      </c>
      <c r="H186" t="s">
        <v>74</v>
      </c>
      <c r="I186" t="s">
        <v>75</v>
      </c>
      <c r="J186" s="100">
        <v>1</v>
      </c>
      <c r="K186" s="100"/>
      <c r="L186" s="100" t="s">
        <v>627</v>
      </c>
      <c r="M186" t="s">
        <v>504</v>
      </c>
      <c r="N186" t="s">
        <v>363</v>
      </c>
      <c r="O186" s="18"/>
      <c r="P186" s="18"/>
      <c r="Q186" s="97"/>
      <c r="R186" s="97"/>
      <c r="S186" s="97"/>
      <c r="T186" s="97"/>
      <c r="U186" s="97"/>
      <c r="V186" s="97"/>
      <c r="W186" s="97"/>
      <c r="X186" s="51"/>
      <c r="Y186" s="18" t="e">
        <f>AVERAGEIFS([1]!Table2912[DMD '[mg/g']],[1]!Table2912[Substrate ID],Table29128[[#This Row],[Substrate ID]])</f>
        <v>#REF!</v>
      </c>
      <c r="Z186" s="18" t="e">
        <f>AVERAGEIFS([1]!Table2912[CH4 '[ml/g']],[1]!Table2912[Substrate ID],Table29128[[#This Row],[Substrate ID]])</f>
        <v>#REF!</v>
      </c>
      <c r="AA186" s="18" t="e">
        <f>AVERAGEIFS([1]!Table2912[CH4 '[% GP']],[1]!Table2912[Substrate ID],Table29128[[#This Row],[Substrate ID]])</f>
        <v>#REF!</v>
      </c>
      <c r="AB186" s="18" t="e">
        <f>AVERAGEIFS([1]!Table2912[CH4 '[g/g DDM']],[1]!Table2912[Substrate ID],Table29128[[#This Row],[Substrate ID]])</f>
        <v>#REF!</v>
      </c>
      <c r="AC186" s="18" t="e">
        <f>$CP$17*Table29128[[#This Row],[DMD '[mg/g']]]+$CQ$17*Table29128[[#This Row],[CH4 '[g/g DDM']]]</f>
        <v>#REF!</v>
      </c>
      <c r="AD186" s="18" t="e">
        <f>_xlfn.RANK.AVG(Table29128[[#This Row],[Index]],Table29128[Index])</f>
        <v>#REF!</v>
      </c>
      <c r="AE186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86" s="18" t="e">
        <f>Table29128[[#This Row],[CH4 '[ml/g']]]/Table29128[[#This Row],[APB]]</f>
        <v>#REF!</v>
      </c>
      <c r="AG186" s="18" t="e">
        <f>Table29128[[#This Row],[Propionate '[%']]]/Table29128[[#This Row],[Acetate '[%']]]</f>
        <v>#DIV/0!</v>
      </c>
      <c r="AH186" s="51"/>
      <c r="AI186" s="18"/>
      <c r="AJ186" s="18"/>
      <c r="AK186" s="135" t="e">
        <f t="shared" si="8"/>
        <v>#REF!</v>
      </c>
      <c r="AL186" s="18"/>
      <c r="AM186" s="135" t="e">
        <f t="shared" si="9"/>
        <v>#REF!</v>
      </c>
      <c r="AN186" s="18" t="e">
        <f>(Table29128[[#This Row],[CH4 '[g/g DDM']]]-AN$15)/AN$15%</f>
        <v>#REF!</v>
      </c>
      <c r="AO186" s="18"/>
      <c r="AP186" s="18"/>
      <c r="AR186" t="e">
        <f>_xlfn.NORM.DIST(Table29128[[#This Row],[GP '[ml/g']]],O$6,O$2,FALSE)</f>
        <v>#DIV/0!</v>
      </c>
      <c r="AS186" t="e">
        <f>_xlfn.NORM.DIST(Table29128[[#This Row],[SCFA '[mmol/g']]],P$6,P$2,FALSE)</f>
        <v>#DIV/0!</v>
      </c>
      <c r="AT186" t="e">
        <f>_xlfn.NORM.DIST(Table29128[[#This Row],[Acetate '[%']]],Q$6,Q$2,FALSE)</f>
        <v>#DIV/0!</v>
      </c>
      <c r="AU186" t="e">
        <f>_xlfn.NORM.DIST(Table29128[[#This Row],[Propionate '[%']]],R$6,R$2,FALSE)</f>
        <v>#DIV/0!</v>
      </c>
      <c r="AV186" t="e">
        <f>_xlfn.NORM.DIST(Table29128[[#This Row],[Butyrate '[%']]],S$6,S$2,FALSE)</f>
        <v>#DIV/0!</v>
      </c>
      <c r="AW186" t="e">
        <f>_xlfn.NORM.DIST(Table29128[[#This Row],[Valerate '[%']]],T$6,T$2,FALSE)</f>
        <v>#DIV/0!</v>
      </c>
      <c r="AX186" t="e">
        <f>_xlfn.NORM.DIST(Table29128[[#This Row],[Caproate '[%']]],U$6,U$2,FALSE)</f>
        <v>#DIV/0!</v>
      </c>
      <c r="AY186" t="e">
        <f>_xlfn.NORM.DIST(Table29128[[#This Row],[Isobutyrate '[%']]],V$6,V$2,FALSE)</f>
        <v>#DIV/0!</v>
      </c>
      <c r="AZ186" t="e">
        <f>_xlfn.NORM.DIST(Table29128[[#This Row],[Isovalerate '[%']]],W$6,W$2,FALSE)</f>
        <v>#DIV/0!</v>
      </c>
      <c r="BA186" t="e">
        <f>_xlfn.NORM.DIST(Table29128[[#This Row],[CH4 '[g/mmol SCFA']]],X$6,X$2,FALSE)</f>
        <v>#DIV/0!</v>
      </c>
      <c r="BB186" t="e">
        <f>_xlfn.NORM.DIST(Table29128[[#This Row],[DMD '[mg/g']]],Y$6,Y$2,FALSE)</f>
        <v>#REF!</v>
      </c>
      <c r="BC186" t="e">
        <f>_xlfn.NORM.DIST(Table29128[[#This Row],[CH4 '[ml/g']]],Z$6,Z$2,FALSE)</f>
        <v>#REF!</v>
      </c>
      <c r="BD186" t="e">
        <f>_xlfn.NORM.DIST(Table29128[[#This Row],[CH4 '[% GP']]],AA$6,AA$2,FALSE)</f>
        <v>#REF!</v>
      </c>
      <c r="BE186" t="e">
        <f>_xlfn.NORM.DIST(Table29128[[#This Row],[CH4 '[g/g DDM']]],AB$6,AB$2,FALSE)</f>
        <v>#REF!</v>
      </c>
      <c r="BG186">
        <f>IF(Table29128[[#This Row],[GP '[ml/g']]]&lt;O$10,_xlfn.NORM.DIST(Table29128[[#This Row],[GP '[ml/g']]],O$6,O$2,FALSE),-100)</f>
        <v>-100</v>
      </c>
      <c r="BH186">
        <f>IF(Table29128[[#This Row],[SCFA '[mmol/g']]]&lt;P$10,_xlfn.NORM.DIST(Table29128[[#This Row],[SCFA '[mmol/g']]],P$6,P$2,FALSE),-100)</f>
        <v>-100</v>
      </c>
      <c r="BI186">
        <f>IF(Table29128[[#This Row],[Acetate '[%']]]&lt;Q$10,_xlfn.NORM.DIST(Table29128[[#This Row],[Acetate '[%']]],Q$6,Q$2,FALSE),-100)</f>
        <v>-100</v>
      </c>
      <c r="BJ186">
        <f>IF(Table29128[[#This Row],[Propionate '[%']]]&lt;R$10,_xlfn.NORM.DIST(Table29128[[#This Row],[Propionate '[%']]],R$6,R$2,FALSE),-100)</f>
        <v>-100</v>
      </c>
      <c r="BK186">
        <f>IF(Table29128[[#This Row],[Butyrate '[%']]]&lt;S$10,_xlfn.NORM.DIST(Table29128[[#This Row],[Butyrate '[%']]],S$6,S$2,FALSE),-100)</f>
        <v>-100</v>
      </c>
      <c r="BL186">
        <f>IF(Table29128[[#This Row],[Valerate '[%']]]&lt;T$10,_xlfn.NORM.DIST(Table29128[[#This Row],[Valerate '[%']]],T$6,T$2,FALSE),-100)</f>
        <v>-100</v>
      </c>
      <c r="BM186">
        <f>IF(Table29128[[#This Row],[Caproate '[%']]]&lt;U$10,_xlfn.NORM.DIST(Table29128[[#This Row],[Caproate '[%']]],U$6,U$2,FALSE),-100)</f>
        <v>-100</v>
      </c>
      <c r="BN186">
        <f>IF(Table29128[[#This Row],[Isobutyrate '[%']]]&lt;V$10,_xlfn.NORM.DIST(Table29128[[#This Row],[Isobutyrate '[%']]],V$6,V$2,FALSE),-100)</f>
        <v>-100</v>
      </c>
      <c r="BO186">
        <f>IF(Table29128[[#This Row],[Isovalerate '[%']]]&lt;W$10,_xlfn.NORM.DIST(Table29128[[#This Row],[Isovalerate '[%']]],W$6,W$2,FALSE),-100)</f>
        <v>-100</v>
      </c>
      <c r="BP186">
        <f>IF(Table29128[[#This Row],[CH4 '[g/mmol SCFA']]]&lt;X$10,_xlfn.NORM.DIST(Table29128[[#This Row],[CH4 '[g/mmol SCFA']]],X$6,X$2,FALSE),-100)</f>
        <v>-100</v>
      </c>
      <c r="BQ186" t="e">
        <f>IF(Table29128[[#This Row],[DMD '[mg/g']]]&gt;Y$10,_xlfn.NORM.DIST(Table29128[[#This Row],[DMD '[mg/g']]],Y$6,Y$2,FALSE),-100)</f>
        <v>#REF!</v>
      </c>
      <c r="BR186" t="e">
        <f>IF(Table29128[[#This Row],[CH4 '[ml/g']]]&lt;Z$10,_xlfn.NORM.DIST(Table29128[[#This Row],[CH4 '[ml/g']]],Z$6,Z$2,FALSE),-100)</f>
        <v>#REF!</v>
      </c>
      <c r="BS186" t="e">
        <f>IF(Table29128[[#This Row],[CH4 '[% GP']]]&lt;AA$10,_xlfn.NORM.DIST(Table29128[[#This Row],[CH4 '[% GP']]],AA$6,AA$2,FALSE),-100)</f>
        <v>#REF!</v>
      </c>
      <c r="BT186" t="e">
        <f>IF(Table29128[[#This Row],[CH4 '[g/g DDM']]]&lt;AB$10,_xlfn.NORM.DIST(Table29128[[#This Row],[CH4 '[g/g DDM']]],AB$6,AB$2,FALSE),-100)</f>
        <v>#REF!</v>
      </c>
    </row>
    <row r="187" spans="1:72" x14ac:dyDescent="0.25">
      <c r="A187" s="12" t="s">
        <v>70</v>
      </c>
      <c r="B187" s="13">
        <v>992</v>
      </c>
      <c r="C187" s="96" t="s">
        <v>343</v>
      </c>
      <c r="D187" s="96"/>
      <c r="E187" s="96"/>
      <c r="F187" s="96" t="s">
        <v>344</v>
      </c>
      <c r="G187" t="s">
        <v>73</v>
      </c>
      <c r="H187" t="s">
        <v>74</v>
      </c>
      <c r="I187" t="s">
        <v>75</v>
      </c>
      <c r="J187" s="100">
        <v>1</v>
      </c>
      <c r="K187" s="100"/>
      <c r="L187" s="100"/>
      <c r="M187" t="s">
        <v>344</v>
      </c>
      <c r="N187" t="s">
        <v>85</v>
      </c>
      <c r="O187" s="18"/>
      <c r="P187" s="18"/>
      <c r="Q187" s="97"/>
      <c r="R187" s="97"/>
      <c r="S187" s="97"/>
      <c r="T187" s="97"/>
      <c r="U187" s="97"/>
      <c r="V187" s="97"/>
      <c r="W187" s="97"/>
      <c r="X187" s="51"/>
      <c r="Y187" s="18" t="e">
        <f>AVERAGEIFS([1]!Table2912[DMD '[mg/g']],[1]!Table2912[Substrate ID],Table29128[[#This Row],[Substrate ID]])</f>
        <v>#REF!</v>
      </c>
      <c r="Z187" s="18" t="e">
        <f>AVERAGEIFS([1]!Table2912[CH4 '[ml/g']],[1]!Table2912[Substrate ID],Table29128[[#This Row],[Substrate ID]])</f>
        <v>#REF!</v>
      </c>
      <c r="AA187" s="18" t="e">
        <f>AVERAGEIFS([1]!Table2912[CH4 '[% GP']],[1]!Table2912[Substrate ID],Table29128[[#This Row],[Substrate ID]])</f>
        <v>#REF!</v>
      </c>
      <c r="AB187" s="18" t="e">
        <f>AVERAGEIFS([1]!Table2912[CH4 '[g/g DDM']],[1]!Table2912[Substrate ID],Table29128[[#This Row],[Substrate ID]])</f>
        <v>#REF!</v>
      </c>
      <c r="AC187" s="18" t="e">
        <f>$CP$17*Table29128[[#This Row],[DMD '[mg/g']]]+$CQ$17*Table29128[[#This Row],[CH4 '[g/g DDM']]]</f>
        <v>#REF!</v>
      </c>
      <c r="AD187" s="18" t="e">
        <f>_xlfn.RANK.AVG(Table29128[[#This Row],[Index]],Table29128[Index])</f>
        <v>#REF!</v>
      </c>
      <c r="AE187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87" s="18" t="e">
        <f>Table29128[[#This Row],[CH4 '[ml/g']]]/Table29128[[#This Row],[APB]]</f>
        <v>#REF!</v>
      </c>
      <c r="AG187" s="18" t="e">
        <f>Table29128[[#This Row],[Propionate '[%']]]/Table29128[[#This Row],[Acetate '[%']]]</f>
        <v>#DIV/0!</v>
      </c>
      <c r="AH187" s="51"/>
      <c r="AI187" s="18"/>
      <c r="AJ187" s="18"/>
      <c r="AK187" s="135" t="e">
        <f t="shared" si="8"/>
        <v>#REF!</v>
      </c>
      <c r="AL187" s="18"/>
      <c r="AM187" s="135" t="e">
        <f t="shared" si="9"/>
        <v>#REF!</v>
      </c>
      <c r="AN187" s="18" t="e">
        <f>(Table29128[[#This Row],[CH4 '[g/g DDM']]]-AN$15)/AN$15%</f>
        <v>#REF!</v>
      </c>
      <c r="AO187" s="18"/>
      <c r="AP187" s="18"/>
      <c r="AR187" t="e">
        <f>_xlfn.NORM.DIST(Table29128[[#This Row],[GP '[ml/g']]],O$6,O$2,FALSE)</f>
        <v>#DIV/0!</v>
      </c>
      <c r="AS187" t="e">
        <f>_xlfn.NORM.DIST(Table29128[[#This Row],[SCFA '[mmol/g']]],P$6,P$2,FALSE)</f>
        <v>#DIV/0!</v>
      </c>
      <c r="AT187" t="e">
        <f>_xlfn.NORM.DIST(Table29128[[#This Row],[Acetate '[%']]],Q$6,Q$2,FALSE)</f>
        <v>#DIV/0!</v>
      </c>
      <c r="AU187" t="e">
        <f>_xlfn.NORM.DIST(Table29128[[#This Row],[Propionate '[%']]],R$6,R$2,FALSE)</f>
        <v>#DIV/0!</v>
      </c>
      <c r="AV187" t="e">
        <f>_xlfn.NORM.DIST(Table29128[[#This Row],[Butyrate '[%']]],S$6,S$2,FALSE)</f>
        <v>#DIV/0!</v>
      </c>
      <c r="AW187" t="e">
        <f>_xlfn.NORM.DIST(Table29128[[#This Row],[Valerate '[%']]],T$6,T$2,FALSE)</f>
        <v>#DIV/0!</v>
      </c>
      <c r="AX187" t="e">
        <f>_xlfn.NORM.DIST(Table29128[[#This Row],[Caproate '[%']]],U$6,U$2,FALSE)</f>
        <v>#DIV/0!</v>
      </c>
      <c r="AY187" t="e">
        <f>_xlfn.NORM.DIST(Table29128[[#This Row],[Isobutyrate '[%']]],V$6,V$2,FALSE)</f>
        <v>#DIV/0!</v>
      </c>
      <c r="AZ187" t="e">
        <f>_xlfn.NORM.DIST(Table29128[[#This Row],[Isovalerate '[%']]],W$6,W$2,FALSE)</f>
        <v>#DIV/0!</v>
      </c>
      <c r="BA187" t="e">
        <f>_xlfn.NORM.DIST(Table29128[[#This Row],[CH4 '[g/mmol SCFA']]],X$6,X$2,FALSE)</f>
        <v>#DIV/0!</v>
      </c>
      <c r="BB187" t="e">
        <f>_xlfn.NORM.DIST(Table29128[[#This Row],[DMD '[mg/g']]],Y$6,Y$2,FALSE)</f>
        <v>#REF!</v>
      </c>
      <c r="BC187" t="e">
        <f>_xlfn.NORM.DIST(Table29128[[#This Row],[CH4 '[ml/g']]],Z$6,Z$2,FALSE)</f>
        <v>#REF!</v>
      </c>
      <c r="BD187" t="e">
        <f>_xlfn.NORM.DIST(Table29128[[#This Row],[CH4 '[% GP']]],AA$6,AA$2,FALSE)</f>
        <v>#REF!</v>
      </c>
      <c r="BE187" t="e">
        <f>_xlfn.NORM.DIST(Table29128[[#This Row],[CH4 '[g/g DDM']]],AB$6,AB$2,FALSE)</f>
        <v>#REF!</v>
      </c>
      <c r="BG187">
        <f>IF(Table29128[[#This Row],[GP '[ml/g']]]&lt;O$10,_xlfn.NORM.DIST(Table29128[[#This Row],[GP '[ml/g']]],O$6,O$2,FALSE),-100)</f>
        <v>-100</v>
      </c>
      <c r="BH187">
        <f>IF(Table29128[[#This Row],[SCFA '[mmol/g']]]&lt;P$10,_xlfn.NORM.DIST(Table29128[[#This Row],[SCFA '[mmol/g']]],P$6,P$2,FALSE),-100)</f>
        <v>-100</v>
      </c>
      <c r="BI187">
        <f>IF(Table29128[[#This Row],[Acetate '[%']]]&lt;Q$10,_xlfn.NORM.DIST(Table29128[[#This Row],[Acetate '[%']]],Q$6,Q$2,FALSE),-100)</f>
        <v>-100</v>
      </c>
      <c r="BJ187">
        <f>IF(Table29128[[#This Row],[Propionate '[%']]]&lt;R$10,_xlfn.NORM.DIST(Table29128[[#This Row],[Propionate '[%']]],R$6,R$2,FALSE),-100)</f>
        <v>-100</v>
      </c>
      <c r="BK187">
        <f>IF(Table29128[[#This Row],[Butyrate '[%']]]&lt;S$10,_xlfn.NORM.DIST(Table29128[[#This Row],[Butyrate '[%']]],S$6,S$2,FALSE),-100)</f>
        <v>-100</v>
      </c>
      <c r="BL187">
        <f>IF(Table29128[[#This Row],[Valerate '[%']]]&lt;T$10,_xlfn.NORM.DIST(Table29128[[#This Row],[Valerate '[%']]],T$6,T$2,FALSE),-100)</f>
        <v>-100</v>
      </c>
      <c r="BM187">
        <f>IF(Table29128[[#This Row],[Caproate '[%']]]&lt;U$10,_xlfn.NORM.DIST(Table29128[[#This Row],[Caproate '[%']]],U$6,U$2,FALSE),-100)</f>
        <v>-100</v>
      </c>
      <c r="BN187">
        <f>IF(Table29128[[#This Row],[Isobutyrate '[%']]]&lt;V$10,_xlfn.NORM.DIST(Table29128[[#This Row],[Isobutyrate '[%']]],V$6,V$2,FALSE),-100)</f>
        <v>-100</v>
      </c>
      <c r="BO187">
        <f>IF(Table29128[[#This Row],[Isovalerate '[%']]]&lt;W$10,_xlfn.NORM.DIST(Table29128[[#This Row],[Isovalerate '[%']]],W$6,W$2,FALSE),-100)</f>
        <v>-100</v>
      </c>
      <c r="BP187">
        <f>IF(Table29128[[#This Row],[CH4 '[g/mmol SCFA']]]&lt;X$10,_xlfn.NORM.DIST(Table29128[[#This Row],[CH4 '[g/mmol SCFA']]],X$6,X$2,FALSE),-100)</f>
        <v>-100</v>
      </c>
      <c r="BQ187" t="e">
        <f>IF(Table29128[[#This Row],[DMD '[mg/g']]]&gt;Y$10,_xlfn.NORM.DIST(Table29128[[#This Row],[DMD '[mg/g']]],Y$6,Y$2,FALSE),-100)</f>
        <v>#REF!</v>
      </c>
      <c r="BR187" t="e">
        <f>IF(Table29128[[#This Row],[CH4 '[ml/g']]]&lt;Z$10,_xlfn.NORM.DIST(Table29128[[#This Row],[CH4 '[ml/g']]],Z$6,Z$2,FALSE),-100)</f>
        <v>#REF!</v>
      </c>
      <c r="BS187" t="e">
        <f>IF(Table29128[[#This Row],[CH4 '[% GP']]]&lt;AA$10,_xlfn.NORM.DIST(Table29128[[#This Row],[CH4 '[% GP']]],AA$6,AA$2,FALSE),-100)</f>
        <v>#REF!</v>
      </c>
      <c r="BT187" t="e">
        <f>IF(Table29128[[#This Row],[CH4 '[g/g DDM']]]&lt;AB$10,_xlfn.NORM.DIST(Table29128[[#This Row],[CH4 '[g/g DDM']]],AB$6,AB$2,FALSE),-100)</f>
        <v>#REF!</v>
      </c>
    </row>
    <row r="188" spans="1:72" x14ac:dyDescent="0.25">
      <c r="A188" s="12" t="s">
        <v>200</v>
      </c>
      <c r="B188" s="13">
        <v>1256</v>
      </c>
      <c r="C188" s="113" t="s">
        <v>541</v>
      </c>
      <c r="D188" s="113" t="s">
        <v>542</v>
      </c>
      <c r="E188" s="113" t="s">
        <v>543</v>
      </c>
      <c r="F188" s="114" t="s">
        <v>544</v>
      </c>
      <c r="G188" t="s">
        <v>73</v>
      </c>
      <c r="H188" t="s">
        <v>74</v>
      </c>
      <c r="I188" t="s">
        <v>75</v>
      </c>
      <c r="J188" s="100">
        <v>1</v>
      </c>
      <c r="K188" s="100"/>
      <c r="L188" s="100"/>
      <c r="M188" t="s">
        <v>550</v>
      </c>
      <c r="N188" t="s">
        <v>363</v>
      </c>
      <c r="O188" s="18"/>
      <c r="P188" s="18"/>
      <c r="Q188" s="97"/>
      <c r="R188" s="97"/>
      <c r="S188" s="97"/>
      <c r="T188" s="97"/>
      <c r="U188" s="97"/>
      <c r="V188" s="97"/>
      <c r="W188" s="97"/>
      <c r="X188" s="51"/>
      <c r="Y188" s="18" t="e">
        <f>AVERAGEIFS([1]!Table2912[DMD '[mg/g']],[1]!Table2912[Substrate ID],Table29128[[#This Row],[Substrate ID]])</f>
        <v>#REF!</v>
      </c>
      <c r="Z188" s="18" t="e">
        <f>AVERAGEIFS([1]!Table2912[CH4 '[ml/g']],[1]!Table2912[Substrate ID],Table29128[[#This Row],[Substrate ID]])</f>
        <v>#REF!</v>
      </c>
      <c r="AA188" s="18" t="e">
        <f>AVERAGEIFS([1]!Table2912[CH4 '[% GP']],[1]!Table2912[Substrate ID],Table29128[[#This Row],[Substrate ID]])</f>
        <v>#REF!</v>
      </c>
      <c r="AB188" s="18" t="e">
        <f>AVERAGEIFS([1]!Table2912[CH4 '[g/g DDM']],[1]!Table2912[Substrate ID],Table29128[[#This Row],[Substrate ID]])</f>
        <v>#REF!</v>
      </c>
      <c r="AC188" s="18" t="e">
        <f>$CP$17*Table29128[[#This Row],[DMD '[mg/g']]]+$CQ$17*Table29128[[#This Row],[CH4 '[g/g DDM']]]</f>
        <v>#REF!</v>
      </c>
      <c r="AD188" s="18" t="e">
        <f>_xlfn.RANK.AVG(Table29128[[#This Row],[Index]],Table29128[Index])</f>
        <v>#REF!</v>
      </c>
      <c r="AE188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88" s="18" t="e">
        <f>Table29128[[#This Row],[CH4 '[ml/g']]]/Table29128[[#This Row],[APB]]</f>
        <v>#REF!</v>
      </c>
      <c r="AG188" s="18" t="e">
        <f>Table29128[[#This Row],[Propionate '[%']]]/Table29128[[#This Row],[Acetate '[%']]]</f>
        <v>#DIV/0!</v>
      </c>
      <c r="AH188" s="51"/>
      <c r="AI188" s="18"/>
      <c r="AJ188" s="18"/>
      <c r="AK188" s="135" t="e">
        <f t="shared" si="8"/>
        <v>#REF!</v>
      </c>
      <c r="AL188" s="18"/>
      <c r="AM188" s="135" t="e">
        <f t="shared" si="9"/>
        <v>#REF!</v>
      </c>
      <c r="AN188" s="18" t="e">
        <f>(Table29128[[#This Row],[CH4 '[g/g DDM']]]-AN$15)/AN$15%</f>
        <v>#REF!</v>
      </c>
      <c r="AO188" s="18"/>
      <c r="AP188" s="18"/>
      <c r="AR188" t="e">
        <f>_xlfn.NORM.DIST(Table29128[[#This Row],[GP '[ml/g']]],O$6,O$2,FALSE)</f>
        <v>#DIV/0!</v>
      </c>
      <c r="AS188" t="e">
        <f>_xlfn.NORM.DIST(Table29128[[#This Row],[SCFA '[mmol/g']]],P$6,P$2,FALSE)</f>
        <v>#DIV/0!</v>
      </c>
      <c r="AT188" t="e">
        <f>_xlfn.NORM.DIST(Table29128[[#This Row],[Acetate '[%']]],Q$6,Q$2,FALSE)</f>
        <v>#DIV/0!</v>
      </c>
      <c r="AU188" t="e">
        <f>_xlfn.NORM.DIST(Table29128[[#This Row],[Propionate '[%']]],R$6,R$2,FALSE)</f>
        <v>#DIV/0!</v>
      </c>
      <c r="AV188" t="e">
        <f>_xlfn.NORM.DIST(Table29128[[#This Row],[Butyrate '[%']]],S$6,S$2,FALSE)</f>
        <v>#DIV/0!</v>
      </c>
      <c r="AW188" t="e">
        <f>_xlfn.NORM.DIST(Table29128[[#This Row],[Valerate '[%']]],T$6,T$2,FALSE)</f>
        <v>#DIV/0!</v>
      </c>
      <c r="AX188" t="e">
        <f>_xlfn.NORM.DIST(Table29128[[#This Row],[Caproate '[%']]],U$6,U$2,FALSE)</f>
        <v>#DIV/0!</v>
      </c>
      <c r="AY188" t="e">
        <f>_xlfn.NORM.DIST(Table29128[[#This Row],[Isobutyrate '[%']]],V$6,V$2,FALSE)</f>
        <v>#DIV/0!</v>
      </c>
      <c r="AZ188" t="e">
        <f>_xlfn.NORM.DIST(Table29128[[#This Row],[Isovalerate '[%']]],W$6,W$2,FALSE)</f>
        <v>#DIV/0!</v>
      </c>
      <c r="BA188" t="e">
        <f>_xlfn.NORM.DIST(Table29128[[#This Row],[CH4 '[g/mmol SCFA']]],X$6,X$2,FALSE)</f>
        <v>#DIV/0!</v>
      </c>
      <c r="BB188" t="e">
        <f>_xlfn.NORM.DIST(Table29128[[#This Row],[DMD '[mg/g']]],Y$6,Y$2,FALSE)</f>
        <v>#REF!</v>
      </c>
      <c r="BC188" t="e">
        <f>_xlfn.NORM.DIST(Table29128[[#This Row],[CH4 '[ml/g']]],Z$6,Z$2,FALSE)</f>
        <v>#REF!</v>
      </c>
      <c r="BD188" t="e">
        <f>_xlfn.NORM.DIST(Table29128[[#This Row],[CH4 '[% GP']]],AA$6,AA$2,FALSE)</f>
        <v>#REF!</v>
      </c>
      <c r="BE188" t="e">
        <f>_xlfn.NORM.DIST(Table29128[[#This Row],[CH4 '[g/g DDM']]],AB$6,AB$2,FALSE)</f>
        <v>#REF!</v>
      </c>
      <c r="BG188">
        <f>IF(Table29128[[#This Row],[GP '[ml/g']]]&lt;O$10,_xlfn.NORM.DIST(Table29128[[#This Row],[GP '[ml/g']]],O$6,O$2,FALSE),-100)</f>
        <v>-100</v>
      </c>
      <c r="BH188">
        <f>IF(Table29128[[#This Row],[SCFA '[mmol/g']]]&lt;P$10,_xlfn.NORM.DIST(Table29128[[#This Row],[SCFA '[mmol/g']]],P$6,P$2,FALSE),-100)</f>
        <v>-100</v>
      </c>
      <c r="BI188">
        <f>IF(Table29128[[#This Row],[Acetate '[%']]]&lt;Q$10,_xlfn.NORM.DIST(Table29128[[#This Row],[Acetate '[%']]],Q$6,Q$2,FALSE),-100)</f>
        <v>-100</v>
      </c>
      <c r="BJ188">
        <f>IF(Table29128[[#This Row],[Propionate '[%']]]&lt;R$10,_xlfn.NORM.DIST(Table29128[[#This Row],[Propionate '[%']]],R$6,R$2,FALSE),-100)</f>
        <v>-100</v>
      </c>
      <c r="BK188">
        <f>IF(Table29128[[#This Row],[Butyrate '[%']]]&lt;S$10,_xlfn.NORM.DIST(Table29128[[#This Row],[Butyrate '[%']]],S$6,S$2,FALSE),-100)</f>
        <v>-100</v>
      </c>
      <c r="BL188">
        <f>IF(Table29128[[#This Row],[Valerate '[%']]]&lt;T$10,_xlfn.NORM.DIST(Table29128[[#This Row],[Valerate '[%']]],T$6,T$2,FALSE),-100)</f>
        <v>-100</v>
      </c>
      <c r="BM188">
        <f>IF(Table29128[[#This Row],[Caproate '[%']]]&lt;U$10,_xlfn.NORM.DIST(Table29128[[#This Row],[Caproate '[%']]],U$6,U$2,FALSE),-100)</f>
        <v>-100</v>
      </c>
      <c r="BN188">
        <f>IF(Table29128[[#This Row],[Isobutyrate '[%']]]&lt;V$10,_xlfn.NORM.DIST(Table29128[[#This Row],[Isobutyrate '[%']]],V$6,V$2,FALSE),-100)</f>
        <v>-100</v>
      </c>
      <c r="BO188">
        <f>IF(Table29128[[#This Row],[Isovalerate '[%']]]&lt;W$10,_xlfn.NORM.DIST(Table29128[[#This Row],[Isovalerate '[%']]],W$6,W$2,FALSE),-100)</f>
        <v>-100</v>
      </c>
      <c r="BP188">
        <f>IF(Table29128[[#This Row],[CH4 '[g/mmol SCFA']]]&lt;X$10,_xlfn.NORM.DIST(Table29128[[#This Row],[CH4 '[g/mmol SCFA']]],X$6,X$2,FALSE),-100)</f>
        <v>-100</v>
      </c>
      <c r="BQ188" t="e">
        <f>IF(Table29128[[#This Row],[DMD '[mg/g']]]&gt;Y$10,_xlfn.NORM.DIST(Table29128[[#This Row],[DMD '[mg/g']]],Y$6,Y$2,FALSE),-100)</f>
        <v>#REF!</v>
      </c>
      <c r="BR188" t="e">
        <f>IF(Table29128[[#This Row],[CH4 '[ml/g']]]&lt;Z$10,_xlfn.NORM.DIST(Table29128[[#This Row],[CH4 '[ml/g']]],Z$6,Z$2,FALSE),-100)</f>
        <v>#REF!</v>
      </c>
      <c r="BS188" t="e">
        <f>IF(Table29128[[#This Row],[CH4 '[% GP']]]&lt;AA$10,_xlfn.NORM.DIST(Table29128[[#This Row],[CH4 '[% GP']]],AA$6,AA$2,FALSE),-100)</f>
        <v>#REF!</v>
      </c>
      <c r="BT188" t="e">
        <f>IF(Table29128[[#This Row],[CH4 '[g/g DDM']]]&lt;AB$10,_xlfn.NORM.DIST(Table29128[[#This Row],[CH4 '[g/g DDM']]],AB$6,AB$2,FALSE),-100)</f>
        <v>#REF!</v>
      </c>
    </row>
    <row r="189" spans="1:72" x14ac:dyDescent="0.25">
      <c r="A189" s="12" t="s">
        <v>200</v>
      </c>
      <c r="B189" s="13">
        <v>1150</v>
      </c>
      <c r="C189" s="117" t="s">
        <v>431</v>
      </c>
      <c r="D189" s="117" t="s">
        <v>432</v>
      </c>
      <c r="E189" s="117" t="s">
        <v>433</v>
      </c>
      <c r="F189" s="117" t="s">
        <v>434</v>
      </c>
      <c r="G189" s="15" t="s">
        <v>73</v>
      </c>
      <c r="H189" s="15" t="s">
        <v>74</v>
      </c>
      <c r="I189" t="s">
        <v>75</v>
      </c>
      <c r="J189" s="100">
        <v>1</v>
      </c>
      <c r="K189" s="100"/>
      <c r="L189" s="100" t="s">
        <v>627</v>
      </c>
      <c r="M189" t="s">
        <v>435</v>
      </c>
      <c r="N189" t="s">
        <v>171</v>
      </c>
      <c r="O189" s="18"/>
      <c r="P189" s="18"/>
      <c r="Q189" s="97"/>
      <c r="R189" s="97"/>
      <c r="S189" s="97"/>
      <c r="T189" s="97"/>
      <c r="U189" s="97"/>
      <c r="V189" s="97"/>
      <c r="W189" s="97"/>
      <c r="X189" s="51"/>
      <c r="Y189" s="18" t="e">
        <f>AVERAGEIFS([1]!Table2912[DMD '[mg/g']],[1]!Table2912[Substrate ID],Table29128[[#This Row],[Substrate ID]])</f>
        <v>#REF!</v>
      </c>
      <c r="Z189" s="18" t="e">
        <f>AVERAGEIFS([1]!Table2912[CH4 '[ml/g']],[1]!Table2912[Substrate ID],Table29128[[#This Row],[Substrate ID]])</f>
        <v>#REF!</v>
      </c>
      <c r="AA189" s="18" t="e">
        <f>AVERAGEIFS([1]!Table2912[CH4 '[% GP']],[1]!Table2912[Substrate ID],Table29128[[#This Row],[Substrate ID]])</f>
        <v>#REF!</v>
      </c>
      <c r="AB189" s="18" t="e">
        <f>AVERAGEIFS([1]!Table2912[CH4 '[g/g DDM']],[1]!Table2912[Substrate ID],Table29128[[#This Row],[Substrate ID]])</f>
        <v>#REF!</v>
      </c>
      <c r="AC189" s="18" t="e">
        <f>$CP$17*Table29128[[#This Row],[DMD '[mg/g']]]+$CQ$17*Table29128[[#This Row],[CH4 '[g/g DDM']]]</f>
        <v>#REF!</v>
      </c>
      <c r="AD189" s="18" t="e">
        <f>_xlfn.RANK.AVG(Table29128[[#This Row],[Index]],Table29128[Index])</f>
        <v>#REF!</v>
      </c>
      <c r="AE189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89" s="18" t="e">
        <f>Table29128[[#This Row],[CH4 '[ml/g']]]/Table29128[[#This Row],[APB]]</f>
        <v>#REF!</v>
      </c>
      <c r="AG189" s="18" t="e">
        <f>Table29128[[#This Row],[Propionate '[%']]]/Table29128[[#This Row],[Acetate '[%']]]</f>
        <v>#DIV/0!</v>
      </c>
      <c r="AH189" s="51"/>
      <c r="AI189" s="18"/>
      <c r="AJ189" s="18"/>
      <c r="AK189" s="135" t="e">
        <f t="shared" si="8"/>
        <v>#REF!</v>
      </c>
      <c r="AL189" s="18"/>
      <c r="AM189" s="135" t="e">
        <f t="shared" si="9"/>
        <v>#REF!</v>
      </c>
      <c r="AN189" s="18" t="e">
        <f>(Table29128[[#This Row],[CH4 '[g/g DDM']]]-AN$15)/AN$15%</f>
        <v>#REF!</v>
      </c>
      <c r="AO189" s="18"/>
      <c r="AP189" s="18"/>
      <c r="AR189" t="e">
        <f>_xlfn.NORM.DIST(Table29128[[#This Row],[GP '[ml/g']]],O$6,O$2,FALSE)</f>
        <v>#DIV/0!</v>
      </c>
      <c r="AS189" t="e">
        <f>_xlfn.NORM.DIST(Table29128[[#This Row],[SCFA '[mmol/g']]],P$6,P$2,FALSE)</f>
        <v>#DIV/0!</v>
      </c>
      <c r="AT189" t="e">
        <f>_xlfn.NORM.DIST(Table29128[[#This Row],[Acetate '[%']]],Q$6,Q$2,FALSE)</f>
        <v>#DIV/0!</v>
      </c>
      <c r="AU189" t="e">
        <f>_xlfn.NORM.DIST(Table29128[[#This Row],[Propionate '[%']]],R$6,R$2,FALSE)</f>
        <v>#DIV/0!</v>
      </c>
      <c r="AV189" t="e">
        <f>_xlfn.NORM.DIST(Table29128[[#This Row],[Butyrate '[%']]],S$6,S$2,FALSE)</f>
        <v>#DIV/0!</v>
      </c>
      <c r="AW189" t="e">
        <f>_xlfn.NORM.DIST(Table29128[[#This Row],[Valerate '[%']]],T$6,T$2,FALSE)</f>
        <v>#DIV/0!</v>
      </c>
      <c r="AX189" t="e">
        <f>_xlfn.NORM.DIST(Table29128[[#This Row],[Caproate '[%']]],U$6,U$2,FALSE)</f>
        <v>#DIV/0!</v>
      </c>
      <c r="AY189" t="e">
        <f>_xlfn.NORM.DIST(Table29128[[#This Row],[Isobutyrate '[%']]],V$6,V$2,FALSE)</f>
        <v>#DIV/0!</v>
      </c>
      <c r="AZ189" t="e">
        <f>_xlfn.NORM.DIST(Table29128[[#This Row],[Isovalerate '[%']]],W$6,W$2,FALSE)</f>
        <v>#DIV/0!</v>
      </c>
      <c r="BA189" t="e">
        <f>_xlfn.NORM.DIST(Table29128[[#This Row],[CH4 '[g/mmol SCFA']]],X$6,X$2,FALSE)</f>
        <v>#DIV/0!</v>
      </c>
      <c r="BB189" t="e">
        <f>_xlfn.NORM.DIST(Table29128[[#This Row],[DMD '[mg/g']]],Y$6,Y$2,FALSE)</f>
        <v>#REF!</v>
      </c>
      <c r="BC189" t="e">
        <f>_xlfn.NORM.DIST(Table29128[[#This Row],[CH4 '[ml/g']]],Z$6,Z$2,FALSE)</f>
        <v>#REF!</v>
      </c>
      <c r="BD189" t="e">
        <f>_xlfn.NORM.DIST(Table29128[[#This Row],[CH4 '[% GP']]],AA$6,AA$2,FALSE)</f>
        <v>#REF!</v>
      </c>
      <c r="BE189" t="e">
        <f>_xlfn.NORM.DIST(Table29128[[#This Row],[CH4 '[g/g DDM']]],AB$6,AB$2,FALSE)</f>
        <v>#REF!</v>
      </c>
      <c r="BG189">
        <f>IF(Table29128[[#This Row],[GP '[ml/g']]]&lt;O$10,_xlfn.NORM.DIST(Table29128[[#This Row],[GP '[ml/g']]],O$6,O$2,FALSE),-100)</f>
        <v>-100</v>
      </c>
      <c r="BH189">
        <f>IF(Table29128[[#This Row],[SCFA '[mmol/g']]]&lt;P$10,_xlfn.NORM.DIST(Table29128[[#This Row],[SCFA '[mmol/g']]],P$6,P$2,FALSE),-100)</f>
        <v>-100</v>
      </c>
      <c r="BI189">
        <f>IF(Table29128[[#This Row],[Acetate '[%']]]&lt;Q$10,_xlfn.NORM.DIST(Table29128[[#This Row],[Acetate '[%']]],Q$6,Q$2,FALSE),-100)</f>
        <v>-100</v>
      </c>
      <c r="BJ189">
        <f>IF(Table29128[[#This Row],[Propionate '[%']]]&lt;R$10,_xlfn.NORM.DIST(Table29128[[#This Row],[Propionate '[%']]],R$6,R$2,FALSE),-100)</f>
        <v>-100</v>
      </c>
      <c r="BK189">
        <f>IF(Table29128[[#This Row],[Butyrate '[%']]]&lt;S$10,_xlfn.NORM.DIST(Table29128[[#This Row],[Butyrate '[%']]],S$6,S$2,FALSE),-100)</f>
        <v>-100</v>
      </c>
      <c r="BL189">
        <f>IF(Table29128[[#This Row],[Valerate '[%']]]&lt;T$10,_xlfn.NORM.DIST(Table29128[[#This Row],[Valerate '[%']]],T$6,T$2,FALSE),-100)</f>
        <v>-100</v>
      </c>
      <c r="BM189">
        <f>IF(Table29128[[#This Row],[Caproate '[%']]]&lt;U$10,_xlfn.NORM.DIST(Table29128[[#This Row],[Caproate '[%']]],U$6,U$2,FALSE),-100)</f>
        <v>-100</v>
      </c>
      <c r="BN189">
        <f>IF(Table29128[[#This Row],[Isobutyrate '[%']]]&lt;V$10,_xlfn.NORM.DIST(Table29128[[#This Row],[Isobutyrate '[%']]],V$6,V$2,FALSE),-100)</f>
        <v>-100</v>
      </c>
      <c r="BO189">
        <f>IF(Table29128[[#This Row],[Isovalerate '[%']]]&lt;W$10,_xlfn.NORM.DIST(Table29128[[#This Row],[Isovalerate '[%']]],W$6,W$2,FALSE),-100)</f>
        <v>-100</v>
      </c>
      <c r="BP189">
        <f>IF(Table29128[[#This Row],[CH4 '[g/mmol SCFA']]]&lt;X$10,_xlfn.NORM.DIST(Table29128[[#This Row],[CH4 '[g/mmol SCFA']]],X$6,X$2,FALSE),-100)</f>
        <v>-100</v>
      </c>
      <c r="BQ189" t="e">
        <f>IF(Table29128[[#This Row],[DMD '[mg/g']]]&gt;Y$10,_xlfn.NORM.DIST(Table29128[[#This Row],[DMD '[mg/g']]],Y$6,Y$2,FALSE),-100)</f>
        <v>#REF!</v>
      </c>
      <c r="BR189" t="e">
        <f>IF(Table29128[[#This Row],[CH4 '[ml/g']]]&lt;Z$10,_xlfn.NORM.DIST(Table29128[[#This Row],[CH4 '[ml/g']]],Z$6,Z$2,FALSE),-100)</f>
        <v>#REF!</v>
      </c>
      <c r="BS189" t="e">
        <f>IF(Table29128[[#This Row],[CH4 '[% GP']]]&lt;AA$10,_xlfn.NORM.DIST(Table29128[[#This Row],[CH4 '[% GP']]],AA$6,AA$2,FALSE),-100)</f>
        <v>#REF!</v>
      </c>
      <c r="BT189" t="e">
        <f>IF(Table29128[[#This Row],[CH4 '[g/g DDM']]]&lt;AB$10,_xlfn.NORM.DIST(Table29128[[#This Row],[CH4 '[g/g DDM']]],AB$6,AB$2,FALSE),-100)</f>
        <v>#REF!</v>
      </c>
    </row>
    <row r="190" spans="1:72" x14ac:dyDescent="0.25">
      <c r="A190" s="12" t="s">
        <v>70</v>
      </c>
      <c r="B190" s="13">
        <v>987</v>
      </c>
      <c r="C190" s="96" t="s">
        <v>370</v>
      </c>
      <c r="D190" s="96"/>
      <c r="E190" s="96"/>
      <c r="F190" s="96" t="s">
        <v>371</v>
      </c>
      <c r="G190" s="15" t="s">
        <v>73</v>
      </c>
      <c r="H190" s="15" t="s">
        <v>74</v>
      </c>
      <c r="I190" t="s">
        <v>75</v>
      </c>
      <c r="J190" s="100">
        <v>1</v>
      </c>
      <c r="K190" s="100"/>
      <c r="L190" s="100"/>
      <c r="M190" t="s">
        <v>371</v>
      </c>
      <c r="N190" t="s">
        <v>85</v>
      </c>
      <c r="O190" s="18"/>
      <c r="P190" s="18"/>
      <c r="Q190" s="97"/>
      <c r="R190" s="97"/>
      <c r="S190" s="97"/>
      <c r="T190" s="97"/>
      <c r="U190" s="97"/>
      <c r="V190" s="97"/>
      <c r="W190" s="97"/>
      <c r="X190" s="51"/>
      <c r="Y190" s="18" t="e">
        <f>AVERAGEIFS([1]!Table2912[DMD '[mg/g']],[1]!Table2912[Substrate ID],Table29128[[#This Row],[Substrate ID]])</f>
        <v>#REF!</v>
      </c>
      <c r="Z190" s="18" t="e">
        <f>AVERAGEIFS([1]!Table2912[CH4 '[ml/g']],[1]!Table2912[Substrate ID],Table29128[[#This Row],[Substrate ID]])</f>
        <v>#REF!</v>
      </c>
      <c r="AA190" s="18" t="e">
        <f>AVERAGEIFS([1]!Table2912[CH4 '[% GP']],[1]!Table2912[Substrate ID],Table29128[[#This Row],[Substrate ID]])</f>
        <v>#REF!</v>
      </c>
      <c r="AB190" s="18" t="e">
        <f>AVERAGEIFS([1]!Table2912[CH4 '[g/g DDM']],[1]!Table2912[Substrate ID],Table29128[[#This Row],[Substrate ID]])</f>
        <v>#REF!</v>
      </c>
      <c r="AC190" s="18" t="e">
        <f>$CP$17*Table29128[[#This Row],[DMD '[mg/g']]]+$CQ$17*Table29128[[#This Row],[CH4 '[g/g DDM']]]</f>
        <v>#REF!</v>
      </c>
      <c r="AD190" s="18" t="e">
        <f>_xlfn.RANK.AVG(Table29128[[#This Row],[Index]],Table29128[Index])</f>
        <v>#REF!</v>
      </c>
      <c r="AE190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90" s="18" t="e">
        <f>Table29128[[#This Row],[CH4 '[ml/g']]]/Table29128[[#This Row],[APB]]</f>
        <v>#REF!</v>
      </c>
      <c r="AG190" s="18" t="e">
        <f>Table29128[[#This Row],[Propionate '[%']]]/Table29128[[#This Row],[Acetate '[%']]]</f>
        <v>#DIV/0!</v>
      </c>
      <c r="AH190" s="51"/>
      <c r="AI190" s="18"/>
      <c r="AJ190" s="18"/>
      <c r="AK190" s="135" t="e">
        <f t="shared" si="8"/>
        <v>#REF!</v>
      </c>
      <c r="AL190" s="18"/>
      <c r="AM190" s="135" t="e">
        <f t="shared" si="9"/>
        <v>#REF!</v>
      </c>
      <c r="AN190" s="18" t="e">
        <f>(Table29128[[#This Row],[CH4 '[g/g DDM']]]-AN$15)/AN$15%</f>
        <v>#REF!</v>
      </c>
      <c r="AO190" s="18"/>
      <c r="AP190" s="18"/>
      <c r="AR190" t="e">
        <f>_xlfn.NORM.DIST(Table29128[[#This Row],[GP '[ml/g']]],O$6,O$2,FALSE)</f>
        <v>#DIV/0!</v>
      </c>
      <c r="AS190" t="e">
        <f>_xlfn.NORM.DIST(Table29128[[#This Row],[SCFA '[mmol/g']]],P$6,P$2,FALSE)</f>
        <v>#DIV/0!</v>
      </c>
      <c r="AT190" t="e">
        <f>_xlfn.NORM.DIST(Table29128[[#This Row],[Acetate '[%']]],Q$6,Q$2,FALSE)</f>
        <v>#DIV/0!</v>
      </c>
      <c r="AU190" t="e">
        <f>_xlfn.NORM.DIST(Table29128[[#This Row],[Propionate '[%']]],R$6,R$2,FALSE)</f>
        <v>#DIV/0!</v>
      </c>
      <c r="AV190" t="e">
        <f>_xlfn.NORM.DIST(Table29128[[#This Row],[Butyrate '[%']]],S$6,S$2,FALSE)</f>
        <v>#DIV/0!</v>
      </c>
      <c r="AW190" t="e">
        <f>_xlfn.NORM.DIST(Table29128[[#This Row],[Valerate '[%']]],T$6,T$2,FALSE)</f>
        <v>#DIV/0!</v>
      </c>
      <c r="AX190" t="e">
        <f>_xlfn.NORM.DIST(Table29128[[#This Row],[Caproate '[%']]],U$6,U$2,FALSE)</f>
        <v>#DIV/0!</v>
      </c>
      <c r="AY190" t="e">
        <f>_xlfn.NORM.DIST(Table29128[[#This Row],[Isobutyrate '[%']]],V$6,V$2,FALSE)</f>
        <v>#DIV/0!</v>
      </c>
      <c r="AZ190" t="e">
        <f>_xlfn.NORM.DIST(Table29128[[#This Row],[Isovalerate '[%']]],W$6,W$2,FALSE)</f>
        <v>#DIV/0!</v>
      </c>
      <c r="BA190" t="e">
        <f>_xlfn.NORM.DIST(Table29128[[#This Row],[CH4 '[g/mmol SCFA']]],X$6,X$2,FALSE)</f>
        <v>#DIV/0!</v>
      </c>
      <c r="BB190" t="e">
        <f>_xlfn.NORM.DIST(Table29128[[#This Row],[DMD '[mg/g']]],Y$6,Y$2,FALSE)</f>
        <v>#REF!</v>
      </c>
      <c r="BC190" t="e">
        <f>_xlfn.NORM.DIST(Table29128[[#This Row],[CH4 '[ml/g']]],Z$6,Z$2,FALSE)</f>
        <v>#REF!</v>
      </c>
      <c r="BD190" t="e">
        <f>_xlfn.NORM.DIST(Table29128[[#This Row],[CH4 '[% GP']]],AA$6,AA$2,FALSE)</f>
        <v>#REF!</v>
      </c>
      <c r="BE190" t="e">
        <f>_xlfn.NORM.DIST(Table29128[[#This Row],[CH4 '[g/g DDM']]],AB$6,AB$2,FALSE)</f>
        <v>#REF!</v>
      </c>
      <c r="BG190">
        <f>IF(Table29128[[#This Row],[GP '[ml/g']]]&lt;O$10,_xlfn.NORM.DIST(Table29128[[#This Row],[GP '[ml/g']]],O$6,O$2,FALSE),-100)</f>
        <v>-100</v>
      </c>
      <c r="BH190">
        <f>IF(Table29128[[#This Row],[SCFA '[mmol/g']]]&lt;P$10,_xlfn.NORM.DIST(Table29128[[#This Row],[SCFA '[mmol/g']]],P$6,P$2,FALSE),-100)</f>
        <v>-100</v>
      </c>
      <c r="BI190">
        <f>IF(Table29128[[#This Row],[Acetate '[%']]]&lt;Q$10,_xlfn.NORM.DIST(Table29128[[#This Row],[Acetate '[%']]],Q$6,Q$2,FALSE),-100)</f>
        <v>-100</v>
      </c>
      <c r="BJ190">
        <f>IF(Table29128[[#This Row],[Propionate '[%']]]&lt;R$10,_xlfn.NORM.DIST(Table29128[[#This Row],[Propionate '[%']]],R$6,R$2,FALSE),-100)</f>
        <v>-100</v>
      </c>
      <c r="BK190">
        <f>IF(Table29128[[#This Row],[Butyrate '[%']]]&lt;S$10,_xlfn.NORM.DIST(Table29128[[#This Row],[Butyrate '[%']]],S$6,S$2,FALSE),-100)</f>
        <v>-100</v>
      </c>
      <c r="BL190">
        <f>IF(Table29128[[#This Row],[Valerate '[%']]]&lt;T$10,_xlfn.NORM.DIST(Table29128[[#This Row],[Valerate '[%']]],T$6,T$2,FALSE),-100)</f>
        <v>-100</v>
      </c>
      <c r="BM190">
        <f>IF(Table29128[[#This Row],[Caproate '[%']]]&lt;U$10,_xlfn.NORM.DIST(Table29128[[#This Row],[Caproate '[%']]],U$6,U$2,FALSE),-100)</f>
        <v>-100</v>
      </c>
      <c r="BN190">
        <f>IF(Table29128[[#This Row],[Isobutyrate '[%']]]&lt;V$10,_xlfn.NORM.DIST(Table29128[[#This Row],[Isobutyrate '[%']]],V$6,V$2,FALSE),-100)</f>
        <v>-100</v>
      </c>
      <c r="BO190">
        <f>IF(Table29128[[#This Row],[Isovalerate '[%']]]&lt;W$10,_xlfn.NORM.DIST(Table29128[[#This Row],[Isovalerate '[%']]],W$6,W$2,FALSE),-100)</f>
        <v>-100</v>
      </c>
      <c r="BP190">
        <f>IF(Table29128[[#This Row],[CH4 '[g/mmol SCFA']]]&lt;X$10,_xlfn.NORM.DIST(Table29128[[#This Row],[CH4 '[g/mmol SCFA']]],X$6,X$2,FALSE),-100)</f>
        <v>-100</v>
      </c>
      <c r="BQ190" t="e">
        <f>IF(Table29128[[#This Row],[DMD '[mg/g']]]&gt;Y$10,_xlfn.NORM.DIST(Table29128[[#This Row],[DMD '[mg/g']]],Y$6,Y$2,FALSE),-100)</f>
        <v>#REF!</v>
      </c>
      <c r="BR190" t="e">
        <f>IF(Table29128[[#This Row],[CH4 '[ml/g']]]&lt;Z$10,_xlfn.NORM.DIST(Table29128[[#This Row],[CH4 '[ml/g']]],Z$6,Z$2,FALSE),-100)</f>
        <v>#REF!</v>
      </c>
      <c r="BS190" t="e">
        <f>IF(Table29128[[#This Row],[CH4 '[% GP']]]&lt;AA$10,_xlfn.NORM.DIST(Table29128[[#This Row],[CH4 '[% GP']]],AA$6,AA$2,FALSE),-100)</f>
        <v>#REF!</v>
      </c>
      <c r="BT190" t="e">
        <f>IF(Table29128[[#This Row],[CH4 '[g/g DDM']]]&lt;AB$10,_xlfn.NORM.DIST(Table29128[[#This Row],[CH4 '[g/g DDM']]],AB$6,AB$2,FALSE),-100)</f>
        <v>#REF!</v>
      </c>
    </row>
    <row r="191" spans="1:72" x14ac:dyDescent="0.25">
      <c r="A191" s="12" t="s">
        <v>70</v>
      </c>
      <c r="B191" s="13">
        <v>997</v>
      </c>
      <c r="C191" s="96" t="s">
        <v>334</v>
      </c>
      <c r="D191" s="96"/>
      <c r="E191" s="96"/>
      <c r="F191" s="96" t="s">
        <v>335</v>
      </c>
      <c r="G191" t="s">
        <v>73</v>
      </c>
      <c r="H191" t="s">
        <v>74</v>
      </c>
      <c r="I191" t="s">
        <v>75</v>
      </c>
      <c r="J191" s="100">
        <v>1</v>
      </c>
      <c r="K191" s="100"/>
      <c r="L191" s="100"/>
      <c r="M191" t="s">
        <v>335</v>
      </c>
      <c r="N191" t="s">
        <v>180</v>
      </c>
      <c r="O191" s="18"/>
      <c r="P191" s="18"/>
      <c r="Q191" s="97"/>
      <c r="R191" s="97"/>
      <c r="S191" s="97"/>
      <c r="T191" s="97"/>
      <c r="U191" s="97"/>
      <c r="V191" s="97"/>
      <c r="W191" s="97"/>
      <c r="X191" s="51"/>
      <c r="Y191" s="18" t="e">
        <f>AVERAGEIFS([1]!Table2912[DMD '[mg/g']],[1]!Table2912[Substrate ID],Table29128[[#This Row],[Substrate ID]])</f>
        <v>#REF!</v>
      </c>
      <c r="Z191" s="18" t="e">
        <f>AVERAGEIFS([1]!Table2912[CH4 '[ml/g']],[1]!Table2912[Substrate ID],Table29128[[#This Row],[Substrate ID]])</f>
        <v>#REF!</v>
      </c>
      <c r="AA191" s="18" t="e">
        <f>AVERAGEIFS([1]!Table2912[CH4 '[% GP']],[1]!Table2912[Substrate ID],Table29128[[#This Row],[Substrate ID]])</f>
        <v>#REF!</v>
      </c>
      <c r="AB191" s="18" t="e">
        <f>AVERAGEIFS([1]!Table2912[CH4 '[g/g DDM']],[1]!Table2912[Substrate ID],Table29128[[#This Row],[Substrate ID]])</f>
        <v>#REF!</v>
      </c>
      <c r="AC191" s="18" t="e">
        <f>$CP$17*Table29128[[#This Row],[DMD '[mg/g']]]+$CQ$17*Table29128[[#This Row],[CH4 '[g/g DDM']]]</f>
        <v>#REF!</v>
      </c>
      <c r="AD191" s="18" t="e">
        <f>_xlfn.RANK.AVG(Table29128[[#This Row],[Index]],Table29128[Index])</f>
        <v>#REF!</v>
      </c>
      <c r="AE191" s="18">
        <f>Table29128[[#This Row],[Butyrate '[%']]]*Table29128[[#This Row],[SCFA '[mmol/g']]]+Table29128[[#This Row],[Propionate '[%']]]*Table29128[[#This Row],[SCFA '[mmol/g']]]+Table29128[[#This Row],[Acetate '[%']]]*Table29128[[#This Row],[SCFA '[mmol/g']]]</f>
        <v>0</v>
      </c>
      <c r="AF191" s="18" t="e">
        <f>Table29128[[#This Row],[CH4 '[ml/g']]]/Table29128[[#This Row],[APB]]</f>
        <v>#REF!</v>
      </c>
      <c r="AG191" s="18" t="e">
        <f>Table29128[[#This Row],[Propionate '[%']]]/Table29128[[#This Row],[Acetate '[%']]]</f>
        <v>#DIV/0!</v>
      </c>
      <c r="AH191" s="51"/>
      <c r="AI191" s="18"/>
      <c r="AJ191" s="18"/>
      <c r="AK191" s="135" t="e">
        <f t="shared" si="8"/>
        <v>#REF!</v>
      </c>
      <c r="AL191" s="18"/>
      <c r="AM191" s="135" t="e">
        <f t="shared" si="9"/>
        <v>#REF!</v>
      </c>
      <c r="AN191" s="18" t="e">
        <f>(Table29128[[#This Row],[CH4 '[g/g DDM']]]-AN$15)/AN$15%</f>
        <v>#REF!</v>
      </c>
      <c r="AO191" s="18"/>
      <c r="AP191" s="18"/>
      <c r="AR191" t="e">
        <f>_xlfn.NORM.DIST(Table29128[[#This Row],[GP '[ml/g']]],O$6,O$2,FALSE)</f>
        <v>#DIV/0!</v>
      </c>
      <c r="AS191" t="e">
        <f>_xlfn.NORM.DIST(Table29128[[#This Row],[SCFA '[mmol/g']]],P$6,P$2,FALSE)</f>
        <v>#DIV/0!</v>
      </c>
      <c r="AT191" t="e">
        <f>_xlfn.NORM.DIST(Table29128[[#This Row],[Acetate '[%']]],Q$6,Q$2,FALSE)</f>
        <v>#DIV/0!</v>
      </c>
      <c r="AU191" t="e">
        <f>_xlfn.NORM.DIST(Table29128[[#This Row],[Propionate '[%']]],R$6,R$2,FALSE)</f>
        <v>#DIV/0!</v>
      </c>
      <c r="AV191" t="e">
        <f>_xlfn.NORM.DIST(Table29128[[#This Row],[Butyrate '[%']]],S$6,S$2,FALSE)</f>
        <v>#DIV/0!</v>
      </c>
      <c r="AW191" t="e">
        <f>_xlfn.NORM.DIST(Table29128[[#This Row],[Valerate '[%']]],T$6,T$2,FALSE)</f>
        <v>#DIV/0!</v>
      </c>
      <c r="AX191" t="e">
        <f>_xlfn.NORM.DIST(Table29128[[#This Row],[Caproate '[%']]],U$6,U$2,FALSE)</f>
        <v>#DIV/0!</v>
      </c>
      <c r="AY191" t="e">
        <f>_xlfn.NORM.DIST(Table29128[[#This Row],[Isobutyrate '[%']]],V$6,V$2,FALSE)</f>
        <v>#DIV/0!</v>
      </c>
      <c r="AZ191" t="e">
        <f>_xlfn.NORM.DIST(Table29128[[#This Row],[Isovalerate '[%']]],W$6,W$2,FALSE)</f>
        <v>#DIV/0!</v>
      </c>
      <c r="BA191" t="e">
        <f>_xlfn.NORM.DIST(Table29128[[#This Row],[CH4 '[g/mmol SCFA']]],X$6,X$2,FALSE)</f>
        <v>#DIV/0!</v>
      </c>
      <c r="BB191" t="e">
        <f>_xlfn.NORM.DIST(Table29128[[#This Row],[DMD '[mg/g']]],Y$6,Y$2,FALSE)</f>
        <v>#REF!</v>
      </c>
      <c r="BC191" t="e">
        <f>_xlfn.NORM.DIST(Table29128[[#This Row],[CH4 '[ml/g']]],Z$6,Z$2,FALSE)</f>
        <v>#REF!</v>
      </c>
      <c r="BD191" t="e">
        <f>_xlfn.NORM.DIST(Table29128[[#This Row],[CH4 '[% GP']]],AA$6,AA$2,FALSE)</f>
        <v>#REF!</v>
      </c>
      <c r="BE191" t="e">
        <f>_xlfn.NORM.DIST(Table29128[[#This Row],[CH4 '[g/g DDM']]],AB$6,AB$2,FALSE)</f>
        <v>#REF!</v>
      </c>
      <c r="BG191">
        <f>IF(Table29128[[#This Row],[GP '[ml/g']]]&lt;O$10,_xlfn.NORM.DIST(Table29128[[#This Row],[GP '[ml/g']]],O$6,O$2,FALSE),-100)</f>
        <v>-100</v>
      </c>
      <c r="BH191">
        <f>IF(Table29128[[#This Row],[SCFA '[mmol/g']]]&lt;P$10,_xlfn.NORM.DIST(Table29128[[#This Row],[SCFA '[mmol/g']]],P$6,P$2,FALSE),-100)</f>
        <v>-100</v>
      </c>
      <c r="BI191">
        <f>IF(Table29128[[#This Row],[Acetate '[%']]]&lt;Q$10,_xlfn.NORM.DIST(Table29128[[#This Row],[Acetate '[%']]],Q$6,Q$2,FALSE),-100)</f>
        <v>-100</v>
      </c>
      <c r="BJ191">
        <f>IF(Table29128[[#This Row],[Propionate '[%']]]&lt;R$10,_xlfn.NORM.DIST(Table29128[[#This Row],[Propionate '[%']]],R$6,R$2,FALSE),-100)</f>
        <v>-100</v>
      </c>
      <c r="BK191">
        <f>IF(Table29128[[#This Row],[Butyrate '[%']]]&lt;S$10,_xlfn.NORM.DIST(Table29128[[#This Row],[Butyrate '[%']]],S$6,S$2,FALSE),-100)</f>
        <v>-100</v>
      </c>
      <c r="BL191">
        <f>IF(Table29128[[#This Row],[Valerate '[%']]]&lt;T$10,_xlfn.NORM.DIST(Table29128[[#This Row],[Valerate '[%']]],T$6,T$2,FALSE),-100)</f>
        <v>-100</v>
      </c>
      <c r="BM191">
        <f>IF(Table29128[[#This Row],[Caproate '[%']]]&lt;U$10,_xlfn.NORM.DIST(Table29128[[#This Row],[Caproate '[%']]],U$6,U$2,FALSE),-100)</f>
        <v>-100</v>
      </c>
      <c r="BN191">
        <f>IF(Table29128[[#This Row],[Isobutyrate '[%']]]&lt;V$10,_xlfn.NORM.DIST(Table29128[[#This Row],[Isobutyrate '[%']]],V$6,V$2,FALSE),-100)</f>
        <v>-100</v>
      </c>
      <c r="BO191">
        <f>IF(Table29128[[#This Row],[Isovalerate '[%']]]&lt;W$10,_xlfn.NORM.DIST(Table29128[[#This Row],[Isovalerate '[%']]],W$6,W$2,FALSE),-100)</f>
        <v>-100</v>
      </c>
      <c r="BP191">
        <f>IF(Table29128[[#This Row],[CH4 '[g/mmol SCFA']]]&lt;X$10,_xlfn.NORM.DIST(Table29128[[#This Row],[CH4 '[g/mmol SCFA']]],X$6,X$2,FALSE),-100)</f>
        <v>-100</v>
      </c>
      <c r="BQ191" t="e">
        <f>IF(Table29128[[#This Row],[DMD '[mg/g']]]&gt;Y$10,_xlfn.NORM.DIST(Table29128[[#This Row],[DMD '[mg/g']]],Y$6,Y$2,FALSE),-100)</f>
        <v>#REF!</v>
      </c>
      <c r="BR191" t="e">
        <f>IF(Table29128[[#This Row],[CH4 '[ml/g']]]&lt;Z$10,_xlfn.NORM.DIST(Table29128[[#This Row],[CH4 '[ml/g']]],Z$6,Z$2,FALSE),-100)</f>
        <v>#REF!</v>
      </c>
      <c r="BS191" t="e">
        <f>IF(Table29128[[#This Row],[CH4 '[% GP']]]&lt;AA$10,_xlfn.NORM.DIST(Table29128[[#This Row],[CH4 '[% GP']]],AA$6,AA$2,FALSE),-100)</f>
        <v>#REF!</v>
      </c>
      <c r="BT191" t="e">
        <f>IF(Table29128[[#This Row],[CH4 '[g/g DDM']]]&lt;AB$10,_xlfn.NORM.DIST(Table29128[[#This Row],[CH4 '[g/g DDM']]],AB$6,AB$2,FALSE),-100)</f>
        <v>#REF!</v>
      </c>
    </row>
    <row r="192" spans="1:72" x14ac:dyDescent="0.25">
      <c r="A192" s="12"/>
      <c r="B192" s="13"/>
      <c r="C192" s="13"/>
      <c r="D192" s="13"/>
      <c r="E192" s="13"/>
      <c r="F192" s="13"/>
      <c r="G192" s="13"/>
      <c r="H192" s="13"/>
      <c r="I192" s="13"/>
      <c r="J192" s="100"/>
      <c r="K192" s="100"/>
      <c r="L192" s="100"/>
      <c r="O192" s="18"/>
      <c r="P192" s="18"/>
      <c r="Q192" s="97"/>
      <c r="R192" s="97"/>
      <c r="S192" s="97"/>
      <c r="T192" s="97"/>
      <c r="U192" s="97"/>
      <c r="V192" s="97"/>
      <c r="W192" s="97"/>
      <c r="X192" s="51"/>
      <c r="Y192" s="18"/>
      <c r="Z192" s="18"/>
      <c r="AA192" s="18"/>
      <c r="AB192" s="18"/>
      <c r="AC192" s="18"/>
      <c r="AD192" s="18"/>
      <c r="AE192" s="18"/>
      <c r="AF192" s="18"/>
      <c r="AG192" s="18"/>
      <c r="AH192" s="51"/>
      <c r="AI192" s="18"/>
      <c r="AJ192" s="18"/>
      <c r="AK192" s="18"/>
      <c r="AL192" s="18"/>
      <c r="AM192" s="18"/>
      <c r="AN192" s="18"/>
      <c r="AO192" s="18"/>
      <c r="AP192" s="18"/>
    </row>
    <row r="193" spans="1:42" x14ac:dyDescent="0.25">
      <c r="A193" s="12"/>
      <c r="B193" s="13"/>
      <c r="C193" s="13"/>
      <c r="D193" s="13"/>
      <c r="E193" s="13"/>
      <c r="F193" s="13"/>
      <c r="G193" s="13"/>
      <c r="H193" s="13"/>
      <c r="I193" s="13"/>
      <c r="J193" s="100"/>
      <c r="K193" s="100"/>
      <c r="L193" s="100"/>
      <c r="O193" s="18"/>
      <c r="P193" s="18"/>
      <c r="Q193" s="97"/>
      <c r="R193" s="97"/>
      <c r="S193" s="97"/>
      <c r="T193" s="97"/>
      <c r="U193" s="97"/>
      <c r="V193" s="97"/>
      <c r="W193" s="97"/>
      <c r="X193" s="51"/>
      <c r="Y193" s="18"/>
      <c r="Z193" s="18"/>
      <c r="AA193" s="18"/>
      <c r="AB193" s="18"/>
      <c r="AC193" s="18"/>
      <c r="AD193" s="18"/>
      <c r="AE193" s="18"/>
      <c r="AF193" s="18"/>
      <c r="AG193" s="18"/>
      <c r="AH193" s="51"/>
      <c r="AI193" s="18"/>
      <c r="AJ193" s="18"/>
      <c r="AK193" s="18"/>
      <c r="AL193" s="18"/>
      <c r="AM193" s="18"/>
      <c r="AN193" s="18"/>
      <c r="AO193" s="18"/>
      <c r="AP193" s="18"/>
    </row>
    <row r="194" spans="1:42" x14ac:dyDescent="0.25">
      <c r="A194" s="12"/>
      <c r="B194" s="13"/>
      <c r="C194" s="13"/>
      <c r="D194" s="13"/>
      <c r="E194" s="13"/>
      <c r="F194" s="13"/>
      <c r="G194" s="13"/>
      <c r="H194" s="13"/>
      <c r="I194" s="13"/>
      <c r="J194" s="100"/>
      <c r="K194" s="100"/>
      <c r="L194" s="100"/>
      <c r="O194" s="18"/>
      <c r="P194" s="18"/>
      <c r="Q194" s="97"/>
      <c r="R194" s="97"/>
      <c r="S194" s="97"/>
      <c r="T194" s="97"/>
      <c r="U194" s="97"/>
      <c r="V194" s="97"/>
      <c r="W194" s="97"/>
      <c r="X194" s="51"/>
      <c r="Y194" s="18"/>
      <c r="Z194" s="18"/>
      <c r="AA194" s="18"/>
      <c r="AB194" s="18"/>
      <c r="AC194" s="18"/>
      <c r="AD194" s="18"/>
      <c r="AE194" s="18"/>
      <c r="AF194" s="18"/>
      <c r="AG194" s="18"/>
      <c r="AH194" s="51"/>
      <c r="AI194" s="18"/>
      <c r="AJ194" s="18"/>
      <c r="AK194" s="18"/>
      <c r="AL194" s="18"/>
      <c r="AM194" s="18"/>
      <c r="AN194" s="18"/>
      <c r="AO194" s="18"/>
      <c r="AP194" s="18"/>
    </row>
    <row r="195" spans="1:42" x14ac:dyDescent="0.25">
      <c r="A195" s="12"/>
      <c r="B195" s="13"/>
      <c r="C195" s="13"/>
      <c r="D195" s="13"/>
      <c r="E195" s="13"/>
      <c r="F195" s="13"/>
      <c r="G195" s="13"/>
      <c r="H195" s="13"/>
      <c r="I195" s="13"/>
      <c r="J195" s="100"/>
      <c r="K195" s="100"/>
      <c r="L195" s="100"/>
      <c r="O195" s="18"/>
      <c r="P195" s="18"/>
      <c r="Q195" s="97"/>
      <c r="R195" s="97"/>
      <c r="S195" s="97"/>
      <c r="T195" s="97"/>
      <c r="U195" s="97"/>
      <c r="V195" s="97"/>
      <c r="W195" s="97"/>
      <c r="X195" s="51"/>
      <c r="Y195" s="18"/>
      <c r="Z195" s="18"/>
      <c r="AA195" s="18"/>
      <c r="AB195" s="18"/>
      <c r="AC195" s="18"/>
      <c r="AD195" s="18"/>
      <c r="AE195" s="18"/>
      <c r="AF195" s="18"/>
      <c r="AG195" s="18"/>
      <c r="AH195" s="51"/>
      <c r="AI195" s="18"/>
      <c r="AJ195" s="18"/>
      <c r="AK195" s="18"/>
      <c r="AL195" s="18"/>
      <c r="AM195" s="18"/>
      <c r="AN195" s="18"/>
      <c r="AO195" s="18"/>
      <c r="AP195" s="18"/>
    </row>
    <row r="196" spans="1:42" x14ac:dyDescent="0.25">
      <c r="A196" s="12"/>
      <c r="B196" s="13"/>
      <c r="C196" s="13"/>
      <c r="D196" s="13"/>
      <c r="E196" s="13"/>
      <c r="F196" s="13"/>
      <c r="G196" s="13"/>
      <c r="H196" s="13"/>
      <c r="I196" s="13"/>
      <c r="J196" s="100"/>
      <c r="K196" s="100"/>
      <c r="L196" s="100"/>
      <c r="O196" s="18"/>
      <c r="P196" s="18"/>
      <c r="Q196" s="97"/>
      <c r="R196" s="97"/>
      <c r="S196" s="97"/>
      <c r="T196" s="97"/>
      <c r="U196" s="97"/>
      <c r="V196" s="97"/>
      <c r="W196" s="97"/>
      <c r="X196" s="51"/>
      <c r="Y196" s="18"/>
      <c r="Z196" s="18"/>
      <c r="AA196" s="18"/>
      <c r="AB196" s="18"/>
      <c r="AC196" s="18"/>
      <c r="AD196" s="18"/>
      <c r="AE196" s="18"/>
      <c r="AF196" s="18"/>
      <c r="AG196" s="18"/>
      <c r="AH196" s="51"/>
      <c r="AI196" s="18"/>
      <c r="AJ196" s="18"/>
      <c r="AK196" s="18"/>
      <c r="AL196" s="18"/>
      <c r="AM196" s="18"/>
      <c r="AN196" s="18"/>
      <c r="AO196" s="18"/>
      <c r="AP196" s="18"/>
    </row>
    <row r="197" spans="1:42" x14ac:dyDescent="0.25">
      <c r="A197" s="12"/>
      <c r="B197" s="13"/>
      <c r="C197" s="13"/>
      <c r="D197" s="13"/>
      <c r="E197" s="13"/>
      <c r="F197" s="13"/>
      <c r="G197" s="13"/>
      <c r="H197" s="13"/>
      <c r="I197" s="13"/>
      <c r="J197" s="100"/>
      <c r="K197" s="100"/>
      <c r="L197" s="100"/>
      <c r="O197" s="18"/>
      <c r="P197" s="18"/>
      <c r="Q197" s="97"/>
      <c r="R197" s="97"/>
      <c r="S197" s="97"/>
      <c r="T197" s="97"/>
      <c r="U197" s="97"/>
      <c r="V197" s="97"/>
      <c r="W197" s="97"/>
      <c r="X197" s="51"/>
      <c r="Y197" s="18"/>
      <c r="Z197" s="18"/>
      <c r="AA197" s="18"/>
      <c r="AB197" s="18"/>
      <c r="AC197" s="18"/>
      <c r="AD197" s="18"/>
      <c r="AE197" s="18"/>
      <c r="AF197" s="18"/>
      <c r="AG197" s="18"/>
      <c r="AH197" s="51"/>
      <c r="AI197" s="18"/>
      <c r="AJ197" s="18"/>
      <c r="AK197" s="18"/>
      <c r="AL197" s="18"/>
      <c r="AM197" s="18"/>
      <c r="AN197" s="18"/>
      <c r="AO197" s="18"/>
      <c r="AP197" s="18"/>
    </row>
    <row r="198" spans="1:42" x14ac:dyDescent="0.25">
      <c r="A198" s="12"/>
      <c r="B198" s="13"/>
      <c r="C198" s="13"/>
      <c r="D198" s="13"/>
      <c r="E198" s="13"/>
      <c r="F198" s="13"/>
      <c r="G198" s="13"/>
      <c r="H198" s="13"/>
      <c r="I198" s="13"/>
      <c r="J198" s="100"/>
      <c r="K198" s="100"/>
      <c r="L198" s="100"/>
      <c r="O198" s="18"/>
      <c r="P198" s="18"/>
      <c r="Q198" s="97"/>
      <c r="R198" s="97"/>
      <c r="S198" s="97"/>
      <c r="T198" s="97"/>
      <c r="U198" s="97"/>
      <c r="V198" s="97"/>
      <c r="W198" s="97"/>
      <c r="X198" s="51"/>
      <c r="Y198" s="18"/>
      <c r="Z198" s="18"/>
      <c r="AA198" s="18"/>
      <c r="AB198" s="18"/>
      <c r="AC198" s="18"/>
      <c r="AD198" s="18"/>
      <c r="AE198" s="18"/>
      <c r="AF198" s="18"/>
      <c r="AG198" s="18"/>
      <c r="AH198" s="51"/>
      <c r="AI198" s="18"/>
      <c r="AJ198" s="18"/>
      <c r="AK198" s="18"/>
      <c r="AL198" s="18"/>
      <c r="AM198" s="18"/>
      <c r="AN198" s="18"/>
      <c r="AO198" s="18"/>
      <c r="AP198" s="18"/>
    </row>
    <row r="199" spans="1:42" x14ac:dyDescent="0.25">
      <c r="A199" s="12"/>
      <c r="B199" s="13"/>
      <c r="C199" s="13"/>
      <c r="D199" s="13"/>
      <c r="E199" s="13"/>
      <c r="F199" s="13"/>
      <c r="G199" s="13"/>
      <c r="H199" s="13"/>
      <c r="I199" s="13"/>
      <c r="J199" s="100"/>
      <c r="K199" s="100"/>
      <c r="L199" s="100"/>
      <c r="O199" s="18"/>
      <c r="P199" s="18"/>
      <c r="Q199" s="97"/>
      <c r="R199" s="97"/>
      <c r="S199" s="97"/>
      <c r="T199" s="97"/>
      <c r="U199" s="97"/>
      <c r="V199" s="97"/>
      <c r="W199" s="97"/>
      <c r="X199" s="51"/>
      <c r="Y199" s="18"/>
      <c r="Z199" s="18"/>
      <c r="AA199" s="18"/>
      <c r="AB199" s="18"/>
      <c r="AC199" s="18"/>
      <c r="AD199" s="18"/>
      <c r="AE199" s="18"/>
      <c r="AF199" s="18"/>
      <c r="AG199" s="18"/>
      <c r="AH199" s="51"/>
      <c r="AI199" s="18"/>
      <c r="AJ199" s="18"/>
      <c r="AK199" s="18"/>
      <c r="AL199" s="18"/>
      <c r="AM199" s="18"/>
      <c r="AN199" s="18"/>
      <c r="AO199" s="18"/>
      <c r="AP199" s="18"/>
    </row>
    <row r="200" spans="1:42" x14ac:dyDescent="0.25">
      <c r="A200" s="12"/>
      <c r="B200" s="13"/>
      <c r="C200" s="13"/>
      <c r="D200" s="13"/>
      <c r="E200" s="13"/>
      <c r="F200" s="13"/>
      <c r="G200" s="13"/>
      <c r="H200" s="13"/>
      <c r="I200" s="13"/>
      <c r="J200" s="70"/>
      <c r="K200" s="70"/>
      <c r="L200" s="70"/>
      <c r="O200" s="18"/>
      <c r="P200" s="18"/>
      <c r="Q200" s="97"/>
      <c r="R200" s="97"/>
      <c r="S200" s="97"/>
      <c r="T200" s="97"/>
      <c r="U200" s="97"/>
      <c r="V200" s="97"/>
      <c r="W200" s="97"/>
      <c r="X200" s="51"/>
      <c r="Y200" s="18"/>
      <c r="Z200" s="18"/>
      <c r="AA200" s="18"/>
      <c r="AB200" s="18"/>
      <c r="AC200" s="18"/>
      <c r="AD200" s="18"/>
      <c r="AE200" s="18"/>
      <c r="AF200" s="18"/>
      <c r="AG200" s="18"/>
      <c r="AH200" s="51"/>
      <c r="AI200" s="18"/>
      <c r="AJ200" s="18"/>
      <c r="AK200" s="18"/>
      <c r="AL200" s="18"/>
      <c r="AM200" s="18"/>
      <c r="AN200" s="18"/>
      <c r="AO200" s="18"/>
      <c r="AP200" s="18"/>
    </row>
    <row r="201" spans="1:42" x14ac:dyDescent="0.25">
      <c r="A201" s="12"/>
      <c r="B201" s="13"/>
      <c r="C201" s="13"/>
      <c r="D201" s="13"/>
      <c r="E201" s="13"/>
      <c r="F201" s="13"/>
      <c r="G201" s="13"/>
      <c r="H201" s="13"/>
      <c r="I201" s="13"/>
      <c r="J201" s="70"/>
      <c r="K201" s="70"/>
      <c r="L201" s="70"/>
      <c r="O201" s="18"/>
      <c r="P201" s="18"/>
      <c r="Q201" s="97"/>
      <c r="R201" s="97"/>
      <c r="S201" s="97"/>
      <c r="T201" s="97"/>
      <c r="U201" s="97"/>
      <c r="V201" s="97"/>
      <c r="W201" s="97"/>
      <c r="X201" s="51"/>
      <c r="Y201" s="18"/>
      <c r="Z201" s="18"/>
      <c r="AA201" s="18"/>
      <c r="AB201" s="18"/>
      <c r="AC201" s="18"/>
      <c r="AD201" s="18"/>
      <c r="AE201" s="18"/>
      <c r="AF201" s="18"/>
      <c r="AG201" s="18"/>
      <c r="AH201" s="51"/>
      <c r="AI201" s="18"/>
      <c r="AJ201" s="18"/>
      <c r="AK201" s="18"/>
      <c r="AL201" s="18"/>
      <c r="AM201" s="18"/>
      <c r="AN201" s="18"/>
      <c r="AO201" s="18"/>
      <c r="AP201" s="18"/>
    </row>
    <row r="202" spans="1:42" x14ac:dyDescent="0.25">
      <c r="A202" s="12"/>
      <c r="B202" s="13"/>
      <c r="C202" s="13"/>
      <c r="D202" s="13"/>
      <c r="E202" s="13"/>
      <c r="F202" s="13"/>
      <c r="G202" s="13"/>
      <c r="H202" s="13"/>
      <c r="I202" s="13"/>
      <c r="J202" s="70"/>
      <c r="K202" s="70"/>
      <c r="L202" s="70"/>
      <c r="O202" s="18"/>
      <c r="P202" s="18"/>
      <c r="Q202" s="97"/>
      <c r="R202" s="97"/>
      <c r="S202" s="97"/>
      <c r="T202" s="97"/>
      <c r="U202" s="97"/>
      <c r="V202" s="97"/>
      <c r="W202" s="97"/>
      <c r="X202" s="51"/>
      <c r="Y202" s="18"/>
      <c r="Z202" s="18"/>
      <c r="AA202" s="18"/>
      <c r="AB202" s="18"/>
      <c r="AC202" s="18"/>
      <c r="AD202" s="18"/>
      <c r="AE202" s="18"/>
      <c r="AF202" s="18"/>
      <c r="AG202" s="18"/>
      <c r="AH202" s="51"/>
      <c r="AI202" s="18"/>
      <c r="AJ202" s="18"/>
      <c r="AK202" s="18"/>
      <c r="AL202" s="18"/>
      <c r="AM202" s="18"/>
      <c r="AN202" s="18"/>
      <c r="AO202" s="18"/>
      <c r="AP202" s="18"/>
    </row>
    <row r="203" spans="1:42" x14ac:dyDescent="0.25">
      <c r="A203" s="12"/>
      <c r="B203" s="13"/>
      <c r="C203" s="13"/>
      <c r="D203" s="13"/>
      <c r="E203" s="13"/>
      <c r="F203" s="13"/>
      <c r="G203" s="13"/>
      <c r="H203" s="13"/>
      <c r="I203" s="13"/>
      <c r="J203" s="70"/>
      <c r="K203" s="70"/>
      <c r="L203" s="70"/>
      <c r="O203" s="18"/>
      <c r="P203" s="18"/>
      <c r="Q203" s="97"/>
      <c r="R203" s="97"/>
      <c r="S203" s="97"/>
      <c r="T203" s="97"/>
      <c r="U203" s="97"/>
      <c r="V203" s="97"/>
      <c r="W203" s="97"/>
      <c r="X203" s="51"/>
      <c r="Y203" s="18"/>
      <c r="Z203" s="18"/>
      <c r="AA203" s="18"/>
      <c r="AB203" s="18"/>
      <c r="AC203" s="18"/>
      <c r="AD203" s="18"/>
      <c r="AE203" s="18"/>
      <c r="AF203" s="18"/>
      <c r="AG203" s="18"/>
      <c r="AH203" s="51"/>
      <c r="AI203" s="18"/>
      <c r="AJ203" s="18"/>
      <c r="AK203" s="18"/>
      <c r="AL203" s="18"/>
      <c r="AM203" s="18"/>
      <c r="AN203" s="18"/>
      <c r="AO203" s="18"/>
      <c r="AP203" s="18"/>
    </row>
    <row r="204" spans="1:42" x14ac:dyDescent="0.25">
      <c r="A204" s="12"/>
      <c r="B204" s="13"/>
      <c r="C204" s="13"/>
      <c r="D204" s="13"/>
      <c r="E204" s="13"/>
      <c r="F204" s="13"/>
      <c r="G204" s="13"/>
      <c r="H204" s="13"/>
      <c r="I204" s="13"/>
      <c r="J204" s="70"/>
      <c r="K204" s="70"/>
      <c r="L204" s="70"/>
      <c r="O204" s="18"/>
      <c r="P204" s="18"/>
      <c r="Q204" s="97"/>
      <c r="R204" s="97"/>
      <c r="S204" s="97"/>
      <c r="T204" s="97"/>
      <c r="U204" s="97"/>
      <c r="V204" s="97"/>
      <c r="W204" s="97"/>
      <c r="X204" s="51"/>
      <c r="Y204" s="18"/>
      <c r="Z204" s="18"/>
      <c r="AA204" s="18"/>
      <c r="AB204" s="18"/>
      <c r="AC204" s="18"/>
      <c r="AD204" s="18"/>
      <c r="AE204" s="18"/>
      <c r="AF204" s="18"/>
      <c r="AG204" s="18"/>
      <c r="AH204" s="51"/>
      <c r="AI204" s="18"/>
      <c r="AJ204" s="18"/>
      <c r="AK204" s="18"/>
      <c r="AL204" s="18"/>
      <c r="AM204" s="18"/>
      <c r="AN204" s="18"/>
      <c r="AO204" s="18"/>
      <c r="AP204" s="18"/>
    </row>
    <row r="205" spans="1:42" x14ac:dyDescent="0.25">
      <c r="A205" s="12"/>
      <c r="B205" s="13"/>
      <c r="C205" s="13"/>
      <c r="D205" s="13"/>
      <c r="E205" s="13"/>
      <c r="F205" s="13"/>
      <c r="G205" s="13"/>
      <c r="H205" s="13"/>
      <c r="I205" s="13"/>
      <c r="J205" s="70"/>
      <c r="K205" s="70"/>
      <c r="L205" s="70"/>
      <c r="O205" s="18"/>
      <c r="P205" s="18"/>
      <c r="Q205" s="97"/>
      <c r="R205" s="97"/>
      <c r="S205" s="97"/>
      <c r="T205" s="97"/>
      <c r="U205" s="97"/>
      <c r="V205" s="97"/>
      <c r="W205" s="97"/>
      <c r="X205" s="51"/>
      <c r="Y205" s="18"/>
      <c r="Z205" s="18"/>
      <c r="AA205" s="18"/>
      <c r="AB205" s="18"/>
      <c r="AC205" s="18"/>
      <c r="AD205" s="18"/>
      <c r="AE205" s="18"/>
      <c r="AF205" s="18"/>
      <c r="AG205" s="18"/>
      <c r="AH205" s="51"/>
      <c r="AI205" s="18"/>
      <c r="AJ205" s="18"/>
      <c r="AK205" s="18"/>
      <c r="AL205" s="18"/>
      <c r="AM205" s="18"/>
      <c r="AN205" s="18"/>
      <c r="AO205" s="18"/>
      <c r="AP205" s="18"/>
    </row>
    <row r="206" spans="1:42" x14ac:dyDescent="0.25">
      <c r="A206" s="12"/>
      <c r="B206" s="13"/>
      <c r="C206" s="13"/>
      <c r="D206" s="13"/>
      <c r="E206" s="13"/>
      <c r="F206" s="13"/>
      <c r="G206" s="13"/>
      <c r="H206" s="13"/>
      <c r="I206" s="13"/>
      <c r="J206" s="70"/>
      <c r="K206" s="70"/>
      <c r="L206" s="70"/>
      <c r="O206" s="18"/>
      <c r="P206" s="18"/>
      <c r="Q206" s="97"/>
      <c r="R206" s="97"/>
      <c r="S206" s="97"/>
      <c r="T206" s="97"/>
      <c r="U206" s="97"/>
      <c r="V206" s="97"/>
      <c r="W206" s="97"/>
      <c r="X206" s="51"/>
      <c r="Y206" s="18"/>
      <c r="Z206" s="18"/>
      <c r="AA206" s="18"/>
      <c r="AB206" s="18"/>
      <c r="AC206" s="18"/>
      <c r="AD206" s="18"/>
      <c r="AE206" s="18"/>
      <c r="AF206" s="18"/>
      <c r="AG206" s="18"/>
      <c r="AH206" s="51"/>
      <c r="AI206" s="18"/>
      <c r="AJ206" s="18"/>
      <c r="AK206" s="18"/>
      <c r="AL206" s="18"/>
      <c r="AM206" s="18"/>
      <c r="AN206" s="18"/>
      <c r="AO206" s="18"/>
      <c r="AP206" s="18"/>
    </row>
    <row r="207" spans="1:42" x14ac:dyDescent="0.25">
      <c r="A207" s="12"/>
      <c r="B207" s="13"/>
      <c r="C207" s="13"/>
      <c r="D207" s="13"/>
      <c r="E207" s="13"/>
      <c r="F207" s="13"/>
      <c r="G207" s="13"/>
      <c r="H207" s="13"/>
      <c r="I207" s="13"/>
      <c r="J207" s="70"/>
      <c r="K207" s="70"/>
      <c r="L207" s="70"/>
      <c r="O207" s="18"/>
      <c r="P207" s="18"/>
      <c r="Q207" s="97"/>
      <c r="R207" s="97"/>
      <c r="S207" s="97"/>
      <c r="T207" s="97"/>
      <c r="U207" s="97"/>
      <c r="V207" s="97"/>
      <c r="W207" s="97"/>
      <c r="X207" s="51"/>
      <c r="Y207" s="18"/>
      <c r="Z207" s="18"/>
      <c r="AA207" s="18"/>
      <c r="AB207" s="18"/>
      <c r="AC207" s="18"/>
      <c r="AD207" s="18"/>
      <c r="AE207" s="18"/>
      <c r="AF207" s="18"/>
      <c r="AG207" s="18"/>
      <c r="AH207" s="51"/>
      <c r="AI207" s="18"/>
      <c r="AJ207" s="18"/>
      <c r="AK207" s="18"/>
      <c r="AL207" s="18"/>
      <c r="AM207" s="18"/>
      <c r="AN207" s="18"/>
      <c r="AO207" s="18"/>
      <c r="AP207" s="18"/>
    </row>
    <row r="208" spans="1:42" x14ac:dyDescent="0.25">
      <c r="A208" s="12"/>
      <c r="B208" s="13"/>
      <c r="C208" s="13"/>
      <c r="D208" s="13"/>
      <c r="E208" s="13"/>
      <c r="F208" s="13"/>
      <c r="G208" s="13"/>
      <c r="H208" s="13"/>
      <c r="I208" s="13"/>
      <c r="J208" s="70"/>
      <c r="K208" s="70"/>
      <c r="L208" s="70"/>
      <c r="O208" s="18"/>
      <c r="P208" s="18"/>
      <c r="Q208" s="97"/>
      <c r="R208" s="97"/>
      <c r="S208" s="97"/>
      <c r="T208" s="97"/>
      <c r="U208" s="97"/>
      <c r="V208" s="97"/>
      <c r="W208" s="97"/>
      <c r="X208" s="51"/>
      <c r="Y208" s="18"/>
      <c r="Z208" s="18"/>
      <c r="AA208" s="18"/>
      <c r="AB208" s="18"/>
      <c r="AC208" s="18"/>
      <c r="AD208" s="18"/>
      <c r="AE208" s="18"/>
      <c r="AF208" s="18"/>
      <c r="AG208" s="18"/>
      <c r="AH208" s="51"/>
      <c r="AI208" s="18"/>
      <c r="AJ208" s="18"/>
      <c r="AK208" s="18"/>
      <c r="AL208" s="18"/>
      <c r="AM208" s="18"/>
      <c r="AN208" s="18"/>
      <c r="AO208" s="18"/>
      <c r="AP208" s="18"/>
    </row>
    <row r="209" spans="1:42" x14ac:dyDescent="0.25">
      <c r="A209" s="12"/>
      <c r="B209" s="13"/>
      <c r="C209" s="13"/>
      <c r="D209" s="13"/>
      <c r="E209" s="13"/>
      <c r="F209" s="13"/>
      <c r="G209" s="13"/>
      <c r="H209" s="13"/>
      <c r="I209" s="13"/>
      <c r="J209" s="70"/>
      <c r="K209" s="70"/>
      <c r="L209" s="70"/>
      <c r="O209" s="18"/>
      <c r="P209" s="18"/>
      <c r="Q209" s="97"/>
      <c r="R209" s="97"/>
      <c r="S209" s="97"/>
      <c r="T209" s="97"/>
      <c r="U209" s="97"/>
      <c r="V209" s="97"/>
      <c r="W209" s="97"/>
      <c r="X209" s="51"/>
      <c r="Y209" s="18"/>
      <c r="Z209" s="18"/>
      <c r="AA209" s="18"/>
      <c r="AB209" s="18"/>
      <c r="AC209" s="18"/>
      <c r="AD209" s="18"/>
      <c r="AE209" s="18"/>
      <c r="AF209" s="18"/>
      <c r="AG209" s="18"/>
      <c r="AH209" s="51"/>
      <c r="AI209" s="18"/>
      <c r="AJ209" s="18"/>
      <c r="AK209" s="18"/>
      <c r="AL209" s="18"/>
      <c r="AM209" s="18"/>
      <c r="AN209" s="18"/>
      <c r="AO209" s="18"/>
      <c r="AP209" s="18"/>
    </row>
    <row r="210" spans="1:42" x14ac:dyDescent="0.25">
      <c r="A210" s="12"/>
      <c r="B210" s="13"/>
      <c r="C210" s="13"/>
      <c r="D210" s="13"/>
      <c r="E210" s="13"/>
      <c r="F210" s="13"/>
      <c r="G210" s="13"/>
      <c r="H210" s="13"/>
      <c r="I210" s="13"/>
      <c r="J210" s="70"/>
      <c r="K210" s="70"/>
      <c r="L210" s="70"/>
      <c r="O210" s="18"/>
      <c r="P210" s="18"/>
      <c r="Q210" s="97"/>
      <c r="R210" s="97"/>
      <c r="S210" s="97"/>
      <c r="T210" s="97"/>
      <c r="U210" s="97"/>
      <c r="V210" s="97"/>
      <c r="W210" s="97"/>
      <c r="X210" s="51"/>
      <c r="Y210" s="18"/>
      <c r="Z210" s="18"/>
      <c r="AA210" s="18"/>
      <c r="AB210" s="18"/>
      <c r="AC210" s="18"/>
      <c r="AD210" s="18"/>
      <c r="AE210" s="18"/>
      <c r="AF210" s="18"/>
      <c r="AG210" s="18"/>
      <c r="AH210" s="51"/>
      <c r="AI210" s="18"/>
      <c r="AJ210" s="18"/>
      <c r="AK210" s="18"/>
      <c r="AL210" s="18"/>
      <c r="AM210" s="18"/>
      <c r="AN210" s="18"/>
      <c r="AO210" s="18"/>
      <c r="AP210" s="18"/>
    </row>
    <row r="211" spans="1:42" x14ac:dyDescent="0.25">
      <c r="A211" s="12"/>
      <c r="B211" s="13"/>
      <c r="C211" s="13"/>
      <c r="D211" s="13"/>
      <c r="E211" s="13"/>
      <c r="F211" s="13"/>
      <c r="G211" s="13"/>
      <c r="H211" s="13"/>
      <c r="I211" s="13"/>
      <c r="J211" s="70"/>
      <c r="K211" s="70"/>
      <c r="L211" s="70"/>
      <c r="O211" s="18"/>
      <c r="P211" s="18"/>
      <c r="Q211" s="97"/>
      <c r="R211" s="97"/>
      <c r="S211" s="97"/>
      <c r="T211" s="97"/>
      <c r="U211" s="97"/>
      <c r="V211" s="97"/>
      <c r="W211" s="97"/>
      <c r="X211" s="51"/>
      <c r="Y211" s="18"/>
      <c r="Z211" s="18"/>
      <c r="AA211" s="18"/>
      <c r="AB211" s="18"/>
      <c r="AC211" s="18"/>
      <c r="AD211" s="18"/>
      <c r="AE211" s="18"/>
      <c r="AF211" s="18"/>
      <c r="AG211" s="18"/>
      <c r="AH211" s="51"/>
      <c r="AI211" s="18"/>
      <c r="AJ211" s="18"/>
      <c r="AK211" s="18"/>
      <c r="AL211" s="18"/>
      <c r="AM211" s="18"/>
      <c r="AN211" s="18"/>
      <c r="AO211" s="18"/>
      <c r="AP211" s="18"/>
    </row>
    <row r="212" spans="1:42" x14ac:dyDescent="0.25">
      <c r="A212" s="12"/>
      <c r="B212" s="13"/>
      <c r="C212" s="13"/>
      <c r="D212" s="13"/>
      <c r="E212" s="13"/>
      <c r="F212" s="13"/>
      <c r="G212" s="13"/>
      <c r="H212" s="13"/>
      <c r="I212" s="13"/>
      <c r="J212" s="70"/>
      <c r="K212" s="70"/>
      <c r="L212" s="70"/>
      <c r="O212" s="18"/>
      <c r="P212" s="18"/>
      <c r="Q212" s="97"/>
      <c r="R212" s="97"/>
      <c r="S212" s="97"/>
      <c r="T212" s="97"/>
      <c r="U212" s="97"/>
      <c r="V212" s="97"/>
      <c r="W212" s="97"/>
      <c r="X212" s="51"/>
      <c r="Y212" s="18"/>
      <c r="Z212" s="18"/>
      <c r="AA212" s="18"/>
      <c r="AB212" s="18"/>
      <c r="AC212" s="18"/>
      <c r="AD212" s="18"/>
      <c r="AE212" s="18"/>
      <c r="AF212" s="18"/>
      <c r="AG212" s="18"/>
      <c r="AH212" s="51"/>
      <c r="AI212" s="18"/>
      <c r="AJ212" s="18"/>
      <c r="AK212" s="18"/>
      <c r="AL212" s="18"/>
      <c r="AM212" s="18"/>
      <c r="AN212" s="18"/>
      <c r="AO212" s="18"/>
      <c r="AP212" s="18"/>
    </row>
    <row r="213" spans="1:42" x14ac:dyDescent="0.25">
      <c r="A213" s="12"/>
      <c r="B213" s="13"/>
      <c r="C213" s="13"/>
      <c r="D213" s="13"/>
      <c r="E213" s="13"/>
      <c r="F213" s="13"/>
      <c r="G213" s="13"/>
      <c r="H213" s="13"/>
      <c r="I213" s="13"/>
      <c r="J213" s="70"/>
      <c r="K213" s="70"/>
      <c r="L213" s="70"/>
      <c r="O213" s="18"/>
      <c r="P213" s="18"/>
      <c r="Q213" s="97"/>
      <c r="R213" s="97"/>
      <c r="S213" s="97"/>
      <c r="T213" s="97"/>
      <c r="U213" s="97"/>
      <c r="V213" s="97"/>
      <c r="W213" s="97"/>
      <c r="X213" s="51"/>
      <c r="Y213" s="18"/>
      <c r="Z213" s="18"/>
      <c r="AA213" s="18"/>
      <c r="AB213" s="18"/>
      <c r="AC213" s="18"/>
      <c r="AD213" s="18"/>
      <c r="AE213" s="18"/>
      <c r="AF213" s="18"/>
      <c r="AG213" s="18"/>
      <c r="AH213" s="51"/>
      <c r="AI213" s="18"/>
      <c r="AJ213" s="18"/>
      <c r="AK213" s="18"/>
      <c r="AL213" s="18"/>
      <c r="AM213" s="18"/>
      <c r="AN213" s="18"/>
      <c r="AO213" s="18"/>
      <c r="AP213" s="18"/>
    </row>
    <row r="214" spans="1:42" x14ac:dyDescent="0.25">
      <c r="A214" s="12"/>
      <c r="B214" s="13"/>
      <c r="C214" s="13"/>
      <c r="D214" s="13"/>
      <c r="E214" s="13"/>
      <c r="F214" s="13"/>
      <c r="G214" s="13"/>
      <c r="H214" s="13"/>
      <c r="I214" s="13"/>
      <c r="J214" s="70"/>
      <c r="K214" s="70"/>
      <c r="L214" s="70"/>
      <c r="O214" s="18"/>
      <c r="P214" s="18"/>
      <c r="Q214" s="97"/>
      <c r="R214" s="97"/>
      <c r="S214" s="97"/>
      <c r="T214" s="97"/>
      <c r="U214" s="97"/>
      <c r="V214" s="97"/>
      <c r="W214" s="97"/>
      <c r="X214" s="51"/>
      <c r="Y214" s="18"/>
      <c r="Z214" s="18"/>
      <c r="AA214" s="18"/>
      <c r="AB214" s="18"/>
      <c r="AC214" s="18"/>
      <c r="AD214" s="18"/>
      <c r="AE214" s="18"/>
      <c r="AF214" s="18"/>
      <c r="AG214" s="18"/>
      <c r="AH214" s="51"/>
      <c r="AI214" s="18"/>
      <c r="AJ214" s="18"/>
      <c r="AK214" s="18"/>
      <c r="AL214" s="18"/>
      <c r="AM214" s="18"/>
      <c r="AN214" s="18"/>
      <c r="AO214" s="18"/>
      <c r="AP214" s="18"/>
    </row>
    <row r="215" spans="1:42" x14ac:dyDescent="0.25">
      <c r="A215" s="12"/>
      <c r="B215" s="13"/>
      <c r="C215" s="13"/>
      <c r="D215" s="13"/>
      <c r="E215" s="13"/>
      <c r="F215" s="13"/>
      <c r="G215" s="13"/>
      <c r="H215" s="13"/>
      <c r="I215" s="13"/>
      <c r="J215" s="70"/>
      <c r="K215" s="70"/>
      <c r="L215" s="70"/>
      <c r="O215" s="18"/>
      <c r="P215" s="18"/>
      <c r="Q215" s="97"/>
      <c r="R215" s="97"/>
      <c r="S215" s="97"/>
      <c r="T215" s="97"/>
      <c r="U215" s="97"/>
      <c r="V215" s="97"/>
      <c r="W215" s="97"/>
      <c r="X215" s="51"/>
      <c r="Y215" s="18"/>
      <c r="Z215" s="18"/>
      <c r="AA215" s="18"/>
      <c r="AB215" s="18"/>
      <c r="AC215" s="18"/>
      <c r="AD215" s="18"/>
      <c r="AE215" s="18"/>
      <c r="AF215" s="18"/>
      <c r="AG215" s="18"/>
      <c r="AH215" s="51"/>
      <c r="AI215" s="18"/>
      <c r="AJ215" s="18"/>
      <c r="AK215" s="18"/>
      <c r="AL215" s="18"/>
      <c r="AM215" s="18"/>
      <c r="AN215" s="18"/>
      <c r="AO215" s="18"/>
      <c r="AP215" s="18"/>
    </row>
    <row r="216" spans="1:42" x14ac:dyDescent="0.25">
      <c r="A216" s="12"/>
      <c r="B216" s="13"/>
      <c r="C216" s="13"/>
      <c r="D216" s="13"/>
      <c r="E216" s="13"/>
      <c r="F216" s="13"/>
      <c r="G216" s="13"/>
      <c r="H216" s="13"/>
      <c r="I216" s="13"/>
      <c r="J216" s="70"/>
      <c r="K216" s="70"/>
      <c r="L216" s="70"/>
      <c r="O216" s="18"/>
      <c r="P216" s="18"/>
      <c r="Q216" s="97"/>
      <c r="R216" s="97"/>
      <c r="S216" s="97"/>
      <c r="T216" s="97"/>
      <c r="U216" s="97"/>
      <c r="V216" s="97"/>
      <c r="W216" s="97"/>
      <c r="X216" s="51"/>
      <c r="Y216" s="18"/>
      <c r="Z216" s="18"/>
      <c r="AA216" s="18"/>
      <c r="AB216" s="18"/>
      <c r="AC216" s="18"/>
      <c r="AD216" s="18"/>
      <c r="AE216" s="18"/>
      <c r="AF216" s="18"/>
      <c r="AG216" s="18"/>
      <c r="AH216" s="51"/>
      <c r="AI216" s="18"/>
      <c r="AJ216" s="18"/>
      <c r="AK216" s="18"/>
      <c r="AL216" s="18"/>
      <c r="AM216" s="18"/>
      <c r="AN216" s="18"/>
      <c r="AO216" s="18"/>
      <c r="AP216" s="18"/>
    </row>
    <row r="217" spans="1:42" x14ac:dyDescent="0.25">
      <c r="A217" s="12"/>
      <c r="B217" s="13"/>
      <c r="C217" s="13"/>
      <c r="D217" s="13"/>
      <c r="E217" s="13"/>
      <c r="F217" s="13"/>
      <c r="G217" s="13"/>
      <c r="H217" s="13"/>
      <c r="I217" s="13"/>
      <c r="J217" s="100"/>
      <c r="K217" s="100"/>
      <c r="L217" s="100"/>
      <c r="O217" s="18"/>
      <c r="P217" s="18"/>
      <c r="Q217" s="97"/>
      <c r="R217" s="97"/>
      <c r="S217" s="97"/>
      <c r="T217" s="97"/>
      <c r="U217" s="97"/>
      <c r="V217" s="97"/>
      <c r="W217" s="97"/>
      <c r="X217" s="51"/>
      <c r="Y217" s="18"/>
      <c r="Z217" s="18"/>
      <c r="AA217" s="18"/>
      <c r="AB217" s="18"/>
      <c r="AC217" s="18"/>
      <c r="AD217" s="18"/>
      <c r="AE217" s="18"/>
      <c r="AF217" s="18"/>
      <c r="AG217" s="18"/>
      <c r="AH217" s="51"/>
      <c r="AI217" s="18"/>
      <c r="AJ217" s="18"/>
      <c r="AK217" s="18"/>
      <c r="AL217" s="18"/>
      <c r="AM217" s="18"/>
      <c r="AN217" s="18"/>
      <c r="AO217" s="18"/>
      <c r="AP217" s="18"/>
    </row>
    <row r="218" spans="1:42" x14ac:dyDescent="0.25">
      <c r="A218" s="12"/>
      <c r="B218" s="13"/>
      <c r="C218" s="13"/>
      <c r="D218" s="13"/>
      <c r="E218" s="13"/>
      <c r="F218" s="13"/>
      <c r="G218" s="13"/>
      <c r="H218" s="13"/>
      <c r="I218" s="13"/>
      <c r="J218" s="70"/>
      <c r="K218" s="70"/>
      <c r="L218" s="70"/>
      <c r="O218" s="18"/>
      <c r="P218" s="18"/>
      <c r="Q218" s="97"/>
      <c r="R218" s="97"/>
      <c r="S218" s="97"/>
      <c r="T218" s="97"/>
      <c r="U218" s="97"/>
      <c r="V218" s="97"/>
      <c r="W218" s="97"/>
      <c r="X218" s="51"/>
      <c r="Y218" s="18"/>
      <c r="Z218" s="18"/>
      <c r="AA218" s="18"/>
      <c r="AB218" s="18"/>
      <c r="AC218" s="18"/>
      <c r="AD218" s="18"/>
      <c r="AE218" s="18"/>
      <c r="AF218" s="18"/>
      <c r="AG218" s="18"/>
      <c r="AH218" s="51"/>
      <c r="AI218" s="18"/>
      <c r="AJ218" s="18"/>
      <c r="AK218" s="18"/>
      <c r="AL218" s="18"/>
      <c r="AM218" s="18"/>
      <c r="AN218" s="18"/>
      <c r="AO218" s="18"/>
      <c r="AP218" s="18"/>
    </row>
    <row r="219" spans="1:42" x14ac:dyDescent="0.25">
      <c r="A219" s="12"/>
      <c r="B219" s="13"/>
      <c r="C219" s="13"/>
      <c r="D219" s="13"/>
      <c r="E219" s="13"/>
      <c r="F219" s="13"/>
      <c r="G219" s="13"/>
      <c r="H219" s="13"/>
      <c r="I219" s="13"/>
      <c r="J219" s="70"/>
      <c r="K219" s="70"/>
      <c r="L219" s="70"/>
      <c r="O219" s="18"/>
      <c r="P219" s="18"/>
      <c r="Q219" s="97"/>
      <c r="R219" s="97"/>
      <c r="S219" s="97"/>
      <c r="T219" s="97"/>
      <c r="U219" s="97"/>
      <c r="V219" s="97"/>
      <c r="W219" s="97"/>
      <c r="X219" s="51"/>
      <c r="Y219" s="18"/>
      <c r="Z219" s="18"/>
      <c r="AA219" s="18"/>
      <c r="AB219" s="18"/>
      <c r="AC219" s="18"/>
      <c r="AD219" s="18"/>
      <c r="AE219" s="18"/>
      <c r="AF219" s="18"/>
      <c r="AG219" s="18"/>
      <c r="AH219" s="51"/>
      <c r="AI219" s="18"/>
      <c r="AJ219" s="18"/>
      <c r="AK219" s="18"/>
      <c r="AL219" s="18"/>
      <c r="AM219" s="18"/>
      <c r="AN219" s="18"/>
      <c r="AO219" s="18"/>
      <c r="AP219" s="18"/>
    </row>
    <row r="220" spans="1:42" x14ac:dyDescent="0.25">
      <c r="A220" s="12"/>
      <c r="B220" s="13"/>
      <c r="C220" s="13"/>
      <c r="D220" s="13"/>
      <c r="E220" s="13"/>
      <c r="F220" s="13"/>
      <c r="G220" s="13"/>
      <c r="H220" s="13"/>
      <c r="I220" s="13"/>
      <c r="J220" s="70"/>
      <c r="K220" s="70"/>
      <c r="L220" s="70"/>
      <c r="O220" s="18"/>
      <c r="P220" s="18"/>
      <c r="Q220" s="97"/>
      <c r="R220" s="97"/>
      <c r="S220" s="97"/>
      <c r="T220" s="97"/>
      <c r="U220" s="97"/>
      <c r="V220" s="97"/>
      <c r="W220" s="97"/>
      <c r="X220" s="51"/>
      <c r="Y220" s="18"/>
      <c r="Z220" s="18"/>
      <c r="AA220" s="18"/>
      <c r="AB220" s="18"/>
      <c r="AC220" s="18"/>
      <c r="AD220" s="18"/>
      <c r="AE220" s="18"/>
      <c r="AF220" s="18"/>
      <c r="AG220" s="18"/>
      <c r="AH220" s="51"/>
      <c r="AI220" s="18"/>
      <c r="AJ220" s="18"/>
      <c r="AK220" s="18"/>
      <c r="AL220" s="18"/>
      <c r="AM220" s="18"/>
      <c r="AN220" s="18"/>
      <c r="AO220" s="18"/>
      <c r="AP220" s="18"/>
    </row>
    <row r="221" spans="1:42" x14ac:dyDescent="0.25">
      <c r="A221" s="12"/>
      <c r="B221" s="13"/>
      <c r="C221" s="13"/>
      <c r="D221" s="13"/>
      <c r="E221" s="13"/>
      <c r="F221" s="13"/>
      <c r="G221" s="13"/>
      <c r="H221" s="13"/>
      <c r="I221" s="13"/>
      <c r="J221" s="70"/>
      <c r="K221" s="70"/>
      <c r="L221" s="70"/>
      <c r="O221" s="18"/>
      <c r="P221" s="18"/>
      <c r="Q221" s="97"/>
      <c r="R221" s="97"/>
      <c r="S221" s="97"/>
      <c r="T221" s="97"/>
      <c r="U221" s="97"/>
      <c r="V221" s="97"/>
      <c r="W221" s="97"/>
      <c r="X221" s="51"/>
      <c r="Y221" s="18"/>
      <c r="Z221" s="18"/>
      <c r="AA221" s="18"/>
      <c r="AB221" s="18"/>
      <c r="AC221" s="18"/>
      <c r="AD221" s="18"/>
      <c r="AE221" s="18"/>
      <c r="AF221" s="18"/>
      <c r="AG221" s="18"/>
      <c r="AH221" s="51"/>
      <c r="AI221" s="18"/>
      <c r="AJ221" s="18"/>
      <c r="AK221" s="18"/>
      <c r="AL221" s="18"/>
      <c r="AM221" s="18"/>
      <c r="AN221" s="18"/>
      <c r="AO221" s="18"/>
      <c r="AP221" s="18"/>
    </row>
    <row r="222" spans="1:42" x14ac:dyDescent="0.25">
      <c r="A222" s="12"/>
      <c r="B222" s="13"/>
      <c r="C222" s="13"/>
      <c r="D222" s="13"/>
      <c r="E222" s="13"/>
      <c r="F222" s="13"/>
      <c r="G222" s="13"/>
      <c r="H222" s="13"/>
      <c r="I222" s="13"/>
      <c r="J222" s="70"/>
      <c r="K222" s="70"/>
      <c r="L222" s="70"/>
      <c r="O222" s="18"/>
      <c r="P222" s="18"/>
      <c r="Q222" s="97"/>
      <c r="R222" s="97"/>
      <c r="S222" s="97"/>
      <c r="T222" s="97"/>
      <c r="U222" s="97"/>
      <c r="V222" s="97"/>
      <c r="W222" s="97"/>
      <c r="X222" s="51"/>
      <c r="Y222" s="18"/>
      <c r="Z222" s="18"/>
      <c r="AA222" s="18"/>
      <c r="AB222" s="18"/>
      <c r="AC222" s="18"/>
      <c r="AD222" s="18"/>
      <c r="AE222" s="18"/>
      <c r="AF222" s="18"/>
      <c r="AG222" s="18"/>
      <c r="AH222" s="51"/>
      <c r="AI222" s="18"/>
      <c r="AJ222" s="18"/>
      <c r="AK222" s="18"/>
      <c r="AL222" s="18"/>
      <c r="AM222" s="18"/>
      <c r="AN222" s="18"/>
      <c r="AO222" s="18"/>
      <c r="AP222" s="18"/>
    </row>
    <row r="223" spans="1:42" x14ac:dyDescent="0.25">
      <c r="A223" s="12"/>
      <c r="B223" s="13"/>
      <c r="C223" s="13"/>
      <c r="D223" s="13"/>
      <c r="E223" s="13"/>
      <c r="F223" s="13"/>
      <c r="G223" s="13"/>
      <c r="H223" s="13"/>
      <c r="I223" s="13"/>
      <c r="J223" s="107"/>
      <c r="K223" s="107"/>
      <c r="L223" s="107"/>
      <c r="O223" s="18"/>
      <c r="P223" s="18"/>
      <c r="Q223" s="97"/>
      <c r="R223" s="97"/>
      <c r="S223" s="97"/>
      <c r="T223" s="97"/>
      <c r="U223" s="97"/>
      <c r="V223" s="97"/>
      <c r="W223" s="97"/>
      <c r="X223" s="51"/>
      <c r="Y223" s="18"/>
      <c r="Z223" s="18"/>
      <c r="AA223" s="18"/>
      <c r="AB223" s="18"/>
      <c r="AC223" s="18"/>
      <c r="AD223" s="18"/>
      <c r="AE223" s="18"/>
      <c r="AF223" s="18"/>
      <c r="AG223" s="18"/>
      <c r="AH223" s="51"/>
      <c r="AI223" s="18"/>
      <c r="AJ223" s="18"/>
      <c r="AK223" s="18"/>
      <c r="AL223" s="18"/>
      <c r="AM223" s="18"/>
      <c r="AN223" s="18"/>
      <c r="AO223" s="18"/>
      <c r="AP223" s="18"/>
    </row>
    <row r="224" spans="1:42" x14ac:dyDescent="0.25">
      <c r="A224" s="12"/>
      <c r="B224" s="13"/>
      <c r="C224" s="13"/>
      <c r="D224" s="13"/>
      <c r="E224" s="13"/>
      <c r="F224" s="13"/>
      <c r="G224" s="13"/>
      <c r="H224" s="13"/>
      <c r="I224" s="13"/>
      <c r="J224" s="107"/>
      <c r="K224" s="107"/>
      <c r="L224" s="107"/>
      <c r="O224" s="18"/>
      <c r="P224" s="18"/>
      <c r="Q224" s="97"/>
      <c r="R224" s="97"/>
      <c r="S224" s="97"/>
      <c r="T224" s="97"/>
      <c r="U224" s="97"/>
      <c r="V224" s="97"/>
      <c r="W224" s="97"/>
      <c r="X224" s="51"/>
      <c r="Y224" s="18"/>
      <c r="Z224" s="18"/>
      <c r="AA224" s="18"/>
      <c r="AB224" s="18"/>
      <c r="AC224" s="18"/>
      <c r="AD224" s="18"/>
      <c r="AE224" s="18"/>
      <c r="AF224" s="18"/>
      <c r="AG224" s="18"/>
      <c r="AH224" s="51"/>
      <c r="AI224" s="18"/>
      <c r="AJ224" s="18"/>
      <c r="AK224" s="18"/>
      <c r="AL224" s="18"/>
      <c r="AM224" s="18"/>
      <c r="AN224" s="18"/>
      <c r="AO224" s="18"/>
      <c r="AP224" s="18"/>
    </row>
    <row r="225" spans="1:42" x14ac:dyDescent="0.25">
      <c r="A225" s="12"/>
      <c r="B225" s="13"/>
      <c r="C225" s="13"/>
      <c r="D225" s="13"/>
      <c r="E225" s="13"/>
      <c r="F225" s="13"/>
      <c r="G225" s="13"/>
      <c r="H225" s="13"/>
      <c r="I225" s="13"/>
      <c r="J225" s="107"/>
      <c r="K225" s="107"/>
      <c r="L225" s="107"/>
      <c r="O225" s="18"/>
      <c r="P225" s="18"/>
      <c r="Q225" s="97"/>
      <c r="R225" s="97"/>
      <c r="S225" s="97"/>
      <c r="T225" s="97"/>
      <c r="U225" s="97"/>
      <c r="V225" s="97"/>
      <c r="W225" s="97"/>
      <c r="X225" s="51"/>
      <c r="Y225" s="18"/>
      <c r="Z225" s="18"/>
      <c r="AA225" s="18"/>
      <c r="AB225" s="18"/>
      <c r="AC225" s="18"/>
      <c r="AD225" s="18"/>
      <c r="AE225" s="18"/>
      <c r="AF225" s="18"/>
      <c r="AG225" s="18"/>
      <c r="AH225" s="51"/>
      <c r="AI225" s="18"/>
      <c r="AJ225" s="18"/>
      <c r="AK225" s="18"/>
      <c r="AL225" s="18"/>
      <c r="AM225" s="18"/>
      <c r="AN225" s="18"/>
      <c r="AO225" s="18"/>
      <c r="AP225" s="18"/>
    </row>
    <row r="226" spans="1:42" x14ac:dyDescent="0.25">
      <c r="A226" s="12"/>
      <c r="B226" s="13"/>
      <c r="C226" s="13"/>
      <c r="D226" s="13"/>
      <c r="E226" s="13"/>
      <c r="F226" s="13"/>
      <c r="G226" s="13"/>
      <c r="H226" s="13"/>
      <c r="I226" s="13"/>
      <c r="J226" s="107"/>
      <c r="K226" s="107"/>
      <c r="L226" s="107"/>
      <c r="O226" s="18"/>
      <c r="P226" s="18"/>
      <c r="Q226" s="97"/>
      <c r="R226" s="97"/>
      <c r="S226" s="97"/>
      <c r="T226" s="97"/>
      <c r="U226" s="97"/>
      <c r="V226" s="97"/>
      <c r="W226" s="97"/>
      <c r="X226" s="51"/>
      <c r="Y226" s="18"/>
      <c r="Z226" s="18"/>
      <c r="AA226" s="18"/>
      <c r="AB226" s="18"/>
      <c r="AC226" s="18"/>
      <c r="AD226" s="18"/>
      <c r="AE226" s="18"/>
      <c r="AF226" s="18"/>
      <c r="AG226" s="18"/>
      <c r="AH226" s="51"/>
      <c r="AI226" s="18"/>
      <c r="AJ226" s="18"/>
      <c r="AK226" s="18"/>
      <c r="AL226" s="18"/>
      <c r="AM226" s="18"/>
      <c r="AN226" s="18"/>
      <c r="AO226" s="18"/>
      <c r="AP226" s="18"/>
    </row>
    <row r="227" spans="1:42" x14ac:dyDescent="0.25">
      <c r="A227" s="12"/>
      <c r="B227" s="13"/>
      <c r="C227" s="13"/>
      <c r="D227" s="13"/>
      <c r="E227" s="13"/>
      <c r="F227" s="13"/>
      <c r="G227" s="13"/>
      <c r="H227" s="13"/>
      <c r="I227" s="13"/>
      <c r="J227" s="107"/>
      <c r="K227" s="107"/>
      <c r="L227" s="107"/>
      <c r="O227" s="18"/>
      <c r="P227" s="18"/>
      <c r="Q227" s="97"/>
      <c r="R227" s="97"/>
      <c r="S227" s="97"/>
      <c r="T227" s="97"/>
      <c r="U227" s="97"/>
      <c r="V227" s="97"/>
      <c r="W227" s="97"/>
      <c r="X227" s="51"/>
      <c r="Y227" s="18"/>
      <c r="Z227" s="18"/>
      <c r="AA227" s="18"/>
      <c r="AB227" s="18"/>
      <c r="AC227" s="18"/>
      <c r="AD227" s="18"/>
      <c r="AE227" s="18"/>
      <c r="AF227" s="18"/>
      <c r="AG227" s="18"/>
      <c r="AH227" s="51"/>
      <c r="AI227" s="18"/>
      <c r="AJ227" s="18"/>
      <c r="AK227" s="18"/>
      <c r="AL227" s="18"/>
      <c r="AM227" s="18"/>
      <c r="AN227" s="18"/>
      <c r="AO227" s="18"/>
      <c r="AP227" s="18"/>
    </row>
    <row r="228" spans="1:42" x14ac:dyDescent="0.25">
      <c r="A228" s="12"/>
      <c r="B228" s="13"/>
      <c r="C228" s="13"/>
      <c r="D228" s="13"/>
      <c r="E228" s="13"/>
      <c r="F228" s="13"/>
      <c r="G228" s="13"/>
      <c r="H228" s="13"/>
      <c r="I228" s="13"/>
      <c r="J228" s="100"/>
      <c r="K228" s="100"/>
      <c r="L228" s="100"/>
      <c r="O228" s="18"/>
      <c r="P228" s="18"/>
      <c r="Q228" s="97"/>
      <c r="R228" s="97"/>
      <c r="S228" s="97"/>
      <c r="T228" s="97"/>
      <c r="U228" s="97"/>
      <c r="V228" s="97"/>
      <c r="W228" s="97"/>
      <c r="X228" s="51"/>
      <c r="Y228" s="18"/>
      <c r="Z228" s="18"/>
      <c r="AA228" s="18"/>
      <c r="AB228" s="18"/>
      <c r="AC228" s="18"/>
      <c r="AD228" s="18"/>
      <c r="AE228" s="18"/>
      <c r="AF228" s="18"/>
      <c r="AG228" s="18"/>
      <c r="AH228" s="51"/>
      <c r="AI228" s="18"/>
      <c r="AJ228" s="18"/>
      <c r="AK228" s="18"/>
      <c r="AL228" s="18"/>
      <c r="AM228" s="18"/>
      <c r="AN228" s="18"/>
      <c r="AO228" s="18"/>
      <c r="AP228" s="18"/>
    </row>
    <row r="229" spans="1:42" x14ac:dyDescent="0.25">
      <c r="A229" s="12"/>
      <c r="B229" s="13"/>
      <c r="C229" s="13"/>
      <c r="D229" s="13"/>
      <c r="E229" s="13"/>
      <c r="F229" s="13"/>
      <c r="G229" s="13"/>
      <c r="H229" s="13"/>
      <c r="I229" s="13"/>
      <c r="J229" s="100"/>
      <c r="K229" s="100"/>
      <c r="L229" s="100"/>
      <c r="M229" s="118"/>
      <c r="O229" s="18"/>
      <c r="P229" s="18"/>
      <c r="Q229" s="97"/>
      <c r="R229" s="97"/>
      <c r="S229" s="97"/>
      <c r="T229" s="97"/>
      <c r="U229" s="97"/>
      <c r="V229" s="97"/>
      <c r="W229" s="97"/>
      <c r="X229" s="51"/>
      <c r="Y229" s="18"/>
      <c r="Z229" s="18"/>
      <c r="AA229" s="18"/>
      <c r="AB229" s="18"/>
      <c r="AC229" s="18"/>
      <c r="AD229" s="18"/>
      <c r="AE229" s="18"/>
      <c r="AF229" s="18"/>
      <c r="AG229" s="18"/>
      <c r="AH229" s="51"/>
      <c r="AI229" s="18"/>
      <c r="AJ229" s="18"/>
      <c r="AK229" s="18"/>
      <c r="AL229" s="18"/>
      <c r="AM229" s="18"/>
      <c r="AN229" s="18"/>
      <c r="AO229" s="18"/>
      <c r="AP229" s="18"/>
    </row>
    <row r="230" spans="1:42" x14ac:dyDescent="0.25">
      <c r="A230" s="12"/>
      <c r="B230" s="13"/>
      <c r="C230" s="13"/>
      <c r="D230" s="13"/>
      <c r="E230" s="13"/>
      <c r="F230" s="13"/>
      <c r="G230" s="13"/>
      <c r="H230" s="13"/>
      <c r="I230" s="13"/>
      <c r="J230" s="100"/>
      <c r="K230" s="100"/>
      <c r="L230" s="100"/>
      <c r="O230" s="18"/>
      <c r="P230" s="18"/>
      <c r="Q230" s="97"/>
      <c r="R230" s="97"/>
      <c r="S230" s="97"/>
      <c r="T230" s="97"/>
      <c r="U230" s="97"/>
      <c r="V230" s="97"/>
      <c r="W230" s="97"/>
      <c r="X230" s="51"/>
      <c r="Y230" s="18"/>
      <c r="Z230" s="18"/>
      <c r="AA230" s="18"/>
      <c r="AB230" s="18"/>
      <c r="AC230" s="18"/>
      <c r="AD230" s="18"/>
      <c r="AE230" s="18"/>
      <c r="AF230" s="18"/>
      <c r="AG230" s="18"/>
      <c r="AH230" s="51"/>
      <c r="AI230" s="18"/>
      <c r="AJ230" s="18"/>
      <c r="AK230" s="18"/>
      <c r="AL230" s="18"/>
      <c r="AM230" s="18"/>
      <c r="AN230" s="18"/>
      <c r="AO230" s="18"/>
      <c r="AP230" s="18"/>
    </row>
    <row r="231" spans="1:42" x14ac:dyDescent="0.25">
      <c r="A231" s="12"/>
      <c r="B231" s="13"/>
      <c r="C231" s="13"/>
      <c r="D231" s="13"/>
      <c r="E231" s="13"/>
      <c r="F231" s="13"/>
      <c r="G231" s="13"/>
      <c r="H231" s="13"/>
      <c r="I231" s="13"/>
      <c r="J231" s="100"/>
      <c r="K231" s="100"/>
      <c r="L231" s="100"/>
      <c r="M231" s="118"/>
      <c r="O231" s="18"/>
      <c r="P231" s="18"/>
      <c r="Q231" s="97"/>
      <c r="R231" s="97"/>
      <c r="S231" s="97"/>
      <c r="T231" s="97"/>
      <c r="U231" s="97"/>
      <c r="V231" s="97"/>
      <c r="W231" s="97"/>
      <c r="X231" s="51"/>
      <c r="Y231" s="18"/>
      <c r="Z231" s="18"/>
      <c r="AA231" s="18"/>
      <c r="AB231" s="18"/>
      <c r="AC231" s="18"/>
      <c r="AD231" s="18"/>
      <c r="AE231" s="18"/>
      <c r="AF231" s="18"/>
      <c r="AG231" s="18"/>
      <c r="AH231" s="51"/>
      <c r="AI231" s="18"/>
      <c r="AJ231" s="18"/>
      <c r="AK231" s="18"/>
      <c r="AL231" s="18"/>
      <c r="AM231" s="18"/>
      <c r="AN231" s="18"/>
      <c r="AO231" s="18"/>
      <c r="AP231" s="18"/>
    </row>
    <row r="232" spans="1:42" x14ac:dyDescent="0.25">
      <c r="A232" s="12"/>
      <c r="B232" s="13"/>
      <c r="C232" s="13"/>
      <c r="D232" s="13"/>
      <c r="E232" s="13"/>
      <c r="F232" s="13"/>
      <c r="G232" s="13"/>
      <c r="H232" s="13"/>
      <c r="I232" s="13"/>
      <c r="J232" s="100"/>
      <c r="K232" s="70"/>
      <c r="L232" s="70"/>
      <c r="O232" s="18"/>
      <c r="P232" s="18"/>
      <c r="Q232" s="97"/>
      <c r="R232" s="97"/>
      <c r="S232" s="97"/>
      <c r="T232" s="97"/>
      <c r="U232" s="97"/>
      <c r="V232" s="97"/>
      <c r="W232" s="97"/>
      <c r="X232" s="51"/>
      <c r="Y232" s="18"/>
      <c r="Z232" s="18"/>
      <c r="AA232" s="18"/>
      <c r="AB232" s="18"/>
      <c r="AC232" s="18"/>
      <c r="AD232" s="18"/>
      <c r="AE232" s="18"/>
      <c r="AF232" s="18"/>
      <c r="AG232" s="18"/>
      <c r="AH232" s="51"/>
      <c r="AI232" s="18"/>
      <c r="AJ232" s="18"/>
      <c r="AK232" s="18"/>
      <c r="AL232" s="18"/>
      <c r="AM232" s="18"/>
      <c r="AN232" s="18"/>
      <c r="AO232" s="18"/>
      <c r="AP232" s="18"/>
    </row>
    <row r="233" spans="1:42" x14ac:dyDescent="0.25">
      <c r="A233" s="12"/>
      <c r="B233" s="13"/>
      <c r="C233" s="13"/>
      <c r="D233" s="13"/>
      <c r="E233" s="13"/>
      <c r="F233" s="13"/>
      <c r="G233" s="13"/>
      <c r="H233" s="13"/>
      <c r="I233" s="13"/>
      <c r="J233" s="100"/>
      <c r="K233" s="100"/>
      <c r="L233" s="100"/>
      <c r="O233" s="18"/>
      <c r="P233" s="18"/>
      <c r="Q233" s="97"/>
      <c r="R233" s="97"/>
      <c r="S233" s="97"/>
      <c r="T233" s="97"/>
      <c r="U233" s="97"/>
      <c r="V233" s="97"/>
      <c r="W233" s="97"/>
      <c r="X233" s="51"/>
      <c r="Y233" s="18"/>
      <c r="Z233" s="18"/>
      <c r="AA233" s="18"/>
      <c r="AB233" s="18"/>
      <c r="AC233" s="18"/>
      <c r="AD233" s="18"/>
      <c r="AE233" s="18"/>
      <c r="AF233" s="18"/>
      <c r="AG233" s="18"/>
      <c r="AH233" s="51"/>
      <c r="AI233" s="18"/>
      <c r="AJ233" s="18"/>
      <c r="AK233" s="18"/>
      <c r="AL233" s="18"/>
      <c r="AM233" s="18"/>
      <c r="AN233" s="18"/>
      <c r="AO233" s="18"/>
      <c r="AP233" s="18"/>
    </row>
    <row r="234" spans="1:42" x14ac:dyDescent="0.25">
      <c r="A234" s="12"/>
      <c r="B234" s="13"/>
      <c r="C234" s="13"/>
      <c r="D234" s="13"/>
      <c r="E234" s="13"/>
      <c r="F234" s="13"/>
      <c r="G234" s="13"/>
      <c r="H234" s="13"/>
      <c r="I234" s="13"/>
      <c r="J234" s="100"/>
      <c r="K234" s="70"/>
      <c r="L234" s="70"/>
      <c r="O234" s="18"/>
      <c r="P234" s="18"/>
      <c r="Q234" s="97"/>
      <c r="R234" s="97"/>
      <c r="S234" s="97"/>
      <c r="T234" s="97"/>
      <c r="U234" s="97"/>
      <c r="V234" s="97"/>
      <c r="W234" s="97"/>
      <c r="X234" s="51"/>
      <c r="Y234" s="18"/>
      <c r="Z234" s="18"/>
      <c r="AA234" s="18"/>
      <c r="AB234" s="18"/>
      <c r="AC234" s="18"/>
      <c r="AD234" s="18"/>
      <c r="AE234" s="18"/>
      <c r="AF234" s="18"/>
      <c r="AG234" s="18"/>
      <c r="AH234" s="51"/>
      <c r="AI234" s="18"/>
      <c r="AJ234" s="18"/>
      <c r="AK234" s="18"/>
      <c r="AL234" s="18"/>
      <c r="AM234" s="18"/>
      <c r="AN234" s="18"/>
      <c r="AO234" s="18"/>
      <c r="AP234" s="18"/>
    </row>
    <row r="235" spans="1:42" x14ac:dyDescent="0.25">
      <c r="A235" s="12"/>
      <c r="B235" s="13"/>
      <c r="C235" s="13"/>
      <c r="D235" s="13"/>
      <c r="E235" s="13"/>
      <c r="F235" s="13"/>
      <c r="G235" s="13"/>
      <c r="H235" s="13"/>
      <c r="I235" s="13"/>
      <c r="J235" s="100"/>
      <c r="K235" s="100"/>
      <c r="L235" s="100"/>
      <c r="O235" s="18"/>
      <c r="P235" s="18"/>
      <c r="Q235" s="97"/>
      <c r="R235" s="97"/>
      <c r="S235" s="97"/>
      <c r="T235" s="97"/>
      <c r="U235" s="97"/>
      <c r="V235" s="97"/>
      <c r="W235" s="97"/>
      <c r="X235" s="51"/>
      <c r="Y235" s="18"/>
      <c r="Z235" s="18"/>
      <c r="AA235" s="18"/>
      <c r="AB235" s="18"/>
      <c r="AC235" s="18"/>
      <c r="AD235" s="18"/>
      <c r="AE235" s="18"/>
      <c r="AF235" s="18"/>
      <c r="AG235" s="18"/>
      <c r="AH235" s="51"/>
      <c r="AI235" s="18"/>
      <c r="AJ235" s="18"/>
      <c r="AK235" s="18"/>
      <c r="AL235" s="18"/>
      <c r="AM235" s="18"/>
      <c r="AN235" s="18"/>
      <c r="AO235" s="18"/>
      <c r="AP235" s="18"/>
    </row>
    <row r="236" spans="1:42" x14ac:dyDescent="0.25">
      <c r="A236" s="12"/>
      <c r="B236" s="13"/>
      <c r="C236" s="13"/>
      <c r="D236" s="13"/>
      <c r="E236" s="13"/>
      <c r="F236" s="13"/>
      <c r="G236" s="13"/>
      <c r="H236" s="13"/>
      <c r="I236" s="13"/>
      <c r="J236" s="100"/>
      <c r="K236" s="100"/>
      <c r="L236" s="100"/>
      <c r="O236" s="18"/>
      <c r="P236" s="18"/>
      <c r="Q236" s="97"/>
      <c r="R236" s="97"/>
      <c r="S236" s="97"/>
      <c r="T236" s="97"/>
      <c r="U236" s="97"/>
      <c r="V236" s="97"/>
      <c r="W236" s="97"/>
      <c r="X236" s="51"/>
      <c r="Y236" s="18"/>
      <c r="Z236" s="18"/>
      <c r="AA236" s="18"/>
      <c r="AB236" s="18"/>
      <c r="AC236" s="18"/>
      <c r="AD236" s="18"/>
      <c r="AE236" s="18"/>
      <c r="AF236" s="18"/>
      <c r="AG236" s="18"/>
      <c r="AH236" s="51"/>
      <c r="AI236" s="18"/>
      <c r="AJ236" s="18"/>
      <c r="AK236" s="18"/>
      <c r="AL236" s="18"/>
      <c r="AM236" s="18"/>
      <c r="AN236" s="18"/>
      <c r="AO236" s="18"/>
      <c r="AP236" s="18"/>
    </row>
    <row r="237" spans="1:42" x14ac:dyDescent="0.25">
      <c r="A237" s="12"/>
      <c r="B237" s="13"/>
      <c r="C237" s="13"/>
      <c r="D237" s="13"/>
      <c r="E237" s="13"/>
      <c r="F237" s="13"/>
      <c r="G237" s="13"/>
      <c r="H237" s="13"/>
      <c r="I237" s="13"/>
      <c r="J237" s="70"/>
      <c r="K237" s="70"/>
      <c r="L237" s="70"/>
      <c r="O237" s="18"/>
      <c r="P237" s="18"/>
      <c r="Q237" s="97"/>
      <c r="R237" s="97"/>
      <c r="S237" s="97"/>
      <c r="T237" s="97"/>
      <c r="U237" s="97"/>
      <c r="V237" s="97"/>
      <c r="W237" s="97"/>
      <c r="X237" s="51"/>
      <c r="Y237" s="18"/>
      <c r="Z237" s="18"/>
      <c r="AA237" s="18"/>
      <c r="AB237" s="18"/>
      <c r="AC237" s="18"/>
      <c r="AD237" s="18"/>
      <c r="AE237" s="18"/>
      <c r="AF237" s="18"/>
      <c r="AG237" s="18"/>
      <c r="AH237" s="51"/>
      <c r="AI237" s="18"/>
      <c r="AJ237" s="18"/>
      <c r="AK237" s="18"/>
      <c r="AL237" s="18"/>
      <c r="AM237" s="18"/>
      <c r="AN237" s="18"/>
      <c r="AO237" s="18"/>
      <c r="AP237" s="18"/>
    </row>
    <row r="238" spans="1:42" x14ac:dyDescent="0.25">
      <c r="A238" s="12"/>
      <c r="B238" s="13"/>
      <c r="C238" s="13"/>
      <c r="D238" s="13"/>
      <c r="E238" s="13"/>
      <c r="F238" s="13"/>
      <c r="G238" s="13"/>
      <c r="H238" s="13"/>
      <c r="I238" s="13"/>
      <c r="J238" s="70"/>
      <c r="K238" s="70"/>
      <c r="L238" s="70"/>
      <c r="M238" s="118"/>
      <c r="O238" s="18"/>
      <c r="P238" s="18"/>
      <c r="Q238" s="97"/>
      <c r="R238" s="97"/>
      <c r="S238" s="97"/>
      <c r="T238" s="97"/>
      <c r="U238" s="97"/>
      <c r="V238" s="97"/>
      <c r="W238" s="97"/>
      <c r="X238" s="51"/>
      <c r="Y238" s="18"/>
      <c r="Z238" s="18"/>
      <c r="AA238" s="18"/>
      <c r="AB238" s="18"/>
      <c r="AC238" s="18"/>
      <c r="AD238" s="18"/>
      <c r="AE238" s="18"/>
      <c r="AF238" s="18"/>
      <c r="AG238" s="18"/>
      <c r="AH238" s="51"/>
      <c r="AI238" s="18"/>
      <c r="AJ238" s="18"/>
      <c r="AK238" s="18"/>
      <c r="AL238" s="18"/>
      <c r="AM238" s="18"/>
      <c r="AN238" s="18"/>
      <c r="AO238" s="18"/>
      <c r="AP238" s="18"/>
    </row>
    <row r="239" spans="1:42" x14ac:dyDescent="0.25">
      <c r="A239" s="12"/>
      <c r="B239" s="13"/>
      <c r="C239" s="13"/>
      <c r="D239" s="13"/>
      <c r="E239" s="13"/>
      <c r="F239" s="13"/>
      <c r="G239" s="13"/>
      <c r="H239" s="13"/>
      <c r="I239" s="13"/>
      <c r="J239" s="100"/>
      <c r="K239" s="100"/>
      <c r="L239" s="100"/>
      <c r="O239" s="18"/>
      <c r="P239" s="18"/>
      <c r="Q239" s="97"/>
      <c r="R239" s="97"/>
      <c r="S239" s="97"/>
      <c r="T239" s="97"/>
      <c r="U239" s="97"/>
      <c r="V239" s="97"/>
      <c r="W239" s="97"/>
      <c r="X239" s="51"/>
      <c r="Y239" s="18"/>
      <c r="Z239" s="18"/>
      <c r="AA239" s="18"/>
      <c r="AB239" s="18"/>
      <c r="AC239" s="18"/>
      <c r="AD239" s="18"/>
      <c r="AE239" s="18"/>
      <c r="AF239" s="18"/>
      <c r="AG239" s="18"/>
      <c r="AH239" s="51"/>
      <c r="AI239" s="18"/>
      <c r="AJ239" s="18"/>
      <c r="AK239" s="18"/>
      <c r="AL239" s="18"/>
      <c r="AM239" s="18"/>
      <c r="AN239" s="18"/>
      <c r="AO239" s="18"/>
      <c r="AP239" s="18"/>
    </row>
    <row r="240" spans="1:42" x14ac:dyDescent="0.25">
      <c r="A240" s="12"/>
      <c r="B240" s="13"/>
      <c r="C240" s="13"/>
      <c r="D240" s="13"/>
      <c r="E240" s="13"/>
      <c r="F240" s="13"/>
      <c r="G240" s="13"/>
      <c r="H240" s="13"/>
      <c r="I240" s="13"/>
      <c r="J240" s="100"/>
      <c r="K240" s="100"/>
      <c r="L240" s="100"/>
      <c r="O240" s="18"/>
      <c r="P240" s="18"/>
      <c r="Q240" s="97"/>
      <c r="R240" s="97"/>
      <c r="S240" s="97"/>
      <c r="T240" s="97"/>
      <c r="U240" s="97"/>
      <c r="V240" s="97"/>
      <c r="W240" s="97"/>
      <c r="X240" s="51"/>
      <c r="Y240" s="18"/>
      <c r="Z240" s="18"/>
      <c r="AA240" s="18"/>
      <c r="AB240" s="18"/>
      <c r="AC240" s="18"/>
      <c r="AD240" s="18"/>
      <c r="AE240" s="18"/>
      <c r="AF240" s="18"/>
      <c r="AG240" s="18"/>
      <c r="AH240" s="51"/>
      <c r="AI240" s="18"/>
      <c r="AJ240" s="18"/>
      <c r="AK240" s="18"/>
      <c r="AL240" s="18"/>
      <c r="AM240" s="18"/>
      <c r="AN240" s="18"/>
      <c r="AO240" s="18"/>
      <c r="AP240" s="18"/>
    </row>
    <row r="241" spans="1:42" x14ac:dyDescent="0.25">
      <c r="A241" s="12"/>
      <c r="B241" s="13"/>
      <c r="C241" s="13"/>
      <c r="D241" s="13"/>
      <c r="E241" s="13"/>
      <c r="F241" s="13"/>
      <c r="G241" s="13"/>
      <c r="H241" s="13"/>
      <c r="I241" s="13"/>
      <c r="J241" s="107"/>
      <c r="K241" s="107"/>
      <c r="L241" s="107"/>
      <c r="O241" s="18"/>
      <c r="P241" s="18"/>
      <c r="Q241" s="97"/>
      <c r="R241" s="97"/>
      <c r="S241" s="97"/>
      <c r="T241" s="97"/>
      <c r="U241" s="97"/>
      <c r="V241" s="97"/>
      <c r="W241" s="97"/>
      <c r="X241" s="51"/>
      <c r="Y241" s="18"/>
      <c r="Z241" s="18"/>
      <c r="AA241" s="18"/>
      <c r="AB241" s="18"/>
      <c r="AC241" s="18"/>
      <c r="AD241" s="18"/>
      <c r="AE241" s="18"/>
      <c r="AF241" s="18"/>
      <c r="AG241" s="18"/>
      <c r="AH241" s="51"/>
      <c r="AI241" s="18"/>
      <c r="AJ241" s="18"/>
      <c r="AK241" s="18"/>
      <c r="AL241" s="18"/>
      <c r="AM241" s="18"/>
      <c r="AN241" s="18"/>
      <c r="AO241" s="18"/>
      <c r="AP241" s="18"/>
    </row>
    <row r="242" spans="1:42" x14ac:dyDescent="0.25">
      <c r="A242" s="12"/>
      <c r="B242" s="13"/>
      <c r="C242" s="13"/>
      <c r="D242" s="13"/>
      <c r="E242" s="13"/>
      <c r="F242" s="13"/>
      <c r="G242" s="13"/>
      <c r="H242" s="13"/>
      <c r="I242" s="13"/>
      <c r="J242" s="100"/>
      <c r="K242" s="100"/>
      <c r="L242" s="100"/>
      <c r="O242" s="18"/>
      <c r="P242" s="18"/>
      <c r="Q242" s="97"/>
      <c r="R242" s="97"/>
      <c r="S242" s="97"/>
      <c r="T242" s="97"/>
      <c r="U242" s="97"/>
      <c r="V242" s="97"/>
      <c r="W242" s="97"/>
      <c r="X242" s="51"/>
      <c r="Y242" s="18"/>
      <c r="Z242" s="18"/>
      <c r="AA242" s="18"/>
      <c r="AB242" s="18"/>
      <c r="AC242" s="18"/>
      <c r="AD242" s="18"/>
      <c r="AE242" s="18"/>
      <c r="AF242" s="18"/>
      <c r="AG242" s="18"/>
      <c r="AH242" s="51"/>
      <c r="AI242" s="18"/>
      <c r="AJ242" s="18"/>
      <c r="AK242" s="18"/>
      <c r="AL242" s="18"/>
      <c r="AM242" s="18"/>
      <c r="AN242" s="18"/>
      <c r="AO242" s="18"/>
      <c r="AP242" s="18"/>
    </row>
    <row r="243" spans="1:42" x14ac:dyDescent="0.25">
      <c r="A243" s="12"/>
      <c r="B243" s="13"/>
      <c r="C243" s="13"/>
      <c r="D243" s="13"/>
      <c r="E243" s="13"/>
      <c r="F243" s="13"/>
      <c r="G243" s="13"/>
      <c r="H243" s="13"/>
      <c r="I243" s="13"/>
      <c r="J243" s="70"/>
      <c r="K243" s="70"/>
      <c r="L243" s="70"/>
      <c r="O243" s="18"/>
      <c r="P243" s="18"/>
      <c r="Q243" s="97"/>
      <c r="R243" s="97"/>
      <c r="S243" s="97"/>
      <c r="T243" s="97"/>
      <c r="U243" s="97"/>
      <c r="V243" s="97"/>
      <c r="W243" s="97"/>
      <c r="X243" s="51"/>
      <c r="Y243" s="18"/>
      <c r="Z243" s="18"/>
      <c r="AA243" s="18"/>
      <c r="AB243" s="18"/>
      <c r="AC243" s="18"/>
      <c r="AD243" s="18"/>
      <c r="AE243" s="18"/>
      <c r="AF243" s="18"/>
      <c r="AG243" s="18"/>
      <c r="AH243" s="51"/>
      <c r="AI243" s="18"/>
      <c r="AJ243" s="18"/>
      <c r="AK243" s="18"/>
      <c r="AL243" s="18"/>
      <c r="AM243" s="18"/>
      <c r="AN243" s="18"/>
      <c r="AO243" s="18"/>
      <c r="AP243" s="18"/>
    </row>
    <row r="244" spans="1:42" x14ac:dyDescent="0.25">
      <c r="A244" s="12"/>
      <c r="B244" s="13"/>
      <c r="C244" s="13"/>
      <c r="D244" s="13"/>
      <c r="E244" s="13"/>
      <c r="F244" s="13"/>
      <c r="G244" s="13"/>
      <c r="H244" s="13"/>
      <c r="I244" s="13"/>
      <c r="J244" s="70"/>
      <c r="K244" s="70"/>
      <c r="L244" s="70"/>
      <c r="O244" s="18"/>
      <c r="P244" s="18"/>
      <c r="Q244" s="97"/>
      <c r="R244" s="97"/>
      <c r="S244" s="97"/>
      <c r="T244" s="97"/>
      <c r="U244" s="97"/>
      <c r="V244" s="97"/>
      <c r="W244" s="97"/>
      <c r="X244" s="51"/>
      <c r="Y244" s="18"/>
      <c r="Z244" s="18"/>
      <c r="AA244" s="18"/>
      <c r="AB244" s="18"/>
      <c r="AC244" s="18"/>
      <c r="AD244" s="18"/>
      <c r="AE244" s="18"/>
      <c r="AF244" s="18"/>
      <c r="AG244" s="18"/>
      <c r="AH244" s="51"/>
      <c r="AI244" s="18"/>
      <c r="AJ244" s="18"/>
      <c r="AK244" s="18"/>
      <c r="AL244" s="18"/>
      <c r="AM244" s="18"/>
      <c r="AN244" s="18"/>
      <c r="AO244" s="18"/>
      <c r="AP244" s="18"/>
    </row>
    <row r="245" spans="1:42" x14ac:dyDescent="0.25">
      <c r="A245" s="12"/>
      <c r="B245" s="13"/>
      <c r="C245" s="13"/>
      <c r="D245" s="13"/>
      <c r="E245" s="13"/>
      <c r="F245" s="13"/>
      <c r="G245" s="13"/>
      <c r="H245" s="13"/>
      <c r="I245" s="13"/>
      <c r="J245" s="70"/>
      <c r="K245" s="70"/>
      <c r="L245" s="70"/>
      <c r="O245" s="18"/>
      <c r="P245" s="18"/>
      <c r="Q245" s="97"/>
      <c r="R245" s="97"/>
      <c r="S245" s="97"/>
      <c r="T245" s="97"/>
      <c r="U245" s="97"/>
      <c r="V245" s="97"/>
      <c r="W245" s="97"/>
      <c r="X245" s="51"/>
      <c r="Y245" s="18"/>
      <c r="Z245" s="18"/>
      <c r="AA245" s="18"/>
      <c r="AB245" s="18"/>
      <c r="AC245" s="18"/>
      <c r="AD245" s="18"/>
      <c r="AE245" s="18"/>
      <c r="AF245" s="18"/>
      <c r="AG245" s="18"/>
      <c r="AH245" s="51"/>
      <c r="AI245" s="18"/>
      <c r="AJ245" s="18"/>
      <c r="AK245" s="18"/>
      <c r="AL245" s="18"/>
      <c r="AM245" s="18"/>
      <c r="AN245" s="18"/>
      <c r="AO245" s="18"/>
      <c r="AP245" s="18"/>
    </row>
    <row r="246" spans="1:42" x14ac:dyDescent="0.25">
      <c r="A246" s="12"/>
      <c r="B246" s="13"/>
      <c r="C246" s="13"/>
      <c r="D246" s="13"/>
      <c r="E246" s="13"/>
      <c r="F246" s="13"/>
      <c r="G246" s="13"/>
      <c r="H246" s="13"/>
      <c r="I246" s="13"/>
      <c r="J246" s="70"/>
      <c r="K246" s="70"/>
      <c r="L246" s="70"/>
      <c r="O246" s="18"/>
      <c r="P246" s="18"/>
      <c r="Q246" s="97"/>
      <c r="R246" s="97"/>
      <c r="S246" s="97"/>
      <c r="T246" s="97"/>
      <c r="U246" s="97"/>
      <c r="V246" s="97"/>
      <c r="W246" s="97"/>
      <c r="X246" s="51"/>
      <c r="Y246" s="18"/>
      <c r="Z246" s="18"/>
      <c r="AA246" s="18"/>
      <c r="AB246" s="18"/>
      <c r="AC246" s="18"/>
      <c r="AD246" s="18"/>
      <c r="AE246" s="18"/>
      <c r="AF246" s="18"/>
      <c r="AG246" s="18"/>
      <c r="AH246" s="51"/>
      <c r="AI246" s="18"/>
      <c r="AJ246" s="18"/>
      <c r="AK246" s="18"/>
      <c r="AL246" s="18"/>
      <c r="AM246" s="18"/>
      <c r="AN246" s="18"/>
      <c r="AO246" s="18"/>
      <c r="AP246" s="18"/>
    </row>
    <row r="247" spans="1:42" x14ac:dyDescent="0.25">
      <c r="A247" s="12"/>
      <c r="B247" s="13"/>
      <c r="C247" s="13"/>
      <c r="D247" s="13"/>
      <c r="E247" s="13"/>
      <c r="F247" s="13"/>
      <c r="G247" s="13"/>
      <c r="H247" s="13"/>
      <c r="I247" s="13"/>
      <c r="J247" s="70"/>
      <c r="K247" s="70"/>
      <c r="L247" s="70"/>
      <c r="O247" s="18"/>
      <c r="P247" s="18"/>
      <c r="Q247" s="97"/>
      <c r="R247" s="97"/>
      <c r="S247" s="97"/>
      <c r="T247" s="97"/>
      <c r="U247" s="97"/>
      <c r="V247" s="97"/>
      <c r="W247" s="97"/>
      <c r="X247" s="51"/>
      <c r="Y247" s="18"/>
      <c r="Z247" s="18"/>
      <c r="AA247" s="18"/>
      <c r="AB247" s="18"/>
      <c r="AC247" s="18"/>
      <c r="AD247" s="18"/>
      <c r="AE247" s="18"/>
      <c r="AF247" s="18"/>
      <c r="AG247" s="18"/>
      <c r="AH247" s="51"/>
      <c r="AI247" s="18"/>
      <c r="AJ247" s="18"/>
      <c r="AK247" s="18"/>
      <c r="AL247" s="18"/>
      <c r="AM247" s="18"/>
      <c r="AN247" s="18"/>
      <c r="AO247" s="18"/>
      <c r="AP247" s="18"/>
    </row>
    <row r="248" spans="1:42" x14ac:dyDescent="0.25">
      <c r="A248" s="12"/>
      <c r="B248" s="13"/>
      <c r="C248" s="13"/>
      <c r="D248" s="13"/>
      <c r="E248" s="13"/>
      <c r="F248" s="13"/>
      <c r="G248" s="13"/>
      <c r="H248" s="13"/>
      <c r="I248" s="13"/>
      <c r="J248" s="70"/>
      <c r="K248" s="70"/>
      <c r="L248" s="70"/>
      <c r="O248" s="18"/>
      <c r="P248" s="18"/>
      <c r="Q248" s="97"/>
      <c r="R248" s="97"/>
      <c r="S248" s="97"/>
      <c r="T248" s="97"/>
      <c r="U248" s="97"/>
      <c r="V248" s="97"/>
      <c r="W248" s="97"/>
      <c r="X248" s="51"/>
      <c r="Y248" s="18"/>
      <c r="Z248" s="18"/>
      <c r="AA248" s="18"/>
      <c r="AB248" s="18"/>
      <c r="AC248" s="18"/>
      <c r="AD248" s="18"/>
      <c r="AE248" s="18"/>
      <c r="AF248" s="18"/>
      <c r="AG248" s="18"/>
      <c r="AH248" s="51"/>
      <c r="AI248" s="18"/>
      <c r="AJ248" s="18"/>
      <c r="AK248" s="18"/>
      <c r="AL248" s="18"/>
      <c r="AM248" s="18"/>
      <c r="AN248" s="18"/>
      <c r="AO248" s="18"/>
      <c r="AP248" s="18"/>
    </row>
    <row r="249" spans="1:42" x14ac:dyDescent="0.25">
      <c r="A249" s="12"/>
      <c r="B249" s="13"/>
      <c r="C249" s="13"/>
      <c r="D249" s="13"/>
      <c r="E249" s="13"/>
      <c r="F249" s="13"/>
      <c r="G249" s="13"/>
      <c r="H249" s="13"/>
      <c r="I249" s="13"/>
      <c r="J249" s="70"/>
      <c r="K249" s="70"/>
      <c r="L249" s="70"/>
      <c r="O249" s="18"/>
      <c r="P249" s="18"/>
      <c r="Q249" s="97"/>
      <c r="R249" s="97"/>
      <c r="S249" s="97"/>
      <c r="T249" s="97"/>
      <c r="U249" s="97"/>
      <c r="V249" s="97"/>
      <c r="W249" s="97"/>
      <c r="X249" s="51"/>
      <c r="Y249" s="18"/>
      <c r="Z249" s="18"/>
      <c r="AA249" s="18"/>
      <c r="AB249" s="18"/>
      <c r="AC249" s="18"/>
      <c r="AD249" s="18"/>
      <c r="AE249" s="18"/>
      <c r="AF249" s="18"/>
      <c r="AG249" s="18"/>
      <c r="AH249" s="51"/>
      <c r="AI249" s="18"/>
      <c r="AJ249" s="18"/>
      <c r="AK249" s="18"/>
      <c r="AL249" s="18"/>
      <c r="AM249" s="18"/>
      <c r="AN249" s="18"/>
      <c r="AO249" s="18"/>
      <c r="AP249" s="18"/>
    </row>
    <row r="250" spans="1:42" x14ac:dyDescent="0.25">
      <c r="A250" s="12"/>
      <c r="B250" s="13"/>
      <c r="C250" s="13"/>
      <c r="D250" s="13"/>
      <c r="E250" s="13"/>
      <c r="F250" s="13"/>
      <c r="G250" s="13"/>
      <c r="H250" s="13"/>
      <c r="I250" s="13"/>
      <c r="J250" s="70"/>
      <c r="K250" s="70"/>
      <c r="L250" s="70"/>
      <c r="O250" s="18"/>
      <c r="P250" s="18"/>
      <c r="Q250" s="97"/>
      <c r="R250" s="97"/>
      <c r="S250" s="97"/>
      <c r="T250" s="97"/>
      <c r="U250" s="97"/>
      <c r="V250" s="97"/>
      <c r="W250" s="97"/>
      <c r="X250" s="51"/>
      <c r="Y250" s="18"/>
      <c r="Z250" s="18"/>
      <c r="AA250" s="18"/>
      <c r="AB250" s="18"/>
      <c r="AC250" s="18"/>
      <c r="AD250" s="18"/>
      <c r="AE250" s="18"/>
      <c r="AF250" s="18"/>
      <c r="AG250" s="18"/>
      <c r="AH250" s="51"/>
      <c r="AI250" s="18"/>
      <c r="AJ250" s="18"/>
      <c r="AK250" s="18"/>
      <c r="AL250" s="18"/>
      <c r="AM250" s="18"/>
      <c r="AN250" s="18"/>
      <c r="AO250" s="18"/>
      <c r="AP250" s="18"/>
    </row>
    <row r="251" spans="1:42" x14ac:dyDescent="0.25">
      <c r="A251" s="12"/>
      <c r="B251" s="13"/>
      <c r="C251" s="13"/>
      <c r="D251" s="13"/>
      <c r="E251" s="13"/>
      <c r="F251" s="13"/>
      <c r="G251" s="13"/>
      <c r="H251" s="13"/>
      <c r="I251" s="13"/>
      <c r="J251" s="70"/>
      <c r="K251" s="70"/>
      <c r="L251" s="70"/>
      <c r="O251" s="18"/>
      <c r="P251" s="18"/>
      <c r="Q251" s="97"/>
      <c r="R251" s="97"/>
      <c r="S251" s="97"/>
      <c r="T251" s="97"/>
      <c r="U251" s="97"/>
      <c r="V251" s="97"/>
      <c r="W251" s="97"/>
      <c r="X251" s="51"/>
      <c r="Y251" s="18"/>
      <c r="Z251" s="18"/>
      <c r="AA251" s="18"/>
      <c r="AB251" s="18"/>
      <c r="AC251" s="18"/>
      <c r="AD251" s="18"/>
      <c r="AE251" s="18"/>
      <c r="AF251" s="18"/>
      <c r="AG251" s="18"/>
      <c r="AH251" s="51"/>
      <c r="AI251" s="18"/>
      <c r="AJ251" s="18"/>
      <c r="AK251" s="18"/>
      <c r="AL251" s="18"/>
      <c r="AM251" s="18"/>
      <c r="AN251" s="18"/>
      <c r="AO251" s="18"/>
      <c r="AP251" s="18"/>
    </row>
    <row r="252" spans="1:42" x14ac:dyDescent="0.25">
      <c r="A252" s="12"/>
      <c r="B252" s="13"/>
      <c r="C252" s="13"/>
      <c r="D252" s="13"/>
      <c r="E252" s="13"/>
      <c r="F252" s="13"/>
      <c r="G252" s="13"/>
      <c r="H252" s="13"/>
      <c r="I252" s="13"/>
      <c r="J252" s="70"/>
      <c r="K252" s="70"/>
      <c r="L252" s="70"/>
      <c r="O252" s="18"/>
      <c r="P252" s="18"/>
      <c r="Q252" s="97"/>
      <c r="R252" s="97"/>
      <c r="S252" s="97"/>
      <c r="T252" s="97"/>
      <c r="U252" s="97"/>
      <c r="V252" s="97"/>
      <c r="W252" s="97"/>
      <c r="X252" s="51"/>
      <c r="Y252" s="18"/>
      <c r="Z252" s="18"/>
      <c r="AA252" s="18"/>
      <c r="AB252" s="18"/>
      <c r="AC252" s="18"/>
      <c r="AD252" s="18"/>
      <c r="AE252" s="18"/>
      <c r="AF252" s="18"/>
      <c r="AG252" s="18"/>
      <c r="AH252" s="51"/>
      <c r="AI252" s="18"/>
      <c r="AJ252" s="18"/>
      <c r="AK252" s="18"/>
      <c r="AL252" s="18"/>
      <c r="AM252" s="18"/>
      <c r="AN252" s="18"/>
      <c r="AO252" s="18"/>
      <c r="AP252" s="18"/>
    </row>
    <row r="253" spans="1:42" x14ac:dyDescent="0.25">
      <c r="A253" s="12"/>
      <c r="B253" s="13"/>
      <c r="C253" s="13"/>
      <c r="D253" s="13"/>
      <c r="E253" s="13"/>
      <c r="F253" s="13"/>
      <c r="G253" s="13"/>
      <c r="H253" s="13"/>
      <c r="I253" s="13"/>
      <c r="J253" s="70"/>
      <c r="K253" s="70"/>
      <c r="L253" s="70"/>
      <c r="O253" s="18"/>
      <c r="P253" s="18"/>
      <c r="Q253" s="97"/>
      <c r="R253" s="97"/>
      <c r="S253" s="97"/>
      <c r="T253" s="97"/>
      <c r="U253" s="97"/>
      <c r="V253" s="97"/>
      <c r="W253" s="97"/>
      <c r="X253" s="51"/>
      <c r="Y253" s="18"/>
      <c r="Z253" s="18"/>
      <c r="AA253" s="18"/>
      <c r="AB253" s="18"/>
      <c r="AC253" s="18"/>
      <c r="AD253" s="18"/>
      <c r="AE253" s="18"/>
      <c r="AF253" s="18"/>
      <c r="AG253" s="18"/>
      <c r="AH253" s="51"/>
      <c r="AI253" s="18"/>
      <c r="AJ253" s="18"/>
      <c r="AK253" s="18"/>
      <c r="AL253" s="18"/>
      <c r="AM253" s="18"/>
      <c r="AN253" s="18"/>
      <c r="AO253" s="18"/>
      <c r="AP253" s="18"/>
    </row>
    <row r="254" spans="1:42" x14ac:dyDescent="0.25">
      <c r="A254" s="12"/>
      <c r="B254" s="13"/>
      <c r="C254" s="13"/>
      <c r="D254" s="13"/>
      <c r="E254" s="13"/>
      <c r="F254" s="13"/>
      <c r="G254" s="13"/>
      <c r="H254" s="13"/>
      <c r="I254" s="13"/>
      <c r="J254" s="70"/>
      <c r="K254" s="70"/>
      <c r="L254" s="70"/>
      <c r="O254" s="18"/>
      <c r="P254" s="18"/>
      <c r="Q254" s="97"/>
      <c r="R254" s="97"/>
      <c r="S254" s="97"/>
      <c r="T254" s="97"/>
      <c r="U254" s="97"/>
      <c r="V254" s="97"/>
      <c r="W254" s="97"/>
      <c r="X254" s="51"/>
      <c r="Y254" s="18"/>
      <c r="Z254" s="18"/>
      <c r="AA254" s="18"/>
      <c r="AB254" s="18"/>
      <c r="AC254" s="18"/>
      <c r="AD254" s="18"/>
      <c r="AE254" s="18"/>
      <c r="AF254" s="18"/>
      <c r="AG254" s="18"/>
      <c r="AH254" s="51"/>
      <c r="AI254" s="18"/>
      <c r="AJ254" s="18"/>
      <c r="AK254" s="18"/>
      <c r="AL254" s="18"/>
      <c r="AM254" s="18"/>
      <c r="AN254" s="18"/>
      <c r="AO254" s="18"/>
      <c r="AP254" s="18"/>
    </row>
    <row r="255" spans="1:42" x14ac:dyDescent="0.25">
      <c r="A255" s="12"/>
      <c r="B255" s="13"/>
      <c r="C255" s="13"/>
      <c r="D255" s="13"/>
      <c r="E255" s="13"/>
      <c r="F255" s="13"/>
      <c r="G255" s="13"/>
      <c r="H255" s="13"/>
      <c r="I255" s="13"/>
      <c r="J255" s="100"/>
      <c r="K255" s="100"/>
      <c r="L255" s="100"/>
      <c r="O255" s="18"/>
      <c r="P255" s="18"/>
      <c r="Q255" s="97"/>
      <c r="R255" s="97"/>
      <c r="S255" s="97"/>
      <c r="T255" s="97"/>
      <c r="U255" s="97"/>
      <c r="V255" s="97"/>
      <c r="W255" s="97"/>
      <c r="X255" s="51"/>
      <c r="Y255" s="18"/>
      <c r="Z255" s="18"/>
      <c r="AA255" s="18"/>
      <c r="AB255" s="18"/>
      <c r="AC255" s="18"/>
      <c r="AD255" s="18"/>
      <c r="AE255" s="18"/>
      <c r="AF255" s="18"/>
      <c r="AG255" s="18"/>
      <c r="AH255" s="51"/>
      <c r="AI255" s="18"/>
      <c r="AJ255" s="18"/>
      <c r="AK255" s="18"/>
      <c r="AL255" s="18"/>
      <c r="AM255" s="18"/>
      <c r="AN255" s="18"/>
      <c r="AO255" s="18"/>
      <c r="AP255" s="18"/>
    </row>
    <row r="256" spans="1:42" x14ac:dyDescent="0.25">
      <c r="A256" s="12"/>
      <c r="B256" s="13"/>
      <c r="C256" s="13"/>
      <c r="D256" s="13"/>
      <c r="E256" s="13"/>
      <c r="F256" s="13"/>
      <c r="G256" s="13"/>
      <c r="H256" s="13"/>
      <c r="I256" s="13"/>
      <c r="J256" s="70"/>
      <c r="K256" s="70"/>
      <c r="L256" s="70"/>
      <c r="O256" s="18"/>
      <c r="P256" s="18"/>
      <c r="Q256" s="97"/>
      <c r="R256" s="97"/>
      <c r="S256" s="97"/>
      <c r="T256" s="97"/>
      <c r="U256" s="97"/>
      <c r="V256" s="97"/>
      <c r="W256" s="97"/>
      <c r="X256" s="51"/>
      <c r="Y256" s="18"/>
      <c r="Z256" s="18"/>
      <c r="AA256" s="18"/>
      <c r="AB256" s="18"/>
      <c r="AC256" s="18"/>
      <c r="AD256" s="18"/>
      <c r="AE256" s="18"/>
      <c r="AF256" s="18"/>
      <c r="AG256" s="18"/>
      <c r="AH256" s="51"/>
      <c r="AI256" s="18"/>
      <c r="AJ256" s="18"/>
      <c r="AK256" s="18"/>
      <c r="AL256" s="18"/>
      <c r="AM256" s="18"/>
      <c r="AN256" s="18"/>
      <c r="AO256" s="18"/>
      <c r="AP256" s="18"/>
    </row>
    <row r="257" spans="1:42" x14ac:dyDescent="0.25">
      <c r="A257" s="12"/>
      <c r="B257" s="13"/>
      <c r="C257" s="13"/>
      <c r="D257" s="13"/>
      <c r="E257" s="13"/>
      <c r="F257" s="13"/>
      <c r="G257" s="13"/>
      <c r="H257" s="13"/>
      <c r="I257" s="13"/>
      <c r="J257" s="70"/>
      <c r="K257" s="70"/>
      <c r="L257" s="70"/>
      <c r="O257" s="18"/>
      <c r="P257" s="18"/>
      <c r="Q257" s="97"/>
      <c r="R257" s="97"/>
      <c r="S257" s="97"/>
      <c r="T257" s="97"/>
      <c r="U257" s="97"/>
      <c r="V257" s="97"/>
      <c r="W257" s="97"/>
      <c r="X257" s="51"/>
      <c r="Y257" s="18"/>
      <c r="Z257" s="18"/>
      <c r="AA257" s="18"/>
      <c r="AB257" s="18"/>
      <c r="AC257" s="18"/>
      <c r="AD257" s="18"/>
      <c r="AE257" s="18"/>
      <c r="AF257" s="18"/>
      <c r="AG257" s="18"/>
      <c r="AH257" s="51"/>
      <c r="AI257" s="18"/>
      <c r="AJ257" s="18"/>
      <c r="AK257" s="18"/>
      <c r="AL257" s="18"/>
      <c r="AM257" s="18"/>
      <c r="AN257" s="18"/>
      <c r="AO257" s="18"/>
      <c r="AP257" s="18"/>
    </row>
    <row r="258" spans="1:42" x14ac:dyDescent="0.25">
      <c r="A258" s="12"/>
      <c r="B258" s="13"/>
      <c r="C258" s="13"/>
      <c r="D258" s="13"/>
      <c r="E258" s="13"/>
      <c r="F258" s="13"/>
      <c r="G258" s="13"/>
      <c r="H258" s="13"/>
      <c r="I258" s="13"/>
      <c r="J258" s="70"/>
      <c r="K258" s="70"/>
      <c r="L258" s="70"/>
      <c r="O258" s="18"/>
      <c r="P258" s="18"/>
      <c r="Q258" s="97"/>
      <c r="R258" s="97"/>
      <c r="S258" s="97"/>
      <c r="T258" s="97"/>
      <c r="U258" s="97"/>
      <c r="V258" s="97"/>
      <c r="W258" s="97"/>
      <c r="X258" s="51"/>
      <c r="Y258" s="18"/>
      <c r="Z258" s="18"/>
      <c r="AA258" s="18"/>
      <c r="AB258" s="18"/>
      <c r="AC258" s="18"/>
      <c r="AD258" s="18"/>
      <c r="AE258" s="18"/>
      <c r="AF258" s="18"/>
      <c r="AG258" s="18"/>
      <c r="AH258" s="51"/>
      <c r="AI258" s="18"/>
      <c r="AJ258" s="18"/>
      <c r="AK258" s="18"/>
      <c r="AL258" s="18"/>
      <c r="AM258" s="18"/>
      <c r="AN258" s="18"/>
      <c r="AO258" s="18"/>
      <c r="AP258" s="18"/>
    </row>
    <row r="259" spans="1:42" x14ac:dyDescent="0.25">
      <c r="A259" s="12"/>
      <c r="B259" s="13"/>
      <c r="C259" s="13"/>
      <c r="D259" s="13"/>
      <c r="E259" s="13"/>
      <c r="F259" s="13"/>
      <c r="G259" s="13"/>
      <c r="H259" s="13"/>
      <c r="I259" s="13"/>
      <c r="J259" s="100"/>
      <c r="K259" s="100"/>
      <c r="L259" s="100"/>
      <c r="O259" s="18"/>
      <c r="P259" s="18"/>
      <c r="Q259" s="97"/>
      <c r="R259" s="97"/>
      <c r="S259" s="97"/>
      <c r="T259" s="97"/>
      <c r="U259" s="97"/>
      <c r="V259" s="97"/>
      <c r="W259" s="97"/>
      <c r="X259" s="51"/>
      <c r="Y259" s="18"/>
      <c r="Z259" s="18"/>
      <c r="AA259" s="18"/>
      <c r="AB259" s="18"/>
      <c r="AC259" s="18"/>
      <c r="AD259" s="18"/>
      <c r="AE259" s="18"/>
      <c r="AF259" s="18"/>
      <c r="AG259" s="18"/>
      <c r="AH259" s="51"/>
      <c r="AI259" s="18"/>
      <c r="AJ259" s="18"/>
      <c r="AK259" s="18"/>
      <c r="AL259" s="18"/>
      <c r="AM259" s="18"/>
      <c r="AN259" s="18"/>
      <c r="AO259" s="18"/>
      <c r="AP259" s="18"/>
    </row>
    <row r="260" spans="1:42" x14ac:dyDescent="0.25">
      <c r="A260" s="12"/>
      <c r="B260" s="13"/>
      <c r="C260" s="13"/>
      <c r="D260" s="13"/>
      <c r="E260" s="13"/>
      <c r="F260" s="13"/>
      <c r="G260" s="13"/>
      <c r="H260" s="13"/>
      <c r="I260" s="13"/>
      <c r="J260" s="100"/>
      <c r="K260" s="100"/>
      <c r="L260" s="100"/>
      <c r="O260" s="18"/>
      <c r="P260" s="18"/>
      <c r="Q260" s="97"/>
      <c r="R260" s="97"/>
      <c r="S260" s="97"/>
      <c r="T260" s="97"/>
      <c r="U260" s="97"/>
      <c r="V260" s="97"/>
      <c r="W260" s="97"/>
      <c r="X260" s="51"/>
      <c r="Y260" s="18"/>
      <c r="Z260" s="18"/>
      <c r="AA260" s="18"/>
      <c r="AB260" s="18"/>
      <c r="AC260" s="18"/>
      <c r="AD260" s="18"/>
      <c r="AE260" s="18"/>
      <c r="AF260" s="18"/>
      <c r="AG260" s="18"/>
      <c r="AH260" s="51"/>
      <c r="AI260" s="18"/>
      <c r="AJ260" s="18"/>
      <c r="AK260" s="18"/>
      <c r="AL260" s="18"/>
      <c r="AM260" s="18"/>
      <c r="AN260" s="18"/>
      <c r="AO260" s="18"/>
      <c r="AP260" s="18"/>
    </row>
    <row r="261" spans="1:42" x14ac:dyDescent="0.25">
      <c r="A261" s="12"/>
      <c r="B261" s="13"/>
      <c r="C261" s="13"/>
      <c r="D261" s="13"/>
      <c r="E261" s="13"/>
      <c r="F261" s="13"/>
      <c r="G261" s="13"/>
      <c r="H261" s="13"/>
      <c r="I261" s="13"/>
      <c r="J261" s="107"/>
      <c r="K261" s="107"/>
      <c r="L261" s="107"/>
      <c r="O261" s="18"/>
      <c r="P261" s="18"/>
      <c r="Q261" s="97"/>
      <c r="R261" s="97"/>
      <c r="S261" s="97"/>
      <c r="T261" s="97"/>
      <c r="U261" s="97"/>
      <c r="V261" s="97"/>
      <c r="W261" s="97"/>
      <c r="X261" s="51"/>
      <c r="Y261" s="18"/>
      <c r="Z261" s="18"/>
      <c r="AA261" s="18"/>
      <c r="AB261" s="18"/>
      <c r="AC261" s="18"/>
      <c r="AD261" s="18"/>
      <c r="AE261" s="18"/>
      <c r="AF261" s="18"/>
      <c r="AG261" s="18"/>
      <c r="AH261" s="51"/>
      <c r="AI261" s="18"/>
      <c r="AJ261" s="18"/>
      <c r="AK261" s="18"/>
      <c r="AL261" s="18"/>
      <c r="AM261" s="18"/>
      <c r="AN261" s="18"/>
      <c r="AO261" s="18"/>
      <c r="AP261" s="18"/>
    </row>
    <row r="262" spans="1:42" x14ac:dyDescent="0.25">
      <c r="A262" s="12"/>
      <c r="B262" s="13"/>
      <c r="C262" s="13"/>
      <c r="D262" s="13"/>
      <c r="E262" s="13"/>
      <c r="F262" s="13"/>
      <c r="G262" s="13"/>
      <c r="H262" s="13"/>
      <c r="I262" s="13"/>
      <c r="J262" s="70"/>
      <c r="K262" s="70"/>
      <c r="L262" s="70"/>
      <c r="O262" s="18"/>
      <c r="P262" s="18"/>
      <c r="Q262" s="97"/>
      <c r="R262" s="97"/>
      <c r="S262" s="97"/>
      <c r="T262" s="97"/>
      <c r="U262" s="97"/>
      <c r="V262" s="97"/>
      <c r="W262" s="97"/>
      <c r="X262" s="51"/>
      <c r="Y262" s="18"/>
      <c r="Z262" s="18"/>
      <c r="AA262" s="18"/>
      <c r="AB262" s="18"/>
      <c r="AC262" s="18"/>
      <c r="AD262" s="18"/>
      <c r="AE262" s="18"/>
      <c r="AF262" s="18"/>
      <c r="AG262" s="18"/>
      <c r="AH262" s="51"/>
      <c r="AI262" s="18"/>
      <c r="AJ262" s="18"/>
      <c r="AK262" s="18"/>
      <c r="AL262" s="18"/>
      <c r="AM262" s="18"/>
      <c r="AN262" s="18"/>
      <c r="AO262" s="18"/>
      <c r="AP262" s="18"/>
    </row>
    <row r="263" spans="1:42" x14ac:dyDescent="0.25">
      <c r="A263" s="12"/>
      <c r="B263" s="13"/>
      <c r="C263" s="13"/>
      <c r="D263" s="13"/>
      <c r="E263" s="13"/>
      <c r="F263" s="13"/>
      <c r="G263" s="13"/>
      <c r="H263" s="13"/>
      <c r="I263" s="13"/>
      <c r="J263" s="107"/>
      <c r="K263" s="107"/>
      <c r="L263" s="107"/>
      <c r="O263" s="18"/>
      <c r="P263" s="18"/>
      <c r="Q263" s="97"/>
      <c r="R263" s="97"/>
      <c r="S263" s="97"/>
      <c r="T263" s="97"/>
      <c r="U263" s="97"/>
      <c r="V263" s="97"/>
      <c r="W263" s="97"/>
      <c r="X263" s="51"/>
      <c r="Y263" s="18"/>
      <c r="Z263" s="18"/>
      <c r="AA263" s="18"/>
      <c r="AB263" s="18"/>
      <c r="AC263" s="18"/>
      <c r="AD263" s="18"/>
      <c r="AE263" s="18"/>
      <c r="AF263" s="18"/>
      <c r="AG263" s="18"/>
      <c r="AH263" s="51"/>
      <c r="AI263" s="18"/>
      <c r="AJ263" s="18"/>
      <c r="AK263" s="18"/>
      <c r="AL263" s="18"/>
      <c r="AM263" s="18"/>
      <c r="AN263" s="18"/>
      <c r="AO263" s="18"/>
      <c r="AP263" s="18"/>
    </row>
    <row r="264" spans="1:42" x14ac:dyDescent="0.25">
      <c r="A264" s="12"/>
      <c r="B264" s="13"/>
      <c r="C264" s="13"/>
      <c r="D264" s="13"/>
      <c r="E264" s="13"/>
      <c r="F264" s="13"/>
      <c r="G264" s="13"/>
      <c r="H264" s="13"/>
      <c r="I264" s="13"/>
      <c r="J264" s="100"/>
      <c r="K264" s="100"/>
      <c r="L264" s="100"/>
      <c r="O264" s="18"/>
      <c r="P264" s="18"/>
      <c r="Q264" s="97"/>
      <c r="R264" s="97"/>
      <c r="S264" s="97"/>
      <c r="T264" s="97"/>
      <c r="U264" s="97"/>
      <c r="V264" s="97"/>
      <c r="W264" s="97"/>
      <c r="X264" s="51"/>
      <c r="Y264" s="18"/>
      <c r="Z264" s="18"/>
      <c r="AA264" s="18"/>
      <c r="AB264" s="18"/>
      <c r="AC264" s="18"/>
      <c r="AD264" s="18"/>
      <c r="AE264" s="18"/>
      <c r="AF264" s="18"/>
      <c r="AG264" s="18"/>
      <c r="AH264" s="51"/>
      <c r="AI264" s="18"/>
      <c r="AJ264" s="18"/>
      <c r="AK264" s="18"/>
      <c r="AL264" s="18"/>
      <c r="AM264" s="18"/>
      <c r="AN264" s="18"/>
      <c r="AO264" s="18"/>
      <c r="AP264" s="18"/>
    </row>
    <row r="265" spans="1:42" x14ac:dyDescent="0.25">
      <c r="A265" s="12"/>
      <c r="B265" s="13"/>
      <c r="C265" s="13"/>
      <c r="D265" s="13"/>
      <c r="E265" s="13"/>
      <c r="F265" s="13"/>
      <c r="G265" s="13"/>
      <c r="H265" s="13"/>
      <c r="I265" s="13"/>
      <c r="J265" s="70"/>
      <c r="K265" s="70"/>
      <c r="L265" s="70"/>
      <c r="O265" s="18"/>
      <c r="P265" s="18"/>
      <c r="Q265" s="97"/>
      <c r="R265" s="97"/>
      <c r="S265" s="97"/>
      <c r="T265" s="97"/>
      <c r="U265" s="97"/>
      <c r="V265" s="97"/>
      <c r="W265" s="97"/>
      <c r="X265" s="51"/>
      <c r="Y265" s="18"/>
      <c r="Z265" s="18"/>
      <c r="AA265" s="18"/>
      <c r="AB265" s="18"/>
      <c r="AC265" s="18"/>
      <c r="AD265" s="18"/>
      <c r="AE265" s="18"/>
      <c r="AF265" s="18"/>
      <c r="AG265" s="18"/>
      <c r="AH265" s="51"/>
      <c r="AI265" s="18"/>
      <c r="AJ265" s="18"/>
      <c r="AK265" s="18"/>
      <c r="AL265" s="18"/>
      <c r="AM265" s="18"/>
      <c r="AN265" s="18"/>
      <c r="AO265" s="18"/>
      <c r="AP265" s="18"/>
    </row>
    <row r="266" spans="1:42" x14ac:dyDescent="0.25">
      <c r="A266" s="12"/>
      <c r="B266" s="13"/>
      <c r="C266" s="13"/>
      <c r="D266" s="13"/>
      <c r="E266" s="13"/>
      <c r="F266" s="13"/>
      <c r="G266" s="13"/>
      <c r="H266" s="13"/>
      <c r="I266" s="13"/>
      <c r="J266" s="107"/>
      <c r="K266" s="107"/>
      <c r="L266" s="107"/>
      <c r="O266" s="18"/>
      <c r="P266" s="18"/>
      <c r="Q266" s="97"/>
      <c r="R266" s="97"/>
      <c r="S266" s="97"/>
      <c r="T266" s="97"/>
      <c r="U266" s="97"/>
      <c r="V266" s="97"/>
      <c r="W266" s="97"/>
      <c r="X266" s="51"/>
      <c r="Y266" s="18"/>
      <c r="Z266" s="18"/>
      <c r="AA266" s="18"/>
      <c r="AB266" s="18"/>
      <c r="AC266" s="18"/>
      <c r="AD266" s="18"/>
      <c r="AE266" s="18"/>
      <c r="AF266" s="18"/>
      <c r="AG266" s="18"/>
      <c r="AH266" s="51"/>
      <c r="AI266" s="18"/>
      <c r="AJ266" s="18"/>
      <c r="AK266" s="18"/>
      <c r="AL266" s="18"/>
      <c r="AM266" s="18"/>
      <c r="AN266" s="18"/>
      <c r="AO266" s="18"/>
      <c r="AP266" s="18"/>
    </row>
    <row r="267" spans="1:42" x14ac:dyDescent="0.25">
      <c r="A267" s="12"/>
      <c r="B267" s="13"/>
      <c r="C267" s="13"/>
      <c r="D267" s="13"/>
      <c r="E267" s="13"/>
      <c r="F267" s="13"/>
      <c r="G267" s="13"/>
      <c r="H267" s="13"/>
      <c r="I267" s="13"/>
      <c r="J267" s="100"/>
      <c r="K267" s="100"/>
      <c r="L267" s="100"/>
      <c r="O267" s="18"/>
      <c r="P267" s="18"/>
      <c r="Q267" s="97"/>
      <c r="R267" s="97"/>
      <c r="S267" s="97"/>
      <c r="T267" s="97"/>
      <c r="U267" s="97"/>
      <c r="V267" s="97"/>
      <c r="W267" s="97"/>
      <c r="X267" s="51"/>
      <c r="Y267" s="18"/>
      <c r="Z267" s="18"/>
      <c r="AA267" s="18"/>
      <c r="AB267" s="18"/>
      <c r="AC267" s="18"/>
      <c r="AD267" s="18"/>
      <c r="AE267" s="18"/>
      <c r="AF267" s="18"/>
      <c r="AG267" s="18"/>
      <c r="AH267" s="51"/>
      <c r="AI267" s="18"/>
      <c r="AJ267" s="18"/>
      <c r="AK267" s="18"/>
      <c r="AL267" s="18"/>
      <c r="AM267" s="18"/>
      <c r="AN267" s="18"/>
      <c r="AO267" s="18"/>
      <c r="AP267" s="18"/>
    </row>
    <row r="268" spans="1:42" x14ac:dyDescent="0.25">
      <c r="A268" s="12"/>
      <c r="B268" s="13"/>
      <c r="C268" s="13"/>
      <c r="D268" s="13"/>
      <c r="E268" s="13"/>
      <c r="F268" s="13"/>
      <c r="G268" s="13"/>
      <c r="H268" s="13"/>
      <c r="I268" s="13"/>
      <c r="J268" s="70"/>
      <c r="K268" s="70"/>
      <c r="L268" s="70"/>
      <c r="O268" s="18"/>
      <c r="P268" s="18"/>
      <c r="Q268" s="97"/>
      <c r="R268" s="97"/>
      <c r="S268" s="97"/>
      <c r="T268" s="97"/>
      <c r="U268" s="97"/>
      <c r="V268" s="97"/>
      <c r="W268" s="97"/>
      <c r="X268" s="51"/>
      <c r="Y268" s="18"/>
      <c r="Z268" s="18"/>
      <c r="AA268" s="18"/>
      <c r="AB268" s="18"/>
      <c r="AC268" s="18"/>
      <c r="AD268" s="18"/>
      <c r="AE268" s="18"/>
      <c r="AF268" s="18"/>
      <c r="AG268" s="18"/>
      <c r="AH268" s="51"/>
      <c r="AI268" s="18"/>
      <c r="AJ268" s="18"/>
      <c r="AK268" s="18"/>
      <c r="AL268" s="18"/>
      <c r="AM268" s="18"/>
      <c r="AN268" s="18"/>
      <c r="AO268" s="18"/>
      <c r="AP268" s="18"/>
    </row>
    <row r="269" spans="1:42" x14ac:dyDescent="0.25">
      <c r="A269" s="12"/>
      <c r="B269" s="13"/>
      <c r="C269" s="13"/>
      <c r="D269" s="13"/>
      <c r="E269" s="13"/>
      <c r="F269" s="13"/>
      <c r="G269" s="13"/>
      <c r="H269" s="13"/>
      <c r="I269" s="13"/>
      <c r="J269" s="70"/>
      <c r="K269" s="70"/>
      <c r="L269" s="70"/>
      <c r="O269" s="18"/>
      <c r="P269" s="18"/>
      <c r="Q269" s="97"/>
      <c r="R269" s="97"/>
      <c r="S269" s="97"/>
      <c r="T269" s="97"/>
      <c r="U269" s="97"/>
      <c r="V269" s="97"/>
      <c r="W269" s="97"/>
      <c r="X269" s="51"/>
      <c r="Y269" s="18"/>
      <c r="Z269" s="18"/>
      <c r="AA269" s="18"/>
      <c r="AB269" s="18"/>
      <c r="AC269" s="18"/>
      <c r="AD269" s="18"/>
      <c r="AE269" s="18"/>
      <c r="AF269" s="18"/>
      <c r="AG269" s="18"/>
      <c r="AH269" s="51"/>
      <c r="AI269" s="18"/>
      <c r="AJ269" s="18"/>
      <c r="AK269" s="18"/>
      <c r="AL269" s="18"/>
      <c r="AM269" s="18"/>
      <c r="AN269" s="18"/>
      <c r="AO269" s="18"/>
      <c r="AP269" s="18"/>
    </row>
    <row r="270" spans="1:42" x14ac:dyDescent="0.25">
      <c r="A270" s="12"/>
      <c r="B270" s="13"/>
      <c r="C270" s="13"/>
      <c r="D270" s="13"/>
      <c r="E270" s="13"/>
      <c r="F270" s="13"/>
      <c r="G270" s="13"/>
      <c r="H270" s="13"/>
      <c r="I270" s="13"/>
      <c r="J270" s="100"/>
      <c r="K270" s="100"/>
      <c r="L270" s="100"/>
      <c r="O270" s="18"/>
      <c r="P270" s="18"/>
      <c r="Q270" s="97"/>
      <c r="R270" s="97"/>
      <c r="S270" s="97"/>
      <c r="T270" s="97"/>
      <c r="U270" s="97"/>
      <c r="V270" s="97"/>
      <c r="W270" s="97"/>
      <c r="X270" s="51"/>
      <c r="Y270" s="18"/>
      <c r="Z270" s="18"/>
      <c r="AA270" s="18"/>
      <c r="AB270" s="18"/>
      <c r="AC270" s="18"/>
      <c r="AD270" s="18"/>
      <c r="AE270" s="18"/>
      <c r="AF270" s="18"/>
      <c r="AG270" s="18"/>
      <c r="AH270" s="51"/>
      <c r="AI270" s="18"/>
      <c r="AJ270" s="18"/>
      <c r="AK270" s="18"/>
      <c r="AL270" s="18"/>
      <c r="AM270" s="18"/>
      <c r="AN270" s="18"/>
      <c r="AO270" s="18"/>
      <c r="AP270" s="18"/>
    </row>
    <row r="271" spans="1:42" x14ac:dyDescent="0.25">
      <c r="A271" s="12"/>
      <c r="B271" s="13"/>
      <c r="C271" s="13"/>
      <c r="D271" s="13"/>
      <c r="E271" s="13"/>
      <c r="F271" s="13"/>
      <c r="G271" s="13"/>
      <c r="H271" s="13"/>
      <c r="I271" s="13"/>
      <c r="J271" s="70"/>
      <c r="K271" s="70"/>
      <c r="L271" s="70"/>
      <c r="O271" s="18"/>
      <c r="P271" s="18"/>
      <c r="Q271" s="97"/>
      <c r="R271" s="97"/>
      <c r="S271" s="97"/>
      <c r="T271" s="97"/>
      <c r="U271" s="97"/>
      <c r="V271" s="97"/>
      <c r="W271" s="97"/>
      <c r="X271" s="51"/>
      <c r="Y271" s="18"/>
      <c r="Z271" s="18"/>
      <c r="AA271" s="18"/>
      <c r="AB271" s="18"/>
      <c r="AC271" s="18"/>
      <c r="AD271" s="18"/>
      <c r="AE271" s="18"/>
      <c r="AF271" s="18"/>
      <c r="AG271" s="18"/>
      <c r="AH271" s="51"/>
      <c r="AI271" s="18"/>
      <c r="AJ271" s="18"/>
      <c r="AK271" s="18"/>
      <c r="AL271" s="18"/>
      <c r="AM271" s="18"/>
      <c r="AN271" s="18"/>
      <c r="AO271" s="18"/>
      <c r="AP271" s="18"/>
    </row>
    <row r="272" spans="1:42" x14ac:dyDescent="0.25">
      <c r="A272" s="12"/>
      <c r="B272" s="13"/>
      <c r="C272" s="13"/>
      <c r="D272" s="13"/>
      <c r="E272" s="13"/>
      <c r="F272" s="13"/>
      <c r="G272" s="13"/>
      <c r="H272" s="13"/>
      <c r="I272" s="13"/>
      <c r="J272" s="107"/>
      <c r="K272" s="107"/>
      <c r="L272" s="107"/>
      <c r="O272" s="18"/>
      <c r="P272" s="18"/>
      <c r="Q272" s="97"/>
      <c r="R272" s="97"/>
      <c r="S272" s="97"/>
      <c r="T272" s="97"/>
      <c r="U272" s="97"/>
      <c r="V272" s="97"/>
      <c r="W272" s="97"/>
      <c r="X272" s="51"/>
      <c r="Y272" s="18"/>
      <c r="Z272" s="18"/>
      <c r="AA272" s="18"/>
      <c r="AB272" s="18"/>
      <c r="AC272" s="18"/>
      <c r="AD272" s="18"/>
      <c r="AE272" s="18"/>
      <c r="AF272" s="18"/>
      <c r="AG272" s="18"/>
      <c r="AH272" s="51"/>
      <c r="AI272" s="18"/>
      <c r="AJ272" s="18"/>
      <c r="AK272" s="18"/>
      <c r="AL272" s="18"/>
      <c r="AM272" s="18"/>
      <c r="AN272" s="18"/>
      <c r="AO272" s="18"/>
      <c r="AP272" s="18"/>
    </row>
    <row r="273" spans="1:42" x14ac:dyDescent="0.25">
      <c r="A273" s="12"/>
      <c r="B273" s="13"/>
      <c r="C273" s="13"/>
      <c r="D273" s="13"/>
      <c r="E273" s="13"/>
      <c r="F273" s="13"/>
      <c r="G273" s="13"/>
      <c r="H273" s="13"/>
      <c r="I273" s="13"/>
      <c r="J273" s="70"/>
      <c r="K273" s="70"/>
      <c r="L273" s="70"/>
      <c r="O273" s="18"/>
      <c r="P273" s="18"/>
      <c r="Q273" s="97"/>
      <c r="R273" s="97"/>
      <c r="S273" s="97"/>
      <c r="T273" s="97"/>
      <c r="U273" s="97"/>
      <c r="V273" s="97"/>
      <c r="W273" s="97"/>
      <c r="X273" s="51"/>
      <c r="Y273" s="18"/>
      <c r="Z273" s="18"/>
      <c r="AA273" s="18"/>
      <c r="AB273" s="18"/>
      <c r="AC273" s="18"/>
      <c r="AD273" s="18"/>
      <c r="AE273" s="18"/>
      <c r="AF273" s="18"/>
      <c r="AG273" s="18"/>
      <c r="AH273" s="51"/>
      <c r="AI273" s="18"/>
      <c r="AJ273" s="18"/>
      <c r="AK273" s="18"/>
      <c r="AL273" s="18"/>
      <c r="AM273" s="18"/>
      <c r="AN273" s="18"/>
      <c r="AO273" s="18"/>
      <c r="AP273" s="18"/>
    </row>
    <row r="274" spans="1:42" x14ac:dyDescent="0.25">
      <c r="A274" s="12"/>
      <c r="B274" s="13"/>
      <c r="C274" s="13"/>
      <c r="D274" s="13"/>
      <c r="E274" s="13"/>
      <c r="F274" s="13"/>
      <c r="G274" s="13"/>
      <c r="H274" s="13"/>
      <c r="I274" s="13"/>
      <c r="J274" s="100"/>
      <c r="K274" s="100"/>
      <c r="L274" s="100"/>
      <c r="O274" s="18"/>
      <c r="P274" s="18"/>
      <c r="Q274" s="97"/>
      <c r="R274" s="97"/>
      <c r="S274" s="97"/>
      <c r="T274" s="97"/>
      <c r="U274" s="97"/>
      <c r="V274" s="97"/>
      <c r="W274" s="97"/>
      <c r="X274" s="51"/>
      <c r="Y274" s="18"/>
      <c r="Z274" s="18"/>
      <c r="AA274" s="18"/>
      <c r="AB274" s="18"/>
      <c r="AC274" s="18"/>
      <c r="AD274" s="18"/>
      <c r="AE274" s="18"/>
      <c r="AF274" s="18"/>
      <c r="AG274" s="18"/>
      <c r="AH274" s="51"/>
      <c r="AI274" s="18"/>
      <c r="AJ274" s="18"/>
      <c r="AK274" s="18"/>
      <c r="AL274" s="18"/>
      <c r="AM274" s="18"/>
      <c r="AN274" s="18"/>
      <c r="AO274" s="18"/>
      <c r="AP274" s="18"/>
    </row>
    <row r="275" spans="1:42" x14ac:dyDescent="0.25">
      <c r="A275" s="12"/>
      <c r="B275" s="13"/>
      <c r="C275" s="13"/>
      <c r="D275" s="13"/>
      <c r="E275" s="13"/>
      <c r="F275" s="13"/>
      <c r="G275" s="13"/>
      <c r="H275" s="13"/>
      <c r="I275" s="13"/>
      <c r="J275" s="70"/>
      <c r="K275" s="70"/>
      <c r="L275" s="70"/>
      <c r="O275" s="18"/>
      <c r="P275" s="18"/>
      <c r="Q275" s="97"/>
      <c r="R275" s="97"/>
      <c r="S275" s="97"/>
      <c r="T275" s="97"/>
      <c r="U275" s="97"/>
      <c r="V275" s="97"/>
      <c r="W275" s="97"/>
      <c r="X275" s="51"/>
      <c r="Y275" s="18"/>
      <c r="Z275" s="18"/>
      <c r="AA275" s="18"/>
      <c r="AB275" s="18"/>
      <c r="AC275" s="18"/>
      <c r="AD275" s="18"/>
      <c r="AE275" s="18"/>
      <c r="AF275" s="18"/>
      <c r="AG275" s="18"/>
      <c r="AH275" s="51"/>
      <c r="AI275" s="18"/>
      <c r="AJ275" s="18"/>
      <c r="AK275" s="18"/>
      <c r="AL275" s="18"/>
      <c r="AM275" s="18"/>
      <c r="AN275" s="18"/>
      <c r="AO275" s="18"/>
      <c r="AP275" s="18"/>
    </row>
    <row r="276" spans="1:42" x14ac:dyDescent="0.25">
      <c r="A276" s="12"/>
      <c r="B276" s="13"/>
      <c r="C276" s="13"/>
      <c r="D276" s="13"/>
      <c r="E276" s="13"/>
      <c r="F276" s="13"/>
      <c r="G276" s="13"/>
      <c r="H276" s="13"/>
      <c r="I276" s="13"/>
      <c r="J276" s="100"/>
      <c r="K276" s="100"/>
      <c r="L276" s="100"/>
      <c r="O276" s="18"/>
      <c r="P276" s="18"/>
      <c r="Q276" s="97"/>
      <c r="R276" s="97"/>
      <c r="S276" s="97"/>
      <c r="T276" s="97"/>
      <c r="U276" s="97"/>
      <c r="V276" s="97"/>
      <c r="W276" s="97"/>
      <c r="X276" s="51"/>
      <c r="Y276" s="18"/>
      <c r="Z276" s="18"/>
      <c r="AA276" s="18"/>
      <c r="AB276" s="18"/>
      <c r="AC276" s="18"/>
      <c r="AD276" s="18"/>
      <c r="AE276" s="18"/>
      <c r="AF276" s="18"/>
      <c r="AG276" s="18"/>
      <c r="AH276" s="51"/>
      <c r="AI276" s="18"/>
      <c r="AJ276" s="18"/>
      <c r="AK276" s="18"/>
      <c r="AL276" s="18"/>
      <c r="AM276" s="18"/>
      <c r="AN276" s="18"/>
      <c r="AO276" s="18"/>
      <c r="AP276" s="18"/>
    </row>
    <row r="277" spans="1:42" x14ac:dyDescent="0.25">
      <c r="A277" s="12"/>
      <c r="B277" s="13"/>
      <c r="C277" s="13"/>
      <c r="D277" s="13"/>
      <c r="E277" s="13"/>
      <c r="F277" s="13"/>
      <c r="G277" s="13"/>
      <c r="H277" s="13"/>
      <c r="I277" s="13"/>
      <c r="J277" s="100"/>
      <c r="K277" s="100"/>
      <c r="L277" s="100"/>
      <c r="O277" s="18"/>
      <c r="P277" s="18"/>
      <c r="Q277" s="97"/>
      <c r="R277" s="97"/>
      <c r="S277" s="97"/>
      <c r="T277" s="97"/>
      <c r="U277" s="97"/>
      <c r="V277" s="97"/>
      <c r="W277" s="97"/>
      <c r="X277" s="51"/>
      <c r="Y277" s="18"/>
      <c r="Z277" s="18"/>
      <c r="AA277" s="18"/>
      <c r="AB277" s="18"/>
      <c r="AC277" s="18"/>
      <c r="AD277" s="18"/>
      <c r="AE277" s="18"/>
      <c r="AF277" s="18"/>
      <c r="AG277" s="18"/>
      <c r="AH277" s="51"/>
      <c r="AI277" s="18"/>
      <c r="AJ277" s="18"/>
      <c r="AK277" s="18"/>
      <c r="AL277" s="18"/>
      <c r="AM277" s="18"/>
      <c r="AN277" s="18"/>
      <c r="AO277" s="18"/>
      <c r="AP277" s="18"/>
    </row>
    <row r="278" spans="1:42" x14ac:dyDescent="0.25">
      <c r="A278" s="12"/>
      <c r="B278" s="13"/>
      <c r="C278" s="13"/>
      <c r="D278" s="13"/>
      <c r="E278" s="13"/>
      <c r="F278" s="13"/>
      <c r="G278" s="13"/>
      <c r="H278" s="13"/>
      <c r="I278" s="13"/>
      <c r="J278" s="100"/>
      <c r="K278" s="100"/>
      <c r="L278" s="100"/>
      <c r="O278" s="18"/>
      <c r="P278" s="18"/>
      <c r="Q278" s="97"/>
      <c r="R278" s="97"/>
      <c r="S278" s="97"/>
      <c r="T278" s="97"/>
      <c r="U278" s="97"/>
      <c r="V278" s="97"/>
      <c r="W278" s="97"/>
      <c r="X278" s="51"/>
      <c r="Y278" s="18"/>
      <c r="Z278" s="18"/>
      <c r="AA278" s="18"/>
      <c r="AB278" s="18"/>
      <c r="AC278" s="18"/>
      <c r="AD278" s="18"/>
      <c r="AE278" s="18"/>
      <c r="AF278" s="18"/>
      <c r="AG278" s="18"/>
      <c r="AH278" s="51"/>
      <c r="AI278" s="18"/>
      <c r="AJ278" s="18"/>
      <c r="AK278" s="18"/>
      <c r="AL278" s="18"/>
      <c r="AM278" s="18"/>
      <c r="AN278" s="18"/>
      <c r="AO278" s="18"/>
      <c r="AP278" s="18"/>
    </row>
    <row r="279" spans="1:42" x14ac:dyDescent="0.25">
      <c r="A279" s="12"/>
      <c r="B279" s="13"/>
      <c r="C279" s="13"/>
      <c r="D279" s="13"/>
      <c r="E279" s="13"/>
      <c r="F279" s="13"/>
      <c r="G279" s="13"/>
      <c r="H279" s="13"/>
      <c r="I279" s="13"/>
      <c r="J279" s="70"/>
      <c r="K279" s="70"/>
      <c r="L279" s="70"/>
      <c r="O279" s="18"/>
      <c r="P279" s="18"/>
      <c r="Q279" s="97"/>
      <c r="R279" s="97"/>
      <c r="S279" s="97"/>
      <c r="T279" s="97"/>
      <c r="U279" s="97"/>
      <c r="V279" s="97"/>
      <c r="W279" s="97"/>
      <c r="X279" s="51"/>
      <c r="Y279" s="18"/>
      <c r="Z279" s="18"/>
      <c r="AA279" s="18"/>
      <c r="AB279" s="18"/>
      <c r="AC279" s="18"/>
      <c r="AD279" s="18"/>
      <c r="AE279" s="18"/>
      <c r="AF279" s="18"/>
      <c r="AG279" s="18"/>
      <c r="AH279" s="51"/>
      <c r="AI279" s="18"/>
      <c r="AJ279" s="18"/>
      <c r="AK279" s="18"/>
      <c r="AL279" s="18"/>
      <c r="AM279" s="18"/>
      <c r="AN279" s="18"/>
      <c r="AO279" s="18"/>
      <c r="AP279" s="18"/>
    </row>
    <row r="280" spans="1:42" x14ac:dyDescent="0.25">
      <c r="A280" s="12"/>
      <c r="B280" s="13"/>
      <c r="C280" s="13"/>
      <c r="D280" s="13"/>
      <c r="E280" s="13"/>
      <c r="F280" s="13"/>
      <c r="G280" s="13"/>
      <c r="H280" s="13"/>
      <c r="I280" s="13"/>
      <c r="J280" s="70"/>
      <c r="K280" s="70"/>
      <c r="L280" s="70"/>
      <c r="O280" s="18"/>
      <c r="P280" s="18"/>
      <c r="Q280" s="97"/>
      <c r="R280" s="97"/>
      <c r="S280" s="97"/>
      <c r="T280" s="97"/>
      <c r="U280" s="97"/>
      <c r="V280" s="97"/>
      <c r="W280" s="97"/>
      <c r="X280" s="51"/>
      <c r="Y280" s="18"/>
      <c r="Z280" s="18"/>
      <c r="AA280" s="18"/>
      <c r="AB280" s="18"/>
      <c r="AC280" s="18"/>
      <c r="AD280" s="18"/>
      <c r="AE280" s="18"/>
      <c r="AF280" s="18"/>
      <c r="AG280" s="18"/>
      <c r="AH280" s="51"/>
      <c r="AI280" s="18"/>
      <c r="AJ280" s="18"/>
      <c r="AK280" s="18"/>
      <c r="AL280" s="18"/>
      <c r="AM280" s="18"/>
      <c r="AN280" s="18"/>
      <c r="AO280" s="18"/>
      <c r="AP280" s="18"/>
    </row>
    <row r="281" spans="1:42" x14ac:dyDescent="0.25">
      <c r="A281" s="12"/>
      <c r="B281" s="13"/>
      <c r="C281" s="13"/>
      <c r="D281" s="13"/>
      <c r="E281" s="13"/>
      <c r="F281" s="13"/>
      <c r="G281" s="13"/>
      <c r="H281" s="13"/>
      <c r="I281" s="13"/>
      <c r="J281" s="70"/>
      <c r="K281" s="70"/>
      <c r="L281" s="70"/>
      <c r="O281" s="18"/>
      <c r="P281" s="18"/>
      <c r="Q281" s="97"/>
      <c r="R281" s="97"/>
      <c r="S281" s="97"/>
      <c r="T281" s="97"/>
      <c r="U281" s="97"/>
      <c r="V281" s="97"/>
      <c r="W281" s="97"/>
      <c r="X281" s="51"/>
      <c r="Y281" s="18"/>
      <c r="Z281" s="18"/>
      <c r="AA281" s="18"/>
      <c r="AB281" s="18"/>
      <c r="AC281" s="18"/>
      <c r="AD281" s="18"/>
      <c r="AE281" s="18"/>
      <c r="AF281" s="18"/>
      <c r="AG281" s="18"/>
      <c r="AH281" s="51"/>
      <c r="AI281" s="18"/>
      <c r="AJ281" s="18"/>
      <c r="AK281" s="18"/>
      <c r="AL281" s="18"/>
      <c r="AM281" s="18"/>
      <c r="AN281" s="18"/>
      <c r="AO281" s="18"/>
      <c r="AP281" s="18"/>
    </row>
    <row r="282" spans="1:42" x14ac:dyDescent="0.25">
      <c r="A282" s="12"/>
      <c r="B282" s="13"/>
      <c r="C282" s="13"/>
      <c r="D282" s="13"/>
      <c r="E282" s="13"/>
      <c r="F282" s="13"/>
      <c r="G282" s="13"/>
      <c r="H282" s="13"/>
      <c r="I282" s="13"/>
      <c r="J282" s="70"/>
      <c r="K282" s="70"/>
      <c r="L282" s="70"/>
      <c r="O282" s="18"/>
      <c r="P282" s="18"/>
      <c r="Q282" s="97"/>
      <c r="R282" s="97"/>
      <c r="S282" s="97"/>
      <c r="T282" s="97"/>
      <c r="U282" s="97"/>
      <c r="V282" s="97"/>
      <c r="W282" s="97"/>
      <c r="X282" s="51"/>
      <c r="Y282" s="18"/>
      <c r="Z282" s="18"/>
      <c r="AA282" s="18"/>
      <c r="AB282" s="18"/>
      <c r="AC282" s="18"/>
      <c r="AD282" s="18"/>
      <c r="AE282" s="18"/>
      <c r="AF282" s="18"/>
      <c r="AG282" s="18"/>
      <c r="AH282" s="51"/>
      <c r="AI282" s="18"/>
      <c r="AJ282" s="18"/>
      <c r="AK282" s="18"/>
      <c r="AL282" s="18"/>
      <c r="AM282" s="18"/>
      <c r="AN282" s="18"/>
      <c r="AO282" s="18"/>
      <c r="AP282" s="18"/>
    </row>
    <row r="283" spans="1:42" x14ac:dyDescent="0.25">
      <c r="A283" s="12"/>
      <c r="B283" s="13"/>
      <c r="C283" s="13"/>
      <c r="D283" s="13"/>
      <c r="E283" s="13"/>
      <c r="F283" s="13"/>
      <c r="G283" s="13"/>
      <c r="H283" s="13"/>
      <c r="I283" s="13"/>
      <c r="J283" s="70"/>
      <c r="K283" s="70"/>
      <c r="L283" s="70"/>
      <c r="O283" s="18"/>
      <c r="P283" s="18"/>
      <c r="Q283" s="97"/>
      <c r="R283" s="97"/>
      <c r="S283" s="97"/>
      <c r="T283" s="97"/>
      <c r="U283" s="97"/>
      <c r="V283" s="97"/>
      <c r="W283" s="97"/>
      <c r="X283" s="51"/>
      <c r="Y283" s="18"/>
      <c r="Z283" s="18"/>
      <c r="AA283" s="18"/>
      <c r="AB283" s="18"/>
      <c r="AC283" s="18"/>
      <c r="AD283" s="18"/>
      <c r="AE283" s="18"/>
      <c r="AF283" s="18"/>
      <c r="AG283" s="18"/>
      <c r="AH283" s="51"/>
      <c r="AI283" s="18"/>
      <c r="AJ283" s="18"/>
      <c r="AK283" s="18"/>
      <c r="AL283" s="18"/>
      <c r="AM283" s="18"/>
      <c r="AN283" s="18"/>
      <c r="AO283" s="18"/>
      <c r="AP283" s="18"/>
    </row>
    <row r="284" spans="1:42" x14ac:dyDescent="0.25">
      <c r="A284" s="12"/>
      <c r="B284" s="13"/>
      <c r="C284" s="13"/>
      <c r="D284" s="13"/>
      <c r="E284" s="13"/>
      <c r="F284" s="13"/>
      <c r="G284" s="13"/>
      <c r="H284" s="13"/>
      <c r="I284" s="13"/>
      <c r="J284" s="70"/>
      <c r="K284" s="70"/>
      <c r="L284" s="70"/>
      <c r="O284" s="18"/>
      <c r="P284" s="18"/>
      <c r="Q284" s="97"/>
      <c r="R284" s="97"/>
      <c r="S284" s="97"/>
      <c r="T284" s="97"/>
      <c r="U284" s="97"/>
      <c r="V284" s="97"/>
      <c r="W284" s="97"/>
      <c r="X284" s="51"/>
      <c r="Y284" s="18"/>
      <c r="Z284" s="18"/>
      <c r="AA284" s="18"/>
      <c r="AB284" s="18"/>
      <c r="AC284" s="18"/>
      <c r="AD284" s="18"/>
      <c r="AE284" s="18"/>
      <c r="AF284" s="18"/>
      <c r="AG284" s="18"/>
      <c r="AH284" s="51"/>
      <c r="AI284" s="18"/>
      <c r="AJ284" s="18"/>
      <c r="AK284" s="18"/>
      <c r="AL284" s="18"/>
      <c r="AM284" s="18"/>
      <c r="AN284" s="18"/>
      <c r="AO284" s="18"/>
      <c r="AP284" s="18"/>
    </row>
    <row r="285" spans="1:42" x14ac:dyDescent="0.25">
      <c r="A285" s="12"/>
      <c r="B285" s="13"/>
      <c r="C285" s="13"/>
      <c r="D285" s="13"/>
      <c r="E285" s="13"/>
      <c r="F285" s="13"/>
      <c r="G285" s="13"/>
      <c r="H285" s="13"/>
      <c r="I285" s="13"/>
      <c r="J285" s="70"/>
      <c r="K285" s="70"/>
      <c r="L285" s="70"/>
      <c r="O285" s="18"/>
      <c r="P285" s="18"/>
      <c r="Q285" s="97"/>
      <c r="R285" s="97"/>
      <c r="S285" s="97"/>
      <c r="T285" s="97"/>
      <c r="U285" s="97"/>
      <c r="V285" s="97"/>
      <c r="W285" s="97"/>
      <c r="X285" s="51"/>
      <c r="Y285" s="18"/>
      <c r="Z285" s="18"/>
      <c r="AA285" s="18"/>
      <c r="AB285" s="18"/>
      <c r="AC285" s="18"/>
      <c r="AD285" s="18"/>
      <c r="AE285" s="18"/>
      <c r="AF285" s="18"/>
      <c r="AG285" s="18"/>
      <c r="AH285" s="51"/>
      <c r="AI285" s="18"/>
      <c r="AJ285" s="18"/>
      <c r="AK285" s="18"/>
      <c r="AL285" s="18"/>
      <c r="AM285" s="18"/>
      <c r="AN285" s="18"/>
      <c r="AO285" s="18"/>
      <c r="AP285" s="18"/>
    </row>
    <row r="286" spans="1:42" x14ac:dyDescent="0.25">
      <c r="A286" s="12"/>
      <c r="B286" s="13"/>
      <c r="C286" s="13"/>
      <c r="D286" s="13"/>
      <c r="E286" s="13"/>
      <c r="F286" s="13"/>
      <c r="G286" s="13"/>
      <c r="H286" s="13"/>
      <c r="I286" s="13"/>
      <c r="J286" s="70"/>
      <c r="K286" s="70"/>
      <c r="L286" s="70"/>
      <c r="O286" s="18"/>
      <c r="P286" s="18"/>
      <c r="Q286" s="97"/>
      <c r="R286" s="97"/>
      <c r="S286" s="97"/>
      <c r="T286" s="97"/>
      <c r="U286" s="97"/>
      <c r="V286" s="97"/>
      <c r="W286" s="97"/>
      <c r="X286" s="51"/>
      <c r="Y286" s="18"/>
      <c r="Z286" s="18"/>
      <c r="AA286" s="18"/>
      <c r="AB286" s="18"/>
      <c r="AC286" s="18"/>
      <c r="AD286" s="18"/>
      <c r="AE286" s="18"/>
      <c r="AF286" s="18"/>
      <c r="AG286" s="18"/>
      <c r="AH286" s="51"/>
      <c r="AI286" s="18"/>
      <c r="AJ286" s="18"/>
      <c r="AK286" s="18"/>
      <c r="AL286" s="18"/>
      <c r="AM286" s="18"/>
      <c r="AN286" s="18"/>
      <c r="AO286" s="18"/>
      <c r="AP286" s="18"/>
    </row>
    <row r="287" spans="1:42" x14ac:dyDescent="0.25">
      <c r="A287" s="12"/>
      <c r="B287" s="13"/>
      <c r="C287" s="13"/>
      <c r="D287" s="13"/>
      <c r="E287" s="13"/>
      <c r="F287" s="13"/>
      <c r="G287" s="13"/>
      <c r="H287" s="13"/>
      <c r="I287" s="13"/>
      <c r="J287" s="70"/>
      <c r="K287" s="70"/>
      <c r="L287" s="70"/>
      <c r="O287" s="18"/>
      <c r="P287" s="18"/>
      <c r="Q287" s="97"/>
      <c r="R287" s="97"/>
      <c r="S287" s="97"/>
      <c r="T287" s="97"/>
      <c r="U287" s="97"/>
      <c r="V287" s="97"/>
      <c r="W287" s="97"/>
      <c r="X287" s="51"/>
      <c r="Y287" s="18"/>
      <c r="Z287" s="18"/>
      <c r="AA287" s="18"/>
      <c r="AB287" s="18"/>
      <c r="AC287" s="18"/>
      <c r="AD287" s="18"/>
      <c r="AE287" s="18"/>
      <c r="AF287" s="18"/>
      <c r="AG287" s="18"/>
      <c r="AH287" s="51"/>
      <c r="AI287" s="18"/>
      <c r="AJ287" s="18"/>
      <c r="AK287" s="18"/>
      <c r="AL287" s="18"/>
      <c r="AM287" s="18"/>
      <c r="AN287" s="18"/>
      <c r="AO287" s="18"/>
      <c r="AP287" s="18"/>
    </row>
    <row r="288" spans="1:42" x14ac:dyDescent="0.25">
      <c r="A288" s="12"/>
      <c r="B288" s="13"/>
      <c r="C288" s="13"/>
      <c r="D288" s="13"/>
      <c r="E288" s="13"/>
      <c r="F288" s="13"/>
      <c r="G288" s="13"/>
      <c r="H288" s="13"/>
      <c r="I288" s="13"/>
      <c r="J288" s="70"/>
      <c r="K288" s="70"/>
      <c r="L288" s="70"/>
      <c r="O288" s="18"/>
      <c r="P288" s="18"/>
      <c r="Q288" s="97"/>
      <c r="R288" s="97"/>
      <c r="S288" s="97"/>
      <c r="T288" s="97"/>
      <c r="U288" s="97"/>
      <c r="V288" s="97"/>
      <c r="W288" s="97"/>
      <c r="X288" s="51"/>
      <c r="Y288" s="18"/>
      <c r="Z288" s="18"/>
      <c r="AA288" s="18"/>
      <c r="AB288" s="18"/>
      <c r="AC288" s="18"/>
      <c r="AD288" s="18"/>
      <c r="AE288" s="18"/>
      <c r="AF288" s="18"/>
      <c r="AG288" s="18"/>
      <c r="AH288" s="51"/>
      <c r="AI288" s="18"/>
      <c r="AJ288" s="18"/>
      <c r="AK288" s="18"/>
      <c r="AL288" s="18"/>
      <c r="AM288" s="18"/>
      <c r="AN288" s="18"/>
      <c r="AO288" s="18"/>
      <c r="AP288" s="18"/>
    </row>
    <row r="289" spans="1:42" x14ac:dyDescent="0.25">
      <c r="A289" s="12"/>
      <c r="B289" s="13"/>
      <c r="C289" s="13"/>
      <c r="D289" s="13"/>
      <c r="E289" s="13"/>
      <c r="F289" s="13"/>
      <c r="G289" s="13"/>
      <c r="H289" s="13"/>
      <c r="I289" s="13"/>
      <c r="J289" s="70"/>
      <c r="K289" s="70"/>
      <c r="L289" s="70"/>
      <c r="O289" s="18"/>
      <c r="P289" s="18"/>
      <c r="Q289" s="97"/>
      <c r="R289" s="97"/>
      <c r="S289" s="97"/>
      <c r="T289" s="97"/>
      <c r="U289" s="97"/>
      <c r="V289" s="97"/>
      <c r="W289" s="97"/>
      <c r="X289" s="51"/>
      <c r="Y289" s="18"/>
      <c r="Z289" s="18"/>
      <c r="AA289" s="18"/>
      <c r="AB289" s="18"/>
      <c r="AC289" s="18"/>
      <c r="AD289" s="18"/>
      <c r="AE289" s="18"/>
      <c r="AF289" s="18"/>
      <c r="AG289" s="18"/>
      <c r="AH289" s="51"/>
      <c r="AI289" s="18"/>
      <c r="AJ289" s="18"/>
      <c r="AK289" s="18"/>
      <c r="AL289" s="18"/>
      <c r="AM289" s="18"/>
      <c r="AN289" s="18"/>
      <c r="AO289" s="18"/>
      <c r="AP289" s="18"/>
    </row>
    <row r="290" spans="1:42" x14ac:dyDescent="0.25">
      <c r="A290" s="12"/>
      <c r="B290" s="13"/>
      <c r="C290" s="13"/>
      <c r="D290" s="13"/>
      <c r="E290" s="13"/>
      <c r="F290" s="13"/>
      <c r="G290" s="13"/>
      <c r="H290" s="13"/>
      <c r="I290" s="13"/>
      <c r="J290" s="70"/>
      <c r="K290" s="70"/>
      <c r="L290" s="70"/>
      <c r="O290" s="18"/>
      <c r="P290" s="18"/>
      <c r="Q290" s="97"/>
      <c r="R290" s="97"/>
      <c r="S290" s="97"/>
      <c r="T290" s="97"/>
      <c r="U290" s="97"/>
      <c r="V290" s="97"/>
      <c r="W290" s="97"/>
      <c r="X290" s="51"/>
      <c r="Y290" s="18"/>
      <c r="Z290" s="18"/>
      <c r="AA290" s="18"/>
      <c r="AB290" s="18"/>
      <c r="AC290" s="18"/>
      <c r="AD290" s="18"/>
      <c r="AE290" s="18"/>
      <c r="AF290" s="18"/>
      <c r="AG290" s="18"/>
      <c r="AH290" s="51"/>
      <c r="AI290" s="18"/>
      <c r="AJ290" s="18"/>
      <c r="AK290" s="18"/>
      <c r="AL290" s="18"/>
      <c r="AM290" s="18"/>
      <c r="AN290" s="18"/>
      <c r="AO290" s="18"/>
      <c r="AP290" s="18"/>
    </row>
    <row r="291" spans="1:42" x14ac:dyDescent="0.25">
      <c r="A291" s="12"/>
      <c r="B291" s="13"/>
      <c r="C291" s="13"/>
      <c r="D291" s="13"/>
      <c r="E291" s="13"/>
      <c r="F291" s="13"/>
      <c r="G291" s="13"/>
      <c r="H291" s="13"/>
      <c r="I291" s="13"/>
      <c r="J291" s="70"/>
      <c r="K291" s="70"/>
      <c r="L291" s="70"/>
      <c r="O291" s="18"/>
      <c r="P291" s="18"/>
      <c r="Q291" s="97"/>
      <c r="R291" s="97"/>
      <c r="S291" s="97"/>
      <c r="T291" s="97"/>
      <c r="U291" s="97"/>
      <c r="V291" s="97"/>
      <c r="W291" s="97"/>
      <c r="X291" s="51"/>
      <c r="Y291" s="18"/>
      <c r="Z291" s="18"/>
      <c r="AA291" s="18"/>
      <c r="AB291" s="18"/>
      <c r="AC291" s="18"/>
      <c r="AD291" s="18"/>
      <c r="AE291" s="18"/>
      <c r="AF291" s="18"/>
      <c r="AG291" s="18"/>
      <c r="AH291" s="51"/>
      <c r="AI291" s="18"/>
      <c r="AJ291" s="18"/>
      <c r="AK291" s="18"/>
      <c r="AL291" s="18"/>
      <c r="AM291" s="18"/>
      <c r="AN291" s="18"/>
      <c r="AO291" s="18"/>
      <c r="AP291" s="18"/>
    </row>
    <row r="292" spans="1:42" x14ac:dyDescent="0.25">
      <c r="A292" s="12"/>
      <c r="B292" s="13"/>
      <c r="C292" s="13"/>
      <c r="D292" s="13"/>
      <c r="E292" s="13"/>
      <c r="F292" s="13"/>
      <c r="G292" s="13"/>
      <c r="H292" s="13"/>
      <c r="I292" s="13"/>
      <c r="J292" s="70"/>
      <c r="K292" s="70"/>
      <c r="L292" s="70"/>
      <c r="O292" s="18"/>
      <c r="P292" s="18"/>
      <c r="Q292" s="97"/>
      <c r="R292" s="97"/>
      <c r="S292" s="97"/>
      <c r="T292" s="97"/>
      <c r="U292" s="97"/>
      <c r="V292" s="97"/>
      <c r="W292" s="97"/>
      <c r="X292" s="51"/>
      <c r="Y292" s="18"/>
      <c r="Z292" s="18"/>
      <c r="AA292" s="18"/>
      <c r="AB292" s="18"/>
      <c r="AC292" s="18"/>
      <c r="AD292" s="18"/>
      <c r="AE292" s="18"/>
      <c r="AF292" s="18"/>
      <c r="AG292" s="18"/>
      <c r="AH292" s="51"/>
      <c r="AI292" s="18"/>
      <c r="AJ292" s="18"/>
      <c r="AK292" s="18"/>
      <c r="AL292" s="18"/>
      <c r="AM292" s="18"/>
      <c r="AN292" s="18"/>
      <c r="AO292" s="18"/>
      <c r="AP292" s="18"/>
    </row>
    <row r="293" spans="1:42" x14ac:dyDescent="0.25">
      <c r="A293" s="12"/>
      <c r="B293" s="13"/>
      <c r="C293" s="13"/>
      <c r="D293" s="13"/>
      <c r="E293" s="13"/>
      <c r="F293" s="13"/>
      <c r="G293" s="13"/>
      <c r="H293" s="13"/>
      <c r="I293" s="13"/>
      <c r="J293" s="70"/>
      <c r="K293" s="70"/>
      <c r="L293" s="70"/>
      <c r="O293" s="18"/>
      <c r="P293" s="18"/>
      <c r="Q293" s="97"/>
      <c r="R293" s="97"/>
      <c r="S293" s="97"/>
      <c r="T293" s="97"/>
      <c r="U293" s="97"/>
      <c r="V293" s="97"/>
      <c r="W293" s="97"/>
      <c r="X293" s="51"/>
      <c r="Y293" s="18"/>
      <c r="Z293" s="18"/>
      <c r="AA293" s="18"/>
      <c r="AB293" s="18"/>
      <c r="AC293" s="18"/>
      <c r="AD293" s="18"/>
      <c r="AE293" s="18"/>
      <c r="AF293" s="18"/>
      <c r="AG293" s="18"/>
      <c r="AH293" s="51"/>
      <c r="AI293" s="18"/>
      <c r="AJ293" s="18"/>
      <c r="AK293" s="18"/>
      <c r="AL293" s="18"/>
      <c r="AM293" s="18"/>
      <c r="AN293" s="18"/>
      <c r="AO293" s="18"/>
      <c r="AP293" s="18"/>
    </row>
    <row r="294" spans="1:42" x14ac:dyDescent="0.25">
      <c r="A294" s="12"/>
      <c r="B294" s="13"/>
      <c r="C294" s="13"/>
      <c r="D294" s="13"/>
      <c r="E294" s="13"/>
      <c r="F294" s="13"/>
      <c r="G294" s="13"/>
      <c r="H294" s="13"/>
      <c r="I294" s="13"/>
      <c r="J294" s="70"/>
      <c r="K294" s="70"/>
      <c r="L294" s="70"/>
      <c r="O294" s="18"/>
      <c r="P294" s="18"/>
      <c r="Q294" s="97"/>
      <c r="R294" s="97"/>
      <c r="S294" s="97"/>
      <c r="T294" s="97"/>
      <c r="U294" s="97"/>
      <c r="V294" s="97"/>
      <c r="W294" s="97"/>
      <c r="X294" s="51"/>
      <c r="Y294" s="18"/>
      <c r="Z294" s="18"/>
      <c r="AA294" s="18"/>
      <c r="AB294" s="18"/>
      <c r="AC294" s="18"/>
      <c r="AD294" s="18"/>
      <c r="AE294" s="18"/>
      <c r="AF294" s="18"/>
      <c r="AG294" s="18"/>
      <c r="AH294" s="51"/>
      <c r="AI294" s="18"/>
      <c r="AJ294" s="18"/>
      <c r="AK294" s="18"/>
      <c r="AL294" s="18"/>
      <c r="AM294" s="18"/>
      <c r="AN294" s="18"/>
      <c r="AO294" s="18"/>
      <c r="AP294" s="18"/>
    </row>
    <row r="295" spans="1:42" x14ac:dyDescent="0.25">
      <c r="A295" s="12"/>
      <c r="B295" s="13"/>
      <c r="C295" s="13"/>
      <c r="D295" s="13"/>
      <c r="E295" s="13"/>
      <c r="F295" s="13"/>
      <c r="G295" s="13"/>
      <c r="H295" s="13"/>
      <c r="I295" s="13"/>
      <c r="J295" s="70"/>
      <c r="K295" s="70"/>
      <c r="L295" s="70"/>
      <c r="O295" s="18"/>
      <c r="P295" s="18"/>
      <c r="Q295" s="97"/>
      <c r="R295" s="97"/>
      <c r="S295" s="97"/>
      <c r="T295" s="97"/>
      <c r="U295" s="97"/>
      <c r="V295" s="97"/>
      <c r="W295" s="97"/>
      <c r="X295" s="51"/>
      <c r="Y295" s="18"/>
      <c r="Z295" s="18"/>
      <c r="AA295" s="18"/>
      <c r="AB295" s="18"/>
      <c r="AC295" s="18"/>
      <c r="AD295" s="18"/>
      <c r="AE295" s="18"/>
      <c r="AF295" s="18"/>
      <c r="AG295" s="18"/>
      <c r="AH295" s="51"/>
      <c r="AI295" s="18"/>
      <c r="AJ295" s="18"/>
      <c r="AK295" s="18"/>
      <c r="AL295" s="18"/>
      <c r="AM295" s="18"/>
      <c r="AN295" s="18"/>
      <c r="AO295" s="18"/>
      <c r="AP295" s="18"/>
    </row>
    <row r="296" spans="1:42" x14ac:dyDescent="0.25">
      <c r="A296" s="12"/>
      <c r="B296" s="13"/>
      <c r="C296" s="13"/>
      <c r="D296" s="13"/>
      <c r="E296" s="13"/>
      <c r="F296" s="13"/>
      <c r="G296" s="13"/>
      <c r="H296" s="13"/>
      <c r="I296" s="13"/>
      <c r="J296" s="70"/>
      <c r="K296" s="70"/>
      <c r="L296" s="70"/>
      <c r="O296" s="18"/>
      <c r="P296" s="18"/>
      <c r="Q296" s="97"/>
      <c r="R296" s="97"/>
      <c r="S296" s="97"/>
      <c r="T296" s="97"/>
      <c r="U296" s="97"/>
      <c r="V296" s="97"/>
      <c r="W296" s="97"/>
      <c r="X296" s="51"/>
      <c r="Y296" s="18"/>
      <c r="Z296" s="18"/>
      <c r="AA296" s="18"/>
      <c r="AB296" s="18"/>
      <c r="AC296" s="18"/>
      <c r="AD296" s="18"/>
      <c r="AE296" s="18"/>
      <c r="AF296" s="18"/>
      <c r="AG296" s="18"/>
      <c r="AH296" s="51"/>
      <c r="AI296" s="18"/>
      <c r="AJ296" s="18"/>
      <c r="AK296" s="18"/>
      <c r="AL296" s="18"/>
      <c r="AM296" s="18"/>
      <c r="AN296" s="18"/>
      <c r="AO296" s="18"/>
      <c r="AP296" s="18"/>
    </row>
    <row r="297" spans="1:42" x14ac:dyDescent="0.25">
      <c r="A297" s="12"/>
      <c r="B297" s="13"/>
      <c r="C297" s="13"/>
      <c r="D297" s="13"/>
      <c r="E297" s="13"/>
      <c r="F297" s="13"/>
      <c r="G297" s="13"/>
      <c r="H297" s="13"/>
      <c r="I297" s="13"/>
      <c r="J297" s="107"/>
      <c r="K297" s="107"/>
      <c r="L297" s="107"/>
      <c r="O297" s="18"/>
      <c r="P297" s="18"/>
      <c r="Q297" s="97"/>
      <c r="R297" s="97"/>
      <c r="S297" s="97"/>
      <c r="T297" s="97"/>
      <c r="U297" s="97"/>
      <c r="V297" s="97"/>
      <c r="W297" s="97"/>
      <c r="X297" s="51"/>
      <c r="Y297" s="18"/>
      <c r="Z297" s="18"/>
      <c r="AA297" s="18"/>
      <c r="AB297" s="18"/>
      <c r="AC297" s="18"/>
      <c r="AD297" s="18"/>
      <c r="AE297" s="18"/>
      <c r="AF297" s="18"/>
      <c r="AG297" s="18"/>
      <c r="AH297" s="51"/>
      <c r="AI297" s="18"/>
      <c r="AJ297" s="18"/>
      <c r="AK297" s="18"/>
      <c r="AL297" s="18"/>
      <c r="AM297" s="18"/>
      <c r="AN297" s="18"/>
      <c r="AO297" s="18"/>
      <c r="AP297" s="18"/>
    </row>
    <row r="298" spans="1:42" x14ac:dyDescent="0.25">
      <c r="A298" s="12"/>
      <c r="B298" s="13"/>
      <c r="C298" s="13"/>
      <c r="D298" s="13"/>
      <c r="E298" s="13"/>
      <c r="F298" s="13"/>
      <c r="G298" s="13"/>
      <c r="H298" s="13"/>
      <c r="I298" s="13"/>
      <c r="J298" s="107"/>
      <c r="K298" s="107"/>
      <c r="L298" s="107"/>
      <c r="O298" s="18"/>
      <c r="P298" s="18"/>
      <c r="Q298" s="97"/>
      <c r="R298" s="97"/>
      <c r="S298" s="97"/>
      <c r="T298" s="97"/>
      <c r="U298" s="97"/>
      <c r="V298" s="97"/>
      <c r="W298" s="97"/>
      <c r="X298" s="51"/>
      <c r="Y298" s="18"/>
      <c r="Z298" s="18"/>
      <c r="AA298" s="18"/>
      <c r="AB298" s="18"/>
      <c r="AC298" s="18"/>
      <c r="AD298" s="18"/>
      <c r="AE298" s="18"/>
      <c r="AF298" s="18"/>
      <c r="AG298" s="18"/>
      <c r="AH298" s="51"/>
      <c r="AI298" s="18"/>
      <c r="AJ298" s="18"/>
      <c r="AK298" s="18"/>
      <c r="AL298" s="18"/>
      <c r="AM298" s="18"/>
      <c r="AN298" s="18"/>
      <c r="AO298" s="18"/>
      <c r="AP298" s="18"/>
    </row>
    <row r="299" spans="1:42" x14ac:dyDescent="0.25">
      <c r="A299" s="12"/>
      <c r="B299" s="13"/>
      <c r="C299" s="13"/>
      <c r="D299" s="13"/>
      <c r="E299" s="13"/>
      <c r="F299" s="13"/>
      <c r="G299" s="13"/>
      <c r="H299" s="13"/>
      <c r="I299" s="13"/>
      <c r="J299" s="100"/>
      <c r="K299" s="100"/>
      <c r="L299" s="100"/>
      <c r="O299" s="18"/>
      <c r="P299" s="18"/>
      <c r="Q299" s="97"/>
      <c r="R299" s="97"/>
      <c r="S299" s="97"/>
      <c r="T299" s="97"/>
      <c r="U299" s="97"/>
      <c r="V299" s="97"/>
      <c r="W299" s="97"/>
      <c r="X299" s="51"/>
      <c r="Y299" s="18"/>
      <c r="Z299" s="18"/>
      <c r="AA299" s="18"/>
      <c r="AB299" s="18"/>
      <c r="AC299" s="18"/>
      <c r="AD299" s="18"/>
      <c r="AE299" s="18"/>
      <c r="AF299" s="18"/>
      <c r="AG299" s="18"/>
      <c r="AH299" s="51"/>
      <c r="AI299" s="18"/>
      <c r="AJ299" s="18"/>
      <c r="AK299" s="18"/>
      <c r="AL299" s="18"/>
      <c r="AM299" s="18"/>
      <c r="AN299" s="18"/>
      <c r="AO299" s="18"/>
      <c r="AP299" s="18"/>
    </row>
    <row r="300" spans="1:42" x14ac:dyDescent="0.25">
      <c r="A300" s="12"/>
      <c r="B300" s="13"/>
      <c r="C300" s="13"/>
      <c r="D300" s="13"/>
      <c r="E300" s="13"/>
      <c r="F300" s="13"/>
      <c r="G300" s="13"/>
      <c r="H300" s="13"/>
      <c r="I300" s="13"/>
      <c r="J300" s="100"/>
      <c r="K300" s="100"/>
      <c r="L300" s="100"/>
      <c r="O300" s="18"/>
      <c r="P300" s="18"/>
      <c r="Q300" s="97"/>
      <c r="R300" s="97"/>
      <c r="S300" s="97"/>
      <c r="T300" s="97"/>
      <c r="U300" s="97"/>
      <c r="V300" s="97"/>
      <c r="W300" s="97"/>
      <c r="X300" s="51"/>
      <c r="Y300" s="18"/>
      <c r="Z300" s="18"/>
      <c r="AA300" s="18"/>
      <c r="AB300" s="18"/>
      <c r="AC300" s="18"/>
      <c r="AD300" s="18"/>
      <c r="AE300" s="18"/>
      <c r="AF300" s="18"/>
      <c r="AG300" s="18"/>
      <c r="AH300" s="51"/>
      <c r="AI300" s="18"/>
      <c r="AJ300" s="18"/>
      <c r="AK300" s="18"/>
      <c r="AL300" s="18"/>
      <c r="AM300" s="18"/>
      <c r="AN300" s="18"/>
      <c r="AO300" s="18"/>
      <c r="AP300" s="18"/>
    </row>
    <row r="301" spans="1:42" x14ac:dyDescent="0.25">
      <c r="A301" s="12"/>
      <c r="B301" s="13"/>
      <c r="C301" s="13"/>
      <c r="D301" s="13"/>
      <c r="E301" s="13"/>
      <c r="F301" s="13"/>
      <c r="G301" s="13"/>
      <c r="H301" s="13"/>
      <c r="I301" s="13"/>
      <c r="J301" s="100"/>
      <c r="K301" s="100"/>
      <c r="L301" s="100"/>
      <c r="O301" s="18"/>
      <c r="P301" s="18"/>
      <c r="Q301" s="97"/>
      <c r="R301" s="97"/>
      <c r="S301" s="97"/>
      <c r="T301" s="97"/>
      <c r="U301" s="97"/>
      <c r="V301" s="97"/>
      <c r="W301" s="97"/>
      <c r="X301" s="51"/>
      <c r="Y301" s="18"/>
      <c r="Z301" s="18"/>
      <c r="AA301" s="18"/>
      <c r="AB301" s="18"/>
      <c r="AC301" s="18"/>
      <c r="AD301" s="18"/>
      <c r="AE301" s="18"/>
      <c r="AF301" s="18"/>
      <c r="AG301" s="18"/>
      <c r="AH301" s="51"/>
      <c r="AI301" s="18"/>
      <c r="AJ301" s="18"/>
      <c r="AK301" s="18"/>
      <c r="AL301" s="18"/>
      <c r="AM301" s="18"/>
      <c r="AN301" s="18"/>
      <c r="AO301" s="18"/>
      <c r="AP301" s="18"/>
    </row>
    <row r="302" spans="1:42" x14ac:dyDescent="0.25">
      <c r="A302" s="12"/>
      <c r="B302" s="13"/>
      <c r="C302" s="13"/>
      <c r="D302" s="13"/>
      <c r="E302" s="13"/>
      <c r="F302" s="13"/>
      <c r="G302" s="13"/>
      <c r="H302" s="13"/>
      <c r="I302" s="13"/>
      <c r="J302" s="70"/>
      <c r="K302" s="70"/>
      <c r="L302" s="70"/>
      <c r="O302" s="18"/>
      <c r="P302" s="18"/>
      <c r="Q302" s="97"/>
      <c r="R302" s="97"/>
      <c r="S302" s="97"/>
      <c r="T302" s="97"/>
      <c r="U302" s="97"/>
      <c r="V302" s="97"/>
      <c r="W302" s="97"/>
      <c r="X302" s="51"/>
      <c r="Y302" s="18"/>
      <c r="Z302" s="18"/>
      <c r="AA302" s="18"/>
      <c r="AB302" s="18"/>
      <c r="AC302" s="18"/>
      <c r="AD302" s="18"/>
      <c r="AE302" s="18"/>
      <c r="AF302" s="18"/>
      <c r="AG302" s="18"/>
      <c r="AH302" s="51"/>
      <c r="AI302" s="18"/>
      <c r="AJ302" s="18"/>
      <c r="AK302" s="18"/>
      <c r="AL302" s="18"/>
      <c r="AM302" s="18"/>
      <c r="AN302" s="18"/>
      <c r="AO302" s="18"/>
      <c r="AP302" s="18"/>
    </row>
    <row r="303" spans="1:42" x14ac:dyDescent="0.25">
      <c r="A303" s="12"/>
      <c r="B303" s="13"/>
      <c r="C303" s="13"/>
      <c r="D303" s="13"/>
      <c r="E303" s="13"/>
      <c r="F303" s="13"/>
      <c r="G303" s="13"/>
      <c r="H303" s="13"/>
      <c r="I303" s="13"/>
      <c r="J303" s="70"/>
      <c r="K303" s="70"/>
      <c r="L303" s="70"/>
      <c r="O303" s="18"/>
      <c r="P303" s="18"/>
      <c r="Q303" s="97"/>
      <c r="R303" s="97"/>
      <c r="S303" s="97"/>
      <c r="T303" s="97"/>
      <c r="U303" s="97"/>
      <c r="V303" s="97"/>
      <c r="W303" s="97"/>
      <c r="X303" s="51"/>
      <c r="Y303" s="18"/>
      <c r="Z303" s="18"/>
      <c r="AA303" s="18"/>
      <c r="AB303" s="18"/>
      <c r="AC303" s="18"/>
      <c r="AD303" s="18"/>
      <c r="AE303" s="18"/>
      <c r="AF303" s="18"/>
      <c r="AG303" s="18"/>
      <c r="AH303" s="51"/>
      <c r="AI303" s="18"/>
      <c r="AJ303" s="18"/>
      <c r="AK303" s="18"/>
      <c r="AL303" s="18"/>
      <c r="AM303" s="18"/>
      <c r="AN303" s="18"/>
      <c r="AO303" s="18"/>
      <c r="AP303" s="18"/>
    </row>
    <row r="304" spans="1:42" x14ac:dyDescent="0.25">
      <c r="A304" s="12"/>
      <c r="B304" s="13"/>
      <c r="C304" s="13"/>
      <c r="D304" s="13"/>
      <c r="E304" s="13"/>
      <c r="F304" s="13"/>
      <c r="G304" s="13"/>
      <c r="H304" s="13"/>
      <c r="I304" s="13"/>
      <c r="J304" s="70"/>
      <c r="K304" s="70"/>
      <c r="L304" s="70"/>
      <c r="O304" s="18"/>
      <c r="P304" s="18"/>
      <c r="Q304" s="97"/>
      <c r="R304" s="97"/>
      <c r="S304" s="97"/>
      <c r="T304" s="97"/>
      <c r="U304" s="97"/>
      <c r="V304" s="97"/>
      <c r="W304" s="97"/>
      <c r="X304" s="51"/>
      <c r="Y304" s="18"/>
      <c r="Z304" s="18"/>
      <c r="AA304" s="18"/>
      <c r="AB304" s="18"/>
      <c r="AC304" s="18"/>
      <c r="AD304" s="18"/>
      <c r="AE304" s="18"/>
      <c r="AF304" s="18"/>
      <c r="AG304" s="18"/>
      <c r="AH304" s="51"/>
      <c r="AI304" s="18"/>
      <c r="AJ304" s="18"/>
      <c r="AK304" s="18"/>
      <c r="AL304" s="18"/>
      <c r="AM304" s="18"/>
      <c r="AN304" s="18"/>
      <c r="AO304" s="18"/>
      <c r="AP304" s="18"/>
    </row>
    <row r="305" spans="1:42" x14ac:dyDescent="0.25">
      <c r="A305" s="12"/>
      <c r="B305" s="13"/>
      <c r="C305" s="13"/>
      <c r="D305" s="13"/>
      <c r="E305" s="13"/>
      <c r="F305" s="13"/>
      <c r="G305" s="13"/>
      <c r="H305" s="13"/>
      <c r="I305" s="13"/>
      <c r="J305" s="107"/>
      <c r="K305" s="107"/>
      <c r="L305" s="107"/>
      <c r="O305" s="18"/>
      <c r="P305" s="18"/>
      <c r="Q305" s="97"/>
      <c r="R305" s="97"/>
      <c r="S305" s="97"/>
      <c r="T305" s="97"/>
      <c r="U305" s="97"/>
      <c r="V305" s="97"/>
      <c r="W305" s="97"/>
      <c r="X305" s="51"/>
      <c r="Y305" s="18"/>
      <c r="Z305" s="18"/>
      <c r="AA305" s="18"/>
      <c r="AB305" s="18"/>
      <c r="AC305" s="18"/>
      <c r="AD305" s="18"/>
      <c r="AE305" s="18"/>
      <c r="AF305" s="18"/>
      <c r="AG305" s="18"/>
      <c r="AH305" s="51"/>
      <c r="AI305" s="18"/>
      <c r="AJ305" s="18"/>
      <c r="AK305" s="18"/>
      <c r="AL305" s="18"/>
      <c r="AM305" s="18"/>
      <c r="AN305" s="18"/>
      <c r="AO305" s="18"/>
      <c r="AP305" s="18"/>
    </row>
    <row r="306" spans="1:42" x14ac:dyDescent="0.25">
      <c r="A306" s="12"/>
      <c r="B306" s="13"/>
      <c r="C306" s="13"/>
      <c r="D306" s="13"/>
      <c r="E306" s="13"/>
      <c r="F306" s="13"/>
      <c r="G306" s="13"/>
      <c r="H306" s="13"/>
      <c r="I306" s="13"/>
      <c r="J306" s="100"/>
      <c r="K306" s="100"/>
      <c r="L306" s="100"/>
      <c r="O306" s="18"/>
      <c r="P306" s="18"/>
      <c r="Q306" s="97"/>
      <c r="R306" s="97"/>
      <c r="S306" s="97"/>
      <c r="T306" s="97"/>
      <c r="U306" s="97"/>
      <c r="V306" s="97"/>
      <c r="W306" s="97"/>
      <c r="X306" s="51"/>
      <c r="Y306" s="18"/>
      <c r="Z306" s="18"/>
      <c r="AA306" s="18"/>
      <c r="AB306" s="18"/>
      <c r="AC306" s="18"/>
      <c r="AD306" s="18"/>
      <c r="AE306" s="18"/>
      <c r="AF306" s="18"/>
      <c r="AG306" s="18"/>
      <c r="AH306" s="51"/>
      <c r="AI306" s="18"/>
      <c r="AJ306" s="18"/>
      <c r="AK306" s="18"/>
      <c r="AL306" s="18"/>
      <c r="AM306" s="18"/>
      <c r="AN306" s="18"/>
      <c r="AO306" s="18"/>
      <c r="AP306" s="18"/>
    </row>
    <row r="307" spans="1:42" x14ac:dyDescent="0.25">
      <c r="A307" s="12"/>
      <c r="B307" s="13"/>
      <c r="C307" s="13"/>
      <c r="D307" s="13"/>
      <c r="E307" s="13"/>
      <c r="F307" s="13"/>
      <c r="G307" s="13"/>
      <c r="H307" s="13"/>
      <c r="I307" s="13"/>
      <c r="J307" s="100"/>
      <c r="K307" s="100"/>
      <c r="L307" s="100"/>
      <c r="O307" s="18"/>
      <c r="P307" s="18"/>
      <c r="Q307" s="97"/>
      <c r="R307" s="97"/>
      <c r="S307" s="97"/>
      <c r="T307" s="97"/>
      <c r="U307" s="97"/>
      <c r="V307" s="97"/>
      <c r="W307" s="97"/>
      <c r="X307" s="51"/>
      <c r="Y307" s="18"/>
      <c r="Z307" s="18"/>
      <c r="AA307" s="18"/>
      <c r="AB307" s="18"/>
      <c r="AC307" s="18"/>
      <c r="AD307" s="18"/>
      <c r="AE307" s="18"/>
      <c r="AF307" s="18"/>
      <c r="AG307" s="18"/>
      <c r="AH307" s="51"/>
      <c r="AI307" s="18"/>
      <c r="AJ307" s="18"/>
      <c r="AK307" s="18"/>
      <c r="AL307" s="18"/>
      <c r="AM307" s="18"/>
      <c r="AN307" s="18"/>
      <c r="AO307" s="18"/>
      <c r="AP307" s="18"/>
    </row>
    <row r="308" spans="1:42" x14ac:dyDescent="0.25">
      <c r="A308" s="12"/>
      <c r="B308" s="13"/>
      <c r="C308" s="13"/>
      <c r="D308" s="13"/>
      <c r="E308" s="13"/>
      <c r="F308" s="13"/>
      <c r="G308" s="13"/>
      <c r="H308" s="13"/>
      <c r="I308" s="13"/>
      <c r="J308" s="100"/>
      <c r="K308" s="100"/>
      <c r="L308" s="100"/>
      <c r="O308" s="18"/>
      <c r="P308" s="18"/>
      <c r="Q308" s="97"/>
      <c r="R308" s="97"/>
      <c r="S308" s="97"/>
      <c r="T308" s="97"/>
      <c r="U308" s="97"/>
      <c r="V308" s="97"/>
      <c r="W308" s="97"/>
      <c r="X308" s="51"/>
      <c r="Y308" s="18"/>
      <c r="Z308" s="18"/>
      <c r="AA308" s="18"/>
      <c r="AB308" s="18"/>
      <c r="AC308" s="18"/>
      <c r="AD308" s="18"/>
      <c r="AE308" s="18"/>
      <c r="AF308" s="18"/>
      <c r="AG308" s="18"/>
      <c r="AH308" s="51"/>
      <c r="AI308" s="18"/>
      <c r="AJ308" s="18"/>
      <c r="AK308" s="18"/>
      <c r="AL308" s="18"/>
      <c r="AM308" s="18"/>
      <c r="AN308" s="18"/>
      <c r="AO308" s="18"/>
      <c r="AP308" s="18"/>
    </row>
    <row r="309" spans="1:42" x14ac:dyDescent="0.25">
      <c r="A309" s="12"/>
      <c r="B309" s="13"/>
      <c r="C309" s="13"/>
      <c r="D309" s="13"/>
      <c r="E309" s="13"/>
      <c r="F309" s="13"/>
      <c r="G309" s="13"/>
      <c r="H309" s="13"/>
      <c r="I309" s="13"/>
      <c r="J309" s="100"/>
      <c r="K309" s="100"/>
      <c r="L309" s="100"/>
      <c r="O309" s="18"/>
      <c r="P309" s="18"/>
      <c r="Q309" s="97"/>
      <c r="R309" s="97"/>
      <c r="S309" s="97"/>
      <c r="T309" s="97"/>
      <c r="U309" s="97"/>
      <c r="V309" s="97"/>
      <c r="W309" s="97"/>
      <c r="X309" s="51"/>
      <c r="Y309" s="18"/>
      <c r="Z309" s="18"/>
      <c r="AA309" s="18"/>
      <c r="AB309" s="18"/>
      <c r="AC309" s="18"/>
      <c r="AD309" s="18"/>
      <c r="AE309" s="18"/>
      <c r="AF309" s="18"/>
      <c r="AG309" s="18"/>
      <c r="AH309" s="51"/>
      <c r="AI309" s="18"/>
      <c r="AJ309" s="18"/>
      <c r="AK309" s="18"/>
      <c r="AL309" s="18"/>
      <c r="AM309" s="18"/>
      <c r="AN309" s="18"/>
      <c r="AO309" s="18"/>
      <c r="AP309" s="18"/>
    </row>
    <row r="310" spans="1:42" x14ac:dyDescent="0.25">
      <c r="A310" s="12"/>
      <c r="B310" s="13"/>
      <c r="C310" s="13"/>
      <c r="D310" s="13"/>
      <c r="E310" s="13"/>
      <c r="F310" s="13"/>
      <c r="G310" s="13"/>
      <c r="H310" s="13"/>
      <c r="I310" s="13"/>
      <c r="J310" s="100"/>
      <c r="K310" s="100"/>
      <c r="L310" s="100"/>
      <c r="O310" s="18"/>
      <c r="P310" s="18"/>
      <c r="Q310" s="97"/>
      <c r="R310" s="97"/>
      <c r="S310" s="97"/>
      <c r="T310" s="97"/>
      <c r="U310" s="97"/>
      <c r="V310" s="97"/>
      <c r="W310" s="97"/>
      <c r="X310" s="51"/>
      <c r="Y310" s="18"/>
      <c r="Z310" s="18"/>
      <c r="AA310" s="18"/>
      <c r="AB310" s="18"/>
      <c r="AC310" s="18"/>
      <c r="AD310" s="18"/>
      <c r="AE310" s="18"/>
      <c r="AF310" s="18"/>
      <c r="AG310" s="18"/>
      <c r="AH310" s="51"/>
      <c r="AI310" s="18"/>
      <c r="AJ310" s="18"/>
      <c r="AK310" s="18"/>
      <c r="AL310" s="18"/>
      <c r="AM310" s="18"/>
      <c r="AN310" s="18"/>
      <c r="AO310" s="18"/>
      <c r="AP310" s="18"/>
    </row>
    <row r="311" spans="1:42" x14ac:dyDescent="0.25">
      <c r="A311" s="12"/>
      <c r="B311" s="13"/>
      <c r="C311" s="13"/>
      <c r="D311" s="13"/>
      <c r="E311" s="13"/>
      <c r="F311" s="13"/>
      <c r="G311" s="13"/>
      <c r="H311" s="13"/>
      <c r="I311" s="13"/>
      <c r="J311" s="70"/>
      <c r="K311" s="70"/>
      <c r="L311" s="70"/>
      <c r="O311" s="18"/>
      <c r="P311" s="18"/>
      <c r="Q311" s="97"/>
      <c r="R311" s="97"/>
      <c r="S311" s="97"/>
      <c r="T311" s="97"/>
      <c r="U311" s="97"/>
      <c r="V311" s="97"/>
      <c r="W311" s="97"/>
      <c r="X311" s="51"/>
      <c r="Y311" s="18"/>
      <c r="Z311" s="18"/>
      <c r="AA311" s="18"/>
      <c r="AB311" s="18"/>
      <c r="AC311" s="18"/>
      <c r="AD311" s="18"/>
      <c r="AE311" s="18"/>
      <c r="AF311" s="18"/>
      <c r="AG311" s="18"/>
      <c r="AH311" s="51"/>
      <c r="AI311" s="18"/>
      <c r="AJ311" s="18"/>
      <c r="AK311" s="18"/>
      <c r="AL311" s="18"/>
      <c r="AM311" s="18"/>
      <c r="AN311" s="18"/>
      <c r="AO311" s="18"/>
      <c r="AP311" s="18"/>
    </row>
    <row r="312" spans="1:42" x14ac:dyDescent="0.25">
      <c r="A312" s="12"/>
      <c r="B312" s="13"/>
      <c r="C312" s="13"/>
      <c r="D312" s="13"/>
      <c r="E312" s="13"/>
      <c r="F312" s="13"/>
      <c r="G312" s="13"/>
      <c r="H312" s="13"/>
      <c r="I312" s="13"/>
      <c r="J312" s="100"/>
      <c r="K312" s="100"/>
      <c r="L312" s="100"/>
      <c r="O312" s="18"/>
      <c r="P312" s="18"/>
      <c r="Q312" s="97"/>
      <c r="R312" s="97"/>
      <c r="S312" s="97"/>
      <c r="T312" s="97"/>
      <c r="U312" s="97"/>
      <c r="V312" s="97"/>
      <c r="W312" s="97"/>
      <c r="X312" s="51"/>
      <c r="Y312" s="18"/>
      <c r="Z312" s="18"/>
      <c r="AA312" s="18"/>
      <c r="AB312" s="18"/>
      <c r="AC312" s="18"/>
      <c r="AD312" s="18"/>
      <c r="AE312" s="18"/>
      <c r="AF312" s="18"/>
      <c r="AG312" s="18"/>
      <c r="AH312" s="51"/>
      <c r="AI312" s="18"/>
      <c r="AJ312" s="18"/>
      <c r="AK312" s="18"/>
      <c r="AL312" s="18"/>
      <c r="AM312" s="18"/>
      <c r="AN312" s="18"/>
      <c r="AO312" s="18"/>
      <c r="AP312" s="18"/>
    </row>
    <row r="313" spans="1:42" x14ac:dyDescent="0.25">
      <c r="A313" s="12"/>
      <c r="B313" s="13"/>
      <c r="C313" s="13"/>
      <c r="D313" s="13"/>
      <c r="E313" s="13"/>
      <c r="F313" s="13"/>
      <c r="G313" s="13"/>
      <c r="H313" s="13"/>
      <c r="I313" s="13"/>
      <c r="J313" s="70"/>
      <c r="K313" s="70"/>
      <c r="L313" s="70"/>
      <c r="O313" s="18"/>
      <c r="P313" s="18"/>
      <c r="Q313" s="97"/>
      <c r="R313" s="97"/>
      <c r="S313" s="97"/>
      <c r="T313" s="97"/>
      <c r="U313" s="97"/>
      <c r="V313" s="97"/>
      <c r="W313" s="97"/>
      <c r="X313" s="51"/>
      <c r="Y313" s="18"/>
      <c r="Z313" s="18"/>
      <c r="AA313" s="18"/>
      <c r="AB313" s="18"/>
      <c r="AC313" s="18"/>
      <c r="AD313" s="18"/>
      <c r="AE313" s="18"/>
      <c r="AF313" s="18"/>
      <c r="AG313" s="18"/>
      <c r="AH313" s="51"/>
      <c r="AI313" s="18"/>
      <c r="AJ313" s="18"/>
      <c r="AK313" s="18"/>
      <c r="AL313" s="18"/>
      <c r="AM313" s="18"/>
      <c r="AN313" s="18"/>
      <c r="AO313" s="18"/>
      <c r="AP313" s="18"/>
    </row>
    <row r="314" spans="1:42" x14ac:dyDescent="0.25">
      <c r="A314" s="12"/>
      <c r="B314" s="13"/>
      <c r="C314" s="13"/>
      <c r="D314" s="13"/>
      <c r="E314" s="13"/>
      <c r="F314" s="13"/>
      <c r="G314" s="13"/>
      <c r="H314" s="13"/>
      <c r="I314" s="13"/>
      <c r="J314" s="100"/>
      <c r="K314" s="100"/>
      <c r="L314" s="100"/>
      <c r="O314" s="18"/>
      <c r="P314" s="18"/>
      <c r="Q314" s="97"/>
      <c r="R314" s="97"/>
      <c r="S314" s="97"/>
      <c r="T314" s="97"/>
      <c r="U314" s="97"/>
      <c r="V314" s="97"/>
      <c r="W314" s="97"/>
      <c r="X314" s="51"/>
      <c r="Y314" s="18"/>
      <c r="Z314" s="18"/>
      <c r="AA314" s="18"/>
      <c r="AB314" s="18"/>
      <c r="AC314" s="18"/>
      <c r="AD314" s="18"/>
      <c r="AE314" s="18"/>
      <c r="AF314" s="18"/>
      <c r="AG314" s="18"/>
      <c r="AH314" s="51"/>
      <c r="AI314" s="18"/>
      <c r="AJ314" s="18"/>
      <c r="AK314" s="18"/>
      <c r="AL314" s="18"/>
      <c r="AM314" s="18"/>
      <c r="AN314" s="18"/>
      <c r="AO314" s="18"/>
      <c r="AP314" s="18"/>
    </row>
    <row r="315" spans="1:42" x14ac:dyDescent="0.25">
      <c r="A315" s="12"/>
      <c r="B315" s="13"/>
      <c r="C315" s="13"/>
      <c r="D315" s="13"/>
      <c r="E315" s="13"/>
      <c r="F315" s="13"/>
      <c r="G315" s="13"/>
      <c r="H315" s="13"/>
      <c r="I315" s="13"/>
      <c r="J315" s="100"/>
      <c r="K315" s="100"/>
      <c r="L315" s="100"/>
      <c r="O315" s="18"/>
      <c r="P315" s="18"/>
      <c r="Q315" s="97"/>
      <c r="R315" s="97"/>
      <c r="S315" s="97"/>
      <c r="T315" s="97"/>
      <c r="U315" s="97"/>
      <c r="V315" s="97"/>
      <c r="W315" s="97"/>
      <c r="X315" s="51"/>
      <c r="Y315" s="18"/>
      <c r="Z315" s="18"/>
      <c r="AA315" s="18"/>
      <c r="AB315" s="18"/>
      <c r="AC315" s="18"/>
      <c r="AD315" s="18"/>
      <c r="AE315" s="18"/>
      <c r="AF315" s="18"/>
      <c r="AG315" s="18"/>
      <c r="AH315" s="51"/>
      <c r="AI315" s="18"/>
      <c r="AJ315" s="18"/>
      <c r="AK315" s="18"/>
      <c r="AL315" s="18"/>
      <c r="AM315" s="18"/>
      <c r="AN315" s="18"/>
      <c r="AO315" s="18"/>
      <c r="AP315" s="18"/>
    </row>
    <row r="316" spans="1:42" x14ac:dyDescent="0.25">
      <c r="A316" s="12"/>
      <c r="B316" s="13"/>
      <c r="C316" s="13"/>
      <c r="D316" s="13"/>
      <c r="E316" s="13"/>
      <c r="F316" s="13"/>
      <c r="G316" s="13"/>
      <c r="H316" s="13"/>
      <c r="I316" s="13"/>
      <c r="J316" s="70"/>
      <c r="K316" s="70"/>
      <c r="L316" s="70"/>
      <c r="O316" s="18"/>
      <c r="P316" s="18"/>
      <c r="Q316" s="97"/>
      <c r="R316" s="97"/>
      <c r="S316" s="97"/>
      <c r="T316" s="97"/>
      <c r="U316" s="97"/>
      <c r="V316" s="97"/>
      <c r="W316" s="97"/>
      <c r="X316" s="51"/>
      <c r="Y316" s="18"/>
      <c r="Z316" s="18"/>
      <c r="AA316" s="18"/>
      <c r="AB316" s="18"/>
      <c r="AC316" s="18"/>
      <c r="AD316" s="18"/>
      <c r="AE316" s="18"/>
      <c r="AF316" s="18"/>
      <c r="AG316" s="18"/>
      <c r="AH316" s="51"/>
      <c r="AI316" s="18"/>
      <c r="AJ316" s="18"/>
      <c r="AK316" s="18"/>
      <c r="AL316" s="18"/>
      <c r="AM316" s="18"/>
      <c r="AN316" s="18"/>
      <c r="AO316" s="18"/>
      <c r="AP316" s="18"/>
    </row>
    <row r="317" spans="1:42" x14ac:dyDescent="0.25">
      <c r="A317" s="12"/>
      <c r="B317" s="13"/>
      <c r="C317" s="13"/>
      <c r="D317" s="13"/>
      <c r="E317" s="13"/>
      <c r="F317" s="13"/>
      <c r="G317" s="13"/>
      <c r="H317" s="13"/>
      <c r="I317" s="13"/>
      <c r="J317" s="100"/>
      <c r="K317" s="100"/>
      <c r="L317" s="100"/>
      <c r="O317" s="18"/>
      <c r="P317" s="18"/>
      <c r="Q317" s="97"/>
      <c r="R317" s="97"/>
      <c r="S317" s="97"/>
      <c r="T317" s="97"/>
      <c r="U317" s="97"/>
      <c r="V317" s="97"/>
      <c r="W317" s="97"/>
      <c r="X317" s="51"/>
      <c r="Y317" s="18"/>
      <c r="Z317" s="18"/>
      <c r="AA317" s="18"/>
      <c r="AB317" s="18"/>
      <c r="AC317" s="18"/>
      <c r="AD317" s="18"/>
      <c r="AE317" s="18"/>
      <c r="AF317" s="18"/>
      <c r="AG317" s="18"/>
      <c r="AH317" s="51"/>
      <c r="AI317" s="18"/>
      <c r="AJ317" s="18"/>
      <c r="AK317" s="18"/>
      <c r="AL317" s="18"/>
      <c r="AM317" s="18"/>
      <c r="AN317" s="18"/>
      <c r="AO317" s="18"/>
      <c r="AP317" s="18"/>
    </row>
    <row r="318" spans="1:42" x14ac:dyDescent="0.25">
      <c r="A318" s="12"/>
      <c r="B318" s="13"/>
      <c r="C318" s="13"/>
      <c r="D318" s="13"/>
      <c r="E318" s="13"/>
      <c r="F318" s="13"/>
      <c r="G318" s="13"/>
      <c r="H318" s="13"/>
      <c r="I318" s="13"/>
      <c r="J318" s="70"/>
      <c r="K318" s="70"/>
      <c r="L318" s="70"/>
      <c r="O318" s="18"/>
      <c r="P318" s="18"/>
      <c r="Q318" s="97"/>
      <c r="R318" s="97"/>
      <c r="S318" s="97"/>
      <c r="T318" s="97"/>
      <c r="U318" s="97"/>
      <c r="V318" s="97"/>
      <c r="W318" s="97"/>
      <c r="X318" s="51"/>
      <c r="Y318" s="18"/>
      <c r="Z318" s="18"/>
      <c r="AA318" s="18"/>
      <c r="AB318" s="18"/>
      <c r="AC318" s="18"/>
      <c r="AD318" s="18"/>
      <c r="AE318" s="18"/>
      <c r="AF318" s="18"/>
      <c r="AG318" s="18"/>
      <c r="AH318" s="51"/>
      <c r="AI318" s="18"/>
      <c r="AJ318" s="18"/>
      <c r="AK318" s="18"/>
      <c r="AL318" s="18"/>
      <c r="AM318" s="18"/>
      <c r="AN318" s="18"/>
      <c r="AO318" s="18"/>
      <c r="AP318" s="18"/>
    </row>
    <row r="319" spans="1:42" x14ac:dyDescent="0.25">
      <c r="A319" s="12"/>
      <c r="B319" s="13"/>
      <c r="C319" s="13"/>
      <c r="D319" s="13"/>
      <c r="E319" s="13"/>
      <c r="F319" s="13"/>
      <c r="G319" s="13"/>
      <c r="H319" s="13"/>
      <c r="I319" s="13"/>
      <c r="J319" s="70"/>
      <c r="K319" s="70"/>
      <c r="L319" s="70"/>
      <c r="O319" s="18"/>
      <c r="P319" s="18"/>
      <c r="Q319" s="97"/>
      <c r="R319" s="97"/>
      <c r="S319" s="97"/>
      <c r="T319" s="97"/>
      <c r="U319" s="97"/>
      <c r="V319" s="97"/>
      <c r="W319" s="97"/>
      <c r="X319" s="51"/>
      <c r="Y319" s="18"/>
      <c r="Z319" s="18"/>
      <c r="AA319" s="18"/>
      <c r="AB319" s="18"/>
      <c r="AC319" s="18"/>
      <c r="AD319" s="18"/>
      <c r="AE319" s="18"/>
      <c r="AF319" s="18"/>
      <c r="AG319" s="18"/>
      <c r="AH319" s="51"/>
      <c r="AI319" s="18"/>
      <c r="AJ319" s="18"/>
      <c r="AK319" s="18"/>
      <c r="AL319" s="18"/>
      <c r="AM319" s="18"/>
      <c r="AN319" s="18"/>
      <c r="AO319" s="18"/>
      <c r="AP319" s="18"/>
    </row>
    <row r="320" spans="1:42" x14ac:dyDescent="0.25">
      <c r="A320" s="12"/>
      <c r="B320" s="13"/>
      <c r="C320" s="13"/>
      <c r="D320" s="13"/>
      <c r="E320" s="13"/>
      <c r="F320" s="13"/>
      <c r="G320" s="13"/>
      <c r="H320" s="13"/>
      <c r="I320" s="13"/>
      <c r="J320" s="107"/>
      <c r="K320" s="107"/>
      <c r="L320" s="107"/>
      <c r="O320" s="18"/>
      <c r="P320" s="18"/>
      <c r="Q320" s="97"/>
      <c r="R320" s="97"/>
      <c r="S320" s="97"/>
      <c r="T320" s="97"/>
      <c r="U320" s="97"/>
      <c r="V320" s="97"/>
      <c r="W320" s="97"/>
      <c r="X320" s="51"/>
      <c r="Y320" s="18"/>
      <c r="Z320" s="18"/>
      <c r="AA320" s="18"/>
      <c r="AB320" s="18"/>
      <c r="AC320" s="18"/>
      <c r="AD320" s="18"/>
      <c r="AE320" s="18"/>
      <c r="AF320" s="18"/>
      <c r="AG320" s="18"/>
      <c r="AH320" s="51"/>
      <c r="AI320" s="18"/>
      <c r="AJ320" s="18"/>
      <c r="AK320" s="18"/>
      <c r="AL320" s="18"/>
      <c r="AM320" s="18"/>
      <c r="AN320" s="18"/>
      <c r="AO320" s="18"/>
      <c r="AP320" s="18"/>
    </row>
    <row r="321" spans="1:42" x14ac:dyDescent="0.25">
      <c r="A321" s="12"/>
      <c r="B321" s="13"/>
      <c r="C321" s="13"/>
      <c r="D321" s="13"/>
      <c r="E321" s="13"/>
      <c r="F321" s="13"/>
      <c r="G321" s="13"/>
      <c r="H321" s="13"/>
      <c r="I321" s="13"/>
      <c r="J321" s="107"/>
      <c r="K321" s="107"/>
      <c r="L321" s="107"/>
      <c r="O321" s="18"/>
      <c r="P321" s="18"/>
      <c r="Q321" s="97"/>
      <c r="R321" s="97"/>
      <c r="S321" s="97"/>
      <c r="T321" s="97"/>
      <c r="U321" s="97"/>
      <c r="V321" s="97"/>
      <c r="W321" s="97"/>
      <c r="X321" s="51"/>
      <c r="Y321" s="18"/>
      <c r="Z321" s="18"/>
      <c r="AA321" s="18"/>
      <c r="AB321" s="18"/>
      <c r="AC321" s="18"/>
      <c r="AD321" s="18"/>
      <c r="AE321" s="18"/>
      <c r="AF321" s="18"/>
      <c r="AG321" s="18"/>
      <c r="AH321" s="51"/>
      <c r="AI321" s="18"/>
      <c r="AJ321" s="18"/>
      <c r="AK321" s="18"/>
      <c r="AL321" s="18"/>
      <c r="AM321" s="18"/>
      <c r="AN321" s="18"/>
      <c r="AO321" s="18"/>
      <c r="AP321" s="18"/>
    </row>
    <row r="322" spans="1:42" x14ac:dyDescent="0.25">
      <c r="A322" s="12"/>
      <c r="B322" s="13"/>
      <c r="C322" s="13"/>
      <c r="D322" s="13"/>
      <c r="E322" s="13"/>
      <c r="F322" s="13"/>
      <c r="G322" s="13"/>
      <c r="H322" s="13"/>
      <c r="I322" s="13"/>
      <c r="J322" s="100"/>
      <c r="K322" s="100"/>
      <c r="L322" s="100"/>
      <c r="O322" s="18"/>
      <c r="P322" s="18"/>
      <c r="Q322" s="97"/>
      <c r="R322" s="97"/>
      <c r="S322" s="97"/>
      <c r="T322" s="97"/>
      <c r="U322" s="97"/>
      <c r="V322" s="97"/>
      <c r="W322" s="97"/>
      <c r="X322" s="51"/>
      <c r="Y322" s="18"/>
      <c r="Z322" s="18"/>
      <c r="AA322" s="18"/>
      <c r="AB322" s="18"/>
      <c r="AC322" s="18"/>
      <c r="AD322" s="18"/>
      <c r="AE322" s="18"/>
      <c r="AF322" s="18"/>
      <c r="AG322" s="18"/>
      <c r="AH322" s="51"/>
      <c r="AI322" s="18"/>
      <c r="AJ322" s="18"/>
      <c r="AK322" s="18"/>
      <c r="AL322" s="18"/>
      <c r="AM322" s="18"/>
      <c r="AN322" s="18"/>
      <c r="AO322" s="18"/>
      <c r="AP322" s="18"/>
    </row>
    <row r="323" spans="1:42" x14ac:dyDescent="0.25">
      <c r="A323" s="12"/>
      <c r="B323" s="13"/>
      <c r="C323" s="13"/>
      <c r="D323" s="13"/>
      <c r="E323" s="13"/>
      <c r="F323" s="13"/>
      <c r="G323" s="13"/>
      <c r="H323" s="13"/>
      <c r="I323" s="13"/>
      <c r="J323" s="100"/>
      <c r="K323" s="100"/>
      <c r="L323" s="100"/>
      <c r="O323" s="18"/>
      <c r="P323" s="18"/>
      <c r="Q323" s="97"/>
      <c r="R323" s="97"/>
      <c r="S323" s="97"/>
      <c r="T323" s="97"/>
      <c r="U323" s="97"/>
      <c r="V323" s="97"/>
      <c r="W323" s="97"/>
      <c r="X323" s="51"/>
      <c r="Y323" s="18"/>
      <c r="Z323" s="18"/>
      <c r="AA323" s="18"/>
      <c r="AB323" s="18"/>
      <c r="AC323" s="18"/>
      <c r="AD323" s="18"/>
      <c r="AE323" s="18"/>
      <c r="AF323" s="18"/>
      <c r="AG323" s="18"/>
      <c r="AH323" s="51"/>
      <c r="AI323" s="18"/>
      <c r="AJ323" s="18"/>
      <c r="AK323" s="18"/>
      <c r="AL323" s="18"/>
      <c r="AM323" s="18"/>
      <c r="AN323" s="18"/>
      <c r="AO323" s="18"/>
      <c r="AP323" s="18"/>
    </row>
    <row r="324" spans="1:42" x14ac:dyDescent="0.25">
      <c r="A324" s="12"/>
      <c r="B324" s="13"/>
      <c r="C324" s="13"/>
      <c r="D324" s="13"/>
      <c r="E324" s="13"/>
      <c r="F324" s="13"/>
      <c r="G324" s="13"/>
      <c r="H324" s="13"/>
      <c r="I324" s="13"/>
      <c r="J324" s="100"/>
      <c r="K324" s="100"/>
      <c r="L324" s="100"/>
      <c r="O324" s="18"/>
      <c r="P324" s="18"/>
      <c r="Q324" s="97"/>
      <c r="R324" s="97"/>
      <c r="S324" s="97"/>
      <c r="T324" s="97"/>
      <c r="U324" s="97"/>
      <c r="V324" s="97"/>
      <c r="W324" s="97"/>
      <c r="X324" s="51"/>
      <c r="Y324" s="18"/>
      <c r="Z324" s="18"/>
      <c r="AA324" s="18"/>
      <c r="AB324" s="18"/>
      <c r="AC324" s="18"/>
      <c r="AD324" s="18"/>
      <c r="AE324" s="18"/>
      <c r="AF324" s="18"/>
      <c r="AG324" s="18"/>
      <c r="AH324" s="51"/>
      <c r="AI324" s="18"/>
      <c r="AJ324" s="18"/>
      <c r="AK324" s="18"/>
      <c r="AL324" s="18"/>
      <c r="AM324" s="18"/>
      <c r="AN324" s="18"/>
      <c r="AO324" s="18"/>
      <c r="AP324" s="18"/>
    </row>
    <row r="325" spans="1:42" x14ac:dyDescent="0.25">
      <c r="A325" s="12"/>
      <c r="B325" s="13"/>
      <c r="C325" s="13"/>
      <c r="D325" s="13"/>
      <c r="E325" s="13"/>
      <c r="F325" s="13"/>
      <c r="G325" s="13"/>
      <c r="H325" s="13"/>
      <c r="I325" s="13"/>
      <c r="J325" s="70"/>
      <c r="K325" s="70"/>
      <c r="L325" s="70"/>
      <c r="O325" s="18"/>
      <c r="P325" s="18"/>
      <c r="Q325" s="97"/>
      <c r="R325" s="97"/>
      <c r="S325" s="97"/>
      <c r="T325" s="97"/>
      <c r="U325" s="97"/>
      <c r="V325" s="97"/>
      <c r="W325" s="97"/>
      <c r="X325" s="51"/>
      <c r="Y325" s="18"/>
      <c r="Z325" s="18"/>
      <c r="AA325" s="18"/>
      <c r="AB325" s="18"/>
      <c r="AC325" s="18"/>
      <c r="AD325" s="18"/>
      <c r="AE325" s="18"/>
      <c r="AF325" s="18"/>
      <c r="AG325" s="18"/>
      <c r="AH325" s="51"/>
      <c r="AI325" s="18"/>
      <c r="AJ325" s="18"/>
      <c r="AK325" s="18"/>
      <c r="AL325" s="18"/>
      <c r="AM325" s="18"/>
      <c r="AN325" s="18"/>
      <c r="AO325" s="18"/>
      <c r="AP325" s="18"/>
    </row>
    <row r="326" spans="1:42" x14ac:dyDescent="0.25">
      <c r="A326" s="12"/>
      <c r="B326" s="13"/>
      <c r="C326" s="13"/>
      <c r="D326" s="13"/>
      <c r="E326" s="13"/>
      <c r="F326" s="13"/>
      <c r="G326" s="13"/>
      <c r="H326" s="13"/>
      <c r="I326" s="13"/>
      <c r="J326" s="70"/>
      <c r="K326" s="70"/>
      <c r="L326" s="70"/>
      <c r="O326" s="18"/>
      <c r="P326" s="18"/>
      <c r="Q326" s="97"/>
      <c r="R326" s="97"/>
      <c r="S326" s="97"/>
      <c r="T326" s="97"/>
      <c r="U326" s="97"/>
      <c r="V326" s="97"/>
      <c r="W326" s="97"/>
      <c r="X326" s="51"/>
      <c r="Y326" s="18"/>
      <c r="Z326" s="18"/>
      <c r="AA326" s="18"/>
      <c r="AB326" s="18"/>
      <c r="AC326" s="18"/>
      <c r="AD326" s="18"/>
      <c r="AE326" s="18"/>
      <c r="AF326" s="18"/>
      <c r="AG326" s="18"/>
      <c r="AH326" s="51"/>
      <c r="AI326" s="18"/>
      <c r="AJ326" s="18"/>
      <c r="AK326" s="18"/>
      <c r="AL326" s="18"/>
      <c r="AM326" s="18"/>
      <c r="AN326" s="18"/>
      <c r="AO326" s="18"/>
      <c r="AP326" s="18"/>
    </row>
    <row r="327" spans="1:42" x14ac:dyDescent="0.25">
      <c r="A327" s="12"/>
      <c r="B327" s="13"/>
      <c r="C327" s="13"/>
      <c r="D327" s="13"/>
      <c r="E327" s="13"/>
      <c r="F327" s="13"/>
      <c r="G327" s="13"/>
      <c r="H327" s="13"/>
      <c r="I327" s="13"/>
      <c r="J327" s="107"/>
      <c r="K327" s="107"/>
      <c r="L327" s="107"/>
      <c r="O327" s="18"/>
      <c r="P327" s="18"/>
      <c r="Q327" s="97"/>
      <c r="R327" s="97"/>
      <c r="S327" s="97"/>
      <c r="T327" s="97"/>
      <c r="U327" s="97"/>
      <c r="V327" s="97"/>
      <c r="W327" s="97"/>
      <c r="X327" s="51"/>
      <c r="Y327" s="18"/>
      <c r="Z327" s="18"/>
      <c r="AA327" s="18"/>
      <c r="AB327" s="18"/>
      <c r="AC327" s="18"/>
      <c r="AD327" s="18"/>
      <c r="AE327" s="18"/>
      <c r="AF327" s="18"/>
      <c r="AG327" s="18"/>
      <c r="AH327" s="51"/>
      <c r="AI327" s="18"/>
      <c r="AJ327" s="18"/>
      <c r="AK327" s="18"/>
      <c r="AL327" s="18"/>
      <c r="AM327" s="18"/>
      <c r="AN327" s="18"/>
      <c r="AO327" s="18"/>
      <c r="AP327" s="18"/>
    </row>
    <row r="328" spans="1:42" x14ac:dyDescent="0.25">
      <c r="A328" s="12"/>
      <c r="B328" s="13"/>
      <c r="C328" s="13"/>
      <c r="D328" s="13"/>
      <c r="E328" s="13"/>
      <c r="F328" s="13"/>
      <c r="G328" s="13"/>
      <c r="H328" s="13"/>
      <c r="I328" s="13"/>
      <c r="J328" s="70"/>
      <c r="K328" s="70"/>
      <c r="L328" s="70"/>
      <c r="O328" s="18"/>
      <c r="P328" s="18"/>
      <c r="Q328" s="97"/>
      <c r="R328" s="97"/>
      <c r="S328" s="97"/>
      <c r="T328" s="97"/>
      <c r="U328" s="97"/>
      <c r="V328" s="97"/>
      <c r="W328" s="97"/>
      <c r="X328" s="51"/>
      <c r="Y328" s="18"/>
      <c r="Z328" s="18"/>
      <c r="AA328" s="18"/>
      <c r="AB328" s="18"/>
      <c r="AC328" s="18"/>
      <c r="AD328" s="18"/>
      <c r="AE328" s="18"/>
      <c r="AF328" s="18"/>
      <c r="AG328" s="18"/>
      <c r="AH328" s="51"/>
      <c r="AI328" s="18"/>
      <c r="AJ328" s="18"/>
      <c r="AK328" s="18"/>
      <c r="AL328" s="18"/>
      <c r="AM328" s="18"/>
      <c r="AN328" s="18"/>
      <c r="AO328" s="18"/>
      <c r="AP328" s="18"/>
    </row>
    <row r="329" spans="1:42" x14ac:dyDescent="0.25">
      <c r="A329" s="12"/>
      <c r="B329" s="13"/>
      <c r="C329" s="13"/>
      <c r="D329" s="13"/>
      <c r="E329" s="13"/>
      <c r="F329" s="13"/>
      <c r="G329" s="13"/>
      <c r="H329" s="13"/>
      <c r="I329" s="13"/>
      <c r="J329" s="100"/>
      <c r="K329" s="100"/>
      <c r="L329" s="100"/>
      <c r="O329" s="18"/>
      <c r="P329" s="18"/>
      <c r="Q329" s="97"/>
      <c r="R329" s="97"/>
      <c r="S329" s="97"/>
      <c r="T329" s="97"/>
      <c r="U329" s="97"/>
      <c r="V329" s="97"/>
      <c r="W329" s="97"/>
      <c r="X329" s="51"/>
      <c r="Y329" s="18"/>
      <c r="Z329" s="18"/>
      <c r="AA329" s="18"/>
      <c r="AB329" s="18"/>
      <c r="AC329" s="18"/>
      <c r="AD329" s="18"/>
      <c r="AE329" s="18"/>
      <c r="AF329" s="18"/>
      <c r="AG329" s="18"/>
      <c r="AH329" s="51"/>
      <c r="AI329" s="18"/>
      <c r="AJ329" s="18"/>
      <c r="AK329" s="18"/>
      <c r="AL329" s="18"/>
      <c r="AM329" s="18"/>
      <c r="AN329" s="18"/>
      <c r="AO329" s="18"/>
      <c r="AP329" s="18"/>
    </row>
    <row r="330" spans="1:42" x14ac:dyDescent="0.25">
      <c r="A330" s="12"/>
      <c r="B330" s="13"/>
      <c r="C330" s="13"/>
      <c r="D330" s="13"/>
      <c r="E330" s="13"/>
      <c r="F330" s="13"/>
      <c r="G330" s="13"/>
      <c r="H330" s="13"/>
      <c r="I330" s="13"/>
      <c r="J330" s="70"/>
      <c r="K330" s="70"/>
      <c r="L330" s="70"/>
      <c r="O330" s="18"/>
      <c r="P330" s="18"/>
      <c r="Q330" s="97"/>
      <c r="R330" s="97"/>
      <c r="S330" s="97"/>
      <c r="T330" s="97"/>
      <c r="U330" s="97"/>
      <c r="V330" s="97"/>
      <c r="W330" s="97"/>
      <c r="X330" s="51"/>
      <c r="Y330" s="18"/>
      <c r="Z330" s="18"/>
      <c r="AA330" s="18"/>
      <c r="AB330" s="18"/>
      <c r="AC330" s="18"/>
      <c r="AD330" s="18"/>
      <c r="AE330" s="18"/>
      <c r="AF330" s="18"/>
      <c r="AG330" s="18"/>
      <c r="AH330" s="51"/>
      <c r="AI330" s="18"/>
      <c r="AJ330" s="18"/>
      <c r="AK330" s="18"/>
      <c r="AL330" s="18"/>
      <c r="AM330" s="18"/>
      <c r="AN330" s="18"/>
      <c r="AO330" s="18"/>
      <c r="AP330" s="18"/>
    </row>
    <row r="331" spans="1:42" x14ac:dyDescent="0.25">
      <c r="A331" s="12"/>
      <c r="B331" s="13"/>
      <c r="C331" s="13"/>
      <c r="D331" s="13"/>
      <c r="E331" s="13"/>
      <c r="F331" s="13"/>
      <c r="G331" s="13"/>
      <c r="H331" s="13"/>
      <c r="I331" s="13"/>
      <c r="J331" s="70"/>
      <c r="K331" s="70"/>
      <c r="L331" s="70"/>
      <c r="O331" s="18"/>
      <c r="P331" s="18"/>
      <c r="Q331" s="97"/>
      <c r="R331" s="97"/>
      <c r="S331" s="97"/>
      <c r="T331" s="97"/>
      <c r="U331" s="97"/>
      <c r="V331" s="97"/>
      <c r="W331" s="97"/>
      <c r="X331" s="51"/>
      <c r="Y331" s="18"/>
      <c r="Z331" s="18"/>
      <c r="AA331" s="18"/>
      <c r="AB331" s="18"/>
      <c r="AC331" s="18"/>
      <c r="AD331" s="18"/>
      <c r="AE331" s="18"/>
      <c r="AF331" s="18"/>
      <c r="AG331" s="18"/>
      <c r="AH331" s="51"/>
      <c r="AI331" s="18"/>
      <c r="AJ331" s="18"/>
      <c r="AK331" s="18"/>
      <c r="AL331" s="18"/>
      <c r="AM331" s="18"/>
      <c r="AN331" s="18"/>
      <c r="AO331" s="18"/>
      <c r="AP331" s="18"/>
    </row>
    <row r="332" spans="1:42" x14ac:dyDescent="0.25">
      <c r="A332" s="12"/>
      <c r="B332" s="13"/>
      <c r="C332" s="13"/>
      <c r="D332" s="13"/>
      <c r="E332" s="13"/>
      <c r="F332" s="13"/>
      <c r="G332" s="13"/>
      <c r="H332" s="13"/>
      <c r="I332" s="13"/>
      <c r="J332" s="70"/>
      <c r="K332" s="70"/>
      <c r="L332" s="70"/>
      <c r="O332" s="18"/>
      <c r="P332" s="18"/>
      <c r="Q332" s="97"/>
      <c r="R332" s="97"/>
      <c r="S332" s="97"/>
      <c r="T332" s="97"/>
      <c r="U332" s="97"/>
      <c r="V332" s="97"/>
      <c r="W332" s="97"/>
      <c r="X332" s="51"/>
      <c r="Y332" s="18"/>
      <c r="Z332" s="18"/>
      <c r="AA332" s="18"/>
      <c r="AB332" s="18"/>
      <c r="AC332" s="18"/>
      <c r="AD332" s="18"/>
      <c r="AE332" s="18"/>
      <c r="AF332" s="18"/>
      <c r="AG332" s="18"/>
      <c r="AH332" s="51"/>
      <c r="AI332" s="18"/>
      <c r="AJ332" s="18"/>
      <c r="AK332" s="18"/>
      <c r="AL332" s="18"/>
      <c r="AM332" s="18"/>
      <c r="AN332" s="18"/>
      <c r="AO332" s="18"/>
      <c r="AP332" s="18"/>
    </row>
    <row r="333" spans="1:42" x14ac:dyDescent="0.25">
      <c r="A333" s="12"/>
      <c r="B333" s="13"/>
      <c r="C333" s="13"/>
      <c r="D333" s="13"/>
      <c r="E333" s="13"/>
      <c r="F333" s="13"/>
      <c r="G333" s="13"/>
      <c r="H333" s="13"/>
      <c r="I333" s="13"/>
      <c r="J333" s="107"/>
      <c r="K333" s="107"/>
      <c r="L333" s="107"/>
      <c r="O333" s="18"/>
      <c r="P333" s="18"/>
      <c r="Q333" s="97"/>
      <c r="R333" s="97"/>
      <c r="S333" s="97"/>
      <c r="T333" s="97"/>
      <c r="U333" s="97"/>
      <c r="V333" s="97"/>
      <c r="W333" s="97"/>
      <c r="X333" s="51"/>
      <c r="Y333" s="18"/>
      <c r="Z333" s="18"/>
      <c r="AA333" s="18"/>
      <c r="AB333" s="18"/>
      <c r="AC333" s="18"/>
      <c r="AD333" s="18"/>
      <c r="AE333" s="18"/>
      <c r="AF333" s="18"/>
      <c r="AG333" s="18"/>
      <c r="AH333" s="51"/>
      <c r="AI333" s="18"/>
      <c r="AJ333" s="18"/>
      <c r="AK333" s="18"/>
      <c r="AL333" s="18"/>
      <c r="AM333" s="18"/>
      <c r="AN333" s="18"/>
      <c r="AO333" s="18"/>
      <c r="AP333" s="18"/>
    </row>
    <row r="334" spans="1:42" x14ac:dyDescent="0.25">
      <c r="A334" s="12"/>
      <c r="B334" s="13"/>
      <c r="C334" s="13"/>
      <c r="D334" s="13"/>
      <c r="E334" s="13"/>
      <c r="F334" s="13"/>
      <c r="G334" s="13"/>
      <c r="H334" s="13"/>
      <c r="I334" s="13"/>
      <c r="J334" s="100"/>
      <c r="K334" s="100"/>
      <c r="L334" s="100"/>
      <c r="O334" s="18"/>
      <c r="P334" s="18"/>
      <c r="Q334" s="97"/>
      <c r="R334" s="97"/>
      <c r="S334" s="97"/>
      <c r="T334" s="97"/>
      <c r="U334" s="97"/>
      <c r="V334" s="97"/>
      <c r="W334" s="97"/>
      <c r="X334" s="51"/>
      <c r="Y334" s="18"/>
      <c r="Z334" s="18"/>
      <c r="AA334" s="18"/>
      <c r="AB334" s="18"/>
      <c r="AC334" s="18"/>
      <c r="AD334" s="18"/>
      <c r="AE334" s="18"/>
      <c r="AF334" s="18"/>
      <c r="AG334" s="18"/>
      <c r="AH334" s="51"/>
      <c r="AI334" s="18"/>
      <c r="AJ334" s="18"/>
      <c r="AK334" s="18"/>
      <c r="AL334" s="18"/>
      <c r="AM334" s="18"/>
      <c r="AN334" s="18"/>
      <c r="AO334" s="18"/>
      <c r="AP334" s="18"/>
    </row>
    <row r="335" spans="1:42" x14ac:dyDescent="0.25">
      <c r="A335" s="12"/>
      <c r="B335" s="13"/>
      <c r="C335" s="13"/>
      <c r="D335" s="13"/>
      <c r="E335" s="13"/>
      <c r="F335" s="13"/>
      <c r="G335" s="13"/>
      <c r="H335" s="13"/>
      <c r="I335" s="13"/>
      <c r="J335" s="107"/>
      <c r="K335" s="107"/>
      <c r="L335" s="107"/>
      <c r="O335" s="18"/>
      <c r="P335" s="18"/>
      <c r="Q335" s="97"/>
      <c r="R335" s="97"/>
      <c r="S335" s="97"/>
      <c r="T335" s="97"/>
      <c r="U335" s="97"/>
      <c r="V335" s="97"/>
      <c r="W335" s="97"/>
      <c r="X335" s="51"/>
      <c r="Y335" s="18"/>
      <c r="Z335" s="18"/>
      <c r="AA335" s="18"/>
      <c r="AB335" s="18"/>
      <c r="AC335" s="18"/>
      <c r="AD335" s="18"/>
      <c r="AE335" s="18"/>
      <c r="AF335" s="18"/>
      <c r="AG335" s="18"/>
      <c r="AH335" s="51"/>
      <c r="AI335" s="18"/>
      <c r="AJ335" s="18"/>
      <c r="AK335" s="18"/>
      <c r="AL335" s="18"/>
      <c r="AM335" s="18"/>
      <c r="AN335" s="18"/>
      <c r="AO335" s="18"/>
      <c r="AP335" s="18"/>
    </row>
    <row r="336" spans="1:42" x14ac:dyDescent="0.25">
      <c r="A336" s="12"/>
      <c r="B336" s="13"/>
      <c r="C336" s="13"/>
      <c r="D336" s="13"/>
      <c r="E336" s="13"/>
      <c r="F336" s="13"/>
      <c r="G336" s="13"/>
      <c r="H336" s="13"/>
      <c r="I336" s="13"/>
      <c r="J336" s="70"/>
      <c r="K336" s="70"/>
      <c r="L336" s="70"/>
      <c r="O336" s="18"/>
      <c r="P336" s="18"/>
      <c r="Q336" s="97"/>
      <c r="R336" s="97"/>
      <c r="S336" s="97"/>
      <c r="T336" s="97"/>
      <c r="U336" s="97"/>
      <c r="V336" s="97"/>
      <c r="W336" s="97"/>
      <c r="X336" s="51"/>
      <c r="Y336" s="18"/>
      <c r="Z336" s="18"/>
      <c r="AA336" s="18"/>
      <c r="AB336" s="18"/>
      <c r="AC336" s="18"/>
      <c r="AD336" s="18"/>
      <c r="AE336" s="18"/>
      <c r="AF336" s="18"/>
      <c r="AG336" s="18"/>
      <c r="AH336" s="51"/>
      <c r="AI336" s="18"/>
      <c r="AJ336" s="18"/>
      <c r="AK336" s="18"/>
      <c r="AL336" s="18"/>
      <c r="AM336" s="18"/>
      <c r="AN336" s="18"/>
      <c r="AO336" s="18"/>
      <c r="AP336" s="18"/>
    </row>
    <row r="337" spans="1:42" x14ac:dyDescent="0.25">
      <c r="A337" s="12"/>
      <c r="B337" s="13"/>
      <c r="C337" s="13"/>
      <c r="D337" s="13"/>
      <c r="E337" s="13"/>
      <c r="F337" s="13"/>
      <c r="G337" s="13"/>
      <c r="H337" s="13"/>
      <c r="I337" s="13"/>
      <c r="J337" s="100"/>
      <c r="K337" s="100"/>
      <c r="L337" s="100"/>
      <c r="O337" s="18"/>
      <c r="P337" s="18"/>
      <c r="Q337" s="97"/>
      <c r="R337" s="97"/>
      <c r="S337" s="97"/>
      <c r="T337" s="97"/>
      <c r="U337" s="97"/>
      <c r="V337" s="97"/>
      <c r="W337" s="97"/>
      <c r="X337" s="51"/>
      <c r="Y337" s="18"/>
      <c r="Z337" s="18"/>
      <c r="AA337" s="18"/>
      <c r="AB337" s="18"/>
      <c r="AC337" s="18"/>
      <c r="AD337" s="18"/>
      <c r="AE337" s="18"/>
      <c r="AF337" s="18"/>
      <c r="AG337" s="18"/>
      <c r="AH337" s="51"/>
      <c r="AI337" s="18"/>
      <c r="AJ337" s="18"/>
      <c r="AK337" s="18"/>
      <c r="AL337" s="18"/>
      <c r="AM337" s="18"/>
      <c r="AN337" s="18"/>
      <c r="AO337" s="18"/>
      <c r="AP337" s="18"/>
    </row>
    <row r="338" spans="1:42" x14ac:dyDescent="0.25">
      <c r="A338" s="12"/>
      <c r="B338" s="13"/>
      <c r="C338" s="13"/>
      <c r="D338" s="13"/>
      <c r="E338" s="13"/>
      <c r="F338" s="13"/>
      <c r="G338" s="13"/>
      <c r="H338" s="13"/>
      <c r="I338" s="13"/>
      <c r="J338" s="100"/>
      <c r="K338" s="100"/>
      <c r="L338" s="100"/>
      <c r="O338" s="18"/>
      <c r="P338" s="18"/>
      <c r="Q338" s="97"/>
      <c r="R338" s="97"/>
      <c r="S338" s="97"/>
      <c r="T338" s="97"/>
      <c r="U338" s="97"/>
      <c r="V338" s="97"/>
      <c r="W338" s="97"/>
      <c r="X338" s="51"/>
      <c r="Y338" s="18"/>
      <c r="Z338" s="18"/>
      <c r="AA338" s="18"/>
      <c r="AB338" s="18"/>
      <c r="AC338" s="18"/>
      <c r="AD338" s="18"/>
      <c r="AE338" s="18"/>
      <c r="AF338" s="18"/>
      <c r="AG338" s="18"/>
      <c r="AH338" s="51"/>
      <c r="AI338" s="18"/>
      <c r="AJ338" s="18"/>
      <c r="AK338" s="18"/>
      <c r="AL338" s="18"/>
      <c r="AM338" s="18"/>
      <c r="AN338" s="18"/>
      <c r="AO338" s="18"/>
      <c r="AP338" s="18"/>
    </row>
    <row r="339" spans="1:42" x14ac:dyDescent="0.25">
      <c r="A339" s="12"/>
      <c r="B339" s="13"/>
      <c r="C339" s="13"/>
      <c r="D339" s="13"/>
      <c r="E339" s="13"/>
      <c r="F339" s="13"/>
      <c r="G339" s="13"/>
      <c r="H339" s="13"/>
      <c r="I339" s="13"/>
      <c r="J339" s="70"/>
      <c r="K339" s="70"/>
      <c r="L339" s="70"/>
      <c r="O339" s="18"/>
      <c r="P339" s="18"/>
      <c r="Q339" s="97"/>
      <c r="R339" s="97"/>
      <c r="S339" s="97"/>
      <c r="T339" s="97"/>
      <c r="U339" s="97"/>
      <c r="V339" s="97"/>
      <c r="W339" s="97"/>
      <c r="X339" s="51"/>
      <c r="Y339" s="18"/>
      <c r="Z339" s="18"/>
      <c r="AA339" s="18"/>
      <c r="AB339" s="18"/>
      <c r="AC339" s="18"/>
      <c r="AD339" s="18"/>
      <c r="AE339" s="18"/>
      <c r="AF339" s="18"/>
      <c r="AG339" s="18"/>
      <c r="AH339" s="51"/>
      <c r="AI339" s="18"/>
      <c r="AJ339" s="18"/>
      <c r="AK339" s="18"/>
      <c r="AL339" s="18"/>
      <c r="AM339" s="18"/>
      <c r="AN339" s="18"/>
      <c r="AO339" s="18"/>
      <c r="AP339" s="18"/>
    </row>
    <row r="340" spans="1:42" x14ac:dyDescent="0.25">
      <c r="A340" s="12"/>
      <c r="B340" s="13"/>
      <c r="C340" s="13"/>
      <c r="D340" s="13"/>
      <c r="E340" s="13"/>
      <c r="F340" s="13"/>
      <c r="G340" s="13"/>
      <c r="H340" s="13"/>
      <c r="I340" s="13"/>
      <c r="J340" s="100"/>
      <c r="K340" s="100"/>
      <c r="L340" s="100"/>
      <c r="O340" s="18"/>
      <c r="P340" s="18"/>
      <c r="Q340" s="97"/>
      <c r="R340" s="97"/>
      <c r="S340" s="97"/>
      <c r="T340" s="97"/>
      <c r="U340" s="97"/>
      <c r="V340" s="97"/>
      <c r="W340" s="97"/>
      <c r="X340" s="51"/>
      <c r="Y340" s="18"/>
      <c r="Z340" s="18"/>
      <c r="AA340" s="18"/>
      <c r="AB340" s="18"/>
      <c r="AC340" s="18"/>
      <c r="AD340" s="18"/>
      <c r="AE340" s="18"/>
      <c r="AF340" s="18"/>
      <c r="AG340" s="18"/>
      <c r="AH340" s="51"/>
      <c r="AI340" s="18"/>
      <c r="AJ340" s="18"/>
      <c r="AK340" s="18"/>
      <c r="AL340" s="18"/>
      <c r="AM340" s="18"/>
      <c r="AN340" s="18"/>
      <c r="AO340" s="18"/>
      <c r="AP340" s="18"/>
    </row>
    <row r="341" spans="1:42" x14ac:dyDescent="0.25">
      <c r="A341" s="12"/>
      <c r="B341" s="13"/>
      <c r="C341" s="13"/>
      <c r="D341" s="13"/>
      <c r="E341" s="13"/>
      <c r="F341" s="13"/>
      <c r="G341" s="13"/>
      <c r="H341" s="13"/>
      <c r="I341" s="13"/>
      <c r="J341" s="100"/>
      <c r="K341" s="100"/>
      <c r="L341" s="100"/>
      <c r="O341" s="18"/>
      <c r="P341" s="18"/>
      <c r="Q341" s="97"/>
      <c r="R341" s="97"/>
      <c r="S341" s="97"/>
      <c r="T341" s="97"/>
      <c r="U341" s="97"/>
      <c r="V341" s="97"/>
      <c r="W341" s="97"/>
      <c r="X341" s="51"/>
      <c r="Y341" s="18"/>
      <c r="Z341" s="18"/>
      <c r="AA341" s="18"/>
      <c r="AB341" s="18"/>
      <c r="AC341" s="18"/>
      <c r="AD341" s="18"/>
      <c r="AE341" s="18"/>
      <c r="AF341" s="18"/>
      <c r="AG341" s="18"/>
      <c r="AH341" s="51"/>
      <c r="AI341" s="18"/>
      <c r="AJ341" s="18"/>
      <c r="AK341" s="18"/>
      <c r="AL341" s="18"/>
      <c r="AM341" s="18"/>
      <c r="AN341" s="18"/>
      <c r="AO341" s="18"/>
      <c r="AP341" s="18"/>
    </row>
    <row r="342" spans="1:42" x14ac:dyDescent="0.25">
      <c r="A342" s="12"/>
      <c r="B342" s="13"/>
      <c r="C342" s="13"/>
      <c r="D342" s="13"/>
      <c r="E342" s="13"/>
      <c r="F342" s="13"/>
      <c r="G342" s="13"/>
      <c r="H342" s="13"/>
      <c r="I342" s="13"/>
      <c r="J342" s="100"/>
      <c r="K342" s="100"/>
      <c r="L342" s="100"/>
      <c r="O342" s="18"/>
      <c r="P342" s="18"/>
      <c r="Q342" s="97"/>
      <c r="R342" s="97"/>
      <c r="S342" s="97"/>
      <c r="T342" s="97"/>
      <c r="U342" s="97"/>
      <c r="V342" s="97"/>
      <c r="W342" s="97"/>
      <c r="X342" s="51"/>
      <c r="Y342" s="18"/>
      <c r="Z342" s="18"/>
      <c r="AA342" s="18"/>
      <c r="AB342" s="18"/>
      <c r="AC342" s="18"/>
      <c r="AD342" s="18"/>
      <c r="AE342" s="18"/>
      <c r="AF342" s="18"/>
      <c r="AG342" s="18"/>
      <c r="AH342" s="51"/>
      <c r="AI342" s="18"/>
      <c r="AJ342" s="18"/>
      <c r="AK342" s="18"/>
      <c r="AL342" s="18"/>
      <c r="AM342" s="18"/>
      <c r="AN342" s="18"/>
      <c r="AO342" s="18"/>
      <c r="AP342" s="18"/>
    </row>
    <row r="343" spans="1:42" x14ac:dyDescent="0.25">
      <c r="A343" s="12"/>
      <c r="B343" s="13"/>
      <c r="C343" s="13"/>
      <c r="D343" s="13"/>
      <c r="E343" s="13"/>
      <c r="F343" s="13"/>
      <c r="G343" s="13"/>
      <c r="H343" s="13"/>
      <c r="I343" s="13"/>
      <c r="J343" s="100"/>
      <c r="K343" s="100"/>
      <c r="L343" s="100"/>
      <c r="O343" s="18"/>
      <c r="P343" s="18"/>
      <c r="Q343" s="97"/>
      <c r="R343" s="97"/>
      <c r="S343" s="97"/>
      <c r="T343" s="97"/>
      <c r="U343" s="97"/>
      <c r="V343" s="97"/>
      <c r="W343" s="97"/>
      <c r="X343" s="51"/>
      <c r="Y343" s="18"/>
      <c r="Z343" s="18"/>
      <c r="AA343" s="18"/>
      <c r="AB343" s="18"/>
      <c r="AC343" s="18"/>
      <c r="AD343" s="18"/>
      <c r="AE343" s="18"/>
      <c r="AF343" s="18"/>
      <c r="AG343" s="18"/>
      <c r="AH343" s="51"/>
      <c r="AI343" s="18"/>
      <c r="AJ343" s="18"/>
      <c r="AK343" s="18"/>
      <c r="AL343" s="18"/>
      <c r="AM343" s="18"/>
      <c r="AN343" s="18"/>
      <c r="AO343" s="18"/>
      <c r="AP343" s="18"/>
    </row>
    <row r="344" spans="1:42" x14ac:dyDescent="0.25">
      <c r="A344" s="12"/>
      <c r="B344" s="13"/>
      <c r="C344" s="13"/>
      <c r="D344" s="13"/>
      <c r="E344" s="13"/>
      <c r="F344" s="13"/>
      <c r="G344" s="13"/>
      <c r="H344" s="13"/>
      <c r="I344" s="13"/>
      <c r="J344" s="100"/>
      <c r="K344" s="100"/>
      <c r="L344" s="100"/>
      <c r="O344" s="18"/>
      <c r="P344" s="18"/>
      <c r="Q344" s="97"/>
      <c r="R344" s="97"/>
      <c r="S344" s="97"/>
      <c r="T344" s="97"/>
      <c r="U344" s="97"/>
      <c r="V344" s="97"/>
      <c r="W344" s="97"/>
      <c r="X344" s="51"/>
      <c r="Y344" s="18"/>
      <c r="Z344" s="18"/>
      <c r="AA344" s="18"/>
      <c r="AB344" s="18"/>
      <c r="AC344" s="18"/>
      <c r="AD344" s="18"/>
      <c r="AE344" s="18"/>
      <c r="AF344" s="18"/>
      <c r="AG344" s="18"/>
      <c r="AH344" s="51"/>
      <c r="AI344" s="18"/>
      <c r="AJ344" s="18"/>
      <c r="AK344" s="18"/>
      <c r="AL344" s="18"/>
      <c r="AM344" s="18"/>
      <c r="AN344" s="18"/>
      <c r="AO344" s="18"/>
      <c r="AP344" s="18"/>
    </row>
    <row r="345" spans="1:42" x14ac:dyDescent="0.25">
      <c r="A345" s="12"/>
      <c r="B345" s="13"/>
      <c r="C345" s="13"/>
      <c r="D345" s="13"/>
      <c r="E345" s="13"/>
      <c r="F345" s="13"/>
      <c r="G345" s="13"/>
      <c r="H345" s="13"/>
      <c r="I345" s="13"/>
      <c r="J345" s="70"/>
      <c r="K345" s="70"/>
      <c r="L345" s="70"/>
      <c r="O345" s="18"/>
      <c r="P345" s="18"/>
      <c r="Q345" s="97"/>
      <c r="R345" s="97"/>
      <c r="S345" s="97"/>
      <c r="T345" s="97"/>
      <c r="U345" s="97"/>
      <c r="V345" s="97"/>
      <c r="W345" s="97"/>
      <c r="X345" s="51"/>
      <c r="Y345" s="18"/>
      <c r="Z345" s="18"/>
      <c r="AA345" s="18"/>
      <c r="AB345" s="18"/>
      <c r="AC345" s="18"/>
      <c r="AD345" s="18"/>
      <c r="AE345" s="18"/>
      <c r="AF345" s="18"/>
      <c r="AG345" s="18"/>
      <c r="AH345" s="51"/>
      <c r="AI345" s="18"/>
      <c r="AJ345" s="18"/>
      <c r="AK345" s="18"/>
      <c r="AL345" s="18"/>
      <c r="AM345" s="18"/>
      <c r="AN345" s="18"/>
      <c r="AO345" s="18"/>
      <c r="AP345" s="18"/>
    </row>
    <row r="346" spans="1:42" x14ac:dyDescent="0.25">
      <c r="A346" s="12"/>
      <c r="B346" s="13"/>
      <c r="C346" s="13"/>
      <c r="D346" s="13"/>
      <c r="E346" s="13"/>
      <c r="F346" s="13"/>
      <c r="G346" s="13"/>
      <c r="H346" s="13"/>
      <c r="I346" s="13"/>
      <c r="J346" s="70"/>
      <c r="K346" s="70"/>
      <c r="L346" s="70"/>
      <c r="O346" s="18"/>
      <c r="P346" s="18"/>
      <c r="Q346" s="97"/>
      <c r="R346" s="97"/>
      <c r="S346" s="97"/>
      <c r="T346" s="97"/>
      <c r="U346" s="97"/>
      <c r="V346" s="97"/>
      <c r="W346" s="97"/>
      <c r="X346" s="51"/>
      <c r="Y346" s="18"/>
      <c r="Z346" s="18"/>
      <c r="AA346" s="18"/>
      <c r="AB346" s="18"/>
      <c r="AC346" s="18"/>
      <c r="AD346" s="18"/>
      <c r="AE346" s="18"/>
      <c r="AF346" s="18"/>
      <c r="AG346" s="18"/>
      <c r="AH346" s="51"/>
      <c r="AI346" s="18"/>
      <c r="AJ346" s="18"/>
      <c r="AK346" s="18"/>
      <c r="AL346" s="18"/>
      <c r="AM346" s="18"/>
      <c r="AN346" s="18"/>
      <c r="AO346" s="18"/>
      <c r="AP346" s="18"/>
    </row>
    <row r="347" spans="1:42" x14ac:dyDescent="0.25">
      <c r="A347" s="12"/>
      <c r="B347" s="13"/>
      <c r="C347" s="13"/>
      <c r="D347" s="13"/>
      <c r="E347" s="13"/>
      <c r="F347" s="13"/>
      <c r="G347" s="13"/>
      <c r="H347" s="13"/>
      <c r="I347" s="13"/>
      <c r="J347" s="70"/>
      <c r="K347" s="70"/>
      <c r="L347" s="70"/>
      <c r="O347" s="18"/>
      <c r="P347" s="18"/>
      <c r="Q347" s="97"/>
      <c r="R347" s="97"/>
      <c r="S347" s="97"/>
      <c r="T347" s="97"/>
      <c r="U347" s="97"/>
      <c r="V347" s="97"/>
      <c r="W347" s="97"/>
      <c r="X347" s="51"/>
      <c r="Y347" s="18"/>
      <c r="Z347" s="18"/>
      <c r="AA347" s="18"/>
      <c r="AB347" s="18"/>
      <c r="AC347" s="18"/>
      <c r="AD347" s="18"/>
      <c r="AE347" s="18"/>
      <c r="AF347" s="18"/>
      <c r="AG347" s="18"/>
      <c r="AH347" s="51"/>
      <c r="AI347" s="18"/>
      <c r="AJ347" s="18"/>
      <c r="AK347" s="18"/>
      <c r="AL347" s="18"/>
      <c r="AM347" s="18"/>
      <c r="AN347" s="18"/>
      <c r="AO347" s="18"/>
      <c r="AP347" s="18"/>
    </row>
    <row r="348" spans="1:42" x14ac:dyDescent="0.25">
      <c r="A348" s="12"/>
      <c r="B348" s="13"/>
      <c r="C348" s="13"/>
      <c r="D348" s="13"/>
      <c r="E348" s="13"/>
      <c r="F348" s="13"/>
      <c r="G348" s="13"/>
      <c r="H348" s="13"/>
      <c r="I348" s="13"/>
      <c r="J348" s="70"/>
      <c r="K348" s="70"/>
      <c r="L348" s="70"/>
      <c r="O348" s="18"/>
      <c r="P348" s="18"/>
      <c r="Q348" s="97"/>
      <c r="R348" s="97"/>
      <c r="S348" s="97"/>
      <c r="T348" s="97"/>
      <c r="U348" s="97"/>
      <c r="V348" s="97"/>
      <c r="W348" s="97"/>
      <c r="X348" s="51"/>
      <c r="Y348" s="18"/>
      <c r="Z348" s="18"/>
      <c r="AA348" s="18"/>
      <c r="AB348" s="18"/>
      <c r="AC348" s="18"/>
      <c r="AD348" s="18"/>
      <c r="AE348" s="18"/>
      <c r="AF348" s="18"/>
      <c r="AG348" s="18"/>
      <c r="AH348" s="51"/>
      <c r="AI348" s="18"/>
      <c r="AJ348" s="18"/>
      <c r="AK348" s="18"/>
      <c r="AL348" s="18"/>
      <c r="AM348" s="18"/>
      <c r="AN348" s="18"/>
      <c r="AO348" s="18"/>
      <c r="AP348" s="18"/>
    </row>
    <row r="349" spans="1:42" x14ac:dyDescent="0.25">
      <c r="A349" s="12"/>
      <c r="B349" s="13"/>
      <c r="C349" s="13"/>
      <c r="D349" s="13"/>
      <c r="E349" s="13"/>
      <c r="F349" s="13"/>
      <c r="G349" s="13"/>
      <c r="H349" s="13"/>
      <c r="I349" s="13"/>
      <c r="J349" s="70"/>
      <c r="K349" s="70"/>
      <c r="L349" s="70"/>
      <c r="O349" s="18"/>
      <c r="P349" s="18"/>
      <c r="Q349" s="97"/>
      <c r="R349" s="97"/>
      <c r="S349" s="97"/>
      <c r="T349" s="97"/>
      <c r="U349" s="97"/>
      <c r="V349" s="97"/>
      <c r="W349" s="97"/>
      <c r="X349" s="51"/>
      <c r="Y349" s="18"/>
      <c r="Z349" s="18"/>
      <c r="AA349" s="18"/>
      <c r="AB349" s="18"/>
      <c r="AC349" s="18"/>
      <c r="AD349" s="18"/>
      <c r="AE349" s="18"/>
      <c r="AF349" s="18"/>
      <c r="AG349" s="18"/>
      <c r="AH349" s="51"/>
      <c r="AI349" s="18"/>
      <c r="AJ349" s="18"/>
      <c r="AK349" s="18"/>
      <c r="AL349" s="18"/>
      <c r="AM349" s="18"/>
      <c r="AN349" s="18"/>
      <c r="AO349" s="18"/>
      <c r="AP349" s="18"/>
    </row>
    <row r="350" spans="1:42" x14ac:dyDescent="0.25">
      <c r="A350" s="12"/>
      <c r="B350" s="13"/>
      <c r="C350" s="13"/>
      <c r="D350" s="13"/>
      <c r="E350" s="13"/>
      <c r="F350" s="13"/>
      <c r="G350" s="13"/>
      <c r="H350" s="13"/>
      <c r="I350" s="13"/>
      <c r="J350" s="107"/>
      <c r="K350" s="107"/>
      <c r="L350" s="107"/>
      <c r="O350" s="18"/>
      <c r="P350" s="18"/>
      <c r="Q350" s="97"/>
      <c r="R350" s="97"/>
      <c r="S350" s="97"/>
      <c r="T350" s="97"/>
      <c r="U350" s="97"/>
      <c r="V350" s="97"/>
      <c r="W350" s="97"/>
      <c r="X350" s="51"/>
      <c r="Y350" s="18"/>
      <c r="Z350" s="18"/>
      <c r="AA350" s="18"/>
      <c r="AB350" s="18"/>
      <c r="AC350" s="18"/>
      <c r="AD350" s="18"/>
      <c r="AE350" s="18"/>
      <c r="AF350" s="18"/>
      <c r="AG350" s="18"/>
      <c r="AH350" s="51"/>
      <c r="AI350" s="18"/>
      <c r="AJ350" s="18"/>
      <c r="AK350" s="18"/>
      <c r="AL350" s="18"/>
      <c r="AM350" s="18"/>
      <c r="AN350" s="18"/>
      <c r="AO350" s="18"/>
      <c r="AP350" s="18"/>
    </row>
    <row r="351" spans="1:42" x14ac:dyDescent="0.25">
      <c r="A351" s="12"/>
      <c r="B351" s="13"/>
      <c r="C351" s="13"/>
      <c r="D351" s="13"/>
      <c r="E351" s="13"/>
      <c r="F351" s="13"/>
      <c r="G351" s="13"/>
      <c r="H351" s="13"/>
      <c r="I351" s="13"/>
      <c r="J351" s="70"/>
      <c r="K351" s="70"/>
      <c r="L351" s="70"/>
      <c r="O351" s="18"/>
      <c r="P351" s="18"/>
      <c r="Q351" s="97"/>
      <c r="R351" s="97"/>
      <c r="S351" s="97"/>
      <c r="T351" s="97"/>
      <c r="U351" s="97"/>
      <c r="V351" s="97"/>
      <c r="W351" s="97"/>
      <c r="X351" s="51"/>
      <c r="Y351" s="18"/>
      <c r="Z351" s="18"/>
      <c r="AA351" s="18"/>
      <c r="AB351" s="18"/>
      <c r="AC351" s="18"/>
      <c r="AD351" s="18"/>
      <c r="AE351" s="18"/>
      <c r="AF351" s="18"/>
      <c r="AG351" s="18"/>
      <c r="AH351" s="51"/>
      <c r="AI351" s="18"/>
      <c r="AJ351" s="18"/>
      <c r="AK351" s="18"/>
      <c r="AL351" s="18"/>
      <c r="AM351" s="18"/>
      <c r="AN351" s="18"/>
      <c r="AO351" s="18"/>
      <c r="AP351" s="18"/>
    </row>
    <row r="352" spans="1:42" x14ac:dyDescent="0.25">
      <c r="A352" s="12"/>
      <c r="B352" s="13"/>
      <c r="C352" s="13"/>
      <c r="D352" s="13"/>
      <c r="E352" s="13"/>
      <c r="F352" s="13"/>
      <c r="G352" s="13"/>
      <c r="H352" s="13"/>
      <c r="I352" s="13"/>
      <c r="J352" s="70"/>
      <c r="K352" s="70"/>
      <c r="L352" s="70"/>
      <c r="O352" s="18"/>
      <c r="P352" s="18"/>
      <c r="Q352" s="97"/>
      <c r="R352" s="97"/>
      <c r="S352" s="97"/>
      <c r="T352" s="97"/>
      <c r="U352" s="97"/>
      <c r="V352" s="97"/>
      <c r="W352" s="97"/>
      <c r="X352" s="51"/>
      <c r="Y352" s="18"/>
      <c r="Z352" s="18"/>
      <c r="AA352" s="18"/>
      <c r="AB352" s="18"/>
      <c r="AC352" s="18"/>
      <c r="AD352" s="18"/>
      <c r="AE352" s="18"/>
      <c r="AF352" s="18"/>
      <c r="AG352" s="18"/>
      <c r="AH352" s="51"/>
      <c r="AI352" s="18"/>
      <c r="AJ352" s="18"/>
      <c r="AK352" s="18"/>
      <c r="AL352" s="18"/>
      <c r="AM352" s="18"/>
      <c r="AN352" s="18"/>
      <c r="AO352" s="18"/>
      <c r="AP352" s="18"/>
    </row>
    <row r="353" spans="1:42" x14ac:dyDescent="0.25">
      <c r="A353" s="12"/>
      <c r="B353" s="13"/>
      <c r="C353" s="13"/>
      <c r="D353" s="13"/>
      <c r="E353" s="13"/>
      <c r="F353" s="13"/>
      <c r="G353" s="13"/>
      <c r="H353" s="13"/>
      <c r="I353" s="13"/>
      <c r="J353" s="70"/>
      <c r="K353" s="70"/>
      <c r="L353" s="70"/>
      <c r="O353" s="18"/>
      <c r="P353" s="18"/>
      <c r="Q353" s="97"/>
      <c r="R353" s="97"/>
      <c r="S353" s="97"/>
      <c r="T353" s="97"/>
      <c r="U353" s="97"/>
      <c r="V353" s="97"/>
      <c r="W353" s="97"/>
      <c r="X353" s="51"/>
      <c r="Y353" s="18"/>
      <c r="Z353" s="18"/>
      <c r="AA353" s="18"/>
      <c r="AB353" s="18"/>
      <c r="AC353" s="18"/>
      <c r="AD353" s="18"/>
      <c r="AE353" s="18"/>
      <c r="AF353" s="18"/>
      <c r="AG353" s="18"/>
      <c r="AH353" s="51"/>
      <c r="AI353" s="18"/>
      <c r="AJ353" s="18"/>
      <c r="AK353" s="18"/>
      <c r="AL353" s="18"/>
      <c r="AM353" s="18"/>
      <c r="AN353" s="18"/>
      <c r="AO353" s="18"/>
      <c r="AP353" s="18"/>
    </row>
    <row r="354" spans="1:42" x14ac:dyDescent="0.25">
      <c r="A354" s="12"/>
      <c r="B354" s="13"/>
      <c r="C354" s="13"/>
      <c r="D354" s="13"/>
      <c r="E354" s="13"/>
      <c r="F354" s="13"/>
      <c r="G354" s="13"/>
      <c r="H354" s="13"/>
      <c r="I354" s="13"/>
      <c r="J354" s="100"/>
      <c r="K354" s="100"/>
      <c r="L354" s="100"/>
      <c r="O354" s="18"/>
      <c r="P354" s="18"/>
      <c r="Q354" s="97"/>
      <c r="R354" s="97"/>
      <c r="S354" s="97"/>
      <c r="T354" s="97"/>
      <c r="U354" s="97"/>
      <c r="V354" s="97"/>
      <c r="W354" s="97"/>
      <c r="X354" s="51"/>
      <c r="Y354" s="18"/>
      <c r="Z354" s="18"/>
      <c r="AA354" s="18"/>
      <c r="AB354" s="18"/>
      <c r="AC354" s="18"/>
      <c r="AD354" s="18"/>
      <c r="AE354" s="18"/>
      <c r="AF354" s="18"/>
      <c r="AG354" s="18"/>
      <c r="AH354" s="51"/>
      <c r="AI354" s="18"/>
      <c r="AJ354" s="18"/>
      <c r="AK354" s="18"/>
      <c r="AL354" s="18"/>
      <c r="AM354" s="18"/>
      <c r="AN354" s="18"/>
      <c r="AO354" s="18"/>
      <c r="AP354" s="18"/>
    </row>
    <row r="355" spans="1:42" x14ac:dyDescent="0.25">
      <c r="A355" s="12"/>
      <c r="B355" s="13"/>
      <c r="C355" s="13"/>
      <c r="D355" s="13"/>
      <c r="E355" s="13"/>
      <c r="F355" s="13"/>
      <c r="G355" s="13"/>
      <c r="H355" s="13"/>
      <c r="I355" s="13"/>
      <c r="J355" s="70"/>
      <c r="K355" s="70"/>
      <c r="L355" s="70"/>
      <c r="O355" s="18"/>
      <c r="P355" s="18"/>
      <c r="Q355" s="97"/>
      <c r="R355" s="97"/>
      <c r="S355" s="97"/>
      <c r="T355" s="97"/>
      <c r="U355" s="97"/>
      <c r="V355" s="97"/>
      <c r="W355" s="97"/>
      <c r="X355" s="51"/>
      <c r="Y355" s="18"/>
      <c r="Z355" s="18"/>
      <c r="AA355" s="18"/>
      <c r="AB355" s="18"/>
      <c r="AC355" s="18"/>
      <c r="AD355" s="18"/>
      <c r="AE355" s="18"/>
      <c r="AF355" s="18"/>
      <c r="AG355" s="18"/>
      <c r="AH355" s="51"/>
      <c r="AI355" s="18"/>
      <c r="AJ355" s="18"/>
      <c r="AK355" s="18"/>
      <c r="AL355" s="18"/>
      <c r="AM355" s="18"/>
      <c r="AN355" s="18"/>
      <c r="AO355" s="18"/>
      <c r="AP355" s="18"/>
    </row>
    <row r="356" spans="1:42" x14ac:dyDescent="0.25">
      <c r="A356" s="12"/>
      <c r="B356" s="13"/>
      <c r="C356" s="13"/>
      <c r="D356" s="13"/>
      <c r="E356" s="13"/>
      <c r="F356" s="13"/>
      <c r="G356" s="13"/>
      <c r="H356" s="13"/>
      <c r="I356" s="13"/>
      <c r="J356" s="107"/>
      <c r="K356" s="107"/>
      <c r="L356" s="107"/>
      <c r="O356" s="18"/>
      <c r="P356" s="18"/>
      <c r="Q356" s="97"/>
      <c r="R356" s="97"/>
      <c r="S356" s="97"/>
      <c r="T356" s="97"/>
      <c r="U356" s="97"/>
      <c r="V356" s="97"/>
      <c r="W356" s="97"/>
      <c r="X356" s="51"/>
      <c r="Y356" s="18"/>
      <c r="Z356" s="18"/>
      <c r="AA356" s="18"/>
      <c r="AB356" s="18"/>
      <c r="AC356" s="18"/>
      <c r="AD356" s="18"/>
      <c r="AE356" s="18"/>
      <c r="AF356" s="18"/>
      <c r="AG356" s="18"/>
      <c r="AH356" s="51"/>
      <c r="AI356" s="18"/>
      <c r="AJ356" s="18"/>
      <c r="AK356" s="18"/>
      <c r="AL356" s="18"/>
      <c r="AM356" s="18"/>
      <c r="AN356" s="18"/>
      <c r="AO356" s="18"/>
      <c r="AP356" s="18"/>
    </row>
    <row r="357" spans="1:42" x14ac:dyDescent="0.25">
      <c r="A357" s="12"/>
      <c r="B357" s="13"/>
      <c r="C357" s="13"/>
      <c r="D357" s="13"/>
      <c r="E357" s="13"/>
      <c r="F357" s="13"/>
      <c r="G357" s="13"/>
      <c r="H357" s="13"/>
      <c r="I357" s="13"/>
      <c r="J357" s="107"/>
      <c r="K357" s="107"/>
      <c r="L357" s="107"/>
      <c r="O357" s="18"/>
      <c r="P357" s="18"/>
      <c r="Q357" s="97"/>
      <c r="R357" s="97"/>
      <c r="S357" s="97"/>
      <c r="T357" s="97"/>
      <c r="U357" s="97"/>
      <c r="V357" s="97"/>
      <c r="W357" s="97"/>
      <c r="X357" s="51"/>
      <c r="Y357" s="18"/>
      <c r="Z357" s="18"/>
      <c r="AA357" s="18"/>
      <c r="AB357" s="18"/>
      <c r="AC357" s="18"/>
      <c r="AD357" s="18"/>
      <c r="AE357" s="18"/>
      <c r="AF357" s="18"/>
      <c r="AG357" s="18"/>
      <c r="AH357" s="51"/>
      <c r="AI357" s="18"/>
      <c r="AJ357" s="18"/>
      <c r="AK357" s="18"/>
      <c r="AL357" s="18"/>
      <c r="AM357" s="18"/>
      <c r="AN357" s="18"/>
      <c r="AO357" s="18"/>
      <c r="AP357" s="18"/>
    </row>
    <row r="358" spans="1:42" x14ac:dyDescent="0.25">
      <c r="A358" s="12"/>
      <c r="B358" s="13"/>
      <c r="C358" s="13"/>
      <c r="D358" s="13"/>
      <c r="E358" s="13"/>
      <c r="F358" s="13"/>
      <c r="G358" s="13"/>
      <c r="H358" s="13"/>
      <c r="I358" s="13"/>
      <c r="J358" s="70"/>
      <c r="K358" s="70"/>
      <c r="L358" s="70"/>
      <c r="O358" s="18"/>
      <c r="P358" s="18"/>
      <c r="Q358" s="97"/>
      <c r="R358" s="97"/>
      <c r="S358" s="97"/>
      <c r="T358" s="97"/>
      <c r="U358" s="97"/>
      <c r="V358" s="97"/>
      <c r="W358" s="97"/>
      <c r="X358" s="51"/>
      <c r="Y358" s="18"/>
      <c r="Z358" s="18"/>
      <c r="AA358" s="18"/>
      <c r="AB358" s="18"/>
      <c r="AC358" s="18"/>
      <c r="AD358" s="18"/>
      <c r="AE358" s="18"/>
      <c r="AF358" s="18"/>
      <c r="AG358" s="18"/>
      <c r="AH358" s="51"/>
      <c r="AI358" s="18"/>
      <c r="AJ358" s="18"/>
      <c r="AK358" s="18"/>
      <c r="AL358" s="18"/>
      <c r="AM358" s="18"/>
      <c r="AN358" s="18"/>
      <c r="AO358" s="18"/>
      <c r="AP358" s="18"/>
    </row>
    <row r="359" spans="1:42" x14ac:dyDescent="0.25">
      <c r="A359" s="12"/>
      <c r="B359" s="13"/>
      <c r="C359" s="13"/>
      <c r="D359" s="13"/>
      <c r="E359" s="13"/>
      <c r="F359" s="13"/>
      <c r="G359" s="13"/>
      <c r="H359" s="13"/>
      <c r="I359" s="13"/>
      <c r="J359" s="100"/>
      <c r="K359" s="100"/>
      <c r="L359" s="100"/>
      <c r="O359" s="18"/>
      <c r="P359" s="18"/>
      <c r="Q359" s="97"/>
      <c r="R359" s="97"/>
      <c r="S359" s="97"/>
      <c r="T359" s="97"/>
      <c r="U359" s="97"/>
      <c r="V359" s="97"/>
      <c r="W359" s="97"/>
      <c r="X359" s="51"/>
      <c r="Y359" s="18"/>
      <c r="Z359" s="18"/>
      <c r="AA359" s="18"/>
      <c r="AB359" s="18"/>
      <c r="AC359" s="18"/>
      <c r="AD359" s="18"/>
      <c r="AE359" s="18"/>
      <c r="AF359" s="18"/>
      <c r="AG359" s="18"/>
      <c r="AH359" s="51"/>
      <c r="AI359" s="18"/>
      <c r="AJ359" s="18"/>
      <c r="AK359" s="18"/>
      <c r="AL359" s="18"/>
      <c r="AM359" s="18"/>
      <c r="AN359" s="18"/>
      <c r="AO359" s="18"/>
      <c r="AP359" s="18"/>
    </row>
    <row r="360" spans="1:42" x14ac:dyDescent="0.25">
      <c r="A360" s="12"/>
      <c r="B360" s="13"/>
      <c r="C360" s="13"/>
      <c r="D360" s="13"/>
      <c r="E360" s="13"/>
      <c r="F360" s="13"/>
      <c r="G360" s="13"/>
      <c r="H360" s="13"/>
      <c r="I360" s="13"/>
      <c r="J360" s="100"/>
      <c r="K360" s="100"/>
      <c r="L360" s="100"/>
      <c r="O360" s="18"/>
      <c r="P360" s="18"/>
      <c r="Q360" s="97"/>
      <c r="R360" s="97"/>
      <c r="S360" s="97"/>
      <c r="T360" s="97"/>
      <c r="U360" s="97"/>
      <c r="V360" s="97"/>
      <c r="W360" s="97"/>
      <c r="X360" s="51"/>
      <c r="Y360" s="18"/>
      <c r="Z360" s="18"/>
      <c r="AA360" s="18"/>
      <c r="AB360" s="18"/>
      <c r="AC360" s="18"/>
      <c r="AD360" s="18"/>
      <c r="AE360" s="18"/>
      <c r="AF360" s="18"/>
      <c r="AG360" s="18"/>
      <c r="AH360" s="51"/>
      <c r="AI360" s="18"/>
      <c r="AJ360" s="18"/>
      <c r="AK360" s="18"/>
      <c r="AL360" s="18"/>
      <c r="AM360" s="18"/>
      <c r="AN360" s="18"/>
      <c r="AO360" s="18"/>
      <c r="AP360" s="18"/>
    </row>
    <row r="361" spans="1:42" x14ac:dyDescent="0.25">
      <c r="A361" s="12"/>
      <c r="B361" s="13"/>
      <c r="C361" s="13"/>
      <c r="D361" s="13"/>
      <c r="E361" s="13"/>
      <c r="F361" s="13"/>
      <c r="G361" s="13"/>
      <c r="H361" s="13"/>
      <c r="I361" s="13"/>
      <c r="J361" s="70"/>
      <c r="K361" s="70"/>
      <c r="L361" s="70"/>
      <c r="O361" s="18"/>
      <c r="P361" s="18"/>
      <c r="Q361" s="97"/>
      <c r="R361" s="97"/>
      <c r="S361" s="97"/>
      <c r="T361" s="97"/>
      <c r="U361" s="97"/>
      <c r="V361" s="97"/>
      <c r="W361" s="97"/>
      <c r="X361" s="51"/>
      <c r="Y361" s="18"/>
      <c r="Z361" s="18"/>
      <c r="AA361" s="18"/>
      <c r="AB361" s="18"/>
      <c r="AC361" s="18"/>
      <c r="AD361" s="18"/>
      <c r="AE361" s="18"/>
      <c r="AF361" s="18"/>
      <c r="AG361" s="18"/>
      <c r="AH361" s="51"/>
      <c r="AI361" s="18"/>
      <c r="AJ361" s="18"/>
      <c r="AK361" s="18"/>
      <c r="AL361" s="18"/>
      <c r="AM361" s="18"/>
      <c r="AN361" s="18"/>
      <c r="AO361" s="18"/>
      <c r="AP361" s="18"/>
    </row>
    <row r="362" spans="1:42" x14ac:dyDescent="0.25">
      <c r="A362" s="12"/>
      <c r="B362" s="13"/>
      <c r="C362" s="13"/>
      <c r="D362" s="13"/>
      <c r="E362" s="13"/>
      <c r="F362" s="13"/>
      <c r="G362" s="13"/>
      <c r="H362" s="13"/>
      <c r="I362" s="13"/>
      <c r="J362" s="100"/>
      <c r="K362" s="100"/>
      <c r="L362" s="100"/>
      <c r="O362" s="18"/>
      <c r="P362" s="18"/>
      <c r="Q362" s="97"/>
      <c r="R362" s="97"/>
      <c r="S362" s="97"/>
      <c r="T362" s="97"/>
      <c r="U362" s="97"/>
      <c r="V362" s="97"/>
      <c r="W362" s="97"/>
      <c r="X362" s="51"/>
      <c r="Y362" s="18"/>
      <c r="Z362" s="18"/>
      <c r="AA362" s="18"/>
      <c r="AB362" s="18"/>
      <c r="AC362" s="18"/>
      <c r="AD362" s="18"/>
      <c r="AE362" s="18"/>
      <c r="AF362" s="18"/>
      <c r="AG362" s="18"/>
      <c r="AH362" s="51"/>
      <c r="AI362" s="18"/>
      <c r="AJ362" s="18"/>
      <c r="AK362" s="18"/>
      <c r="AL362" s="18"/>
      <c r="AM362" s="18"/>
      <c r="AN362" s="18"/>
      <c r="AO362" s="18"/>
      <c r="AP362" s="18"/>
    </row>
    <row r="363" spans="1:42" x14ac:dyDescent="0.25">
      <c r="A363" s="12"/>
      <c r="B363" s="13"/>
      <c r="C363" s="13"/>
      <c r="D363" s="13"/>
      <c r="E363" s="13"/>
      <c r="F363" s="13"/>
      <c r="G363" s="13"/>
      <c r="H363" s="13"/>
      <c r="I363" s="13"/>
      <c r="J363" s="100"/>
      <c r="K363" s="100"/>
      <c r="L363" s="100"/>
      <c r="O363" s="18"/>
      <c r="P363" s="18"/>
      <c r="Q363" s="97"/>
      <c r="R363" s="97"/>
      <c r="S363" s="97"/>
      <c r="T363" s="97"/>
      <c r="U363" s="97"/>
      <c r="V363" s="97"/>
      <c r="W363" s="97"/>
      <c r="X363" s="51"/>
      <c r="Y363" s="18"/>
      <c r="Z363" s="18"/>
      <c r="AA363" s="18"/>
      <c r="AB363" s="18"/>
      <c r="AC363" s="18"/>
      <c r="AD363" s="18"/>
      <c r="AE363" s="18"/>
      <c r="AF363" s="18"/>
      <c r="AG363" s="18"/>
      <c r="AH363" s="51"/>
      <c r="AI363" s="18"/>
      <c r="AJ363" s="18"/>
      <c r="AK363" s="18"/>
      <c r="AL363" s="18"/>
      <c r="AM363" s="18"/>
      <c r="AN363" s="18"/>
      <c r="AO363" s="18"/>
      <c r="AP363" s="18"/>
    </row>
    <row r="364" spans="1:42" x14ac:dyDescent="0.25">
      <c r="A364" s="12"/>
      <c r="B364" s="13"/>
      <c r="C364" s="13"/>
      <c r="D364" s="13"/>
      <c r="E364" s="13"/>
      <c r="F364" s="13"/>
      <c r="G364" s="13"/>
      <c r="H364" s="13"/>
      <c r="I364" s="13"/>
      <c r="J364" s="100"/>
      <c r="K364" s="100"/>
      <c r="L364" s="100"/>
      <c r="O364" s="18"/>
      <c r="P364" s="18"/>
      <c r="Q364" s="97"/>
      <c r="R364" s="97"/>
      <c r="S364" s="97"/>
      <c r="T364" s="97"/>
      <c r="U364" s="97"/>
      <c r="V364" s="97"/>
      <c r="W364" s="97"/>
      <c r="X364" s="51"/>
      <c r="Y364" s="18"/>
      <c r="Z364" s="18"/>
      <c r="AA364" s="18"/>
      <c r="AB364" s="18"/>
      <c r="AC364" s="18"/>
      <c r="AD364" s="18"/>
      <c r="AE364" s="18"/>
      <c r="AF364" s="18"/>
      <c r="AG364" s="18"/>
      <c r="AH364" s="51"/>
      <c r="AI364" s="18"/>
      <c r="AJ364" s="18"/>
      <c r="AK364" s="18"/>
      <c r="AL364" s="18"/>
      <c r="AM364" s="18"/>
      <c r="AN364" s="18"/>
      <c r="AO364" s="18"/>
      <c r="AP364" s="18"/>
    </row>
    <row r="365" spans="1:42" x14ac:dyDescent="0.25">
      <c r="A365" s="12"/>
      <c r="B365" s="13"/>
      <c r="C365" s="13"/>
      <c r="D365" s="13"/>
      <c r="E365" s="13"/>
      <c r="F365" s="13"/>
      <c r="G365" s="13"/>
      <c r="H365" s="13"/>
      <c r="I365" s="13"/>
      <c r="J365" s="100"/>
      <c r="K365" s="100"/>
      <c r="L365" s="100"/>
      <c r="O365" s="18"/>
      <c r="P365" s="18"/>
      <c r="Q365" s="97"/>
      <c r="R365" s="97"/>
      <c r="S365" s="97"/>
      <c r="T365" s="97"/>
      <c r="U365" s="97"/>
      <c r="V365" s="97"/>
      <c r="W365" s="97"/>
      <c r="X365" s="51"/>
      <c r="Y365" s="18"/>
      <c r="Z365" s="18"/>
      <c r="AA365" s="18"/>
      <c r="AB365" s="18"/>
      <c r="AC365" s="18"/>
      <c r="AD365" s="18"/>
      <c r="AE365" s="18"/>
      <c r="AF365" s="18"/>
      <c r="AG365" s="18"/>
      <c r="AH365" s="51"/>
      <c r="AI365" s="18"/>
      <c r="AJ365" s="18"/>
      <c r="AK365" s="18"/>
      <c r="AL365" s="18"/>
      <c r="AM365" s="18"/>
      <c r="AN365" s="18"/>
      <c r="AO365" s="18"/>
      <c r="AP365" s="18"/>
    </row>
    <row r="366" spans="1:42" x14ac:dyDescent="0.25">
      <c r="A366" s="12"/>
      <c r="B366" s="13"/>
      <c r="C366" s="13"/>
      <c r="D366" s="13"/>
      <c r="E366" s="13"/>
      <c r="F366" s="13"/>
      <c r="G366" s="13"/>
      <c r="H366" s="13"/>
      <c r="I366" s="13"/>
      <c r="J366" s="100"/>
      <c r="K366" s="100"/>
      <c r="L366" s="100"/>
      <c r="O366" s="18"/>
      <c r="P366" s="18"/>
      <c r="Q366" s="97"/>
      <c r="R366" s="97"/>
      <c r="S366" s="97"/>
      <c r="T366" s="97"/>
      <c r="U366" s="97"/>
      <c r="V366" s="97"/>
      <c r="W366" s="97"/>
      <c r="X366" s="51"/>
      <c r="Y366" s="18"/>
      <c r="Z366" s="18"/>
      <c r="AA366" s="18"/>
      <c r="AB366" s="18"/>
      <c r="AC366" s="18"/>
      <c r="AD366" s="18"/>
      <c r="AE366" s="18"/>
      <c r="AF366" s="18"/>
      <c r="AG366" s="18"/>
      <c r="AH366" s="51"/>
      <c r="AI366" s="18"/>
      <c r="AJ366" s="18"/>
      <c r="AK366" s="18"/>
      <c r="AL366" s="18"/>
      <c r="AM366" s="18"/>
      <c r="AN366" s="18"/>
      <c r="AO366" s="18"/>
      <c r="AP366" s="18"/>
    </row>
    <row r="367" spans="1:42" x14ac:dyDescent="0.25">
      <c r="A367" s="12"/>
      <c r="B367" s="13"/>
      <c r="C367" s="13"/>
      <c r="D367" s="13"/>
      <c r="E367" s="13"/>
      <c r="F367" s="13"/>
      <c r="G367" s="13"/>
      <c r="H367" s="13"/>
      <c r="I367" s="13"/>
      <c r="J367" s="100"/>
      <c r="K367" s="100"/>
      <c r="L367" s="100"/>
      <c r="O367" s="18"/>
      <c r="P367" s="18"/>
      <c r="Q367" s="97"/>
      <c r="R367" s="97"/>
      <c r="S367" s="97"/>
      <c r="T367" s="97"/>
      <c r="U367" s="97"/>
      <c r="V367" s="97"/>
      <c r="W367" s="97"/>
      <c r="X367" s="51"/>
      <c r="Y367" s="18"/>
      <c r="Z367" s="18"/>
      <c r="AA367" s="18"/>
      <c r="AB367" s="18"/>
      <c r="AC367" s="18"/>
      <c r="AD367" s="18"/>
      <c r="AE367" s="18"/>
      <c r="AF367" s="18"/>
      <c r="AG367" s="18"/>
      <c r="AH367" s="51"/>
      <c r="AI367" s="18"/>
      <c r="AJ367" s="18"/>
      <c r="AK367" s="18"/>
      <c r="AL367" s="18"/>
      <c r="AM367" s="18"/>
      <c r="AN367" s="18"/>
      <c r="AO367" s="18"/>
      <c r="AP367" s="18"/>
    </row>
    <row r="368" spans="1:42" x14ac:dyDescent="0.25">
      <c r="A368" s="12"/>
      <c r="B368" s="13"/>
      <c r="C368" s="13"/>
      <c r="D368" s="13"/>
      <c r="E368" s="13"/>
      <c r="F368" s="13"/>
      <c r="G368" s="13"/>
      <c r="H368" s="13"/>
      <c r="I368" s="13"/>
      <c r="J368" s="100"/>
      <c r="K368" s="100"/>
      <c r="L368" s="100"/>
      <c r="O368" s="18"/>
      <c r="P368" s="18"/>
      <c r="Q368" s="97"/>
      <c r="R368" s="97"/>
      <c r="S368" s="97"/>
      <c r="T368" s="97"/>
      <c r="U368" s="97"/>
      <c r="V368" s="97"/>
      <c r="W368" s="97"/>
      <c r="X368" s="51"/>
      <c r="Y368" s="18"/>
      <c r="Z368" s="18"/>
      <c r="AA368" s="18"/>
      <c r="AB368" s="18"/>
      <c r="AC368" s="18"/>
      <c r="AD368" s="18"/>
      <c r="AE368" s="18"/>
      <c r="AF368" s="18"/>
      <c r="AG368" s="18"/>
      <c r="AH368" s="51"/>
      <c r="AI368" s="18"/>
      <c r="AJ368" s="18"/>
      <c r="AK368" s="18"/>
      <c r="AL368" s="18"/>
      <c r="AM368" s="18"/>
      <c r="AN368" s="18"/>
      <c r="AO368" s="18"/>
      <c r="AP368" s="18"/>
    </row>
    <row r="369" spans="1:42" x14ac:dyDescent="0.25">
      <c r="A369" s="12"/>
      <c r="B369" s="13"/>
      <c r="C369" s="13"/>
      <c r="D369" s="13"/>
      <c r="E369" s="13"/>
      <c r="F369" s="13"/>
      <c r="G369" s="13"/>
      <c r="H369" s="13"/>
      <c r="I369" s="13"/>
      <c r="J369" s="100"/>
      <c r="K369" s="100"/>
      <c r="L369" s="100"/>
      <c r="O369" s="18"/>
      <c r="P369" s="18"/>
      <c r="Q369" s="97"/>
      <c r="R369" s="97"/>
      <c r="S369" s="97"/>
      <c r="T369" s="97"/>
      <c r="U369" s="97"/>
      <c r="V369" s="97"/>
      <c r="W369" s="97"/>
      <c r="X369" s="51"/>
      <c r="Y369" s="18"/>
      <c r="Z369" s="18"/>
      <c r="AA369" s="18"/>
      <c r="AB369" s="18"/>
      <c r="AC369" s="18"/>
      <c r="AD369" s="18"/>
      <c r="AE369" s="18"/>
      <c r="AF369" s="18"/>
      <c r="AG369" s="18"/>
      <c r="AH369" s="51"/>
      <c r="AI369" s="18"/>
      <c r="AJ369" s="18"/>
      <c r="AK369" s="18"/>
      <c r="AL369" s="18"/>
      <c r="AM369" s="18"/>
      <c r="AN369" s="18"/>
      <c r="AO369" s="18"/>
      <c r="AP369" s="18"/>
    </row>
    <row r="370" spans="1:42" x14ac:dyDescent="0.25">
      <c r="A370" s="12"/>
      <c r="B370" s="13"/>
      <c r="C370" s="13"/>
      <c r="D370" s="13"/>
      <c r="E370" s="13"/>
      <c r="F370" s="13"/>
      <c r="G370" s="13"/>
      <c r="H370" s="13"/>
      <c r="I370" s="13"/>
      <c r="J370" s="100"/>
      <c r="K370" s="100"/>
      <c r="L370" s="100"/>
      <c r="O370" s="18"/>
      <c r="P370" s="18"/>
      <c r="Q370" s="97"/>
      <c r="R370" s="97"/>
      <c r="S370" s="97"/>
      <c r="T370" s="97"/>
      <c r="U370" s="97"/>
      <c r="V370" s="97"/>
      <c r="W370" s="97"/>
      <c r="X370" s="51"/>
      <c r="Y370" s="18"/>
      <c r="Z370" s="18"/>
      <c r="AA370" s="18"/>
      <c r="AB370" s="18"/>
      <c r="AC370" s="18"/>
      <c r="AD370" s="18"/>
      <c r="AE370" s="18"/>
      <c r="AF370" s="18"/>
      <c r="AG370" s="18"/>
      <c r="AH370" s="51"/>
      <c r="AI370" s="18"/>
      <c r="AJ370" s="18"/>
      <c r="AK370" s="18"/>
      <c r="AL370" s="18"/>
      <c r="AM370" s="18"/>
      <c r="AN370" s="18"/>
      <c r="AO370" s="18"/>
      <c r="AP370" s="18"/>
    </row>
    <row r="371" spans="1:42" x14ac:dyDescent="0.25">
      <c r="A371" s="12"/>
      <c r="B371" s="13"/>
      <c r="C371" s="13"/>
      <c r="D371" s="13"/>
      <c r="E371" s="13"/>
      <c r="F371" s="13"/>
      <c r="G371" s="13"/>
      <c r="H371" s="13"/>
      <c r="I371" s="13"/>
      <c r="J371" s="100"/>
      <c r="K371" s="100"/>
      <c r="L371" s="100"/>
      <c r="M371" s="118"/>
      <c r="O371" s="18"/>
      <c r="P371" s="18"/>
      <c r="Q371" s="97"/>
      <c r="R371" s="97"/>
      <c r="S371" s="97"/>
      <c r="T371" s="97"/>
      <c r="U371" s="97"/>
      <c r="V371" s="97"/>
      <c r="W371" s="97"/>
      <c r="X371" s="51"/>
      <c r="Y371" s="18"/>
      <c r="Z371" s="18"/>
      <c r="AA371" s="18"/>
      <c r="AB371" s="18"/>
      <c r="AC371" s="18"/>
      <c r="AD371" s="18"/>
      <c r="AE371" s="18"/>
      <c r="AF371" s="18"/>
      <c r="AG371" s="18"/>
      <c r="AH371" s="51"/>
      <c r="AI371" s="18"/>
      <c r="AJ371" s="18"/>
      <c r="AK371" s="18"/>
      <c r="AL371" s="18"/>
      <c r="AM371" s="18"/>
      <c r="AN371" s="18"/>
      <c r="AO371" s="18"/>
      <c r="AP371" s="18"/>
    </row>
    <row r="372" spans="1:42" x14ac:dyDescent="0.25">
      <c r="A372" s="12"/>
      <c r="B372" s="13"/>
      <c r="C372" s="13"/>
      <c r="D372" s="13"/>
      <c r="E372" s="13"/>
      <c r="F372" s="13"/>
      <c r="G372" s="13"/>
      <c r="H372" s="13"/>
      <c r="I372" s="13"/>
      <c r="J372" s="70"/>
      <c r="K372" s="70"/>
      <c r="L372" s="70"/>
      <c r="O372" s="18"/>
      <c r="P372" s="18"/>
      <c r="Q372" s="97"/>
      <c r="R372" s="97"/>
      <c r="S372" s="97"/>
      <c r="T372" s="97"/>
      <c r="U372" s="97"/>
      <c r="V372" s="97"/>
      <c r="W372" s="97"/>
      <c r="X372" s="51"/>
      <c r="Y372" s="18"/>
      <c r="Z372" s="18"/>
      <c r="AA372" s="18"/>
      <c r="AB372" s="18"/>
      <c r="AC372" s="18"/>
      <c r="AD372" s="18"/>
      <c r="AE372" s="18"/>
      <c r="AF372" s="18"/>
      <c r="AG372" s="18"/>
      <c r="AH372" s="51"/>
      <c r="AI372" s="18"/>
      <c r="AJ372" s="18"/>
      <c r="AK372" s="18"/>
      <c r="AL372" s="18"/>
      <c r="AM372" s="18"/>
      <c r="AN372" s="18"/>
      <c r="AO372" s="18"/>
      <c r="AP372" s="18"/>
    </row>
    <row r="373" spans="1:42" x14ac:dyDescent="0.25">
      <c r="A373" s="12"/>
      <c r="B373" s="13"/>
      <c r="C373" s="13"/>
      <c r="D373" s="13"/>
      <c r="E373" s="13"/>
      <c r="F373" s="13"/>
      <c r="G373" s="13"/>
      <c r="H373" s="13"/>
      <c r="I373" s="13"/>
      <c r="J373" s="70"/>
      <c r="K373" s="70"/>
      <c r="L373" s="70"/>
      <c r="O373" s="18"/>
      <c r="P373" s="18"/>
      <c r="Q373" s="97"/>
      <c r="R373" s="97"/>
      <c r="S373" s="97"/>
      <c r="T373" s="97"/>
      <c r="U373" s="97"/>
      <c r="V373" s="97"/>
      <c r="W373" s="97"/>
      <c r="X373" s="51"/>
      <c r="Y373" s="18"/>
      <c r="Z373" s="18"/>
      <c r="AA373" s="18"/>
      <c r="AB373" s="18"/>
      <c r="AC373" s="18"/>
      <c r="AD373" s="18"/>
      <c r="AE373" s="18"/>
      <c r="AF373" s="18"/>
      <c r="AG373" s="18"/>
      <c r="AH373" s="51"/>
      <c r="AI373" s="18"/>
      <c r="AJ373" s="18"/>
      <c r="AK373" s="18"/>
      <c r="AL373" s="18"/>
      <c r="AM373" s="18"/>
      <c r="AN373" s="18"/>
      <c r="AO373" s="18"/>
      <c r="AP373" s="18"/>
    </row>
    <row r="374" spans="1:42" x14ac:dyDescent="0.25">
      <c r="A374" s="12"/>
      <c r="B374" s="13"/>
      <c r="C374" s="13"/>
      <c r="D374" s="13"/>
      <c r="E374" s="13"/>
      <c r="F374" s="13"/>
      <c r="G374" s="13"/>
      <c r="H374" s="13"/>
      <c r="I374" s="13"/>
      <c r="J374" s="70"/>
      <c r="K374" s="70"/>
      <c r="L374" s="70"/>
      <c r="O374" s="18"/>
      <c r="P374" s="18"/>
      <c r="Q374" s="97"/>
      <c r="R374" s="97"/>
      <c r="S374" s="97"/>
      <c r="T374" s="97"/>
      <c r="U374" s="97"/>
      <c r="V374" s="97"/>
      <c r="W374" s="97"/>
      <c r="X374" s="51"/>
      <c r="Y374" s="18"/>
      <c r="Z374" s="18"/>
      <c r="AA374" s="18"/>
      <c r="AB374" s="18"/>
      <c r="AC374" s="18"/>
      <c r="AD374" s="18"/>
      <c r="AE374" s="18"/>
      <c r="AF374" s="18"/>
      <c r="AG374" s="18"/>
      <c r="AH374" s="51"/>
      <c r="AI374" s="18"/>
      <c r="AJ374" s="18"/>
      <c r="AK374" s="18"/>
      <c r="AL374" s="18"/>
      <c r="AM374" s="18"/>
      <c r="AN374" s="18"/>
      <c r="AO374" s="18"/>
      <c r="AP374" s="18"/>
    </row>
    <row r="375" spans="1:42" x14ac:dyDescent="0.25">
      <c r="A375" s="12"/>
      <c r="B375" s="13"/>
      <c r="C375" s="13"/>
      <c r="D375" s="13"/>
      <c r="E375" s="13"/>
      <c r="F375" s="13"/>
      <c r="G375" s="13"/>
      <c r="H375" s="13"/>
      <c r="I375" s="13"/>
      <c r="J375" s="70"/>
      <c r="K375" s="70"/>
      <c r="L375" s="70"/>
      <c r="O375" s="18"/>
      <c r="P375" s="18"/>
      <c r="Q375" s="97"/>
      <c r="R375" s="97"/>
      <c r="S375" s="97"/>
      <c r="T375" s="97"/>
      <c r="U375" s="97"/>
      <c r="V375" s="97"/>
      <c r="W375" s="97"/>
      <c r="X375" s="51"/>
      <c r="Y375" s="18"/>
      <c r="Z375" s="18"/>
      <c r="AA375" s="18"/>
      <c r="AB375" s="18"/>
      <c r="AC375" s="18"/>
      <c r="AD375" s="18"/>
      <c r="AE375" s="18"/>
      <c r="AF375" s="18"/>
      <c r="AG375" s="18"/>
      <c r="AH375" s="51"/>
      <c r="AI375" s="18"/>
      <c r="AJ375" s="18"/>
      <c r="AK375" s="18"/>
      <c r="AL375" s="18"/>
      <c r="AM375" s="18"/>
      <c r="AN375" s="18"/>
      <c r="AO375" s="18"/>
      <c r="AP375" s="18"/>
    </row>
    <row r="376" spans="1:42" x14ac:dyDescent="0.25">
      <c r="A376" s="12"/>
      <c r="B376" s="13"/>
      <c r="C376" s="13"/>
      <c r="D376" s="13"/>
      <c r="E376" s="13"/>
      <c r="F376" s="13"/>
      <c r="G376" s="13"/>
      <c r="H376" s="13"/>
      <c r="I376" s="13"/>
      <c r="J376" s="70"/>
      <c r="K376" s="70"/>
      <c r="L376" s="70"/>
      <c r="O376" s="18"/>
      <c r="P376" s="18"/>
      <c r="Q376" s="97"/>
      <c r="R376" s="97"/>
      <c r="S376" s="97"/>
      <c r="T376" s="97"/>
      <c r="U376" s="97"/>
      <c r="V376" s="97"/>
      <c r="W376" s="97"/>
      <c r="X376" s="51"/>
      <c r="Y376" s="18"/>
      <c r="Z376" s="18"/>
      <c r="AA376" s="18"/>
      <c r="AB376" s="18"/>
      <c r="AC376" s="18"/>
      <c r="AD376" s="18"/>
      <c r="AE376" s="18"/>
      <c r="AF376" s="18"/>
      <c r="AG376" s="18"/>
      <c r="AH376" s="51"/>
      <c r="AI376" s="18"/>
      <c r="AJ376" s="18"/>
      <c r="AK376" s="18"/>
      <c r="AL376" s="18"/>
      <c r="AM376" s="18"/>
      <c r="AN376" s="18"/>
      <c r="AO376" s="18"/>
      <c r="AP376" s="18"/>
    </row>
    <row r="377" spans="1:42" x14ac:dyDescent="0.25">
      <c r="A377" s="12"/>
      <c r="B377" s="13"/>
      <c r="C377" s="13"/>
      <c r="D377" s="13"/>
      <c r="E377" s="13"/>
      <c r="F377" s="13"/>
      <c r="G377" s="13"/>
      <c r="H377" s="13"/>
      <c r="I377" s="13"/>
      <c r="J377" s="70"/>
      <c r="K377" s="70"/>
      <c r="L377" s="70"/>
      <c r="O377" s="18"/>
      <c r="P377" s="18"/>
      <c r="Q377" s="97"/>
      <c r="R377" s="97"/>
      <c r="S377" s="97"/>
      <c r="T377" s="97"/>
      <c r="U377" s="97"/>
      <c r="V377" s="97"/>
      <c r="W377" s="97"/>
      <c r="X377" s="51"/>
      <c r="Y377" s="18"/>
      <c r="Z377" s="18"/>
      <c r="AA377" s="18"/>
      <c r="AB377" s="18"/>
      <c r="AC377" s="18"/>
      <c r="AD377" s="18"/>
      <c r="AE377" s="18"/>
      <c r="AF377" s="18"/>
      <c r="AG377" s="18"/>
      <c r="AH377" s="51"/>
      <c r="AI377" s="18"/>
      <c r="AJ377" s="18"/>
      <c r="AK377" s="18"/>
      <c r="AL377" s="18"/>
      <c r="AM377" s="18"/>
      <c r="AN377" s="18"/>
      <c r="AO377" s="18"/>
      <c r="AP377" s="18"/>
    </row>
    <row r="378" spans="1:42" x14ac:dyDescent="0.25">
      <c r="A378" s="12"/>
      <c r="B378" s="13"/>
      <c r="C378" s="13"/>
      <c r="D378" s="13"/>
      <c r="E378" s="13"/>
      <c r="F378" s="13"/>
      <c r="G378" s="13"/>
      <c r="H378" s="13"/>
      <c r="I378" s="13"/>
      <c r="J378" s="70"/>
      <c r="K378" s="70"/>
      <c r="L378" s="70"/>
      <c r="O378" s="18"/>
      <c r="P378" s="18"/>
      <c r="Q378" s="97"/>
      <c r="R378" s="97"/>
      <c r="S378" s="97"/>
      <c r="T378" s="97"/>
      <c r="U378" s="97"/>
      <c r="V378" s="97"/>
      <c r="W378" s="97"/>
      <c r="X378" s="51"/>
      <c r="Y378" s="18"/>
      <c r="Z378" s="18"/>
      <c r="AA378" s="18"/>
      <c r="AB378" s="18"/>
      <c r="AC378" s="18"/>
      <c r="AD378" s="18"/>
      <c r="AE378" s="18"/>
      <c r="AF378" s="18"/>
      <c r="AG378" s="18"/>
      <c r="AH378" s="51"/>
      <c r="AI378" s="18"/>
      <c r="AJ378" s="18"/>
      <c r="AK378" s="18"/>
      <c r="AL378" s="18"/>
      <c r="AM378" s="18"/>
      <c r="AN378" s="18"/>
      <c r="AO378" s="18"/>
      <c r="AP378" s="18"/>
    </row>
    <row r="379" spans="1:42" x14ac:dyDescent="0.25">
      <c r="A379" s="12"/>
      <c r="B379" s="13"/>
      <c r="C379" s="13"/>
      <c r="D379" s="13"/>
      <c r="E379" s="13"/>
      <c r="F379" s="13"/>
      <c r="G379" s="13"/>
      <c r="H379" s="13"/>
      <c r="I379" s="13"/>
      <c r="J379" s="70"/>
      <c r="K379" s="70"/>
      <c r="L379" s="70"/>
      <c r="O379" s="18"/>
      <c r="P379" s="18"/>
      <c r="Q379" s="97"/>
      <c r="R379" s="97"/>
      <c r="S379" s="97"/>
      <c r="T379" s="97"/>
      <c r="U379" s="97"/>
      <c r="V379" s="97"/>
      <c r="W379" s="97"/>
      <c r="X379" s="51"/>
      <c r="Y379" s="18"/>
      <c r="Z379" s="18"/>
      <c r="AA379" s="18"/>
      <c r="AB379" s="18"/>
      <c r="AC379" s="18"/>
      <c r="AD379" s="18"/>
      <c r="AE379" s="18"/>
      <c r="AF379" s="18"/>
      <c r="AG379" s="18"/>
      <c r="AH379" s="51"/>
      <c r="AI379" s="18"/>
      <c r="AJ379" s="18"/>
      <c r="AK379" s="18"/>
      <c r="AL379" s="18"/>
      <c r="AM379" s="18"/>
      <c r="AN379" s="18"/>
      <c r="AO379" s="18"/>
      <c r="AP379" s="18"/>
    </row>
    <row r="380" spans="1:42" x14ac:dyDescent="0.25">
      <c r="A380" s="12"/>
      <c r="B380" s="13"/>
      <c r="C380" s="13"/>
      <c r="D380" s="13"/>
      <c r="E380" s="13"/>
      <c r="F380" s="13"/>
      <c r="G380" s="13"/>
      <c r="H380" s="13"/>
      <c r="I380" s="13"/>
      <c r="J380" s="70"/>
      <c r="K380" s="70"/>
      <c r="L380" s="70"/>
      <c r="O380" s="18"/>
      <c r="P380" s="18"/>
      <c r="Q380" s="97"/>
      <c r="R380" s="97"/>
      <c r="S380" s="97"/>
      <c r="T380" s="97"/>
      <c r="U380" s="97"/>
      <c r="V380" s="97"/>
      <c r="W380" s="97"/>
      <c r="X380" s="51"/>
      <c r="Y380" s="18"/>
      <c r="Z380" s="18"/>
      <c r="AA380" s="18"/>
      <c r="AB380" s="18"/>
      <c r="AC380" s="18"/>
      <c r="AD380" s="18"/>
      <c r="AE380" s="18"/>
      <c r="AF380" s="18"/>
      <c r="AG380" s="18"/>
      <c r="AH380" s="51"/>
      <c r="AI380" s="18"/>
      <c r="AJ380" s="18"/>
      <c r="AK380" s="18"/>
      <c r="AL380" s="18"/>
      <c r="AM380" s="18"/>
      <c r="AN380" s="18"/>
      <c r="AO380" s="18"/>
      <c r="AP380" s="18"/>
    </row>
    <row r="381" spans="1:42" x14ac:dyDescent="0.25">
      <c r="A381" s="12"/>
      <c r="B381" s="13"/>
      <c r="C381" s="13"/>
      <c r="D381" s="13"/>
      <c r="E381" s="13"/>
      <c r="F381" s="13"/>
      <c r="G381" s="13"/>
      <c r="H381" s="13"/>
      <c r="I381" s="13"/>
      <c r="J381" s="70"/>
      <c r="K381" s="70"/>
      <c r="L381" s="70"/>
      <c r="O381" s="18"/>
      <c r="P381" s="18"/>
      <c r="Q381" s="97"/>
      <c r="R381" s="97"/>
      <c r="S381" s="97"/>
      <c r="T381" s="97"/>
      <c r="U381" s="97"/>
      <c r="V381" s="97"/>
      <c r="W381" s="97"/>
      <c r="X381" s="51"/>
      <c r="Y381" s="18"/>
      <c r="Z381" s="18"/>
      <c r="AA381" s="18"/>
      <c r="AB381" s="18"/>
      <c r="AC381" s="18"/>
      <c r="AD381" s="18"/>
      <c r="AE381" s="18"/>
      <c r="AF381" s="18"/>
      <c r="AG381" s="18"/>
      <c r="AH381" s="51"/>
      <c r="AI381" s="18"/>
      <c r="AJ381" s="18"/>
      <c r="AK381" s="18"/>
      <c r="AL381" s="18"/>
      <c r="AM381" s="18"/>
      <c r="AN381" s="18"/>
      <c r="AO381" s="18"/>
      <c r="AP381" s="18"/>
    </row>
    <row r="382" spans="1:42" x14ac:dyDescent="0.25">
      <c r="A382" s="12"/>
      <c r="B382" s="13"/>
      <c r="C382" s="13"/>
      <c r="D382" s="13"/>
      <c r="E382" s="13"/>
      <c r="F382" s="13"/>
      <c r="G382" s="13"/>
      <c r="H382" s="13"/>
      <c r="I382" s="13"/>
      <c r="J382" s="70"/>
      <c r="K382" s="70"/>
      <c r="L382" s="70"/>
      <c r="O382" s="18"/>
      <c r="P382" s="18"/>
      <c r="Q382" s="97"/>
      <c r="R382" s="97"/>
      <c r="S382" s="97"/>
      <c r="T382" s="97"/>
      <c r="U382" s="97"/>
      <c r="V382" s="97"/>
      <c r="W382" s="97"/>
      <c r="X382" s="51"/>
      <c r="Y382" s="18"/>
      <c r="Z382" s="18"/>
      <c r="AA382" s="18"/>
      <c r="AB382" s="18"/>
      <c r="AC382" s="18"/>
      <c r="AD382" s="18"/>
      <c r="AE382" s="18"/>
      <c r="AF382" s="18"/>
      <c r="AG382" s="18"/>
      <c r="AH382" s="51"/>
      <c r="AI382" s="18"/>
      <c r="AJ382" s="18"/>
      <c r="AK382" s="18"/>
      <c r="AL382" s="18"/>
      <c r="AM382" s="18"/>
      <c r="AN382" s="18"/>
      <c r="AO382" s="18"/>
      <c r="AP382" s="18"/>
    </row>
    <row r="383" spans="1:42" x14ac:dyDescent="0.25">
      <c r="A383" s="12"/>
      <c r="B383" s="13"/>
      <c r="C383" s="13"/>
      <c r="D383" s="13"/>
      <c r="E383" s="13"/>
      <c r="F383" s="13"/>
      <c r="G383" s="13"/>
      <c r="H383" s="13"/>
      <c r="I383" s="13"/>
      <c r="J383" s="70"/>
      <c r="K383" s="70"/>
      <c r="L383" s="70"/>
      <c r="O383" s="18"/>
      <c r="P383" s="18"/>
      <c r="Q383" s="97"/>
      <c r="R383" s="97"/>
      <c r="S383" s="97"/>
      <c r="T383" s="97"/>
      <c r="U383" s="97"/>
      <c r="V383" s="97"/>
      <c r="W383" s="97"/>
      <c r="X383" s="51"/>
      <c r="Y383" s="18"/>
      <c r="Z383" s="18"/>
      <c r="AA383" s="18"/>
      <c r="AB383" s="18"/>
      <c r="AC383" s="18"/>
      <c r="AD383" s="18"/>
      <c r="AE383" s="18"/>
      <c r="AF383" s="18"/>
      <c r="AG383" s="18"/>
      <c r="AH383" s="51"/>
      <c r="AI383" s="18"/>
      <c r="AJ383" s="18"/>
      <c r="AK383" s="18"/>
      <c r="AL383" s="18"/>
      <c r="AM383" s="18"/>
      <c r="AN383" s="18"/>
      <c r="AO383" s="18"/>
      <c r="AP383" s="18"/>
    </row>
    <row r="384" spans="1:42" x14ac:dyDescent="0.25">
      <c r="A384" s="12"/>
      <c r="B384" s="13"/>
      <c r="C384" s="13"/>
      <c r="D384" s="13"/>
      <c r="E384" s="13"/>
      <c r="F384" s="13"/>
      <c r="G384" s="13"/>
      <c r="H384" s="13"/>
      <c r="I384" s="13"/>
      <c r="J384" s="70"/>
      <c r="K384" s="70"/>
      <c r="L384" s="70"/>
      <c r="O384" s="18"/>
      <c r="P384" s="18"/>
      <c r="Q384" s="97"/>
      <c r="R384" s="97"/>
      <c r="S384" s="97"/>
      <c r="T384" s="97"/>
      <c r="U384" s="97"/>
      <c r="V384" s="97"/>
      <c r="W384" s="97"/>
      <c r="X384" s="51"/>
      <c r="Y384" s="18"/>
      <c r="Z384" s="18"/>
      <c r="AA384" s="18"/>
      <c r="AB384" s="18"/>
      <c r="AC384" s="18"/>
      <c r="AD384" s="18"/>
      <c r="AE384" s="18"/>
      <c r="AF384" s="18"/>
      <c r="AG384" s="18"/>
      <c r="AH384" s="51"/>
      <c r="AI384" s="18"/>
      <c r="AJ384" s="18"/>
      <c r="AK384" s="18"/>
      <c r="AL384" s="18"/>
      <c r="AM384" s="18"/>
      <c r="AN384" s="18"/>
      <c r="AO384" s="18"/>
      <c r="AP384" s="18"/>
    </row>
    <row r="385" spans="1:42" x14ac:dyDescent="0.25">
      <c r="A385" s="12"/>
      <c r="B385" s="13"/>
      <c r="C385" s="13"/>
      <c r="D385" s="13"/>
      <c r="E385" s="13"/>
      <c r="F385" s="13"/>
      <c r="G385" s="13"/>
      <c r="H385" s="13"/>
      <c r="I385" s="13"/>
      <c r="J385" s="70"/>
      <c r="K385" s="70"/>
      <c r="L385" s="70"/>
      <c r="O385" s="18"/>
      <c r="P385" s="18"/>
      <c r="Q385" s="97"/>
      <c r="R385" s="97"/>
      <c r="S385" s="97"/>
      <c r="T385" s="97"/>
      <c r="U385" s="97"/>
      <c r="V385" s="97"/>
      <c r="W385" s="97"/>
      <c r="X385" s="51"/>
      <c r="Y385" s="18"/>
      <c r="Z385" s="18"/>
      <c r="AA385" s="18"/>
      <c r="AB385" s="18"/>
      <c r="AC385" s="18"/>
      <c r="AD385" s="18"/>
      <c r="AE385" s="18"/>
      <c r="AF385" s="18"/>
      <c r="AG385" s="18"/>
      <c r="AH385" s="51"/>
      <c r="AI385" s="18"/>
      <c r="AJ385" s="18"/>
      <c r="AK385" s="18"/>
      <c r="AL385" s="18"/>
      <c r="AM385" s="18"/>
      <c r="AN385" s="18"/>
      <c r="AO385" s="18"/>
      <c r="AP385" s="18"/>
    </row>
    <row r="386" spans="1:42" x14ac:dyDescent="0.25">
      <c r="A386" s="12"/>
      <c r="B386" s="13"/>
      <c r="C386" s="13"/>
      <c r="D386" s="13"/>
      <c r="E386" s="13"/>
      <c r="F386" s="13"/>
      <c r="G386" s="13"/>
      <c r="H386" s="13"/>
      <c r="I386" s="13"/>
      <c r="J386" s="70"/>
      <c r="K386" s="70"/>
      <c r="L386" s="70"/>
      <c r="O386" s="18"/>
      <c r="P386" s="18"/>
      <c r="Q386" s="97"/>
      <c r="R386" s="97"/>
      <c r="S386" s="97"/>
      <c r="T386" s="97"/>
      <c r="U386" s="97"/>
      <c r="V386" s="97"/>
      <c r="W386" s="97"/>
      <c r="X386" s="51"/>
      <c r="Y386" s="18"/>
      <c r="Z386" s="18"/>
      <c r="AA386" s="18"/>
      <c r="AB386" s="18"/>
      <c r="AC386" s="18"/>
      <c r="AD386" s="18"/>
      <c r="AE386" s="18"/>
      <c r="AF386" s="18"/>
      <c r="AG386" s="18"/>
      <c r="AH386" s="51"/>
      <c r="AI386" s="18"/>
      <c r="AJ386" s="18"/>
      <c r="AK386" s="18"/>
      <c r="AL386" s="18"/>
      <c r="AM386" s="18"/>
      <c r="AN386" s="18"/>
      <c r="AO386" s="18"/>
      <c r="AP386" s="18"/>
    </row>
    <row r="387" spans="1:42" x14ac:dyDescent="0.25">
      <c r="A387" s="12"/>
      <c r="B387" s="13"/>
      <c r="C387" s="13"/>
      <c r="D387" s="13"/>
      <c r="E387" s="13"/>
      <c r="F387" s="13"/>
      <c r="G387" s="13"/>
      <c r="H387" s="13"/>
      <c r="I387" s="13"/>
      <c r="J387" s="70"/>
      <c r="K387" s="70"/>
      <c r="L387" s="70"/>
      <c r="O387" s="18"/>
      <c r="P387" s="18"/>
      <c r="Q387" s="97"/>
      <c r="R387" s="97"/>
      <c r="S387" s="97"/>
      <c r="T387" s="97"/>
      <c r="U387" s="97"/>
      <c r="V387" s="97"/>
      <c r="W387" s="97"/>
      <c r="X387" s="51"/>
      <c r="Y387" s="18"/>
      <c r="Z387" s="18"/>
      <c r="AA387" s="18"/>
      <c r="AB387" s="18"/>
      <c r="AC387" s="18"/>
      <c r="AD387" s="18"/>
      <c r="AE387" s="18"/>
      <c r="AF387" s="18"/>
      <c r="AG387" s="18"/>
      <c r="AH387" s="51"/>
      <c r="AI387" s="18"/>
      <c r="AJ387" s="18"/>
      <c r="AK387" s="18"/>
      <c r="AL387" s="18"/>
      <c r="AM387" s="18"/>
      <c r="AN387" s="18"/>
      <c r="AO387" s="18"/>
      <c r="AP387" s="18"/>
    </row>
    <row r="388" spans="1:42" x14ac:dyDescent="0.25">
      <c r="A388" s="12"/>
      <c r="B388" s="13"/>
      <c r="C388" s="13"/>
      <c r="D388" s="13"/>
      <c r="E388" s="13"/>
      <c r="F388" s="13"/>
      <c r="G388" s="13"/>
      <c r="H388" s="13"/>
      <c r="I388" s="13"/>
      <c r="J388" s="70"/>
      <c r="K388" s="70"/>
      <c r="L388" s="70"/>
      <c r="O388" s="18"/>
      <c r="P388" s="18"/>
      <c r="Q388" s="97"/>
      <c r="R388" s="97"/>
      <c r="S388" s="97"/>
      <c r="T388" s="97"/>
      <c r="U388" s="97"/>
      <c r="V388" s="97"/>
      <c r="W388" s="97"/>
      <c r="X388" s="51"/>
      <c r="Y388" s="18"/>
      <c r="Z388" s="18"/>
      <c r="AA388" s="18"/>
      <c r="AB388" s="18"/>
      <c r="AC388" s="18"/>
      <c r="AD388" s="18"/>
      <c r="AE388" s="18"/>
      <c r="AF388" s="18"/>
      <c r="AG388" s="18"/>
      <c r="AH388" s="51"/>
      <c r="AI388" s="18"/>
      <c r="AJ388" s="18"/>
      <c r="AK388" s="18"/>
      <c r="AL388" s="18"/>
      <c r="AM388" s="18"/>
      <c r="AN388" s="18"/>
      <c r="AO388" s="18"/>
      <c r="AP388" s="18"/>
    </row>
    <row r="389" spans="1:42" x14ac:dyDescent="0.25">
      <c r="A389" s="12"/>
      <c r="B389" s="13"/>
      <c r="C389" s="13"/>
      <c r="D389" s="13"/>
      <c r="E389" s="13"/>
      <c r="F389" s="13"/>
      <c r="G389" s="13"/>
      <c r="H389" s="13"/>
      <c r="I389" s="13"/>
      <c r="J389" s="100"/>
      <c r="K389" s="100"/>
      <c r="L389" s="100"/>
      <c r="O389" s="18"/>
      <c r="P389" s="18"/>
      <c r="Q389" s="97"/>
      <c r="R389" s="97"/>
      <c r="S389" s="97"/>
      <c r="T389" s="97"/>
      <c r="U389" s="97"/>
      <c r="V389" s="97"/>
      <c r="W389" s="97"/>
      <c r="X389" s="51"/>
      <c r="Y389" s="18"/>
      <c r="Z389" s="18"/>
      <c r="AA389" s="18"/>
      <c r="AB389" s="18"/>
      <c r="AC389" s="18"/>
      <c r="AD389" s="18"/>
      <c r="AE389" s="18"/>
      <c r="AF389" s="18"/>
      <c r="AG389" s="18"/>
      <c r="AH389" s="51"/>
      <c r="AI389" s="18"/>
      <c r="AJ389" s="18"/>
      <c r="AK389" s="18"/>
      <c r="AL389" s="18"/>
      <c r="AM389" s="18"/>
      <c r="AN389" s="18"/>
      <c r="AO389" s="18"/>
      <c r="AP389" s="18"/>
    </row>
    <row r="390" spans="1:42" x14ac:dyDescent="0.25">
      <c r="A390" s="12"/>
      <c r="B390" s="13"/>
      <c r="C390" s="13"/>
      <c r="D390" s="13"/>
      <c r="E390" s="13"/>
      <c r="F390" s="13"/>
      <c r="G390" s="13"/>
      <c r="H390" s="13"/>
      <c r="I390" s="13"/>
      <c r="J390" s="70"/>
      <c r="K390" s="70"/>
      <c r="L390" s="70"/>
      <c r="O390" s="18"/>
      <c r="P390" s="18"/>
      <c r="Q390" s="97"/>
      <c r="R390" s="97"/>
      <c r="S390" s="97"/>
      <c r="T390" s="97"/>
      <c r="U390" s="97"/>
      <c r="V390" s="97"/>
      <c r="W390" s="97"/>
      <c r="X390" s="51"/>
      <c r="Y390" s="18"/>
      <c r="Z390" s="18"/>
      <c r="AA390" s="18"/>
      <c r="AB390" s="18"/>
      <c r="AC390" s="18"/>
      <c r="AD390" s="18"/>
      <c r="AE390" s="18"/>
      <c r="AF390" s="18"/>
      <c r="AG390" s="18"/>
      <c r="AH390" s="51"/>
      <c r="AI390" s="18"/>
      <c r="AJ390" s="18"/>
      <c r="AK390" s="18"/>
      <c r="AL390" s="18"/>
      <c r="AM390" s="18"/>
      <c r="AN390" s="18"/>
      <c r="AO390" s="18"/>
      <c r="AP390" s="18"/>
    </row>
    <row r="391" spans="1:42" x14ac:dyDescent="0.25">
      <c r="A391" s="12"/>
      <c r="B391" s="13"/>
      <c r="C391" s="13"/>
      <c r="D391" s="13"/>
      <c r="E391" s="13"/>
      <c r="F391" s="13"/>
      <c r="G391" s="13"/>
      <c r="H391" s="13"/>
      <c r="I391" s="13"/>
      <c r="J391" s="70"/>
      <c r="K391" s="70"/>
      <c r="L391" s="70"/>
      <c r="O391" s="18"/>
      <c r="P391" s="18"/>
      <c r="Q391" s="97"/>
      <c r="R391" s="97"/>
      <c r="S391" s="97"/>
      <c r="T391" s="97"/>
      <c r="U391" s="97"/>
      <c r="V391" s="97"/>
      <c r="W391" s="97"/>
      <c r="X391" s="51"/>
      <c r="Y391" s="18"/>
      <c r="Z391" s="18"/>
      <c r="AA391" s="18"/>
      <c r="AB391" s="18"/>
      <c r="AC391" s="18"/>
      <c r="AD391" s="18"/>
      <c r="AE391" s="18"/>
      <c r="AF391" s="18"/>
      <c r="AG391" s="18"/>
      <c r="AH391" s="51"/>
      <c r="AI391" s="18"/>
      <c r="AJ391" s="18"/>
      <c r="AK391" s="18"/>
      <c r="AL391" s="18"/>
      <c r="AM391" s="18"/>
      <c r="AN391" s="18"/>
      <c r="AO391" s="18"/>
      <c r="AP391" s="18"/>
    </row>
    <row r="392" spans="1:42" x14ac:dyDescent="0.25">
      <c r="A392" s="12"/>
      <c r="B392" s="13"/>
      <c r="C392" s="13"/>
      <c r="D392" s="13"/>
      <c r="E392" s="13"/>
      <c r="F392" s="13"/>
      <c r="G392" s="13"/>
      <c r="H392" s="13"/>
      <c r="I392" s="13"/>
      <c r="J392" s="70"/>
      <c r="K392" s="70"/>
      <c r="L392" s="70"/>
      <c r="O392" s="18"/>
      <c r="P392" s="18"/>
      <c r="Q392" s="97"/>
      <c r="R392" s="97"/>
      <c r="S392" s="97"/>
      <c r="T392" s="97"/>
      <c r="U392" s="97"/>
      <c r="V392" s="97"/>
      <c r="W392" s="97"/>
      <c r="X392" s="51"/>
      <c r="Y392" s="18"/>
      <c r="Z392" s="18"/>
      <c r="AA392" s="18"/>
      <c r="AB392" s="18"/>
      <c r="AC392" s="18"/>
      <c r="AD392" s="18"/>
      <c r="AE392" s="18"/>
      <c r="AF392" s="18"/>
      <c r="AG392" s="18"/>
      <c r="AH392" s="51"/>
      <c r="AI392" s="18"/>
      <c r="AJ392" s="18"/>
      <c r="AK392" s="18"/>
      <c r="AL392" s="18"/>
      <c r="AM392" s="18"/>
      <c r="AN392" s="18"/>
      <c r="AO392" s="18"/>
      <c r="AP392" s="18"/>
    </row>
    <row r="393" spans="1:42" x14ac:dyDescent="0.25">
      <c r="A393" s="12"/>
      <c r="B393" s="13"/>
      <c r="C393" s="13"/>
      <c r="D393" s="13"/>
      <c r="E393" s="13"/>
      <c r="F393" s="13"/>
      <c r="G393" s="13"/>
      <c r="H393" s="13"/>
      <c r="I393" s="13"/>
      <c r="J393" s="70"/>
      <c r="K393" s="70"/>
      <c r="L393" s="70"/>
      <c r="O393" s="18"/>
      <c r="P393" s="18"/>
      <c r="Q393" s="97"/>
      <c r="R393" s="97"/>
      <c r="S393" s="97"/>
      <c r="T393" s="97"/>
      <c r="U393" s="97"/>
      <c r="V393" s="97"/>
      <c r="W393" s="97"/>
      <c r="X393" s="51"/>
      <c r="Y393" s="18"/>
      <c r="Z393" s="18"/>
      <c r="AA393" s="18"/>
      <c r="AB393" s="18"/>
      <c r="AC393" s="18"/>
      <c r="AD393" s="18"/>
      <c r="AE393" s="18"/>
      <c r="AF393" s="18"/>
      <c r="AG393" s="18"/>
      <c r="AH393" s="51"/>
      <c r="AI393" s="18"/>
      <c r="AJ393" s="18"/>
      <c r="AK393" s="18"/>
      <c r="AL393" s="18"/>
      <c r="AM393" s="18"/>
      <c r="AN393" s="18"/>
      <c r="AO393" s="18"/>
      <c r="AP393" s="18"/>
    </row>
    <row r="394" spans="1:42" x14ac:dyDescent="0.25">
      <c r="A394" s="12"/>
      <c r="B394" s="13"/>
      <c r="C394" s="13"/>
      <c r="D394" s="13"/>
      <c r="E394" s="13"/>
      <c r="F394" s="13"/>
      <c r="G394" s="13"/>
      <c r="H394" s="13"/>
      <c r="I394" s="13"/>
      <c r="J394" s="70"/>
      <c r="K394" s="70"/>
      <c r="L394" s="70"/>
      <c r="O394" s="18"/>
      <c r="P394" s="18"/>
      <c r="Q394" s="97"/>
      <c r="R394" s="97"/>
      <c r="S394" s="97"/>
      <c r="T394" s="97"/>
      <c r="U394" s="97"/>
      <c r="V394" s="97"/>
      <c r="W394" s="97"/>
      <c r="X394" s="51"/>
      <c r="Y394" s="18"/>
      <c r="Z394" s="18"/>
      <c r="AA394" s="18"/>
      <c r="AB394" s="18"/>
      <c r="AC394" s="18"/>
      <c r="AD394" s="18"/>
      <c r="AE394" s="18"/>
      <c r="AF394" s="18"/>
      <c r="AG394" s="18"/>
      <c r="AH394" s="51"/>
      <c r="AI394" s="18"/>
      <c r="AJ394" s="18"/>
      <c r="AK394" s="18"/>
      <c r="AL394" s="18"/>
      <c r="AM394" s="18"/>
      <c r="AN394" s="18"/>
      <c r="AO394" s="18"/>
      <c r="AP394" s="18"/>
    </row>
    <row r="395" spans="1:42" x14ac:dyDescent="0.25">
      <c r="A395" s="12"/>
      <c r="B395" s="13"/>
      <c r="C395" s="13"/>
      <c r="D395" s="13"/>
      <c r="E395" s="13"/>
      <c r="F395" s="13"/>
      <c r="G395" s="13"/>
      <c r="H395" s="13"/>
      <c r="I395" s="13"/>
      <c r="J395" s="107"/>
      <c r="K395" s="107"/>
      <c r="L395" s="107"/>
      <c r="O395" s="18"/>
      <c r="P395" s="18"/>
      <c r="Q395" s="97"/>
      <c r="R395" s="97"/>
      <c r="S395" s="97"/>
      <c r="T395" s="97"/>
      <c r="U395" s="97"/>
      <c r="V395" s="97"/>
      <c r="W395" s="97"/>
      <c r="X395" s="51"/>
      <c r="Y395" s="18"/>
      <c r="Z395" s="18"/>
      <c r="AA395" s="18"/>
      <c r="AB395" s="18"/>
      <c r="AC395" s="18"/>
      <c r="AD395" s="18"/>
      <c r="AE395" s="18"/>
      <c r="AF395" s="18"/>
      <c r="AG395" s="18"/>
      <c r="AH395" s="51"/>
      <c r="AI395" s="18"/>
      <c r="AJ395" s="18"/>
      <c r="AK395" s="18"/>
      <c r="AL395" s="18"/>
      <c r="AM395" s="18"/>
      <c r="AN395" s="18"/>
      <c r="AO395" s="18"/>
      <c r="AP395" s="18"/>
    </row>
    <row r="396" spans="1:42" x14ac:dyDescent="0.25">
      <c r="A396" s="12"/>
      <c r="B396" s="13"/>
      <c r="C396" s="13"/>
      <c r="D396" s="13"/>
      <c r="E396" s="13"/>
      <c r="F396" s="13"/>
      <c r="G396" s="13"/>
      <c r="H396" s="13"/>
      <c r="I396" s="13"/>
      <c r="J396" s="107"/>
      <c r="K396" s="107"/>
      <c r="L396" s="107"/>
      <c r="O396" s="18"/>
      <c r="P396" s="18"/>
      <c r="Q396" s="97"/>
      <c r="R396" s="97"/>
      <c r="S396" s="97"/>
      <c r="T396" s="97"/>
      <c r="U396" s="97"/>
      <c r="V396" s="97"/>
      <c r="W396" s="97"/>
      <c r="X396" s="51"/>
      <c r="Y396" s="18"/>
      <c r="Z396" s="18"/>
      <c r="AA396" s="18"/>
      <c r="AB396" s="18"/>
      <c r="AC396" s="18"/>
      <c r="AD396" s="18"/>
      <c r="AE396" s="18"/>
      <c r="AF396" s="18"/>
      <c r="AG396" s="18"/>
      <c r="AH396" s="51"/>
      <c r="AI396" s="18"/>
      <c r="AJ396" s="18"/>
      <c r="AK396" s="18"/>
      <c r="AL396" s="18"/>
      <c r="AM396" s="18"/>
      <c r="AN396" s="18"/>
      <c r="AO396" s="18"/>
      <c r="AP396" s="18"/>
    </row>
    <row r="397" spans="1:42" x14ac:dyDescent="0.25">
      <c r="A397" s="12"/>
      <c r="B397" s="13"/>
      <c r="C397" s="13"/>
      <c r="D397" s="13"/>
      <c r="E397" s="13"/>
      <c r="F397" s="13"/>
      <c r="G397" s="13"/>
      <c r="H397" s="13"/>
      <c r="I397" s="13"/>
      <c r="J397" s="107"/>
      <c r="K397" s="107"/>
      <c r="L397" s="107"/>
      <c r="O397" s="18"/>
      <c r="P397" s="18"/>
      <c r="Q397" s="97"/>
      <c r="R397" s="97"/>
      <c r="S397" s="97"/>
      <c r="T397" s="97"/>
      <c r="U397" s="97"/>
      <c r="V397" s="97"/>
      <c r="W397" s="97"/>
      <c r="X397" s="51"/>
      <c r="Y397" s="18"/>
      <c r="Z397" s="18"/>
      <c r="AA397" s="18"/>
      <c r="AB397" s="18"/>
      <c r="AC397" s="18"/>
      <c r="AD397" s="18"/>
      <c r="AE397" s="18"/>
      <c r="AF397" s="18"/>
      <c r="AG397" s="18"/>
      <c r="AH397" s="51"/>
      <c r="AI397" s="18"/>
      <c r="AJ397" s="18"/>
      <c r="AK397" s="18"/>
      <c r="AL397" s="18"/>
      <c r="AM397" s="18"/>
      <c r="AN397" s="18"/>
      <c r="AO397" s="18"/>
      <c r="AP397" s="18"/>
    </row>
    <row r="398" spans="1:42" x14ac:dyDescent="0.25">
      <c r="A398" s="12"/>
      <c r="B398" s="13"/>
      <c r="C398" s="13"/>
      <c r="D398" s="13"/>
      <c r="E398" s="13"/>
      <c r="F398" s="13"/>
      <c r="G398" s="13"/>
      <c r="H398" s="13"/>
      <c r="I398" s="13"/>
      <c r="J398" s="107"/>
      <c r="K398" s="107"/>
      <c r="L398" s="107"/>
      <c r="O398" s="18"/>
      <c r="P398" s="18"/>
      <c r="Q398" s="97"/>
      <c r="R398" s="97"/>
      <c r="S398" s="97"/>
      <c r="T398" s="97"/>
      <c r="U398" s="97"/>
      <c r="V398" s="97"/>
      <c r="W398" s="97"/>
      <c r="X398" s="51"/>
      <c r="Y398" s="18"/>
      <c r="Z398" s="18"/>
      <c r="AA398" s="18"/>
      <c r="AB398" s="18"/>
      <c r="AC398" s="18"/>
      <c r="AD398" s="18"/>
      <c r="AE398" s="18"/>
      <c r="AF398" s="18"/>
      <c r="AG398" s="18"/>
      <c r="AH398" s="51"/>
      <c r="AI398" s="18"/>
      <c r="AJ398" s="18"/>
      <c r="AK398" s="18"/>
      <c r="AL398" s="18"/>
      <c r="AM398" s="18"/>
      <c r="AN398" s="18"/>
      <c r="AO398" s="18"/>
      <c r="AP398" s="18"/>
    </row>
    <row r="399" spans="1:42" x14ac:dyDescent="0.25">
      <c r="A399" s="12"/>
      <c r="B399" s="13"/>
      <c r="C399" s="13"/>
      <c r="D399" s="13"/>
      <c r="E399" s="13"/>
      <c r="F399" s="13"/>
      <c r="G399" s="13"/>
      <c r="H399" s="13"/>
      <c r="I399" s="13"/>
      <c r="J399" s="107"/>
      <c r="K399" s="107"/>
      <c r="L399" s="107"/>
      <c r="O399" s="18"/>
      <c r="P399" s="18"/>
      <c r="Q399" s="97"/>
      <c r="R399" s="97"/>
      <c r="S399" s="97"/>
      <c r="T399" s="97"/>
      <c r="U399" s="97"/>
      <c r="V399" s="97"/>
      <c r="W399" s="97"/>
      <c r="X399" s="51"/>
      <c r="Y399" s="18"/>
      <c r="Z399" s="18"/>
      <c r="AA399" s="18"/>
      <c r="AB399" s="18"/>
      <c r="AC399" s="18"/>
      <c r="AD399" s="18"/>
      <c r="AE399" s="18"/>
      <c r="AF399" s="18"/>
      <c r="AG399" s="18"/>
      <c r="AH399" s="51"/>
      <c r="AI399" s="18"/>
      <c r="AJ399" s="18"/>
      <c r="AK399" s="18"/>
      <c r="AL399" s="18"/>
      <c r="AM399" s="18"/>
      <c r="AN399" s="18"/>
      <c r="AO399" s="18"/>
      <c r="AP399" s="18"/>
    </row>
    <row r="400" spans="1:42" x14ac:dyDescent="0.25">
      <c r="A400" s="12"/>
      <c r="B400" s="13"/>
      <c r="C400" s="13"/>
      <c r="D400" s="13"/>
      <c r="E400" s="13"/>
      <c r="F400" s="13"/>
      <c r="G400" s="13"/>
      <c r="H400" s="13"/>
      <c r="I400" s="13"/>
      <c r="J400" s="100"/>
      <c r="K400" s="100"/>
      <c r="L400" s="100"/>
      <c r="O400" s="18"/>
      <c r="P400" s="18"/>
      <c r="Q400" s="97"/>
      <c r="R400" s="97"/>
      <c r="S400" s="97"/>
      <c r="T400" s="97"/>
      <c r="U400" s="97"/>
      <c r="V400" s="97"/>
      <c r="W400" s="97"/>
      <c r="X400" s="51"/>
      <c r="Y400" s="18"/>
      <c r="Z400" s="18"/>
      <c r="AA400" s="18"/>
      <c r="AB400" s="18"/>
      <c r="AC400" s="18"/>
      <c r="AD400" s="18"/>
      <c r="AE400" s="18"/>
      <c r="AF400" s="18"/>
      <c r="AG400" s="18"/>
      <c r="AH400" s="51"/>
      <c r="AI400" s="18"/>
      <c r="AJ400" s="18"/>
      <c r="AK400" s="18"/>
      <c r="AL400" s="18"/>
      <c r="AM400" s="18"/>
      <c r="AN400" s="18"/>
      <c r="AO400" s="18"/>
      <c r="AP400" s="18"/>
    </row>
    <row r="401" spans="1:42" x14ac:dyDescent="0.25">
      <c r="A401" s="12"/>
      <c r="B401" s="13"/>
      <c r="C401" s="13"/>
      <c r="D401" s="13"/>
      <c r="E401" s="13"/>
      <c r="F401" s="13"/>
      <c r="G401" s="13"/>
      <c r="H401" s="13"/>
      <c r="I401" s="13"/>
      <c r="J401" s="100"/>
      <c r="K401" s="100"/>
      <c r="L401" s="100"/>
      <c r="O401" s="18"/>
      <c r="P401" s="18"/>
      <c r="Q401" s="97"/>
      <c r="R401" s="97"/>
      <c r="S401" s="97"/>
      <c r="T401" s="97"/>
      <c r="U401" s="97"/>
      <c r="V401" s="97"/>
      <c r="W401" s="97"/>
      <c r="X401" s="51"/>
      <c r="Y401" s="18"/>
      <c r="Z401" s="18"/>
      <c r="AA401" s="18"/>
      <c r="AB401" s="18"/>
      <c r="AC401" s="18"/>
      <c r="AD401" s="18"/>
      <c r="AE401" s="18"/>
      <c r="AF401" s="18"/>
      <c r="AG401" s="18"/>
      <c r="AH401" s="51"/>
      <c r="AI401" s="18"/>
      <c r="AJ401" s="18"/>
      <c r="AK401" s="18"/>
      <c r="AL401" s="18"/>
      <c r="AM401" s="18"/>
      <c r="AN401" s="18"/>
      <c r="AO401" s="18"/>
      <c r="AP401" s="18"/>
    </row>
    <row r="402" spans="1:42" x14ac:dyDescent="0.25">
      <c r="A402" s="12"/>
      <c r="B402" s="13"/>
      <c r="C402" s="13"/>
      <c r="D402" s="13"/>
      <c r="E402" s="13"/>
      <c r="F402" s="13"/>
      <c r="G402" s="13"/>
      <c r="H402" s="13"/>
      <c r="I402" s="13"/>
      <c r="J402" s="100"/>
      <c r="K402" s="100"/>
      <c r="L402" s="100"/>
      <c r="O402" s="18"/>
      <c r="P402" s="18"/>
      <c r="Q402" s="97"/>
      <c r="R402" s="97"/>
      <c r="S402" s="97"/>
      <c r="T402" s="97"/>
      <c r="U402" s="97"/>
      <c r="V402" s="97"/>
      <c r="W402" s="97"/>
      <c r="X402" s="51"/>
      <c r="Y402" s="18"/>
      <c r="Z402" s="18"/>
      <c r="AA402" s="18"/>
      <c r="AB402" s="18"/>
      <c r="AC402" s="18"/>
      <c r="AD402" s="18"/>
      <c r="AE402" s="18"/>
      <c r="AF402" s="18"/>
      <c r="AG402" s="18"/>
      <c r="AH402" s="51"/>
      <c r="AI402" s="18"/>
      <c r="AJ402" s="18"/>
      <c r="AK402" s="18"/>
      <c r="AL402" s="18"/>
      <c r="AM402" s="18"/>
      <c r="AN402" s="18"/>
      <c r="AO402" s="18"/>
      <c r="AP402" s="18"/>
    </row>
    <row r="403" spans="1:42" x14ac:dyDescent="0.25">
      <c r="A403" s="12"/>
      <c r="B403" s="13"/>
      <c r="C403" s="13"/>
      <c r="D403" s="13"/>
      <c r="E403" s="13"/>
      <c r="F403" s="13"/>
      <c r="G403" s="13"/>
      <c r="H403" s="13"/>
      <c r="I403" s="13"/>
      <c r="J403" s="100"/>
      <c r="K403" s="100"/>
      <c r="L403" s="100"/>
      <c r="O403" s="18"/>
      <c r="P403" s="18"/>
      <c r="Q403" s="97"/>
      <c r="R403" s="97"/>
      <c r="S403" s="97"/>
      <c r="T403" s="97"/>
      <c r="U403" s="97"/>
      <c r="V403" s="97"/>
      <c r="W403" s="97"/>
      <c r="X403" s="51"/>
      <c r="Y403" s="18"/>
      <c r="Z403" s="18"/>
      <c r="AA403" s="18"/>
      <c r="AB403" s="18"/>
      <c r="AC403" s="18"/>
      <c r="AD403" s="18"/>
      <c r="AE403" s="18"/>
      <c r="AF403" s="18"/>
      <c r="AG403" s="18"/>
      <c r="AH403" s="51"/>
      <c r="AI403" s="18"/>
      <c r="AJ403" s="18"/>
      <c r="AK403" s="18"/>
      <c r="AL403" s="18"/>
      <c r="AM403" s="18"/>
      <c r="AN403" s="18"/>
      <c r="AO403" s="18"/>
      <c r="AP403" s="18"/>
    </row>
    <row r="404" spans="1:42" x14ac:dyDescent="0.25">
      <c r="A404" s="12"/>
      <c r="B404" s="13"/>
      <c r="C404" s="13"/>
      <c r="D404" s="13"/>
      <c r="E404" s="13"/>
      <c r="F404" s="13"/>
      <c r="G404" s="13"/>
      <c r="H404" s="13"/>
      <c r="I404" s="13"/>
      <c r="J404" s="100"/>
      <c r="K404" s="70"/>
      <c r="L404" s="70"/>
      <c r="O404" s="18"/>
      <c r="P404" s="18"/>
      <c r="Q404" s="97"/>
      <c r="R404" s="97"/>
      <c r="S404" s="97"/>
      <c r="T404" s="97"/>
      <c r="U404" s="97"/>
      <c r="V404" s="97"/>
      <c r="W404" s="97"/>
      <c r="X404" s="51"/>
      <c r="Y404" s="18"/>
      <c r="Z404" s="18"/>
      <c r="AA404" s="18"/>
      <c r="AB404" s="18"/>
      <c r="AC404" s="18"/>
      <c r="AD404" s="18"/>
      <c r="AE404" s="18"/>
      <c r="AF404" s="18"/>
      <c r="AG404" s="18"/>
      <c r="AH404" s="51"/>
      <c r="AI404" s="18"/>
      <c r="AJ404" s="18"/>
      <c r="AK404" s="18"/>
      <c r="AL404" s="18"/>
      <c r="AM404" s="18"/>
      <c r="AN404" s="18"/>
      <c r="AO404" s="18"/>
      <c r="AP404" s="18"/>
    </row>
    <row r="405" spans="1:42" x14ac:dyDescent="0.25">
      <c r="A405" s="12"/>
      <c r="B405" s="13"/>
      <c r="C405" s="13"/>
      <c r="D405" s="13"/>
      <c r="E405" s="13"/>
      <c r="F405" s="13"/>
      <c r="G405" s="13"/>
      <c r="H405" s="13"/>
      <c r="I405" s="13"/>
      <c r="J405" s="100"/>
      <c r="K405" s="100"/>
      <c r="L405" s="100"/>
      <c r="O405" s="18"/>
      <c r="P405" s="18"/>
      <c r="Q405" s="97"/>
      <c r="R405" s="97"/>
      <c r="S405" s="97"/>
      <c r="T405" s="97"/>
      <c r="U405" s="97"/>
      <c r="V405" s="97"/>
      <c r="W405" s="97"/>
      <c r="X405" s="51"/>
      <c r="Y405" s="18"/>
      <c r="Z405" s="18"/>
      <c r="AA405" s="18"/>
      <c r="AB405" s="18"/>
      <c r="AC405" s="18"/>
      <c r="AD405" s="18"/>
      <c r="AE405" s="18"/>
      <c r="AF405" s="18"/>
      <c r="AG405" s="18"/>
      <c r="AH405" s="51"/>
      <c r="AI405" s="18"/>
      <c r="AJ405" s="18"/>
      <c r="AK405" s="18"/>
      <c r="AL405" s="18"/>
      <c r="AM405" s="18"/>
      <c r="AN405" s="18"/>
      <c r="AO405" s="18"/>
      <c r="AP405" s="18"/>
    </row>
    <row r="406" spans="1:42" x14ac:dyDescent="0.25">
      <c r="A406" s="12"/>
      <c r="B406" s="13"/>
      <c r="C406" s="13"/>
      <c r="D406" s="13"/>
      <c r="E406" s="13"/>
      <c r="F406" s="13"/>
      <c r="G406" s="13"/>
      <c r="H406" s="13"/>
      <c r="I406" s="13"/>
      <c r="J406" s="100"/>
      <c r="K406" s="70"/>
      <c r="L406" s="70"/>
      <c r="O406" s="18"/>
      <c r="P406" s="18"/>
      <c r="Q406" s="97"/>
      <c r="R406" s="97"/>
      <c r="S406" s="97"/>
      <c r="T406" s="97"/>
      <c r="U406" s="97"/>
      <c r="V406" s="97"/>
      <c r="W406" s="97"/>
      <c r="X406" s="51"/>
      <c r="Y406" s="18"/>
      <c r="Z406" s="18"/>
      <c r="AA406" s="18"/>
      <c r="AB406" s="18"/>
      <c r="AC406" s="18"/>
      <c r="AD406" s="18"/>
      <c r="AE406" s="18"/>
      <c r="AF406" s="18"/>
      <c r="AG406" s="18"/>
      <c r="AH406" s="51"/>
      <c r="AI406" s="18"/>
      <c r="AJ406" s="18"/>
      <c r="AK406" s="18"/>
      <c r="AL406" s="18"/>
      <c r="AM406" s="18"/>
      <c r="AN406" s="18"/>
      <c r="AO406" s="18"/>
      <c r="AP406" s="18"/>
    </row>
    <row r="407" spans="1:42" x14ac:dyDescent="0.25">
      <c r="A407" s="12"/>
      <c r="B407" s="13"/>
      <c r="C407" s="13"/>
      <c r="D407" s="13"/>
      <c r="E407" s="13"/>
      <c r="F407" s="13"/>
      <c r="G407" s="13"/>
      <c r="H407" s="13"/>
      <c r="I407" s="13"/>
      <c r="J407" s="100"/>
      <c r="K407" s="100"/>
      <c r="L407" s="100"/>
      <c r="M407" s="118"/>
      <c r="O407" s="18"/>
      <c r="P407" s="18"/>
      <c r="Q407" s="97"/>
      <c r="R407" s="97"/>
      <c r="S407" s="97"/>
      <c r="T407" s="97"/>
      <c r="U407" s="97"/>
      <c r="V407" s="97"/>
      <c r="W407" s="97"/>
      <c r="X407" s="51"/>
      <c r="Y407" s="18"/>
      <c r="Z407" s="18"/>
      <c r="AA407" s="18"/>
      <c r="AB407" s="18"/>
      <c r="AC407" s="18"/>
      <c r="AD407" s="18"/>
      <c r="AE407" s="18"/>
      <c r="AF407" s="18"/>
      <c r="AG407" s="18"/>
      <c r="AH407" s="51"/>
      <c r="AI407" s="18"/>
      <c r="AJ407" s="18"/>
      <c r="AK407" s="18"/>
      <c r="AL407" s="18"/>
      <c r="AM407" s="18"/>
      <c r="AN407" s="18"/>
      <c r="AO407" s="18"/>
      <c r="AP407" s="18"/>
    </row>
    <row r="408" spans="1:42" x14ac:dyDescent="0.25">
      <c r="A408" s="12"/>
      <c r="B408" s="13"/>
      <c r="C408" s="13"/>
      <c r="D408" s="13"/>
      <c r="E408" s="13"/>
      <c r="F408" s="13"/>
      <c r="G408" s="13"/>
      <c r="H408" s="13"/>
      <c r="I408" s="13"/>
      <c r="J408" s="100"/>
      <c r="K408" s="100"/>
      <c r="L408" s="100"/>
      <c r="M408" s="118"/>
      <c r="O408" s="18"/>
      <c r="P408" s="18"/>
      <c r="Q408" s="97"/>
      <c r="R408" s="97"/>
      <c r="S408" s="97"/>
      <c r="T408" s="97"/>
      <c r="U408" s="97"/>
      <c r="V408" s="97"/>
      <c r="W408" s="97"/>
      <c r="X408" s="51"/>
      <c r="Y408" s="18"/>
      <c r="Z408" s="18"/>
      <c r="AA408" s="18"/>
      <c r="AB408" s="18"/>
      <c r="AC408" s="18"/>
      <c r="AD408" s="18"/>
      <c r="AE408" s="18"/>
      <c r="AF408" s="18"/>
      <c r="AG408" s="18"/>
      <c r="AH408" s="51"/>
      <c r="AI408" s="18"/>
      <c r="AJ408" s="18"/>
      <c r="AK408" s="18"/>
      <c r="AL408" s="18"/>
      <c r="AM408" s="18"/>
      <c r="AN408" s="18"/>
      <c r="AO408" s="18"/>
      <c r="AP408" s="18"/>
    </row>
    <row r="409" spans="1:42" x14ac:dyDescent="0.25">
      <c r="A409" s="12"/>
      <c r="B409" s="13"/>
      <c r="C409" s="13"/>
      <c r="D409" s="13"/>
      <c r="E409" s="13"/>
      <c r="F409" s="13"/>
      <c r="G409" s="13"/>
      <c r="H409" s="13"/>
      <c r="I409" s="13"/>
      <c r="J409" s="70"/>
      <c r="K409" s="70"/>
      <c r="L409" s="70"/>
      <c r="O409" s="18"/>
      <c r="P409" s="18"/>
      <c r="Q409" s="97"/>
      <c r="R409" s="97"/>
      <c r="S409" s="97"/>
      <c r="T409" s="97"/>
      <c r="U409" s="97"/>
      <c r="V409" s="97"/>
      <c r="W409" s="97"/>
      <c r="X409" s="51"/>
      <c r="Y409" s="18"/>
      <c r="Z409" s="18"/>
      <c r="AA409" s="18"/>
      <c r="AB409" s="18"/>
      <c r="AC409" s="18"/>
      <c r="AD409" s="18"/>
      <c r="AE409" s="18"/>
      <c r="AF409" s="18"/>
      <c r="AG409" s="18"/>
      <c r="AH409" s="51"/>
      <c r="AI409" s="18"/>
      <c r="AJ409" s="18"/>
      <c r="AK409" s="18"/>
      <c r="AL409" s="18"/>
      <c r="AM409" s="18"/>
      <c r="AN409" s="18"/>
      <c r="AO409" s="18"/>
      <c r="AP409" s="18"/>
    </row>
    <row r="410" spans="1:42" x14ac:dyDescent="0.25">
      <c r="A410" s="12"/>
      <c r="B410" s="13"/>
      <c r="C410" s="13"/>
      <c r="D410" s="13"/>
      <c r="E410" s="13"/>
      <c r="F410" s="13"/>
      <c r="G410" s="13"/>
      <c r="H410" s="13"/>
      <c r="I410" s="13"/>
      <c r="J410" s="70"/>
      <c r="K410" s="70"/>
      <c r="L410" s="70"/>
      <c r="O410" s="18"/>
      <c r="P410" s="18"/>
      <c r="Q410" s="97"/>
      <c r="R410" s="97"/>
      <c r="S410" s="97"/>
      <c r="T410" s="97"/>
      <c r="U410" s="97"/>
      <c r="V410" s="97"/>
      <c r="W410" s="97"/>
      <c r="X410" s="51"/>
      <c r="Y410" s="18"/>
      <c r="Z410" s="18"/>
      <c r="AA410" s="18"/>
      <c r="AB410" s="18"/>
      <c r="AC410" s="18"/>
      <c r="AD410" s="18"/>
      <c r="AE410" s="18"/>
      <c r="AF410" s="18"/>
      <c r="AG410" s="18"/>
      <c r="AH410" s="51"/>
      <c r="AI410" s="18"/>
      <c r="AJ410" s="18"/>
      <c r="AK410" s="18"/>
      <c r="AL410" s="18"/>
      <c r="AM410" s="18"/>
      <c r="AN410" s="18"/>
      <c r="AO410" s="18"/>
      <c r="AP410" s="18"/>
    </row>
    <row r="411" spans="1:42" x14ac:dyDescent="0.25">
      <c r="A411" s="12"/>
      <c r="B411" s="13"/>
      <c r="C411" s="13"/>
      <c r="D411" s="13"/>
      <c r="E411" s="13"/>
      <c r="F411" s="13"/>
      <c r="G411" s="13"/>
      <c r="H411" s="13"/>
      <c r="I411" s="13"/>
      <c r="J411" s="100"/>
      <c r="K411" s="100"/>
      <c r="L411" s="100"/>
      <c r="O411" s="18"/>
      <c r="P411" s="18"/>
      <c r="Q411" s="97"/>
      <c r="R411" s="97"/>
      <c r="S411" s="97"/>
      <c r="T411" s="97"/>
      <c r="U411" s="97"/>
      <c r="V411" s="97"/>
      <c r="W411" s="97"/>
      <c r="X411" s="51"/>
      <c r="Y411" s="18"/>
      <c r="Z411" s="18"/>
      <c r="AA411" s="18"/>
      <c r="AB411" s="18"/>
      <c r="AC411" s="18"/>
      <c r="AD411" s="18"/>
      <c r="AE411" s="18"/>
      <c r="AF411" s="18"/>
      <c r="AG411" s="18"/>
      <c r="AH411" s="51"/>
      <c r="AI411" s="18"/>
      <c r="AJ411" s="18"/>
      <c r="AK411" s="18"/>
      <c r="AL411" s="18"/>
      <c r="AM411" s="18"/>
      <c r="AN411" s="18"/>
      <c r="AO411" s="18"/>
      <c r="AP411" s="18"/>
    </row>
    <row r="412" spans="1:42" x14ac:dyDescent="0.25">
      <c r="A412" s="12"/>
      <c r="B412" s="13"/>
      <c r="C412" s="13"/>
      <c r="D412" s="13"/>
      <c r="E412" s="13"/>
      <c r="F412" s="13"/>
      <c r="G412" s="13"/>
      <c r="H412" s="13"/>
      <c r="I412" s="13"/>
      <c r="J412" s="100"/>
      <c r="K412" s="100"/>
      <c r="L412" s="100"/>
      <c r="O412" s="18"/>
      <c r="P412" s="18"/>
      <c r="Q412" s="97"/>
      <c r="R412" s="97"/>
      <c r="S412" s="97"/>
      <c r="T412" s="97"/>
      <c r="U412" s="97"/>
      <c r="V412" s="97"/>
      <c r="W412" s="97"/>
      <c r="X412" s="51"/>
      <c r="Y412" s="18"/>
      <c r="Z412" s="18"/>
      <c r="AA412" s="18"/>
      <c r="AB412" s="18"/>
      <c r="AC412" s="18"/>
      <c r="AD412" s="18"/>
      <c r="AE412" s="18"/>
      <c r="AF412" s="18"/>
      <c r="AG412" s="18"/>
      <c r="AH412" s="51"/>
      <c r="AI412" s="18"/>
      <c r="AJ412" s="18"/>
      <c r="AK412" s="18"/>
      <c r="AL412" s="18"/>
      <c r="AM412" s="18"/>
      <c r="AN412" s="18"/>
      <c r="AO412" s="18"/>
      <c r="AP412" s="18"/>
    </row>
    <row r="413" spans="1:42" x14ac:dyDescent="0.25">
      <c r="A413" s="12"/>
      <c r="B413" s="13"/>
      <c r="C413" s="13"/>
      <c r="D413" s="13"/>
      <c r="E413" s="13"/>
      <c r="F413" s="13"/>
      <c r="G413" s="13"/>
      <c r="H413" s="13"/>
      <c r="I413" s="13"/>
      <c r="J413" s="107"/>
      <c r="K413" s="107"/>
      <c r="L413" s="107"/>
      <c r="O413" s="18"/>
      <c r="P413" s="18"/>
      <c r="Q413" s="97"/>
      <c r="R413" s="97"/>
      <c r="S413" s="97"/>
      <c r="T413" s="97"/>
      <c r="U413" s="97"/>
      <c r="V413" s="97"/>
      <c r="W413" s="97"/>
      <c r="X413" s="51"/>
      <c r="Y413" s="18"/>
      <c r="Z413" s="18"/>
      <c r="AA413" s="18"/>
      <c r="AB413" s="18"/>
      <c r="AC413" s="18"/>
      <c r="AD413" s="18"/>
      <c r="AE413" s="18"/>
      <c r="AF413" s="18"/>
      <c r="AG413" s="18"/>
      <c r="AH413" s="51"/>
      <c r="AI413" s="18"/>
      <c r="AJ413" s="18"/>
      <c r="AK413" s="18"/>
      <c r="AL413" s="18"/>
      <c r="AM413" s="18"/>
      <c r="AN413" s="18"/>
      <c r="AO413" s="18"/>
      <c r="AP413" s="18"/>
    </row>
    <row r="414" spans="1:42" x14ac:dyDescent="0.25">
      <c r="A414" s="12"/>
      <c r="B414" s="13"/>
      <c r="C414" s="13"/>
      <c r="D414" s="13"/>
      <c r="E414" s="13"/>
      <c r="F414" s="13"/>
      <c r="G414" s="13"/>
      <c r="H414" s="13"/>
      <c r="I414" s="13"/>
      <c r="J414" s="100"/>
      <c r="K414" s="100"/>
      <c r="L414" s="100"/>
      <c r="O414" s="18"/>
      <c r="P414" s="18"/>
      <c r="Q414" s="97"/>
      <c r="R414" s="97"/>
      <c r="S414" s="97"/>
      <c r="T414" s="97"/>
      <c r="U414" s="97"/>
      <c r="V414" s="97"/>
      <c r="W414" s="97"/>
      <c r="X414" s="51"/>
      <c r="Y414" s="18"/>
      <c r="Z414" s="18"/>
      <c r="AA414" s="18"/>
      <c r="AB414" s="18"/>
      <c r="AC414" s="18"/>
      <c r="AD414" s="18"/>
      <c r="AE414" s="18"/>
      <c r="AF414" s="18"/>
      <c r="AG414" s="18"/>
      <c r="AH414" s="51"/>
      <c r="AI414" s="18"/>
      <c r="AJ414" s="18"/>
      <c r="AK414" s="18"/>
      <c r="AL414" s="18"/>
      <c r="AM414" s="18"/>
      <c r="AN414" s="18"/>
      <c r="AO414" s="18"/>
      <c r="AP414" s="18"/>
    </row>
    <row r="415" spans="1:42" x14ac:dyDescent="0.25">
      <c r="A415" s="12"/>
      <c r="B415" s="13"/>
      <c r="C415" s="13"/>
      <c r="D415" s="13"/>
      <c r="E415" s="13"/>
      <c r="F415" s="13"/>
      <c r="G415" s="13"/>
      <c r="H415" s="13"/>
      <c r="I415" s="13"/>
      <c r="J415" s="70"/>
      <c r="K415" s="70"/>
      <c r="L415" s="70"/>
      <c r="O415" s="18"/>
      <c r="P415" s="18"/>
      <c r="Q415" s="97"/>
      <c r="R415" s="97"/>
      <c r="S415" s="97"/>
      <c r="T415" s="97"/>
      <c r="U415" s="97"/>
      <c r="V415" s="97"/>
      <c r="W415" s="97"/>
      <c r="X415" s="51"/>
      <c r="Y415" s="18"/>
      <c r="Z415" s="18"/>
      <c r="AA415" s="18"/>
      <c r="AB415" s="18"/>
      <c r="AC415" s="18"/>
      <c r="AD415" s="18"/>
      <c r="AE415" s="18"/>
      <c r="AF415" s="18"/>
      <c r="AG415" s="18"/>
      <c r="AH415" s="51"/>
      <c r="AI415" s="18"/>
      <c r="AJ415" s="18"/>
      <c r="AK415" s="18"/>
      <c r="AL415" s="18"/>
      <c r="AM415" s="18"/>
      <c r="AN415" s="18"/>
      <c r="AO415" s="18"/>
      <c r="AP415" s="18"/>
    </row>
    <row r="416" spans="1:42" x14ac:dyDescent="0.25">
      <c r="A416" s="12"/>
      <c r="B416" s="13"/>
      <c r="C416" s="13"/>
      <c r="D416" s="13"/>
      <c r="E416" s="13"/>
      <c r="F416" s="13"/>
      <c r="G416" s="13"/>
      <c r="H416" s="13"/>
      <c r="I416" s="13"/>
      <c r="J416" s="70"/>
      <c r="K416" s="70"/>
      <c r="L416" s="70"/>
      <c r="O416" s="18"/>
      <c r="P416" s="18"/>
      <c r="Q416" s="97"/>
      <c r="R416" s="97"/>
      <c r="S416" s="97"/>
      <c r="T416" s="97"/>
      <c r="U416" s="97"/>
      <c r="V416" s="97"/>
      <c r="W416" s="97"/>
      <c r="X416" s="51"/>
      <c r="Y416" s="18"/>
      <c r="Z416" s="18"/>
      <c r="AA416" s="18"/>
      <c r="AB416" s="18"/>
      <c r="AC416" s="18"/>
      <c r="AD416" s="18"/>
      <c r="AE416" s="18"/>
      <c r="AF416" s="18"/>
      <c r="AG416" s="18"/>
      <c r="AH416" s="51"/>
      <c r="AI416" s="18"/>
      <c r="AJ416" s="18"/>
      <c r="AK416" s="18"/>
      <c r="AL416" s="18"/>
      <c r="AM416" s="18"/>
      <c r="AN416" s="18"/>
      <c r="AO416" s="18"/>
      <c r="AP416" s="18"/>
    </row>
    <row r="417" spans="1:42" x14ac:dyDescent="0.25">
      <c r="A417" s="12"/>
      <c r="B417" s="13"/>
      <c r="C417" s="13"/>
      <c r="D417" s="13"/>
      <c r="E417" s="13"/>
      <c r="F417" s="13"/>
      <c r="G417" s="13"/>
      <c r="H417" s="13"/>
      <c r="I417" s="13"/>
      <c r="J417" s="70"/>
      <c r="K417" s="70"/>
      <c r="L417" s="70"/>
      <c r="O417" s="18"/>
      <c r="P417" s="18"/>
      <c r="Q417" s="97"/>
      <c r="R417" s="97"/>
      <c r="S417" s="97"/>
      <c r="T417" s="97"/>
      <c r="U417" s="97"/>
      <c r="V417" s="97"/>
      <c r="W417" s="97"/>
      <c r="X417" s="51"/>
      <c r="Y417" s="18"/>
      <c r="Z417" s="18"/>
      <c r="AA417" s="18"/>
      <c r="AB417" s="18"/>
      <c r="AC417" s="18"/>
      <c r="AD417" s="18"/>
      <c r="AE417" s="18"/>
      <c r="AF417" s="18"/>
      <c r="AG417" s="18"/>
      <c r="AH417" s="51"/>
      <c r="AI417" s="18"/>
      <c r="AJ417" s="18"/>
      <c r="AK417" s="18"/>
      <c r="AL417" s="18"/>
      <c r="AM417" s="18"/>
      <c r="AN417" s="18"/>
      <c r="AO417" s="18"/>
      <c r="AP417" s="18"/>
    </row>
    <row r="418" spans="1:42" x14ac:dyDescent="0.25">
      <c r="A418" s="12"/>
      <c r="B418" s="13"/>
      <c r="C418" s="13"/>
      <c r="D418" s="13"/>
      <c r="E418" s="13"/>
      <c r="F418" s="13"/>
      <c r="G418" s="13"/>
      <c r="H418" s="13"/>
      <c r="I418" s="13"/>
      <c r="J418" s="70"/>
      <c r="K418" s="70"/>
      <c r="L418" s="70"/>
      <c r="O418" s="18"/>
      <c r="P418" s="18"/>
      <c r="Q418" s="97"/>
      <c r="R418" s="97"/>
      <c r="S418" s="97"/>
      <c r="T418" s="97"/>
      <c r="U418" s="97"/>
      <c r="V418" s="97"/>
      <c r="W418" s="97"/>
      <c r="X418" s="51"/>
      <c r="Y418" s="18"/>
      <c r="Z418" s="18"/>
      <c r="AA418" s="18"/>
      <c r="AB418" s="18"/>
      <c r="AC418" s="18"/>
      <c r="AD418" s="18"/>
      <c r="AE418" s="18"/>
      <c r="AF418" s="18"/>
      <c r="AG418" s="18"/>
      <c r="AH418" s="51"/>
      <c r="AI418" s="18"/>
      <c r="AJ418" s="18"/>
      <c r="AK418" s="18"/>
      <c r="AL418" s="18"/>
      <c r="AM418" s="18"/>
      <c r="AN418" s="18"/>
      <c r="AO418" s="18"/>
      <c r="AP418" s="18"/>
    </row>
    <row r="419" spans="1:42" x14ac:dyDescent="0.25">
      <c r="A419" s="12"/>
      <c r="B419" s="13"/>
      <c r="C419" s="13"/>
      <c r="D419" s="13"/>
      <c r="E419" s="13"/>
      <c r="F419" s="13"/>
      <c r="G419" s="13"/>
      <c r="H419" s="13"/>
      <c r="I419" s="13"/>
      <c r="J419" s="70"/>
      <c r="K419" s="70"/>
      <c r="L419" s="70"/>
      <c r="O419" s="18"/>
      <c r="P419" s="18"/>
      <c r="Q419" s="97"/>
      <c r="R419" s="97"/>
      <c r="S419" s="97"/>
      <c r="T419" s="97"/>
      <c r="U419" s="97"/>
      <c r="V419" s="97"/>
      <c r="W419" s="97"/>
      <c r="X419" s="51"/>
      <c r="Y419" s="18"/>
      <c r="Z419" s="18"/>
      <c r="AA419" s="18"/>
      <c r="AB419" s="18"/>
      <c r="AC419" s="18"/>
      <c r="AD419" s="18"/>
      <c r="AE419" s="18"/>
      <c r="AF419" s="18"/>
      <c r="AG419" s="18"/>
      <c r="AH419" s="51"/>
      <c r="AI419" s="18"/>
      <c r="AJ419" s="18"/>
      <c r="AK419" s="18"/>
      <c r="AL419" s="18"/>
      <c r="AM419" s="18"/>
      <c r="AN419" s="18"/>
      <c r="AO419" s="18"/>
      <c r="AP419" s="18"/>
    </row>
    <row r="420" spans="1:42" x14ac:dyDescent="0.25">
      <c r="A420" s="12"/>
      <c r="B420" s="13"/>
      <c r="C420" s="13"/>
      <c r="D420" s="13"/>
      <c r="E420" s="13"/>
      <c r="F420" s="13"/>
      <c r="G420" s="13"/>
      <c r="H420" s="13"/>
      <c r="I420" s="13"/>
      <c r="J420" s="70"/>
      <c r="K420" s="70"/>
      <c r="L420" s="70"/>
      <c r="O420" s="18"/>
      <c r="P420" s="18"/>
      <c r="Q420" s="97"/>
      <c r="R420" s="97"/>
      <c r="S420" s="97"/>
      <c r="T420" s="97"/>
      <c r="U420" s="97"/>
      <c r="V420" s="97"/>
      <c r="W420" s="97"/>
      <c r="X420" s="51"/>
      <c r="Y420" s="18"/>
      <c r="Z420" s="18"/>
      <c r="AA420" s="18"/>
      <c r="AB420" s="18"/>
      <c r="AC420" s="18"/>
      <c r="AD420" s="18"/>
      <c r="AE420" s="18"/>
      <c r="AF420" s="18"/>
      <c r="AG420" s="18"/>
      <c r="AH420" s="51"/>
      <c r="AI420" s="18"/>
      <c r="AJ420" s="18"/>
      <c r="AK420" s="18"/>
      <c r="AL420" s="18"/>
      <c r="AM420" s="18"/>
      <c r="AN420" s="18"/>
      <c r="AO420" s="18"/>
      <c r="AP420" s="18"/>
    </row>
    <row r="421" spans="1:42" x14ac:dyDescent="0.25">
      <c r="A421" s="12"/>
      <c r="B421" s="13"/>
      <c r="C421" s="13"/>
      <c r="D421" s="13"/>
      <c r="E421" s="13"/>
      <c r="F421" s="13"/>
      <c r="G421" s="13"/>
      <c r="H421" s="13"/>
      <c r="I421" s="13"/>
      <c r="J421" s="70"/>
      <c r="K421" s="70"/>
      <c r="L421" s="70"/>
      <c r="O421" s="18"/>
      <c r="P421" s="18"/>
      <c r="Q421" s="97"/>
      <c r="R421" s="97"/>
      <c r="S421" s="97"/>
      <c r="T421" s="97"/>
      <c r="U421" s="97"/>
      <c r="V421" s="97"/>
      <c r="W421" s="97"/>
      <c r="X421" s="51"/>
      <c r="Y421" s="18"/>
      <c r="Z421" s="18"/>
      <c r="AA421" s="18"/>
      <c r="AB421" s="18"/>
      <c r="AC421" s="18"/>
      <c r="AD421" s="18"/>
      <c r="AE421" s="18"/>
      <c r="AF421" s="18"/>
      <c r="AG421" s="18"/>
      <c r="AH421" s="51"/>
      <c r="AI421" s="18"/>
      <c r="AJ421" s="18"/>
      <c r="AK421" s="18"/>
      <c r="AL421" s="18"/>
      <c r="AM421" s="18"/>
      <c r="AN421" s="18"/>
      <c r="AO421" s="18"/>
      <c r="AP421" s="18"/>
    </row>
    <row r="422" spans="1:42" x14ac:dyDescent="0.25">
      <c r="A422" s="12"/>
      <c r="B422" s="13"/>
      <c r="C422" s="13"/>
      <c r="D422" s="13"/>
      <c r="E422" s="13"/>
      <c r="F422" s="13"/>
      <c r="G422" s="13"/>
      <c r="H422" s="13"/>
      <c r="I422" s="13"/>
      <c r="J422" s="70"/>
      <c r="K422" s="70"/>
      <c r="L422" s="70"/>
      <c r="O422" s="18"/>
      <c r="P422" s="18"/>
      <c r="Q422" s="97"/>
      <c r="R422" s="97"/>
      <c r="S422" s="97"/>
      <c r="T422" s="97"/>
      <c r="U422" s="97"/>
      <c r="V422" s="97"/>
      <c r="W422" s="97"/>
      <c r="X422" s="51"/>
      <c r="Y422" s="18"/>
      <c r="Z422" s="18"/>
      <c r="AA422" s="18"/>
      <c r="AB422" s="18"/>
      <c r="AC422" s="18"/>
      <c r="AD422" s="18"/>
      <c r="AE422" s="18"/>
      <c r="AF422" s="18"/>
      <c r="AG422" s="18"/>
      <c r="AH422" s="51"/>
      <c r="AI422" s="18"/>
      <c r="AJ422" s="18"/>
      <c r="AK422" s="18"/>
      <c r="AL422" s="18"/>
      <c r="AM422" s="18"/>
      <c r="AN422" s="18"/>
      <c r="AO422" s="18"/>
      <c r="AP422" s="18"/>
    </row>
    <row r="423" spans="1:42" x14ac:dyDescent="0.25">
      <c r="A423" s="12"/>
      <c r="B423" s="13"/>
      <c r="C423" s="13"/>
      <c r="D423" s="13"/>
      <c r="E423" s="13"/>
      <c r="F423" s="13"/>
      <c r="G423" s="13"/>
      <c r="H423" s="13"/>
      <c r="I423" s="13"/>
      <c r="J423" s="70"/>
      <c r="K423" s="70"/>
      <c r="L423" s="70"/>
      <c r="O423" s="18"/>
      <c r="P423" s="18"/>
      <c r="Q423" s="97"/>
      <c r="R423" s="97"/>
      <c r="S423" s="97"/>
      <c r="T423" s="97"/>
      <c r="U423" s="97"/>
      <c r="V423" s="97"/>
      <c r="W423" s="97"/>
      <c r="X423" s="51"/>
      <c r="Y423" s="18"/>
      <c r="Z423" s="18"/>
      <c r="AA423" s="18"/>
      <c r="AB423" s="18"/>
      <c r="AC423" s="18"/>
      <c r="AD423" s="18"/>
      <c r="AE423" s="18"/>
      <c r="AF423" s="18"/>
      <c r="AG423" s="18"/>
      <c r="AH423" s="51"/>
      <c r="AI423" s="18"/>
      <c r="AJ423" s="18"/>
      <c r="AK423" s="18"/>
      <c r="AL423" s="18"/>
      <c r="AM423" s="18"/>
      <c r="AN423" s="18"/>
      <c r="AO423" s="18"/>
      <c r="AP423" s="18"/>
    </row>
    <row r="424" spans="1:42" x14ac:dyDescent="0.25">
      <c r="A424" s="12"/>
      <c r="B424" s="13"/>
      <c r="C424" s="13"/>
      <c r="D424" s="13"/>
      <c r="E424" s="13"/>
      <c r="F424" s="13"/>
      <c r="G424" s="13"/>
      <c r="H424" s="13"/>
      <c r="I424" s="13"/>
      <c r="J424" s="70"/>
      <c r="K424" s="70"/>
      <c r="L424" s="70"/>
      <c r="O424" s="18"/>
      <c r="P424" s="18"/>
      <c r="Q424" s="97"/>
      <c r="R424" s="97"/>
      <c r="S424" s="97"/>
      <c r="T424" s="97"/>
      <c r="U424" s="97"/>
      <c r="V424" s="97"/>
      <c r="W424" s="97"/>
      <c r="X424" s="51"/>
      <c r="Y424" s="18"/>
      <c r="Z424" s="18"/>
      <c r="AA424" s="18"/>
      <c r="AB424" s="18"/>
      <c r="AC424" s="18"/>
      <c r="AD424" s="18"/>
      <c r="AE424" s="18"/>
      <c r="AF424" s="18"/>
      <c r="AG424" s="18"/>
      <c r="AH424" s="51"/>
      <c r="AI424" s="18"/>
      <c r="AJ424" s="18"/>
      <c r="AK424" s="18"/>
      <c r="AL424" s="18"/>
      <c r="AM424" s="18"/>
      <c r="AN424" s="18"/>
      <c r="AO424" s="18"/>
      <c r="AP424" s="18"/>
    </row>
    <row r="425" spans="1:42" x14ac:dyDescent="0.25">
      <c r="A425" s="12"/>
      <c r="B425" s="13"/>
      <c r="C425" s="13"/>
      <c r="D425" s="13"/>
      <c r="E425" s="13"/>
      <c r="F425" s="13"/>
      <c r="G425" s="13"/>
      <c r="H425" s="13"/>
      <c r="I425" s="13"/>
      <c r="J425" s="70"/>
      <c r="K425" s="70"/>
      <c r="L425" s="70"/>
      <c r="O425" s="18"/>
      <c r="P425" s="18"/>
      <c r="Q425" s="97"/>
      <c r="R425" s="97"/>
      <c r="S425" s="97"/>
      <c r="T425" s="97"/>
      <c r="U425" s="97"/>
      <c r="V425" s="97"/>
      <c r="W425" s="97"/>
      <c r="X425" s="51"/>
      <c r="Y425" s="18"/>
      <c r="Z425" s="18"/>
      <c r="AA425" s="18"/>
      <c r="AB425" s="18"/>
      <c r="AC425" s="18"/>
      <c r="AD425" s="18"/>
      <c r="AE425" s="18"/>
      <c r="AF425" s="18"/>
      <c r="AG425" s="18"/>
      <c r="AH425" s="51"/>
      <c r="AI425" s="18"/>
      <c r="AJ425" s="18"/>
      <c r="AK425" s="18"/>
      <c r="AL425" s="18"/>
      <c r="AM425" s="18"/>
      <c r="AN425" s="18"/>
      <c r="AO425" s="18"/>
      <c r="AP425" s="18"/>
    </row>
    <row r="426" spans="1:42" x14ac:dyDescent="0.25">
      <c r="A426" s="12"/>
      <c r="B426" s="13"/>
      <c r="C426" s="13"/>
      <c r="D426" s="13"/>
      <c r="E426" s="13"/>
      <c r="F426" s="13"/>
      <c r="G426" s="13"/>
      <c r="H426" s="13"/>
      <c r="I426" s="13"/>
      <c r="J426" s="70"/>
      <c r="K426" s="70"/>
      <c r="L426" s="70"/>
      <c r="O426" s="18"/>
      <c r="P426" s="18"/>
      <c r="Q426" s="97"/>
      <c r="R426" s="97"/>
      <c r="S426" s="97"/>
      <c r="T426" s="97"/>
      <c r="U426" s="97"/>
      <c r="V426" s="97"/>
      <c r="W426" s="97"/>
      <c r="X426" s="51"/>
      <c r="Y426" s="18"/>
      <c r="Z426" s="18"/>
      <c r="AA426" s="18"/>
      <c r="AB426" s="18"/>
      <c r="AC426" s="18"/>
      <c r="AD426" s="18"/>
      <c r="AE426" s="18"/>
      <c r="AF426" s="18"/>
      <c r="AG426" s="18"/>
      <c r="AH426" s="51"/>
      <c r="AI426" s="18"/>
      <c r="AJ426" s="18"/>
      <c r="AK426" s="18"/>
      <c r="AL426" s="18"/>
      <c r="AM426" s="18"/>
      <c r="AN426" s="18"/>
      <c r="AO426" s="18"/>
      <c r="AP426" s="18"/>
    </row>
    <row r="427" spans="1:42" x14ac:dyDescent="0.25">
      <c r="A427" s="12"/>
      <c r="B427" s="13"/>
      <c r="C427" s="13"/>
      <c r="D427" s="13"/>
      <c r="E427" s="13"/>
      <c r="F427" s="13"/>
      <c r="G427" s="13"/>
      <c r="H427" s="13"/>
      <c r="I427" s="13"/>
      <c r="J427" s="100"/>
      <c r="K427" s="100"/>
      <c r="L427" s="100"/>
      <c r="O427" s="18"/>
      <c r="P427" s="18"/>
      <c r="Q427" s="97"/>
      <c r="R427" s="97"/>
      <c r="S427" s="97"/>
      <c r="T427" s="97"/>
      <c r="U427" s="97"/>
      <c r="V427" s="97"/>
      <c r="W427" s="97"/>
      <c r="X427" s="51"/>
      <c r="Y427" s="18"/>
      <c r="Z427" s="18"/>
      <c r="AA427" s="18"/>
      <c r="AB427" s="18"/>
      <c r="AC427" s="18"/>
      <c r="AD427" s="18"/>
      <c r="AE427" s="18"/>
      <c r="AF427" s="18"/>
      <c r="AG427" s="18"/>
      <c r="AH427" s="51"/>
      <c r="AI427" s="18"/>
      <c r="AJ427" s="18"/>
      <c r="AK427" s="18"/>
      <c r="AL427" s="18"/>
      <c r="AM427" s="18"/>
      <c r="AN427" s="18"/>
      <c r="AO427" s="18"/>
      <c r="AP427" s="18"/>
    </row>
    <row r="428" spans="1:42" x14ac:dyDescent="0.25">
      <c r="A428" s="12"/>
      <c r="B428" s="13"/>
      <c r="C428" s="13"/>
      <c r="D428" s="13"/>
      <c r="E428" s="13"/>
      <c r="F428" s="13"/>
      <c r="G428" s="13"/>
      <c r="H428" s="13"/>
      <c r="I428" s="13"/>
      <c r="J428" s="70"/>
      <c r="K428" s="70"/>
      <c r="L428" s="70"/>
      <c r="O428" s="18"/>
      <c r="P428" s="18"/>
      <c r="Q428" s="97"/>
      <c r="R428" s="97"/>
      <c r="S428" s="97"/>
      <c r="T428" s="97"/>
      <c r="U428" s="97"/>
      <c r="V428" s="97"/>
      <c r="W428" s="97"/>
      <c r="X428" s="51"/>
      <c r="Y428" s="18"/>
      <c r="Z428" s="18"/>
      <c r="AA428" s="18"/>
      <c r="AB428" s="18"/>
      <c r="AC428" s="18"/>
      <c r="AD428" s="18"/>
      <c r="AE428" s="18"/>
      <c r="AF428" s="18"/>
      <c r="AG428" s="18"/>
      <c r="AH428" s="51"/>
      <c r="AI428" s="18"/>
      <c r="AJ428" s="18"/>
      <c r="AK428" s="18"/>
      <c r="AL428" s="18"/>
      <c r="AM428" s="18"/>
      <c r="AN428" s="18"/>
      <c r="AO428" s="18"/>
      <c r="AP428" s="18"/>
    </row>
    <row r="429" spans="1:42" x14ac:dyDescent="0.25">
      <c r="A429" s="12"/>
      <c r="B429" s="13"/>
      <c r="C429" s="13"/>
      <c r="D429" s="13"/>
      <c r="E429" s="13"/>
      <c r="F429" s="13"/>
      <c r="G429" s="13"/>
      <c r="H429" s="13"/>
      <c r="I429" s="13"/>
      <c r="J429" s="70"/>
      <c r="K429" s="70"/>
      <c r="L429" s="70"/>
      <c r="O429" s="18"/>
      <c r="P429" s="18"/>
      <c r="Q429" s="97"/>
      <c r="R429" s="97"/>
      <c r="S429" s="97"/>
      <c r="T429" s="97"/>
      <c r="U429" s="97"/>
      <c r="V429" s="97"/>
      <c r="W429" s="97"/>
      <c r="X429" s="51"/>
      <c r="Y429" s="18"/>
      <c r="Z429" s="18"/>
      <c r="AA429" s="18"/>
      <c r="AB429" s="18"/>
      <c r="AC429" s="18"/>
      <c r="AD429" s="18"/>
      <c r="AE429" s="18"/>
      <c r="AF429" s="18"/>
      <c r="AG429" s="18"/>
      <c r="AH429" s="51"/>
      <c r="AI429" s="18"/>
      <c r="AJ429" s="18"/>
      <c r="AK429" s="18"/>
      <c r="AL429" s="18"/>
      <c r="AM429" s="18"/>
      <c r="AN429" s="18"/>
      <c r="AO429" s="18"/>
      <c r="AP429" s="18"/>
    </row>
    <row r="430" spans="1:42" x14ac:dyDescent="0.25">
      <c r="A430" s="12"/>
      <c r="B430" s="13"/>
      <c r="C430" s="13"/>
      <c r="D430" s="13"/>
      <c r="E430" s="13"/>
      <c r="F430" s="13"/>
      <c r="G430" s="13"/>
      <c r="H430" s="13"/>
      <c r="I430" s="13"/>
      <c r="J430" s="70"/>
      <c r="K430" s="70"/>
      <c r="L430" s="70"/>
      <c r="O430" s="18"/>
      <c r="P430" s="18"/>
      <c r="Q430" s="97"/>
      <c r="R430" s="97"/>
      <c r="S430" s="97"/>
      <c r="T430" s="97"/>
      <c r="U430" s="97"/>
      <c r="V430" s="97"/>
      <c r="W430" s="97"/>
      <c r="X430" s="51"/>
      <c r="Y430" s="18"/>
      <c r="Z430" s="18"/>
      <c r="AA430" s="18"/>
      <c r="AB430" s="18"/>
      <c r="AC430" s="18"/>
      <c r="AD430" s="18"/>
      <c r="AE430" s="18"/>
      <c r="AF430" s="18"/>
      <c r="AG430" s="18"/>
      <c r="AH430" s="51"/>
      <c r="AI430" s="18"/>
      <c r="AJ430" s="18"/>
      <c r="AK430" s="18"/>
      <c r="AL430" s="18"/>
      <c r="AM430" s="18"/>
      <c r="AN430" s="18"/>
      <c r="AO430" s="18"/>
      <c r="AP430" s="18"/>
    </row>
    <row r="431" spans="1:42" x14ac:dyDescent="0.25">
      <c r="A431" s="12"/>
      <c r="B431" s="13"/>
      <c r="C431" s="13"/>
      <c r="D431" s="13"/>
      <c r="E431" s="13"/>
      <c r="F431" s="13"/>
      <c r="G431" s="13"/>
      <c r="H431" s="13"/>
      <c r="I431" s="13"/>
      <c r="J431" s="100"/>
      <c r="K431" s="100"/>
      <c r="L431" s="100"/>
      <c r="O431" s="18"/>
      <c r="P431" s="18"/>
      <c r="Q431" s="97"/>
      <c r="R431" s="97"/>
      <c r="S431" s="97"/>
      <c r="T431" s="97"/>
      <c r="U431" s="97"/>
      <c r="V431" s="97"/>
      <c r="W431" s="97"/>
      <c r="X431" s="51"/>
      <c r="Y431" s="18"/>
      <c r="Z431" s="18"/>
      <c r="AA431" s="18"/>
      <c r="AB431" s="18"/>
      <c r="AC431" s="18"/>
      <c r="AD431" s="18"/>
      <c r="AE431" s="18"/>
      <c r="AF431" s="18"/>
      <c r="AG431" s="18"/>
      <c r="AH431" s="51"/>
      <c r="AI431" s="18"/>
      <c r="AJ431" s="18"/>
      <c r="AK431" s="18"/>
      <c r="AL431" s="18"/>
      <c r="AM431" s="18"/>
      <c r="AN431" s="18"/>
      <c r="AO431" s="18"/>
      <c r="AP431" s="18"/>
    </row>
    <row r="432" spans="1:42" x14ac:dyDescent="0.25">
      <c r="A432" s="12"/>
      <c r="B432" s="13"/>
      <c r="C432" s="13"/>
      <c r="D432" s="13"/>
      <c r="E432" s="13"/>
      <c r="F432" s="13"/>
      <c r="G432" s="13"/>
      <c r="H432" s="13"/>
      <c r="I432" s="13"/>
      <c r="J432" s="100"/>
      <c r="K432" s="100"/>
      <c r="L432" s="100"/>
      <c r="O432" s="18"/>
      <c r="P432" s="18"/>
      <c r="Q432" s="97"/>
      <c r="R432" s="97"/>
      <c r="S432" s="97"/>
      <c r="T432" s="97"/>
      <c r="U432" s="97"/>
      <c r="V432" s="97"/>
      <c r="W432" s="97"/>
      <c r="X432" s="51"/>
      <c r="Y432" s="18"/>
      <c r="Z432" s="18"/>
      <c r="AA432" s="18"/>
      <c r="AB432" s="18"/>
      <c r="AC432" s="18"/>
      <c r="AD432" s="18"/>
      <c r="AE432" s="18"/>
      <c r="AF432" s="18"/>
      <c r="AG432" s="18"/>
      <c r="AH432" s="51"/>
      <c r="AI432" s="18"/>
      <c r="AJ432" s="18"/>
      <c r="AK432" s="18"/>
      <c r="AL432" s="18"/>
      <c r="AM432" s="18"/>
      <c r="AN432" s="18"/>
      <c r="AO432" s="18"/>
      <c r="AP432" s="18"/>
    </row>
    <row r="433" spans="1:42" x14ac:dyDescent="0.25">
      <c r="A433" s="12"/>
      <c r="B433" s="13"/>
      <c r="C433" s="13"/>
      <c r="D433" s="13"/>
      <c r="E433" s="13"/>
      <c r="F433" s="13"/>
      <c r="G433" s="13"/>
      <c r="H433" s="13"/>
      <c r="I433" s="13"/>
      <c r="J433" s="107"/>
      <c r="K433" s="107"/>
      <c r="L433" s="107"/>
      <c r="O433" s="18"/>
      <c r="P433" s="18"/>
      <c r="Q433" s="97"/>
      <c r="R433" s="97"/>
      <c r="S433" s="97"/>
      <c r="T433" s="97"/>
      <c r="U433" s="97"/>
      <c r="V433" s="97"/>
      <c r="W433" s="97"/>
      <c r="X433" s="51"/>
      <c r="Y433" s="18"/>
      <c r="Z433" s="18"/>
      <c r="AA433" s="18"/>
      <c r="AB433" s="18"/>
      <c r="AC433" s="18"/>
      <c r="AD433" s="18"/>
      <c r="AE433" s="18"/>
      <c r="AF433" s="18"/>
      <c r="AG433" s="18"/>
      <c r="AH433" s="51"/>
      <c r="AI433" s="18"/>
      <c r="AJ433" s="18"/>
      <c r="AK433" s="18"/>
      <c r="AL433" s="18"/>
      <c r="AM433" s="18"/>
      <c r="AN433" s="18"/>
      <c r="AO433" s="18"/>
      <c r="AP433" s="18"/>
    </row>
    <row r="434" spans="1:42" x14ac:dyDescent="0.25">
      <c r="A434" s="12"/>
      <c r="B434" s="13"/>
      <c r="C434" s="13"/>
      <c r="D434" s="13"/>
      <c r="E434" s="13"/>
      <c r="F434" s="13"/>
      <c r="G434" s="13"/>
      <c r="H434" s="13"/>
      <c r="I434" s="13"/>
      <c r="J434" s="70"/>
      <c r="K434" s="70"/>
      <c r="L434" s="70"/>
      <c r="O434" s="18"/>
      <c r="P434" s="18"/>
      <c r="Q434" s="97"/>
      <c r="R434" s="97"/>
      <c r="S434" s="97"/>
      <c r="T434" s="97"/>
      <c r="U434" s="97"/>
      <c r="V434" s="97"/>
      <c r="W434" s="97"/>
      <c r="X434" s="51"/>
      <c r="Y434" s="18"/>
      <c r="Z434" s="18"/>
      <c r="AA434" s="18"/>
      <c r="AB434" s="18"/>
      <c r="AC434" s="18"/>
      <c r="AD434" s="18"/>
      <c r="AE434" s="18"/>
      <c r="AF434" s="18"/>
      <c r="AG434" s="18"/>
      <c r="AH434" s="51"/>
      <c r="AI434" s="18"/>
      <c r="AJ434" s="18"/>
      <c r="AK434" s="18"/>
      <c r="AL434" s="18"/>
      <c r="AM434" s="18"/>
      <c r="AN434" s="18"/>
      <c r="AO434" s="18"/>
      <c r="AP434" s="18"/>
    </row>
    <row r="435" spans="1:42" x14ac:dyDescent="0.25">
      <c r="A435" s="12"/>
      <c r="B435" s="13"/>
      <c r="C435" s="13"/>
      <c r="D435" s="13"/>
      <c r="E435" s="13"/>
      <c r="F435" s="13"/>
      <c r="G435" s="13"/>
      <c r="H435" s="13"/>
      <c r="I435" s="13"/>
      <c r="J435" s="107"/>
      <c r="K435" s="107"/>
      <c r="L435" s="107"/>
      <c r="O435" s="18"/>
      <c r="P435" s="18"/>
      <c r="Q435" s="97"/>
      <c r="R435" s="97"/>
      <c r="S435" s="97"/>
      <c r="T435" s="97"/>
      <c r="U435" s="97"/>
      <c r="V435" s="97"/>
      <c r="W435" s="97"/>
      <c r="X435" s="51"/>
      <c r="Y435" s="18"/>
      <c r="Z435" s="18"/>
      <c r="AA435" s="18"/>
      <c r="AB435" s="18"/>
      <c r="AC435" s="18"/>
      <c r="AD435" s="18"/>
      <c r="AE435" s="18"/>
      <c r="AF435" s="18"/>
      <c r="AG435" s="18"/>
      <c r="AH435" s="51"/>
      <c r="AI435" s="18"/>
      <c r="AJ435" s="18"/>
      <c r="AK435" s="18"/>
      <c r="AL435" s="18"/>
      <c r="AM435" s="18"/>
      <c r="AN435" s="18"/>
      <c r="AO435" s="18"/>
      <c r="AP435" s="18"/>
    </row>
    <row r="436" spans="1:42" x14ac:dyDescent="0.25">
      <c r="A436" s="12"/>
      <c r="B436" s="13"/>
      <c r="C436" s="13"/>
      <c r="D436" s="13"/>
      <c r="E436" s="13"/>
      <c r="F436" s="13"/>
      <c r="G436" s="13"/>
      <c r="H436" s="13"/>
      <c r="I436" s="13"/>
      <c r="J436" s="100"/>
      <c r="K436" s="100"/>
      <c r="L436" s="100"/>
      <c r="O436" s="18"/>
      <c r="P436" s="18"/>
      <c r="Q436" s="97"/>
      <c r="R436" s="97"/>
      <c r="S436" s="97"/>
      <c r="T436" s="97"/>
      <c r="U436" s="97"/>
      <c r="V436" s="97"/>
      <c r="W436" s="97"/>
      <c r="X436" s="51"/>
      <c r="Y436" s="18"/>
      <c r="Z436" s="18"/>
      <c r="AA436" s="18"/>
      <c r="AB436" s="18"/>
      <c r="AC436" s="18"/>
      <c r="AD436" s="18"/>
      <c r="AE436" s="18"/>
      <c r="AF436" s="18"/>
      <c r="AG436" s="18"/>
      <c r="AH436" s="51"/>
      <c r="AI436" s="18"/>
      <c r="AJ436" s="18"/>
      <c r="AK436" s="18"/>
      <c r="AL436" s="18"/>
      <c r="AM436" s="18"/>
      <c r="AN436" s="18"/>
      <c r="AO436" s="18"/>
      <c r="AP436" s="18"/>
    </row>
    <row r="437" spans="1:42" x14ac:dyDescent="0.25">
      <c r="A437" s="12"/>
      <c r="B437" s="13"/>
      <c r="C437" s="13"/>
      <c r="D437" s="13"/>
      <c r="E437" s="13"/>
      <c r="F437" s="13"/>
      <c r="G437" s="13"/>
      <c r="H437" s="13"/>
      <c r="I437" s="13"/>
      <c r="J437" s="70"/>
      <c r="K437" s="70"/>
      <c r="L437" s="70"/>
      <c r="O437" s="18"/>
      <c r="P437" s="18"/>
      <c r="Q437" s="97"/>
      <c r="R437" s="97"/>
      <c r="S437" s="97"/>
      <c r="T437" s="97"/>
      <c r="U437" s="97"/>
      <c r="V437" s="97"/>
      <c r="W437" s="97"/>
      <c r="X437" s="51"/>
      <c r="Y437" s="18"/>
      <c r="Z437" s="18"/>
      <c r="AA437" s="18"/>
      <c r="AB437" s="18"/>
      <c r="AC437" s="18"/>
      <c r="AD437" s="18"/>
      <c r="AE437" s="18"/>
      <c r="AF437" s="18"/>
      <c r="AG437" s="18"/>
      <c r="AH437" s="51"/>
      <c r="AI437" s="18"/>
      <c r="AJ437" s="18"/>
      <c r="AK437" s="18"/>
      <c r="AL437" s="18"/>
      <c r="AM437" s="18"/>
      <c r="AN437" s="18"/>
      <c r="AO437" s="18"/>
      <c r="AP437" s="18"/>
    </row>
    <row r="438" spans="1:42" x14ac:dyDescent="0.25">
      <c r="A438" s="12"/>
      <c r="B438" s="13"/>
      <c r="C438" s="13"/>
      <c r="D438" s="13"/>
      <c r="E438" s="13"/>
      <c r="F438" s="13"/>
      <c r="G438" s="13"/>
      <c r="H438" s="13"/>
      <c r="I438" s="13"/>
      <c r="J438" s="107"/>
      <c r="K438" s="107"/>
      <c r="L438" s="107"/>
      <c r="O438" s="18"/>
      <c r="P438" s="18"/>
      <c r="Q438" s="97"/>
      <c r="R438" s="97"/>
      <c r="S438" s="97"/>
      <c r="T438" s="97"/>
      <c r="U438" s="97"/>
      <c r="V438" s="97"/>
      <c r="W438" s="97"/>
      <c r="X438" s="51"/>
      <c r="Y438" s="18"/>
      <c r="Z438" s="18"/>
      <c r="AA438" s="18"/>
      <c r="AB438" s="18"/>
      <c r="AC438" s="18"/>
      <c r="AD438" s="18"/>
      <c r="AE438" s="18"/>
      <c r="AF438" s="18"/>
      <c r="AG438" s="18"/>
      <c r="AH438" s="51"/>
      <c r="AI438" s="18"/>
      <c r="AJ438" s="18"/>
      <c r="AK438" s="18"/>
      <c r="AL438" s="18"/>
      <c r="AM438" s="18"/>
      <c r="AN438" s="18"/>
      <c r="AO438" s="18"/>
      <c r="AP438" s="18"/>
    </row>
    <row r="439" spans="1:42" x14ac:dyDescent="0.25">
      <c r="A439" s="12"/>
      <c r="B439" s="13"/>
      <c r="C439" s="13"/>
      <c r="D439" s="13"/>
      <c r="E439" s="13"/>
      <c r="F439" s="13"/>
      <c r="G439" s="13"/>
      <c r="H439" s="13"/>
      <c r="I439" s="13"/>
      <c r="J439" s="100"/>
      <c r="K439" s="100"/>
      <c r="L439" s="100"/>
      <c r="O439" s="18"/>
      <c r="P439" s="18"/>
      <c r="Q439" s="97"/>
      <c r="R439" s="97"/>
      <c r="S439" s="97"/>
      <c r="T439" s="97"/>
      <c r="U439" s="97"/>
      <c r="V439" s="97"/>
      <c r="W439" s="97"/>
      <c r="X439" s="51"/>
      <c r="Y439" s="18"/>
      <c r="Z439" s="18"/>
      <c r="AA439" s="18"/>
      <c r="AB439" s="18"/>
      <c r="AC439" s="18"/>
      <c r="AD439" s="18"/>
      <c r="AE439" s="18"/>
      <c r="AF439" s="18"/>
      <c r="AG439" s="18"/>
      <c r="AH439" s="51"/>
      <c r="AI439" s="18"/>
      <c r="AJ439" s="18"/>
      <c r="AK439" s="18"/>
      <c r="AL439" s="18"/>
      <c r="AM439" s="18"/>
      <c r="AN439" s="18"/>
      <c r="AO439" s="18"/>
      <c r="AP439" s="18"/>
    </row>
    <row r="440" spans="1:42" x14ac:dyDescent="0.25">
      <c r="A440" s="12"/>
      <c r="B440" s="13"/>
      <c r="C440" s="13"/>
      <c r="D440" s="13"/>
      <c r="E440" s="13"/>
      <c r="F440" s="13"/>
      <c r="G440" s="13"/>
      <c r="H440" s="13"/>
      <c r="I440" s="13"/>
      <c r="J440" s="70"/>
      <c r="K440" s="70"/>
      <c r="L440" s="70"/>
      <c r="M440" s="103"/>
      <c r="O440" s="18"/>
      <c r="P440" s="18"/>
      <c r="Q440" s="97"/>
      <c r="R440" s="97"/>
      <c r="S440" s="97"/>
      <c r="T440" s="97"/>
      <c r="U440" s="97"/>
      <c r="V440" s="97"/>
      <c r="W440" s="97"/>
      <c r="X440" s="51"/>
      <c r="Y440" s="18"/>
      <c r="Z440" s="18"/>
      <c r="AA440" s="18"/>
      <c r="AB440" s="18"/>
      <c r="AC440" s="18"/>
      <c r="AD440" s="18"/>
      <c r="AE440" s="18"/>
      <c r="AF440" s="18"/>
      <c r="AG440" s="18"/>
      <c r="AH440" s="51"/>
      <c r="AI440" s="18"/>
      <c r="AJ440" s="18"/>
      <c r="AK440" s="18"/>
      <c r="AL440" s="18"/>
      <c r="AM440" s="18"/>
      <c r="AN440" s="18"/>
      <c r="AO440" s="18"/>
      <c r="AP440" s="18"/>
    </row>
    <row r="441" spans="1:42" x14ac:dyDescent="0.25">
      <c r="A441" s="12"/>
      <c r="B441" s="13"/>
      <c r="C441" s="13"/>
      <c r="D441" s="13"/>
      <c r="E441" s="13"/>
      <c r="F441" s="13"/>
      <c r="G441" s="13"/>
      <c r="H441" s="13"/>
      <c r="I441" s="13"/>
      <c r="J441" s="70"/>
      <c r="K441" s="70"/>
      <c r="L441" s="70"/>
      <c r="O441" s="18"/>
      <c r="P441" s="18"/>
      <c r="Q441" s="97"/>
      <c r="R441" s="97"/>
      <c r="S441" s="97"/>
      <c r="T441" s="97"/>
      <c r="U441" s="97"/>
      <c r="V441" s="97"/>
      <c r="W441" s="97"/>
      <c r="X441" s="51"/>
      <c r="Y441" s="18"/>
      <c r="Z441" s="18"/>
      <c r="AA441" s="18"/>
      <c r="AB441" s="18"/>
      <c r="AC441" s="18"/>
      <c r="AD441" s="18"/>
      <c r="AE441" s="18"/>
      <c r="AF441" s="18"/>
      <c r="AG441" s="18"/>
      <c r="AH441" s="51"/>
      <c r="AI441" s="18"/>
      <c r="AJ441" s="18"/>
      <c r="AK441" s="18"/>
      <c r="AL441" s="18"/>
      <c r="AM441" s="18"/>
      <c r="AN441" s="18"/>
      <c r="AO441" s="18"/>
      <c r="AP441" s="18"/>
    </row>
    <row r="442" spans="1:42" x14ac:dyDescent="0.25">
      <c r="A442" s="12"/>
      <c r="B442" s="13"/>
      <c r="C442" s="13"/>
      <c r="D442" s="13"/>
      <c r="E442" s="13"/>
      <c r="F442" s="13"/>
      <c r="G442" s="13"/>
      <c r="H442" s="13"/>
      <c r="I442" s="13"/>
      <c r="J442" s="100"/>
      <c r="K442" s="100"/>
      <c r="L442" s="100"/>
      <c r="O442" s="18"/>
      <c r="P442" s="18"/>
      <c r="Q442" s="97"/>
      <c r="R442" s="97"/>
      <c r="S442" s="97"/>
      <c r="T442" s="97"/>
      <c r="U442" s="97"/>
      <c r="V442" s="97"/>
      <c r="W442" s="97"/>
      <c r="X442" s="51"/>
      <c r="Y442" s="18"/>
      <c r="Z442" s="18"/>
      <c r="AA442" s="18"/>
      <c r="AB442" s="18"/>
      <c r="AC442" s="18"/>
      <c r="AD442" s="18"/>
      <c r="AE442" s="18"/>
      <c r="AF442" s="18"/>
      <c r="AG442" s="18"/>
      <c r="AH442" s="51"/>
      <c r="AI442" s="18"/>
      <c r="AJ442" s="18"/>
      <c r="AK442" s="18"/>
      <c r="AL442" s="18"/>
      <c r="AM442" s="18"/>
      <c r="AN442" s="18"/>
      <c r="AO442" s="18"/>
      <c r="AP442" s="18"/>
    </row>
    <row r="443" spans="1:42" x14ac:dyDescent="0.25">
      <c r="A443" s="12"/>
      <c r="B443" s="13"/>
      <c r="C443" s="13"/>
      <c r="D443" s="13"/>
      <c r="E443" s="13"/>
      <c r="F443" s="13"/>
      <c r="G443" s="13"/>
      <c r="H443" s="13"/>
      <c r="I443" s="13"/>
      <c r="J443" s="70"/>
      <c r="K443" s="70"/>
      <c r="L443" s="70"/>
      <c r="O443" s="18"/>
      <c r="P443" s="18"/>
      <c r="Q443" s="97"/>
      <c r="R443" s="97"/>
      <c r="S443" s="97"/>
      <c r="T443" s="97"/>
      <c r="U443" s="97"/>
      <c r="V443" s="97"/>
      <c r="W443" s="97"/>
      <c r="X443" s="51"/>
      <c r="Y443" s="18"/>
      <c r="Z443" s="18"/>
      <c r="AA443" s="18"/>
      <c r="AB443" s="18"/>
      <c r="AC443" s="18"/>
      <c r="AD443" s="18"/>
      <c r="AE443" s="18"/>
      <c r="AF443" s="18"/>
      <c r="AG443" s="18"/>
      <c r="AH443" s="51"/>
      <c r="AI443" s="18"/>
      <c r="AJ443" s="18"/>
      <c r="AK443" s="18"/>
      <c r="AL443" s="18"/>
      <c r="AM443" s="18"/>
      <c r="AN443" s="18"/>
      <c r="AO443" s="18"/>
      <c r="AP443" s="18"/>
    </row>
    <row r="444" spans="1:42" x14ac:dyDescent="0.25">
      <c r="A444" s="12"/>
      <c r="B444" s="13"/>
      <c r="C444" s="13"/>
      <c r="D444" s="13"/>
      <c r="E444" s="13"/>
      <c r="F444" s="13"/>
      <c r="G444" s="13"/>
      <c r="H444" s="13"/>
      <c r="I444" s="13"/>
      <c r="J444" s="107"/>
      <c r="K444" s="107"/>
      <c r="L444" s="107"/>
      <c r="O444" s="18"/>
      <c r="P444" s="18"/>
      <c r="Q444" s="97"/>
      <c r="R444" s="97"/>
      <c r="S444" s="97"/>
      <c r="T444" s="97"/>
      <c r="U444" s="97"/>
      <c r="V444" s="97"/>
      <c r="W444" s="97"/>
      <c r="X444" s="51"/>
      <c r="Y444" s="18"/>
      <c r="Z444" s="18"/>
      <c r="AA444" s="18"/>
      <c r="AB444" s="18"/>
      <c r="AC444" s="18"/>
      <c r="AD444" s="18"/>
      <c r="AE444" s="18"/>
      <c r="AF444" s="18"/>
      <c r="AG444" s="18"/>
      <c r="AH444" s="51"/>
      <c r="AI444" s="18"/>
      <c r="AJ444" s="18"/>
      <c r="AK444" s="18"/>
      <c r="AL444" s="18"/>
      <c r="AM444" s="18"/>
      <c r="AN444" s="18"/>
      <c r="AO444" s="18"/>
      <c r="AP444" s="18"/>
    </row>
    <row r="445" spans="1:42" x14ac:dyDescent="0.25">
      <c r="A445" s="12"/>
      <c r="B445" s="13"/>
      <c r="C445" s="13"/>
      <c r="D445" s="13"/>
      <c r="E445" s="13"/>
      <c r="F445" s="13"/>
      <c r="G445" s="13"/>
      <c r="H445" s="13"/>
      <c r="I445" s="13"/>
      <c r="J445" s="70"/>
      <c r="K445" s="70"/>
      <c r="L445" s="70"/>
      <c r="O445" s="18"/>
      <c r="P445" s="18"/>
      <c r="Q445" s="97"/>
      <c r="R445" s="97"/>
      <c r="S445" s="97"/>
      <c r="T445" s="97"/>
      <c r="U445" s="97"/>
      <c r="V445" s="97"/>
      <c r="W445" s="97"/>
      <c r="X445" s="51"/>
      <c r="Y445" s="18"/>
      <c r="Z445" s="18"/>
      <c r="AA445" s="18"/>
      <c r="AB445" s="18"/>
      <c r="AC445" s="18"/>
      <c r="AD445" s="18"/>
      <c r="AE445" s="18"/>
      <c r="AF445" s="18"/>
      <c r="AG445" s="18"/>
      <c r="AH445" s="51"/>
      <c r="AI445" s="18"/>
      <c r="AJ445" s="18"/>
      <c r="AK445" s="18"/>
      <c r="AL445" s="18"/>
      <c r="AM445" s="18"/>
      <c r="AN445" s="18"/>
      <c r="AO445" s="18"/>
      <c r="AP445" s="18"/>
    </row>
    <row r="446" spans="1:42" x14ac:dyDescent="0.25">
      <c r="A446" s="12"/>
      <c r="B446" s="13"/>
      <c r="C446" s="13"/>
      <c r="D446" s="13"/>
      <c r="E446" s="13"/>
      <c r="F446" s="13"/>
      <c r="G446" s="13"/>
      <c r="H446" s="13"/>
      <c r="I446" s="13"/>
      <c r="J446" s="100"/>
      <c r="K446" s="100"/>
      <c r="L446" s="100"/>
      <c r="O446" s="18"/>
      <c r="P446" s="18"/>
      <c r="Q446" s="97"/>
      <c r="R446" s="97"/>
      <c r="S446" s="97"/>
      <c r="T446" s="97"/>
      <c r="U446" s="97"/>
      <c r="V446" s="97"/>
      <c r="W446" s="97"/>
      <c r="X446" s="51"/>
      <c r="Y446" s="18"/>
      <c r="Z446" s="18"/>
      <c r="AA446" s="18"/>
      <c r="AB446" s="18"/>
      <c r="AC446" s="18"/>
      <c r="AD446" s="18"/>
      <c r="AE446" s="18"/>
      <c r="AF446" s="18"/>
      <c r="AG446" s="18"/>
      <c r="AH446" s="51"/>
      <c r="AI446" s="18"/>
      <c r="AJ446" s="18"/>
      <c r="AK446" s="18"/>
      <c r="AL446" s="18"/>
      <c r="AM446" s="18"/>
      <c r="AN446" s="18"/>
      <c r="AO446" s="18"/>
      <c r="AP446" s="18"/>
    </row>
    <row r="447" spans="1:42" ht="15" customHeight="1" x14ac:dyDescent="0.25">
      <c r="A447" s="12"/>
      <c r="B447" s="13"/>
      <c r="C447" s="13"/>
      <c r="D447" s="13"/>
      <c r="E447" s="13"/>
      <c r="F447" s="13"/>
      <c r="G447" s="13"/>
      <c r="H447" s="13"/>
      <c r="I447" s="13"/>
      <c r="J447" s="70"/>
      <c r="K447" s="70"/>
      <c r="L447" s="70"/>
      <c r="O447" s="18"/>
      <c r="P447" s="18"/>
      <c r="Q447" s="97"/>
      <c r="R447" s="97"/>
      <c r="S447" s="97"/>
      <c r="T447" s="97"/>
      <c r="U447" s="97"/>
      <c r="V447" s="97"/>
      <c r="W447" s="97"/>
      <c r="X447" s="51"/>
      <c r="Y447" s="18"/>
      <c r="Z447" s="18"/>
      <c r="AA447" s="18"/>
      <c r="AB447" s="18"/>
      <c r="AC447" s="18"/>
      <c r="AD447" s="18"/>
      <c r="AE447" s="18"/>
      <c r="AF447" s="18"/>
      <c r="AG447" s="18"/>
      <c r="AH447" s="51"/>
      <c r="AI447" s="18"/>
      <c r="AJ447" s="18"/>
      <c r="AK447" s="18"/>
      <c r="AL447" s="18"/>
      <c r="AM447" s="18"/>
      <c r="AN447" s="18"/>
      <c r="AO447" s="18"/>
      <c r="AP447" s="18"/>
    </row>
    <row r="448" spans="1:42" x14ac:dyDescent="0.25">
      <c r="A448" s="12"/>
      <c r="B448" s="13"/>
      <c r="C448" s="13"/>
      <c r="D448" s="13"/>
      <c r="E448" s="13"/>
      <c r="F448" s="13"/>
      <c r="G448" s="13"/>
      <c r="H448" s="13"/>
      <c r="I448" s="13"/>
      <c r="J448" s="100"/>
      <c r="K448" s="100"/>
      <c r="L448" s="100"/>
      <c r="O448" s="18"/>
      <c r="P448" s="18"/>
      <c r="Q448" s="97"/>
      <c r="R448" s="97"/>
      <c r="S448" s="97"/>
      <c r="T448" s="97"/>
      <c r="U448" s="97"/>
      <c r="V448" s="97"/>
      <c r="W448" s="97"/>
      <c r="X448" s="51"/>
      <c r="Y448" s="18"/>
      <c r="Z448" s="18"/>
      <c r="AA448" s="18"/>
      <c r="AB448" s="18"/>
      <c r="AC448" s="18"/>
      <c r="AD448" s="18"/>
      <c r="AE448" s="18"/>
      <c r="AF448" s="18"/>
      <c r="AG448" s="18"/>
      <c r="AH448" s="51"/>
      <c r="AI448" s="18"/>
      <c r="AJ448" s="18"/>
      <c r="AK448" s="18"/>
      <c r="AL448" s="18"/>
      <c r="AM448" s="18"/>
      <c r="AN448" s="18"/>
      <c r="AO448" s="18"/>
      <c r="AP448" s="18"/>
    </row>
    <row r="449" spans="1:42" x14ac:dyDescent="0.25">
      <c r="A449" s="12"/>
      <c r="B449" s="13"/>
      <c r="C449" s="13"/>
      <c r="D449" s="13"/>
      <c r="E449" s="13"/>
      <c r="F449" s="13"/>
      <c r="G449" s="13"/>
      <c r="H449" s="13"/>
      <c r="I449" s="13"/>
      <c r="J449" s="100"/>
      <c r="K449" s="100"/>
      <c r="L449" s="100"/>
      <c r="O449" s="18"/>
      <c r="P449" s="18"/>
      <c r="Q449" s="97"/>
      <c r="R449" s="97"/>
      <c r="S449" s="97"/>
      <c r="T449" s="97"/>
      <c r="U449" s="97"/>
      <c r="V449" s="97"/>
      <c r="W449" s="97"/>
      <c r="X449" s="51"/>
      <c r="Y449" s="18"/>
      <c r="Z449" s="18"/>
      <c r="AA449" s="18"/>
      <c r="AB449" s="18"/>
      <c r="AC449" s="18"/>
      <c r="AD449" s="18"/>
      <c r="AE449" s="18"/>
      <c r="AF449" s="18"/>
      <c r="AG449" s="18"/>
      <c r="AH449" s="51"/>
      <c r="AI449" s="18"/>
      <c r="AJ449" s="18"/>
      <c r="AK449" s="18"/>
      <c r="AL449" s="18"/>
      <c r="AM449" s="18"/>
      <c r="AN449" s="18"/>
      <c r="AO449" s="18"/>
      <c r="AP449" s="18"/>
    </row>
    <row r="450" spans="1:42" x14ac:dyDescent="0.25">
      <c r="A450" s="12"/>
      <c r="B450" s="13"/>
      <c r="C450" s="13"/>
      <c r="D450" s="13"/>
      <c r="E450" s="13"/>
      <c r="F450" s="13"/>
      <c r="G450" s="13"/>
      <c r="H450" s="13"/>
      <c r="I450" s="13"/>
      <c r="J450" s="100"/>
      <c r="K450" s="100"/>
      <c r="L450" s="100"/>
      <c r="O450" s="18"/>
      <c r="P450" s="18"/>
      <c r="Q450" s="97"/>
      <c r="R450" s="97"/>
      <c r="S450" s="97"/>
      <c r="T450" s="97"/>
      <c r="U450" s="97"/>
      <c r="V450" s="97"/>
      <c r="W450" s="97"/>
      <c r="X450" s="51"/>
      <c r="Y450" s="18"/>
      <c r="Z450" s="18"/>
      <c r="AA450" s="18"/>
      <c r="AB450" s="18"/>
      <c r="AC450" s="18"/>
      <c r="AD450" s="18"/>
      <c r="AE450" s="18"/>
      <c r="AF450" s="18"/>
      <c r="AG450" s="18"/>
      <c r="AH450" s="51"/>
      <c r="AI450" s="18"/>
      <c r="AJ450" s="18"/>
      <c r="AK450" s="18"/>
      <c r="AL450" s="18"/>
      <c r="AM450" s="18"/>
      <c r="AN450" s="18"/>
      <c r="AO450" s="18"/>
      <c r="AP450" s="18"/>
    </row>
    <row r="451" spans="1:42" x14ac:dyDescent="0.25">
      <c r="A451" s="12"/>
      <c r="B451" s="13"/>
      <c r="C451" s="13"/>
      <c r="D451" s="13"/>
      <c r="E451" s="13"/>
      <c r="F451" s="13"/>
      <c r="G451" s="13"/>
      <c r="H451" s="13"/>
      <c r="I451" s="13"/>
      <c r="J451" s="70"/>
      <c r="K451" s="70"/>
      <c r="L451" s="70"/>
      <c r="O451" s="18"/>
      <c r="P451" s="18"/>
      <c r="Q451" s="97"/>
      <c r="R451" s="97"/>
      <c r="S451" s="97"/>
      <c r="T451" s="97"/>
      <c r="U451" s="97"/>
      <c r="V451" s="97"/>
      <c r="W451" s="97"/>
      <c r="X451" s="51"/>
      <c r="Y451" s="18"/>
      <c r="Z451" s="18"/>
      <c r="AA451" s="18"/>
      <c r="AB451" s="18"/>
      <c r="AC451" s="18"/>
      <c r="AD451" s="18"/>
      <c r="AE451" s="18"/>
      <c r="AF451" s="18"/>
      <c r="AG451" s="18"/>
      <c r="AH451" s="51"/>
      <c r="AI451" s="18"/>
      <c r="AJ451" s="18"/>
      <c r="AK451" s="18"/>
      <c r="AL451" s="18"/>
      <c r="AM451" s="18"/>
      <c r="AN451" s="18"/>
      <c r="AO451" s="18"/>
      <c r="AP451" s="18"/>
    </row>
    <row r="452" spans="1:42" x14ac:dyDescent="0.25">
      <c r="A452" s="12"/>
      <c r="B452" s="13"/>
      <c r="C452" s="13"/>
      <c r="D452" s="13"/>
      <c r="E452" s="13"/>
      <c r="F452" s="13"/>
      <c r="G452" s="13"/>
      <c r="H452" s="13"/>
      <c r="I452" s="13"/>
      <c r="J452" s="70"/>
      <c r="K452" s="70"/>
      <c r="L452" s="70"/>
      <c r="O452" s="18"/>
      <c r="P452" s="18"/>
      <c r="Q452" s="97"/>
      <c r="R452" s="97"/>
      <c r="S452" s="97"/>
      <c r="T452" s="97"/>
      <c r="U452" s="97"/>
      <c r="V452" s="97"/>
      <c r="W452" s="97"/>
      <c r="X452" s="51"/>
      <c r="Y452" s="18"/>
      <c r="Z452" s="18"/>
      <c r="AA452" s="18"/>
      <c r="AB452" s="18"/>
      <c r="AC452" s="18"/>
      <c r="AD452" s="18"/>
      <c r="AE452" s="18"/>
      <c r="AF452" s="18"/>
      <c r="AG452" s="18"/>
      <c r="AH452" s="51"/>
      <c r="AI452" s="18"/>
      <c r="AJ452" s="18"/>
      <c r="AK452" s="18"/>
      <c r="AL452" s="18"/>
      <c r="AM452" s="18"/>
      <c r="AN452" s="18"/>
      <c r="AO452" s="18"/>
      <c r="AP452" s="18"/>
    </row>
    <row r="453" spans="1:42" x14ac:dyDescent="0.25">
      <c r="A453" s="12"/>
      <c r="B453" s="13"/>
      <c r="C453" s="13"/>
      <c r="D453" s="13"/>
      <c r="E453" s="13"/>
      <c r="F453" s="13"/>
      <c r="G453" s="13"/>
      <c r="H453" s="13"/>
      <c r="I453" s="13"/>
      <c r="J453" s="70"/>
      <c r="K453" s="70"/>
      <c r="L453" s="70"/>
      <c r="O453" s="18"/>
      <c r="P453" s="18"/>
      <c r="Q453" s="97"/>
      <c r="R453" s="97"/>
      <c r="S453" s="97"/>
      <c r="T453" s="97"/>
      <c r="U453" s="97"/>
      <c r="V453" s="97"/>
      <c r="W453" s="97"/>
      <c r="X453" s="51"/>
      <c r="Y453" s="18"/>
      <c r="Z453" s="18"/>
      <c r="AA453" s="18"/>
      <c r="AB453" s="18"/>
      <c r="AC453" s="18"/>
      <c r="AD453" s="18"/>
      <c r="AE453" s="18"/>
      <c r="AF453" s="18"/>
      <c r="AG453" s="18"/>
      <c r="AH453" s="51"/>
      <c r="AI453" s="18"/>
      <c r="AJ453" s="18"/>
      <c r="AK453" s="18"/>
      <c r="AL453" s="18"/>
      <c r="AM453" s="18"/>
      <c r="AN453" s="18"/>
      <c r="AO453" s="18"/>
      <c r="AP453" s="18"/>
    </row>
    <row r="454" spans="1:42" x14ac:dyDescent="0.25">
      <c r="A454" s="12"/>
      <c r="B454" s="13"/>
      <c r="C454" s="13"/>
      <c r="D454" s="13"/>
      <c r="E454" s="13"/>
      <c r="F454" s="13"/>
      <c r="G454" s="13"/>
      <c r="H454" s="13"/>
      <c r="I454" s="13"/>
      <c r="J454" s="70"/>
      <c r="K454" s="70"/>
      <c r="L454" s="70"/>
      <c r="O454" s="18"/>
      <c r="P454" s="18"/>
      <c r="Q454" s="97"/>
      <c r="R454" s="97"/>
      <c r="S454" s="97"/>
      <c r="T454" s="97"/>
      <c r="U454" s="97"/>
      <c r="V454" s="97"/>
      <c r="W454" s="97"/>
      <c r="X454" s="51"/>
      <c r="Y454" s="18"/>
      <c r="Z454" s="18"/>
      <c r="AA454" s="18"/>
      <c r="AB454" s="18"/>
      <c r="AC454" s="18"/>
      <c r="AD454" s="18"/>
      <c r="AE454" s="18"/>
      <c r="AF454" s="18"/>
      <c r="AG454" s="18"/>
      <c r="AH454" s="51"/>
      <c r="AI454" s="18"/>
      <c r="AJ454" s="18"/>
      <c r="AK454" s="18"/>
      <c r="AL454" s="18"/>
      <c r="AM454" s="18"/>
      <c r="AN454" s="18"/>
      <c r="AO454" s="18"/>
      <c r="AP454" s="18"/>
    </row>
    <row r="455" spans="1:42" x14ac:dyDescent="0.25">
      <c r="A455" s="12"/>
      <c r="B455" s="13"/>
      <c r="C455" s="13"/>
      <c r="D455" s="13"/>
      <c r="E455" s="13"/>
      <c r="F455" s="13"/>
      <c r="G455" s="13"/>
      <c r="H455" s="13"/>
      <c r="I455" s="13"/>
      <c r="J455" s="70"/>
      <c r="K455" s="70"/>
      <c r="L455" s="70"/>
      <c r="O455" s="18"/>
      <c r="P455" s="18"/>
      <c r="Q455" s="97"/>
      <c r="R455" s="97"/>
      <c r="S455" s="97"/>
      <c r="T455" s="97"/>
      <c r="U455" s="97"/>
      <c r="V455" s="97"/>
      <c r="W455" s="97"/>
      <c r="X455" s="51"/>
      <c r="Y455" s="18"/>
      <c r="Z455" s="18"/>
      <c r="AA455" s="18"/>
      <c r="AB455" s="18"/>
      <c r="AC455" s="18"/>
      <c r="AD455" s="18"/>
      <c r="AE455" s="18"/>
      <c r="AF455" s="18"/>
      <c r="AG455" s="18"/>
      <c r="AH455" s="51"/>
      <c r="AI455" s="18"/>
      <c r="AJ455" s="18"/>
      <c r="AK455" s="18"/>
      <c r="AL455" s="18"/>
      <c r="AM455" s="18"/>
      <c r="AN455" s="18"/>
      <c r="AO455" s="18"/>
      <c r="AP455" s="18"/>
    </row>
    <row r="456" spans="1:42" x14ac:dyDescent="0.25">
      <c r="A456" s="12"/>
      <c r="B456" s="13"/>
      <c r="C456" s="13"/>
      <c r="D456" s="13"/>
      <c r="E456" s="13"/>
      <c r="F456" s="13"/>
      <c r="G456" s="13"/>
      <c r="H456" s="13"/>
      <c r="I456" s="13"/>
      <c r="J456" s="70"/>
      <c r="K456" s="70"/>
      <c r="L456" s="70"/>
      <c r="O456" s="18"/>
      <c r="P456" s="18"/>
      <c r="Q456" s="97"/>
      <c r="R456" s="97"/>
      <c r="S456" s="97"/>
      <c r="T456" s="97"/>
      <c r="U456" s="97"/>
      <c r="V456" s="97"/>
      <c r="W456" s="97"/>
      <c r="X456" s="51"/>
      <c r="Y456" s="18"/>
      <c r="Z456" s="18"/>
      <c r="AA456" s="18"/>
      <c r="AB456" s="18"/>
      <c r="AC456" s="18"/>
      <c r="AD456" s="18"/>
      <c r="AE456" s="18"/>
      <c r="AF456" s="18"/>
      <c r="AG456" s="18"/>
      <c r="AH456" s="51"/>
      <c r="AI456" s="18"/>
      <c r="AJ456" s="18"/>
      <c r="AK456" s="18"/>
      <c r="AL456" s="18"/>
      <c r="AM456" s="18"/>
      <c r="AN456" s="18"/>
      <c r="AO456" s="18"/>
      <c r="AP456" s="18"/>
    </row>
    <row r="457" spans="1:42" x14ac:dyDescent="0.25">
      <c r="A457" s="12"/>
      <c r="B457" s="13"/>
      <c r="C457" s="13"/>
      <c r="D457" s="13"/>
      <c r="E457" s="13"/>
      <c r="F457" s="13"/>
      <c r="G457" s="13"/>
      <c r="H457" s="13"/>
      <c r="I457" s="13"/>
      <c r="J457" s="70"/>
      <c r="K457" s="70"/>
      <c r="L457" s="70"/>
      <c r="O457" s="18"/>
      <c r="P457" s="18"/>
      <c r="Q457" s="97"/>
      <c r="R457" s="97"/>
      <c r="S457" s="97"/>
      <c r="T457" s="97"/>
      <c r="U457" s="97"/>
      <c r="V457" s="97"/>
      <c r="W457" s="97"/>
      <c r="X457" s="51"/>
      <c r="Y457" s="18"/>
      <c r="Z457" s="18"/>
      <c r="AA457" s="18"/>
      <c r="AB457" s="18"/>
      <c r="AC457" s="18"/>
      <c r="AD457" s="18"/>
      <c r="AE457" s="18"/>
      <c r="AF457" s="18"/>
      <c r="AG457" s="18"/>
      <c r="AH457" s="51"/>
      <c r="AI457" s="18"/>
      <c r="AJ457" s="18"/>
      <c r="AK457" s="18"/>
      <c r="AL457" s="18"/>
      <c r="AM457" s="18"/>
      <c r="AN457" s="18"/>
      <c r="AO457" s="18"/>
      <c r="AP457" s="18"/>
    </row>
    <row r="458" spans="1:42" x14ac:dyDescent="0.25">
      <c r="A458" s="12"/>
      <c r="B458" s="13"/>
      <c r="C458" s="13"/>
      <c r="D458" s="13"/>
      <c r="E458" s="13"/>
      <c r="F458" s="13"/>
      <c r="G458" s="13"/>
      <c r="H458" s="13"/>
      <c r="I458" s="13"/>
      <c r="J458" s="70"/>
      <c r="K458" s="70"/>
      <c r="L458" s="70"/>
      <c r="O458" s="18"/>
      <c r="P458" s="18"/>
      <c r="Q458" s="97"/>
      <c r="R458" s="97"/>
      <c r="S458" s="97"/>
      <c r="T458" s="97"/>
      <c r="U458" s="97"/>
      <c r="V458" s="97"/>
      <c r="W458" s="97"/>
      <c r="X458" s="51"/>
      <c r="Y458" s="18"/>
      <c r="Z458" s="18"/>
      <c r="AA458" s="18"/>
      <c r="AB458" s="18"/>
      <c r="AC458" s="18"/>
      <c r="AD458" s="18"/>
      <c r="AE458" s="18"/>
      <c r="AF458" s="18"/>
      <c r="AG458" s="18"/>
      <c r="AH458" s="51"/>
      <c r="AI458" s="18"/>
      <c r="AJ458" s="18"/>
      <c r="AK458" s="18"/>
      <c r="AL458" s="18"/>
      <c r="AM458" s="18"/>
      <c r="AN458" s="18"/>
      <c r="AO458" s="18"/>
      <c r="AP458" s="18"/>
    </row>
    <row r="459" spans="1:42" x14ac:dyDescent="0.25">
      <c r="A459" s="12"/>
      <c r="B459" s="13"/>
      <c r="C459" s="13"/>
      <c r="D459" s="13"/>
      <c r="E459" s="13"/>
      <c r="F459" s="13"/>
      <c r="G459" s="13"/>
      <c r="H459" s="13"/>
      <c r="I459" s="13"/>
      <c r="J459" s="70"/>
      <c r="K459" s="70"/>
      <c r="L459" s="70"/>
      <c r="O459" s="18"/>
      <c r="P459" s="18"/>
      <c r="Q459" s="97"/>
      <c r="R459" s="97"/>
      <c r="S459" s="97"/>
      <c r="T459" s="97"/>
      <c r="U459" s="97"/>
      <c r="V459" s="97"/>
      <c r="W459" s="97"/>
      <c r="X459" s="51"/>
      <c r="Y459" s="18"/>
      <c r="Z459" s="18"/>
      <c r="AA459" s="18"/>
      <c r="AB459" s="18"/>
      <c r="AC459" s="18"/>
      <c r="AD459" s="18"/>
      <c r="AE459" s="18"/>
      <c r="AF459" s="18"/>
      <c r="AG459" s="18"/>
      <c r="AH459" s="51"/>
      <c r="AI459" s="18"/>
      <c r="AJ459" s="18"/>
      <c r="AK459" s="18"/>
      <c r="AL459" s="18"/>
      <c r="AM459" s="18"/>
      <c r="AN459" s="18"/>
      <c r="AO459" s="18"/>
      <c r="AP459" s="18"/>
    </row>
    <row r="460" spans="1:42" x14ac:dyDescent="0.25">
      <c r="A460" s="12"/>
      <c r="B460" s="13"/>
      <c r="C460" s="13"/>
      <c r="D460" s="13"/>
      <c r="E460" s="13"/>
      <c r="F460" s="13"/>
      <c r="G460" s="13"/>
      <c r="H460" s="13"/>
      <c r="I460" s="13"/>
      <c r="J460" s="70"/>
      <c r="K460" s="70"/>
      <c r="L460" s="70"/>
      <c r="O460" s="18"/>
      <c r="P460" s="18"/>
      <c r="Q460" s="97"/>
      <c r="R460" s="97"/>
      <c r="S460" s="97"/>
      <c r="T460" s="97"/>
      <c r="U460" s="97"/>
      <c r="V460" s="97"/>
      <c r="W460" s="97"/>
      <c r="X460" s="51"/>
      <c r="Y460" s="18"/>
      <c r="Z460" s="18"/>
      <c r="AA460" s="18"/>
      <c r="AB460" s="18"/>
      <c r="AC460" s="18"/>
      <c r="AD460" s="18"/>
      <c r="AE460" s="18"/>
      <c r="AF460" s="18"/>
      <c r="AG460" s="18"/>
      <c r="AH460" s="51"/>
      <c r="AI460" s="18"/>
      <c r="AJ460" s="18"/>
      <c r="AK460" s="18"/>
      <c r="AL460" s="18"/>
      <c r="AM460" s="18"/>
      <c r="AN460" s="18"/>
      <c r="AO460" s="18"/>
      <c r="AP460" s="18"/>
    </row>
    <row r="461" spans="1:42" x14ac:dyDescent="0.25">
      <c r="A461" s="12"/>
      <c r="B461" s="13"/>
      <c r="C461" s="13"/>
      <c r="D461" s="13"/>
      <c r="E461" s="13"/>
      <c r="F461" s="13"/>
      <c r="G461" s="13"/>
      <c r="H461" s="13"/>
      <c r="I461" s="13"/>
      <c r="J461" s="70"/>
      <c r="K461" s="70"/>
      <c r="L461" s="70"/>
      <c r="O461" s="18"/>
      <c r="P461" s="18"/>
      <c r="Q461" s="97"/>
      <c r="R461" s="97"/>
      <c r="S461" s="97"/>
      <c r="T461" s="97"/>
      <c r="U461" s="97"/>
      <c r="V461" s="97"/>
      <c r="W461" s="97"/>
      <c r="X461" s="51"/>
      <c r="Y461" s="18"/>
      <c r="Z461" s="18"/>
      <c r="AA461" s="18"/>
      <c r="AB461" s="18"/>
      <c r="AC461" s="18"/>
      <c r="AD461" s="18"/>
      <c r="AE461" s="18"/>
      <c r="AF461" s="18"/>
      <c r="AG461" s="18"/>
      <c r="AH461" s="51"/>
      <c r="AI461" s="18"/>
      <c r="AJ461" s="18"/>
      <c r="AK461" s="18"/>
      <c r="AL461" s="18"/>
      <c r="AM461" s="18"/>
      <c r="AN461" s="18"/>
      <c r="AO461" s="18"/>
      <c r="AP461" s="18"/>
    </row>
    <row r="462" spans="1:42" x14ac:dyDescent="0.25">
      <c r="A462" s="12"/>
      <c r="B462" s="13"/>
      <c r="C462" s="13"/>
      <c r="D462" s="13"/>
      <c r="E462" s="13"/>
      <c r="F462" s="13"/>
      <c r="G462" s="13"/>
      <c r="H462" s="13"/>
      <c r="I462" s="13"/>
      <c r="J462" s="70"/>
      <c r="K462" s="70"/>
      <c r="L462" s="70"/>
      <c r="O462" s="18"/>
      <c r="P462" s="18"/>
      <c r="Q462" s="97"/>
      <c r="R462" s="97"/>
      <c r="S462" s="97"/>
      <c r="T462" s="97"/>
      <c r="U462" s="97"/>
      <c r="V462" s="97"/>
      <c r="W462" s="97"/>
      <c r="X462" s="51"/>
      <c r="Y462" s="18"/>
      <c r="Z462" s="18"/>
      <c r="AA462" s="18"/>
      <c r="AB462" s="18"/>
      <c r="AC462" s="18"/>
      <c r="AD462" s="18"/>
      <c r="AE462" s="18"/>
      <c r="AF462" s="18"/>
      <c r="AG462" s="18"/>
      <c r="AH462" s="51"/>
      <c r="AI462" s="18"/>
      <c r="AJ462" s="18"/>
      <c r="AK462" s="18"/>
      <c r="AL462" s="18"/>
      <c r="AM462" s="18"/>
      <c r="AN462" s="18"/>
      <c r="AO462" s="18"/>
      <c r="AP462" s="18"/>
    </row>
    <row r="463" spans="1:42" x14ac:dyDescent="0.25">
      <c r="A463" s="12"/>
      <c r="B463" s="13"/>
      <c r="C463" s="13"/>
      <c r="D463" s="13"/>
      <c r="E463" s="13"/>
      <c r="F463" s="13"/>
      <c r="G463" s="13"/>
      <c r="H463" s="13"/>
      <c r="I463" s="13"/>
      <c r="J463" s="70"/>
      <c r="K463" s="70"/>
      <c r="L463" s="70"/>
      <c r="O463" s="18"/>
      <c r="P463" s="18"/>
      <c r="Q463" s="97"/>
      <c r="R463" s="97"/>
      <c r="S463" s="97"/>
      <c r="T463" s="97"/>
      <c r="U463" s="97"/>
      <c r="V463" s="97"/>
      <c r="W463" s="97"/>
      <c r="X463" s="51"/>
      <c r="Y463" s="18"/>
      <c r="Z463" s="18"/>
      <c r="AA463" s="18"/>
      <c r="AB463" s="18"/>
      <c r="AC463" s="18"/>
      <c r="AD463" s="18"/>
      <c r="AE463" s="18"/>
      <c r="AF463" s="18"/>
      <c r="AG463" s="18"/>
      <c r="AH463" s="51"/>
      <c r="AI463" s="18"/>
      <c r="AJ463" s="18"/>
      <c r="AK463" s="18"/>
      <c r="AL463" s="18"/>
      <c r="AM463" s="18"/>
      <c r="AN463" s="18"/>
      <c r="AO463" s="18"/>
      <c r="AP463" s="18"/>
    </row>
    <row r="464" spans="1:42" x14ac:dyDescent="0.25">
      <c r="A464" s="12"/>
      <c r="B464" s="13"/>
      <c r="C464" s="13"/>
      <c r="D464" s="13"/>
      <c r="E464" s="13"/>
      <c r="F464" s="13"/>
      <c r="G464" s="13"/>
      <c r="H464" s="13"/>
      <c r="I464" s="13"/>
      <c r="J464" s="70"/>
      <c r="K464" s="70"/>
      <c r="L464" s="70"/>
      <c r="O464" s="18"/>
      <c r="P464" s="18"/>
      <c r="Q464" s="97"/>
      <c r="R464" s="97"/>
      <c r="S464" s="97"/>
      <c r="T464" s="97"/>
      <c r="U464" s="97"/>
      <c r="V464" s="97"/>
      <c r="W464" s="97"/>
      <c r="X464" s="51"/>
      <c r="Y464" s="18"/>
      <c r="Z464" s="18"/>
      <c r="AA464" s="18"/>
      <c r="AB464" s="18"/>
      <c r="AC464" s="18"/>
      <c r="AD464" s="18"/>
      <c r="AE464" s="18"/>
      <c r="AF464" s="18"/>
      <c r="AG464" s="18"/>
      <c r="AH464" s="51"/>
      <c r="AI464" s="18"/>
      <c r="AJ464" s="18"/>
      <c r="AK464" s="18"/>
      <c r="AL464" s="18"/>
      <c r="AM464" s="18"/>
      <c r="AN464" s="18"/>
      <c r="AO464" s="18"/>
      <c r="AP464" s="18"/>
    </row>
    <row r="465" spans="1:42" x14ac:dyDescent="0.25">
      <c r="A465" s="12"/>
      <c r="B465" s="13"/>
      <c r="C465" s="13"/>
      <c r="D465" s="13"/>
      <c r="E465" s="13"/>
      <c r="F465" s="13"/>
      <c r="G465" s="13"/>
      <c r="H465" s="13"/>
      <c r="I465" s="13"/>
      <c r="J465" s="70"/>
      <c r="K465" s="70"/>
      <c r="L465" s="70"/>
      <c r="O465" s="18"/>
      <c r="P465" s="18"/>
      <c r="Q465" s="97"/>
      <c r="R465" s="97"/>
      <c r="S465" s="97"/>
      <c r="T465" s="97"/>
      <c r="U465" s="97"/>
      <c r="V465" s="97"/>
      <c r="W465" s="97"/>
      <c r="X465" s="51"/>
      <c r="Y465" s="18"/>
      <c r="Z465" s="18"/>
      <c r="AA465" s="18"/>
      <c r="AB465" s="18"/>
      <c r="AC465" s="18"/>
      <c r="AD465" s="18"/>
      <c r="AE465" s="18"/>
      <c r="AF465" s="18"/>
      <c r="AG465" s="18"/>
      <c r="AH465" s="51"/>
      <c r="AI465" s="18"/>
      <c r="AJ465" s="18"/>
      <c r="AK465" s="18"/>
      <c r="AL465" s="18"/>
      <c r="AM465" s="18"/>
      <c r="AN465" s="18"/>
      <c r="AO465" s="18"/>
      <c r="AP465" s="18"/>
    </row>
    <row r="466" spans="1:42" x14ac:dyDescent="0.25">
      <c r="A466" s="12"/>
      <c r="B466" s="13"/>
      <c r="C466" s="13"/>
      <c r="D466" s="13"/>
      <c r="E466" s="13"/>
      <c r="F466" s="13"/>
      <c r="G466" s="13"/>
      <c r="H466" s="13"/>
      <c r="I466" s="13"/>
      <c r="J466" s="70"/>
      <c r="K466" s="70"/>
      <c r="L466" s="70"/>
      <c r="O466" s="18"/>
      <c r="P466" s="18"/>
      <c r="Q466" s="97"/>
      <c r="R466" s="97"/>
      <c r="S466" s="97"/>
      <c r="T466" s="97"/>
      <c r="U466" s="97"/>
      <c r="V466" s="97"/>
      <c r="W466" s="97"/>
      <c r="X466" s="51"/>
      <c r="Y466" s="18"/>
      <c r="Z466" s="18"/>
      <c r="AA466" s="18"/>
      <c r="AB466" s="18"/>
      <c r="AC466" s="18"/>
      <c r="AD466" s="18"/>
      <c r="AE466" s="18"/>
      <c r="AF466" s="18"/>
      <c r="AG466" s="18"/>
      <c r="AH466" s="51"/>
      <c r="AI466" s="18"/>
      <c r="AJ466" s="18"/>
      <c r="AK466" s="18"/>
      <c r="AL466" s="18"/>
      <c r="AM466" s="18"/>
      <c r="AN466" s="18"/>
      <c r="AO466" s="18"/>
      <c r="AP466" s="18"/>
    </row>
    <row r="467" spans="1:42" x14ac:dyDescent="0.25">
      <c r="A467" s="12"/>
      <c r="B467" s="13"/>
      <c r="C467" s="13"/>
      <c r="D467" s="13"/>
      <c r="E467" s="13"/>
      <c r="F467" s="13"/>
      <c r="G467" s="13"/>
      <c r="H467" s="13"/>
      <c r="I467" s="13"/>
      <c r="J467" s="70"/>
      <c r="K467" s="70"/>
      <c r="L467" s="70"/>
      <c r="O467" s="18"/>
      <c r="P467" s="18"/>
      <c r="Q467" s="97"/>
      <c r="R467" s="97"/>
      <c r="S467" s="97"/>
      <c r="T467" s="97"/>
      <c r="U467" s="97"/>
      <c r="V467" s="97"/>
      <c r="W467" s="97"/>
      <c r="X467" s="51"/>
      <c r="Y467" s="18"/>
      <c r="Z467" s="18"/>
      <c r="AA467" s="18"/>
      <c r="AB467" s="18"/>
      <c r="AC467" s="18"/>
      <c r="AD467" s="18"/>
      <c r="AE467" s="18"/>
      <c r="AF467" s="18"/>
      <c r="AG467" s="18"/>
      <c r="AH467" s="51"/>
      <c r="AI467" s="18"/>
      <c r="AJ467" s="18"/>
      <c r="AK467" s="18"/>
      <c r="AL467" s="18"/>
      <c r="AM467" s="18"/>
      <c r="AN467" s="18"/>
      <c r="AO467" s="18"/>
      <c r="AP467" s="18"/>
    </row>
    <row r="468" spans="1:42" x14ac:dyDescent="0.25">
      <c r="A468" s="12"/>
      <c r="B468" s="13"/>
      <c r="C468" s="13"/>
      <c r="D468" s="13"/>
      <c r="E468" s="13"/>
      <c r="F468" s="13"/>
      <c r="G468" s="13"/>
      <c r="H468" s="13"/>
      <c r="I468" s="13"/>
      <c r="J468" s="70"/>
      <c r="K468" s="70"/>
      <c r="L468" s="70"/>
      <c r="O468" s="18"/>
      <c r="P468" s="18"/>
      <c r="Q468" s="97"/>
      <c r="R468" s="97"/>
      <c r="S468" s="97"/>
      <c r="T468" s="97"/>
      <c r="U468" s="97"/>
      <c r="V468" s="97"/>
      <c r="W468" s="97"/>
      <c r="X468" s="51"/>
      <c r="Y468" s="18"/>
      <c r="Z468" s="18"/>
      <c r="AA468" s="18"/>
      <c r="AB468" s="18"/>
      <c r="AC468" s="18"/>
      <c r="AD468" s="18"/>
      <c r="AE468" s="18"/>
      <c r="AF468" s="18"/>
      <c r="AG468" s="18"/>
      <c r="AH468" s="51"/>
      <c r="AI468" s="18"/>
      <c r="AJ468" s="18"/>
      <c r="AK468" s="18"/>
      <c r="AL468" s="18"/>
      <c r="AM468" s="18"/>
      <c r="AN468" s="18"/>
      <c r="AO468" s="18"/>
      <c r="AP468" s="18"/>
    </row>
    <row r="469" spans="1:42" x14ac:dyDescent="0.25">
      <c r="A469" s="12"/>
      <c r="B469" s="13"/>
      <c r="C469" s="13"/>
      <c r="D469" s="13"/>
      <c r="E469" s="13"/>
      <c r="F469" s="13"/>
      <c r="G469" s="13"/>
      <c r="H469" s="13"/>
      <c r="I469" s="13"/>
      <c r="J469" s="107"/>
      <c r="K469" s="107"/>
      <c r="L469" s="107"/>
      <c r="O469" s="18"/>
      <c r="P469" s="18"/>
      <c r="Q469" s="97"/>
      <c r="R469" s="97"/>
      <c r="S469" s="97"/>
      <c r="T469" s="97"/>
      <c r="U469" s="97"/>
      <c r="V469" s="97"/>
      <c r="W469" s="97"/>
      <c r="X469" s="51"/>
      <c r="Y469" s="18"/>
      <c r="Z469" s="18"/>
      <c r="AA469" s="18"/>
      <c r="AB469" s="18"/>
      <c r="AC469" s="18"/>
      <c r="AD469" s="18"/>
      <c r="AE469" s="18"/>
      <c r="AF469" s="18"/>
      <c r="AG469" s="18"/>
      <c r="AH469" s="51"/>
      <c r="AI469" s="18"/>
      <c r="AJ469" s="18"/>
      <c r="AK469" s="18"/>
      <c r="AL469" s="18"/>
      <c r="AM469" s="18"/>
      <c r="AN469" s="18"/>
      <c r="AO469" s="18"/>
      <c r="AP469" s="18"/>
    </row>
    <row r="470" spans="1:42" x14ac:dyDescent="0.25">
      <c r="A470" s="12"/>
      <c r="B470" s="13"/>
      <c r="C470" s="13"/>
      <c r="D470" s="13"/>
      <c r="E470" s="13"/>
      <c r="F470" s="13"/>
      <c r="G470" s="13"/>
      <c r="H470" s="13"/>
      <c r="I470" s="13"/>
      <c r="J470" s="107"/>
      <c r="K470" s="107"/>
      <c r="L470" s="107"/>
      <c r="M470" s="103"/>
      <c r="O470" s="18"/>
      <c r="P470" s="18"/>
      <c r="Q470" s="97"/>
      <c r="R470" s="97"/>
      <c r="S470" s="97"/>
      <c r="T470" s="97"/>
      <c r="U470" s="97"/>
      <c r="V470" s="97"/>
      <c r="W470" s="97"/>
      <c r="X470" s="51"/>
      <c r="Y470" s="18"/>
      <c r="Z470" s="18"/>
      <c r="AA470" s="18"/>
      <c r="AB470" s="18"/>
      <c r="AC470" s="18"/>
      <c r="AD470" s="18"/>
      <c r="AE470" s="18"/>
      <c r="AF470" s="18"/>
      <c r="AG470" s="18"/>
      <c r="AH470" s="51"/>
      <c r="AI470" s="18"/>
      <c r="AJ470" s="18"/>
      <c r="AK470" s="18"/>
      <c r="AL470" s="18"/>
      <c r="AM470" s="18"/>
      <c r="AN470" s="18"/>
      <c r="AO470" s="18"/>
      <c r="AP470" s="18"/>
    </row>
    <row r="471" spans="1:42" x14ac:dyDescent="0.25">
      <c r="A471" s="12"/>
      <c r="B471" s="13"/>
      <c r="C471" s="13"/>
      <c r="D471" s="13"/>
      <c r="E471" s="13"/>
      <c r="F471" s="13"/>
      <c r="G471" s="13"/>
      <c r="H471" s="13"/>
      <c r="I471" s="13"/>
      <c r="J471" s="100"/>
      <c r="K471" s="100"/>
      <c r="L471" s="100"/>
      <c r="O471" s="18"/>
      <c r="P471" s="18"/>
      <c r="Q471" s="97"/>
      <c r="R471" s="97"/>
      <c r="S471" s="97"/>
      <c r="T471" s="97"/>
      <c r="U471" s="97"/>
      <c r="V471" s="97"/>
      <c r="W471" s="97"/>
      <c r="X471" s="51"/>
      <c r="Y471" s="18"/>
      <c r="Z471" s="18"/>
      <c r="AA471" s="18"/>
      <c r="AB471" s="18"/>
      <c r="AC471" s="18"/>
      <c r="AD471" s="18"/>
      <c r="AE471" s="18"/>
      <c r="AF471" s="18"/>
      <c r="AG471" s="18"/>
      <c r="AH471" s="51"/>
      <c r="AI471" s="18"/>
      <c r="AJ471" s="18"/>
      <c r="AK471" s="18"/>
      <c r="AL471" s="18"/>
      <c r="AM471" s="18"/>
      <c r="AN471" s="18"/>
      <c r="AO471" s="18"/>
      <c r="AP471" s="18"/>
    </row>
    <row r="472" spans="1:42" x14ac:dyDescent="0.25">
      <c r="A472" s="12"/>
      <c r="B472" s="13"/>
      <c r="C472" s="13"/>
      <c r="D472" s="13"/>
      <c r="E472" s="13"/>
      <c r="F472" s="13"/>
      <c r="G472" s="13"/>
      <c r="H472" s="13"/>
      <c r="I472" s="13"/>
      <c r="J472" s="100"/>
      <c r="K472" s="100"/>
      <c r="L472" s="100"/>
      <c r="O472" s="18"/>
      <c r="P472" s="18"/>
      <c r="Q472" s="97"/>
      <c r="R472" s="97"/>
      <c r="S472" s="97"/>
      <c r="T472" s="97"/>
      <c r="U472" s="97"/>
      <c r="V472" s="97"/>
      <c r="W472" s="97"/>
      <c r="X472" s="51"/>
      <c r="Y472" s="18"/>
      <c r="Z472" s="18"/>
      <c r="AA472" s="18"/>
      <c r="AB472" s="18"/>
      <c r="AC472" s="18"/>
      <c r="AD472" s="18"/>
      <c r="AE472" s="18"/>
      <c r="AF472" s="18"/>
      <c r="AG472" s="18"/>
      <c r="AH472" s="51"/>
      <c r="AI472" s="18"/>
      <c r="AJ472" s="18"/>
      <c r="AK472" s="18"/>
      <c r="AL472" s="18"/>
      <c r="AM472" s="18"/>
      <c r="AN472" s="18"/>
      <c r="AO472" s="18"/>
      <c r="AP472" s="18"/>
    </row>
    <row r="473" spans="1:42" x14ac:dyDescent="0.25">
      <c r="A473" s="12"/>
      <c r="B473" s="13"/>
      <c r="C473" s="13"/>
      <c r="D473" s="13"/>
      <c r="E473" s="13"/>
      <c r="F473" s="13"/>
      <c r="G473" s="13"/>
      <c r="H473" s="13"/>
      <c r="I473" s="13"/>
      <c r="J473" s="100"/>
      <c r="K473" s="100"/>
      <c r="L473" s="100"/>
      <c r="O473" s="18"/>
      <c r="P473" s="18"/>
      <c r="Q473" s="97"/>
      <c r="R473" s="97"/>
      <c r="S473" s="97"/>
      <c r="T473" s="97"/>
      <c r="U473" s="97"/>
      <c r="V473" s="97"/>
      <c r="W473" s="97"/>
      <c r="X473" s="51"/>
      <c r="Y473" s="18"/>
      <c r="Z473" s="18"/>
      <c r="AA473" s="18"/>
      <c r="AB473" s="18"/>
      <c r="AC473" s="18"/>
      <c r="AD473" s="18"/>
      <c r="AE473" s="18"/>
      <c r="AF473" s="18"/>
      <c r="AG473" s="18"/>
      <c r="AH473" s="51"/>
      <c r="AI473" s="18"/>
      <c r="AJ473" s="18"/>
      <c r="AK473" s="18"/>
      <c r="AL473" s="18"/>
      <c r="AM473" s="18"/>
      <c r="AN473" s="18"/>
      <c r="AO473" s="18"/>
      <c r="AP473" s="18"/>
    </row>
    <row r="474" spans="1:42" x14ac:dyDescent="0.25">
      <c r="A474" s="12"/>
      <c r="B474" s="13"/>
      <c r="C474" s="13"/>
      <c r="D474" s="13"/>
      <c r="E474" s="13"/>
      <c r="F474" s="13"/>
      <c r="G474" s="13"/>
      <c r="H474" s="13"/>
      <c r="I474" s="13"/>
      <c r="J474" s="70"/>
      <c r="K474" s="70"/>
      <c r="L474" s="70"/>
      <c r="O474" s="18"/>
      <c r="P474" s="18"/>
      <c r="Q474" s="97"/>
      <c r="R474" s="97"/>
      <c r="S474" s="97"/>
      <c r="T474" s="97"/>
      <c r="U474" s="97"/>
      <c r="V474" s="97"/>
      <c r="W474" s="97"/>
      <c r="X474" s="51"/>
      <c r="Y474" s="18"/>
      <c r="Z474" s="18"/>
      <c r="AA474" s="18"/>
      <c r="AB474" s="18"/>
      <c r="AC474" s="18"/>
      <c r="AD474" s="18"/>
      <c r="AE474" s="18"/>
      <c r="AF474" s="18"/>
      <c r="AG474" s="18"/>
      <c r="AH474" s="51"/>
      <c r="AI474" s="18"/>
      <c r="AJ474" s="18"/>
      <c r="AK474" s="18"/>
      <c r="AL474" s="18"/>
      <c r="AM474" s="18"/>
      <c r="AN474" s="18"/>
      <c r="AO474" s="18"/>
      <c r="AP474" s="18"/>
    </row>
    <row r="475" spans="1:42" x14ac:dyDescent="0.25">
      <c r="A475" s="12"/>
      <c r="B475" s="13"/>
      <c r="C475" s="13"/>
      <c r="D475" s="13"/>
      <c r="E475" s="13"/>
      <c r="F475" s="13"/>
      <c r="G475" s="13"/>
      <c r="H475" s="13"/>
      <c r="I475" s="13"/>
      <c r="J475" s="70"/>
      <c r="K475" s="70"/>
      <c r="L475" s="70"/>
      <c r="O475" s="18"/>
      <c r="P475" s="18"/>
      <c r="Q475" s="97"/>
      <c r="R475" s="97"/>
      <c r="S475" s="97"/>
      <c r="T475" s="97"/>
      <c r="U475" s="97"/>
      <c r="V475" s="97"/>
      <c r="W475" s="97"/>
      <c r="X475" s="51"/>
      <c r="Y475" s="18"/>
      <c r="Z475" s="18"/>
      <c r="AA475" s="18"/>
      <c r="AB475" s="18"/>
      <c r="AC475" s="18"/>
      <c r="AD475" s="18"/>
      <c r="AE475" s="18"/>
      <c r="AF475" s="18"/>
      <c r="AG475" s="18"/>
      <c r="AH475" s="51"/>
      <c r="AI475" s="18"/>
      <c r="AJ475" s="18"/>
      <c r="AK475" s="18"/>
      <c r="AL475" s="18"/>
      <c r="AM475" s="18"/>
      <c r="AN475" s="18"/>
      <c r="AO475" s="18"/>
      <c r="AP475" s="18"/>
    </row>
    <row r="476" spans="1:42" x14ac:dyDescent="0.25">
      <c r="A476" s="12"/>
      <c r="B476" s="13"/>
      <c r="C476" s="13"/>
      <c r="D476" s="13"/>
      <c r="E476" s="13"/>
      <c r="F476" s="13"/>
      <c r="G476" s="13"/>
      <c r="H476" s="13"/>
      <c r="I476" s="13"/>
      <c r="J476" s="70"/>
      <c r="K476" s="70"/>
      <c r="L476" s="70"/>
      <c r="O476" s="18"/>
      <c r="P476" s="18"/>
      <c r="Q476" s="97"/>
      <c r="R476" s="97"/>
      <c r="S476" s="97"/>
      <c r="T476" s="97"/>
      <c r="U476" s="97"/>
      <c r="V476" s="97"/>
      <c r="W476" s="97"/>
      <c r="X476" s="51"/>
      <c r="Y476" s="18"/>
      <c r="Z476" s="18"/>
      <c r="AA476" s="18"/>
      <c r="AB476" s="18"/>
      <c r="AC476" s="18"/>
      <c r="AD476" s="18"/>
      <c r="AE476" s="18"/>
      <c r="AF476" s="18"/>
      <c r="AG476" s="18"/>
      <c r="AH476" s="51"/>
      <c r="AI476" s="18"/>
      <c r="AJ476" s="18"/>
      <c r="AK476" s="18"/>
      <c r="AL476" s="18"/>
      <c r="AM476" s="18"/>
      <c r="AN476" s="18"/>
      <c r="AO476" s="18"/>
      <c r="AP476" s="18"/>
    </row>
    <row r="477" spans="1:42" x14ac:dyDescent="0.25">
      <c r="A477" s="12"/>
      <c r="B477" s="13"/>
      <c r="C477" s="13"/>
      <c r="D477" s="13"/>
      <c r="E477" s="13"/>
      <c r="F477" s="13"/>
      <c r="G477" s="13"/>
      <c r="H477" s="13"/>
      <c r="I477" s="13"/>
      <c r="J477" s="107"/>
      <c r="K477" s="107"/>
      <c r="L477" s="107"/>
      <c r="O477" s="18"/>
      <c r="P477" s="18"/>
      <c r="Q477" s="97"/>
      <c r="R477" s="97"/>
      <c r="S477" s="97"/>
      <c r="T477" s="97"/>
      <c r="U477" s="97"/>
      <c r="V477" s="97"/>
      <c r="W477" s="97"/>
      <c r="X477" s="51"/>
      <c r="Y477" s="18"/>
      <c r="Z477" s="18"/>
      <c r="AA477" s="18"/>
      <c r="AB477" s="18"/>
      <c r="AC477" s="18"/>
      <c r="AD477" s="18"/>
      <c r="AE477" s="18"/>
      <c r="AF477" s="18"/>
      <c r="AG477" s="18"/>
      <c r="AH477" s="51"/>
      <c r="AI477" s="18"/>
      <c r="AJ477" s="18"/>
      <c r="AK477" s="18"/>
      <c r="AL477" s="18"/>
      <c r="AM477" s="18"/>
      <c r="AN477" s="18"/>
      <c r="AO477" s="18"/>
      <c r="AP477" s="18"/>
    </row>
    <row r="478" spans="1:42" x14ac:dyDescent="0.25">
      <c r="A478" s="12"/>
      <c r="B478" s="13"/>
      <c r="C478" s="13"/>
      <c r="D478" s="13"/>
      <c r="E478" s="13"/>
      <c r="F478" s="13"/>
      <c r="G478" s="13"/>
      <c r="H478" s="13"/>
      <c r="I478" s="13"/>
      <c r="J478" s="100"/>
      <c r="K478" s="100"/>
      <c r="L478" s="100"/>
      <c r="O478" s="18"/>
      <c r="P478" s="18"/>
      <c r="Q478" s="97"/>
      <c r="R478" s="97"/>
      <c r="S478" s="97"/>
      <c r="T478" s="97"/>
      <c r="U478" s="97"/>
      <c r="V478" s="97"/>
      <c r="W478" s="97"/>
      <c r="X478" s="51"/>
      <c r="Y478" s="18"/>
      <c r="Z478" s="18"/>
      <c r="AA478" s="18"/>
      <c r="AB478" s="18"/>
      <c r="AC478" s="18"/>
      <c r="AD478" s="18"/>
      <c r="AE478" s="18"/>
      <c r="AF478" s="18"/>
      <c r="AG478" s="18"/>
      <c r="AH478" s="51"/>
      <c r="AI478" s="18"/>
      <c r="AJ478" s="18"/>
      <c r="AK478" s="18"/>
      <c r="AL478" s="18"/>
      <c r="AM478" s="18"/>
      <c r="AN478" s="18"/>
      <c r="AO478" s="18"/>
      <c r="AP478" s="18"/>
    </row>
    <row r="479" spans="1:42" x14ac:dyDescent="0.25">
      <c r="A479" s="12"/>
      <c r="B479" s="13"/>
      <c r="C479" s="13"/>
      <c r="D479" s="13"/>
      <c r="E479" s="13"/>
      <c r="F479" s="13"/>
      <c r="G479" s="13"/>
      <c r="H479" s="13"/>
      <c r="I479" s="13"/>
      <c r="J479" s="100"/>
      <c r="K479" s="100"/>
      <c r="L479" s="100"/>
      <c r="O479" s="18"/>
      <c r="P479" s="18"/>
      <c r="Q479" s="97"/>
      <c r="R479" s="97"/>
      <c r="S479" s="97"/>
      <c r="T479" s="97"/>
      <c r="U479" s="97"/>
      <c r="V479" s="97"/>
      <c r="W479" s="97"/>
      <c r="X479" s="51"/>
      <c r="Y479" s="18"/>
      <c r="Z479" s="18"/>
      <c r="AA479" s="18"/>
      <c r="AB479" s="18"/>
      <c r="AC479" s="18"/>
      <c r="AD479" s="18"/>
      <c r="AE479" s="18"/>
      <c r="AF479" s="18"/>
      <c r="AG479" s="18"/>
      <c r="AH479" s="51"/>
      <c r="AI479" s="18"/>
      <c r="AJ479" s="18"/>
      <c r="AK479" s="18"/>
      <c r="AL479" s="18"/>
      <c r="AM479" s="18"/>
      <c r="AN479" s="18"/>
      <c r="AO479" s="18"/>
      <c r="AP479" s="18"/>
    </row>
    <row r="480" spans="1:42" x14ac:dyDescent="0.25">
      <c r="A480" s="12"/>
      <c r="B480" s="13"/>
      <c r="C480" s="13"/>
      <c r="D480" s="13"/>
      <c r="E480" s="13"/>
      <c r="F480" s="13"/>
      <c r="G480" s="13"/>
      <c r="H480" s="13"/>
      <c r="I480" s="13"/>
      <c r="J480" s="100"/>
      <c r="K480" s="100"/>
      <c r="L480" s="100"/>
      <c r="O480" s="18"/>
      <c r="P480" s="18"/>
      <c r="Q480" s="97"/>
      <c r="R480" s="97"/>
      <c r="S480" s="97"/>
      <c r="T480" s="97"/>
      <c r="U480" s="97"/>
      <c r="V480" s="97"/>
      <c r="W480" s="97"/>
      <c r="X480" s="51"/>
      <c r="Y480" s="18"/>
      <c r="Z480" s="18"/>
      <c r="AA480" s="18"/>
      <c r="AB480" s="18"/>
      <c r="AC480" s="18"/>
      <c r="AD480" s="18"/>
      <c r="AE480" s="18"/>
      <c r="AF480" s="18"/>
      <c r="AG480" s="18"/>
      <c r="AH480" s="51"/>
      <c r="AI480" s="18"/>
      <c r="AJ480" s="18"/>
      <c r="AK480" s="18"/>
      <c r="AL480" s="18"/>
      <c r="AM480" s="18"/>
      <c r="AN480" s="18"/>
      <c r="AO480" s="18"/>
      <c r="AP480" s="18"/>
    </row>
    <row r="481" spans="1:42" x14ac:dyDescent="0.25">
      <c r="A481" s="12"/>
      <c r="B481" s="13"/>
      <c r="C481" s="13"/>
      <c r="D481" s="13"/>
      <c r="E481" s="13"/>
      <c r="F481" s="13"/>
      <c r="G481" s="13"/>
      <c r="H481" s="13"/>
      <c r="I481" s="13"/>
      <c r="J481" s="100"/>
      <c r="K481" s="100"/>
      <c r="L481" s="100"/>
      <c r="O481" s="18"/>
      <c r="P481" s="18"/>
      <c r="Q481" s="97"/>
      <c r="R481" s="97"/>
      <c r="S481" s="97"/>
      <c r="T481" s="97"/>
      <c r="U481" s="97"/>
      <c r="V481" s="97"/>
      <c r="W481" s="97"/>
      <c r="X481" s="51"/>
      <c r="Y481" s="18"/>
      <c r="Z481" s="18"/>
      <c r="AA481" s="18"/>
      <c r="AB481" s="18"/>
      <c r="AC481" s="18"/>
      <c r="AD481" s="18"/>
      <c r="AE481" s="18"/>
      <c r="AF481" s="18"/>
      <c r="AG481" s="18"/>
      <c r="AH481" s="51"/>
      <c r="AI481" s="18"/>
      <c r="AJ481" s="18"/>
      <c r="AK481" s="18"/>
      <c r="AL481" s="18"/>
      <c r="AM481" s="18"/>
      <c r="AN481" s="18"/>
      <c r="AO481" s="18"/>
      <c r="AP481" s="18"/>
    </row>
    <row r="482" spans="1:42" x14ac:dyDescent="0.25">
      <c r="A482" s="12"/>
      <c r="B482" s="13"/>
      <c r="C482" s="13"/>
      <c r="D482" s="13"/>
      <c r="E482" s="13"/>
      <c r="F482" s="13"/>
      <c r="G482" s="13"/>
      <c r="H482" s="13"/>
      <c r="I482" s="13"/>
      <c r="J482" s="70"/>
      <c r="K482" s="70"/>
      <c r="L482" s="70"/>
      <c r="O482" s="18"/>
      <c r="P482" s="18"/>
      <c r="Q482" s="97"/>
      <c r="R482" s="97"/>
      <c r="S482" s="97"/>
      <c r="T482" s="97"/>
      <c r="U482" s="97"/>
      <c r="V482" s="97"/>
      <c r="W482" s="97"/>
      <c r="X482" s="51"/>
      <c r="Y482" s="18"/>
      <c r="Z482" s="18"/>
      <c r="AA482" s="18"/>
      <c r="AB482" s="18"/>
      <c r="AC482" s="18"/>
      <c r="AD482" s="18"/>
      <c r="AE482" s="18"/>
      <c r="AF482" s="18"/>
      <c r="AG482" s="18"/>
      <c r="AH482" s="51"/>
      <c r="AI482" s="18"/>
      <c r="AJ482" s="18"/>
      <c r="AK482" s="18"/>
      <c r="AL482" s="18"/>
      <c r="AM482" s="18"/>
      <c r="AN482" s="18"/>
      <c r="AO482" s="18"/>
      <c r="AP482" s="18"/>
    </row>
    <row r="483" spans="1:42" x14ac:dyDescent="0.25">
      <c r="A483" s="12"/>
      <c r="B483" s="13"/>
      <c r="C483" s="13"/>
      <c r="D483" s="13"/>
      <c r="E483" s="13"/>
      <c r="F483" s="13"/>
      <c r="G483" s="13"/>
      <c r="H483" s="13"/>
      <c r="I483" s="13"/>
      <c r="J483" s="100"/>
      <c r="K483" s="100"/>
      <c r="L483" s="100"/>
      <c r="O483" s="18"/>
      <c r="P483" s="18"/>
      <c r="Q483" s="97"/>
      <c r="R483" s="97"/>
      <c r="S483" s="97"/>
      <c r="T483" s="97"/>
      <c r="U483" s="97"/>
      <c r="V483" s="97"/>
      <c r="W483" s="97"/>
      <c r="X483" s="51"/>
      <c r="Y483" s="18"/>
      <c r="Z483" s="18"/>
      <c r="AA483" s="18"/>
      <c r="AB483" s="18"/>
      <c r="AC483" s="18"/>
      <c r="AD483" s="18"/>
      <c r="AE483" s="18"/>
      <c r="AF483" s="18"/>
      <c r="AG483" s="18"/>
      <c r="AH483" s="51"/>
      <c r="AI483" s="18"/>
      <c r="AJ483" s="18"/>
      <c r="AK483" s="18"/>
      <c r="AL483" s="18"/>
      <c r="AM483" s="18"/>
      <c r="AN483" s="18"/>
      <c r="AO483" s="18"/>
      <c r="AP483" s="18"/>
    </row>
    <row r="484" spans="1:42" x14ac:dyDescent="0.25">
      <c r="A484" s="12"/>
      <c r="B484" s="13"/>
      <c r="C484" s="13"/>
      <c r="D484" s="13"/>
      <c r="E484" s="13"/>
      <c r="F484" s="13"/>
      <c r="G484" s="13"/>
      <c r="H484" s="13"/>
      <c r="I484" s="13"/>
      <c r="J484" s="70"/>
      <c r="K484" s="70"/>
      <c r="L484" s="70"/>
      <c r="O484" s="18"/>
      <c r="P484" s="18"/>
      <c r="Q484" s="97"/>
      <c r="R484" s="97"/>
      <c r="S484" s="97"/>
      <c r="T484" s="97"/>
      <c r="U484" s="97"/>
      <c r="V484" s="97"/>
      <c r="W484" s="97"/>
      <c r="X484" s="51"/>
      <c r="Y484" s="18"/>
      <c r="Z484" s="18"/>
      <c r="AA484" s="18"/>
      <c r="AB484" s="18"/>
      <c r="AC484" s="18"/>
      <c r="AD484" s="18"/>
      <c r="AE484" s="18"/>
      <c r="AF484" s="18"/>
      <c r="AG484" s="18"/>
      <c r="AH484" s="51"/>
      <c r="AI484" s="18"/>
      <c r="AJ484" s="18"/>
      <c r="AK484" s="18"/>
      <c r="AL484" s="18"/>
      <c r="AM484" s="18"/>
      <c r="AN484" s="18"/>
      <c r="AO484" s="18"/>
      <c r="AP484" s="18"/>
    </row>
    <row r="485" spans="1:42" x14ac:dyDescent="0.25">
      <c r="A485" s="12"/>
      <c r="B485" s="13"/>
      <c r="C485" s="13"/>
      <c r="D485" s="13"/>
      <c r="E485" s="13"/>
      <c r="F485" s="13"/>
      <c r="G485" s="13"/>
      <c r="H485" s="13"/>
      <c r="I485" s="13"/>
      <c r="J485" s="100"/>
      <c r="K485" s="100"/>
      <c r="L485" s="100"/>
      <c r="O485" s="18"/>
      <c r="P485" s="18"/>
      <c r="Q485" s="97"/>
      <c r="R485" s="97"/>
      <c r="S485" s="97"/>
      <c r="T485" s="97"/>
      <c r="U485" s="97"/>
      <c r="V485" s="97"/>
      <c r="W485" s="97"/>
      <c r="X485" s="51"/>
      <c r="Y485" s="18"/>
      <c r="Z485" s="18"/>
      <c r="AA485" s="18"/>
      <c r="AB485" s="18"/>
      <c r="AC485" s="18"/>
      <c r="AD485" s="18"/>
      <c r="AE485" s="18"/>
      <c r="AF485" s="18"/>
      <c r="AG485" s="18"/>
      <c r="AH485" s="51"/>
      <c r="AI485" s="18"/>
      <c r="AJ485" s="18"/>
      <c r="AK485" s="18"/>
      <c r="AL485" s="18"/>
      <c r="AM485" s="18"/>
      <c r="AN485" s="18"/>
      <c r="AO485" s="18"/>
      <c r="AP485" s="18"/>
    </row>
    <row r="486" spans="1:42" x14ac:dyDescent="0.25">
      <c r="A486" s="12"/>
      <c r="B486" s="13"/>
      <c r="C486" s="13"/>
      <c r="D486" s="13"/>
      <c r="E486" s="13"/>
      <c r="F486" s="13"/>
      <c r="G486" s="13"/>
      <c r="H486" s="13"/>
      <c r="I486" s="13"/>
      <c r="J486" s="100"/>
      <c r="K486" s="100"/>
      <c r="L486" s="100"/>
      <c r="O486" s="18"/>
      <c r="P486" s="18"/>
      <c r="Q486" s="97"/>
      <c r="R486" s="97"/>
      <c r="S486" s="97"/>
      <c r="T486" s="97"/>
      <c r="U486" s="97"/>
      <c r="V486" s="97"/>
      <c r="W486" s="97"/>
      <c r="X486" s="51"/>
      <c r="Y486" s="18"/>
      <c r="Z486" s="18"/>
      <c r="AA486" s="18"/>
      <c r="AB486" s="18"/>
      <c r="AC486" s="18"/>
      <c r="AD486" s="18"/>
      <c r="AE486" s="18"/>
      <c r="AF486" s="18"/>
      <c r="AG486" s="18"/>
      <c r="AH486" s="51"/>
      <c r="AI486" s="18"/>
      <c r="AJ486" s="18"/>
      <c r="AK486" s="18"/>
      <c r="AL486" s="18"/>
      <c r="AM486" s="18"/>
      <c r="AN486" s="18"/>
      <c r="AO486" s="18"/>
      <c r="AP486" s="18"/>
    </row>
    <row r="487" spans="1:42" x14ac:dyDescent="0.25">
      <c r="A487" s="12"/>
      <c r="B487" s="13"/>
      <c r="C487" s="13"/>
      <c r="D487" s="13"/>
      <c r="E487" s="13"/>
      <c r="F487" s="13"/>
      <c r="G487" s="13"/>
      <c r="H487" s="13"/>
      <c r="I487" s="13"/>
      <c r="J487" s="70"/>
      <c r="K487" s="70"/>
      <c r="L487" s="70"/>
      <c r="O487" s="18"/>
      <c r="P487" s="18"/>
      <c r="Q487" s="97"/>
      <c r="R487" s="97"/>
      <c r="S487" s="97"/>
      <c r="T487" s="97"/>
      <c r="U487" s="97"/>
      <c r="V487" s="97"/>
      <c r="W487" s="97"/>
      <c r="X487" s="51"/>
      <c r="Y487" s="18"/>
      <c r="Z487" s="18"/>
      <c r="AA487" s="18"/>
      <c r="AB487" s="18"/>
      <c r="AC487" s="18"/>
      <c r="AD487" s="18"/>
      <c r="AE487" s="18"/>
      <c r="AF487" s="18"/>
      <c r="AG487" s="18"/>
      <c r="AH487" s="51"/>
      <c r="AI487" s="18"/>
      <c r="AJ487" s="18"/>
      <c r="AK487" s="18"/>
      <c r="AL487" s="18"/>
      <c r="AM487" s="18"/>
      <c r="AN487" s="18"/>
      <c r="AO487" s="18"/>
      <c r="AP487" s="18"/>
    </row>
    <row r="488" spans="1:42" x14ac:dyDescent="0.25">
      <c r="A488" s="12"/>
      <c r="B488" s="13"/>
      <c r="C488" s="13"/>
      <c r="D488" s="13"/>
      <c r="E488" s="13"/>
      <c r="F488" s="13"/>
      <c r="G488" s="13"/>
      <c r="H488" s="13"/>
      <c r="I488" s="13"/>
      <c r="J488" s="100"/>
      <c r="K488" s="100"/>
      <c r="L488" s="100"/>
      <c r="O488" s="18"/>
      <c r="P488" s="18"/>
      <c r="Q488" s="97"/>
      <c r="R488" s="97"/>
      <c r="S488" s="97"/>
      <c r="T488" s="97"/>
      <c r="U488" s="97"/>
      <c r="V488" s="97"/>
      <c r="W488" s="97"/>
      <c r="X488" s="51"/>
      <c r="Y488" s="18"/>
      <c r="Z488" s="18"/>
      <c r="AA488" s="18"/>
      <c r="AB488" s="18"/>
      <c r="AC488" s="18"/>
      <c r="AD488" s="18"/>
      <c r="AE488" s="18"/>
      <c r="AF488" s="18"/>
      <c r="AG488" s="18"/>
      <c r="AH488" s="51"/>
      <c r="AI488" s="18"/>
      <c r="AJ488" s="18"/>
      <c r="AK488" s="18"/>
      <c r="AL488" s="18"/>
      <c r="AM488" s="18"/>
      <c r="AN488" s="18"/>
      <c r="AO488" s="18"/>
      <c r="AP488" s="18"/>
    </row>
    <row r="489" spans="1:42" x14ac:dyDescent="0.25">
      <c r="A489" s="12"/>
      <c r="B489" s="13"/>
      <c r="C489" s="13"/>
      <c r="D489" s="13"/>
      <c r="E489" s="13"/>
      <c r="F489" s="13"/>
      <c r="G489" s="13"/>
      <c r="H489" s="13"/>
      <c r="I489" s="13"/>
      <c r="J489" s="70"/>
      <c r="K489" s="70"/>
      <c r="L489" s="70"/>
      <c r="O489" s="18"/>
      <c r="P489" s="18"/>
      <c r="Q489" s="97"/>
      <c r="R489" s="97"/>
      <c r="S489" s="97"/>
      <c r="T489" s="97"/>
      <c r="U489" s="97"/>
      <c r="V489" s="97"/>
      <c r="W489" s="97"/>
      <c r="X489" s="51"/>
      <c r="Y489" s="18"/>
      <c r="Z489" s="18"/>
      <c r="AA489" s="18"/>
      <c r="AB489" s="18"/>
      <c r="AC489" s="18"/>
      <c r="AD489" s="18"/>
      <c r="AE489" s="18"/>
      <c r="AF489" s="18"/>
      <c r="AG489" s="18"/>
      <c r="AH489" s="51"/>
      <c r="AI489" s="18"/>
      <c r="AJ489" s="18"/>
      <c r="AK489" s="18"/>
      <c r="AL489" s="18"/>
      <c r="AM489" s="18"/>
      <c r="AN489" s="18"/>
      <c r="AO489" s="18"/>
      <c r="AP489" s="18"/>
    </row>
    <row r="490" spans="1:42" x14ac:dyDescent="0.25">
      <c r="A490" s="12"/>
      <c r="B490" s="13"/>
      <c r="C490" s="13"/>
      <c r="D490" s="13"/>
      <c r="E490" s="13"/>
      <c r="F490" s="13"/>
      <c r="G490" s="13"/>
      <c r="H490" s="13"/>
      <c r="I490" s="13"/>
      <c r="J490" s="70"/>
      <c r="K490" s="70"/>
      <c r="L490" s="70"/>
      <c r="O490" s="18"/>
      <c r="P490" s="18"/>
      <c r="Q490" s="97"/>
      <c r="R490" s="97"/>
      <c r="S490" s="97"/>
      <c r="T490" s="97"/>
      <c r="U490" s="97"/>
      <c r="V490" s="97"/>
      <c r="W490" s="97"/>
      <c r="X490" s="51"/>
      <c r="Y490" s="18"/>
      <c r="Z490" s="18"/>
      <c r="AA490" s="18"/>
      <c r="AB490" s="18"/>
      <c r="AC490" s="18"/>
      <c r="AD490" s="18"/>
      <c r="AE490" s="18"/>
      <c r="AF490" s="18"/>
      <c r="AG490" s="18"/>
      <c r="AH490" s="51"/>
      <c r="AI490" s="18"/>
      <c r="AJ490" s="18"/>
      <c r="AK490" s="18"/>
      <c r="AL490" s="18"/>
      <c r="AM490" s="18"/>
      <c r="AN490" s="18"/>
      <c r="AO490" s="18"/>
      <c r="AP490" s="18"/>
    </row>
    <row r="491" spans="1:42" x14ac:dyDescent="0.25">
      <c r="A491" s="12"/>
      <c r="B491" s="13"/>
      <c r="C491" s="13"/>
      <c r="D491" s="13"/>
      <c r="E491" s="13"/>
      <c r="F491" s="13"/>
      <c r="G491" s="13"/>
      <c r="H491" s="13"/>
      <c r="I491" s="13"/>
      <c r="J491" s="107"/>
      <c r="K491" s="107"/>
      <c r="L491" s="107"/>
      <c r="O491" s="18"/>
      <c r="P491" s="18"/>
      <c r="Q491" s="97"/>
      <c r="R491" s="97"/>
      <c r="S491" s="97"/>
      <c r="T491" s="97"/>
      <c r="U491" s="97"/>
      <c r="V491" s="97"/>
      <c r="W491" s="97"/>
      <c r="X491" s="51"/>
      <c r="Y491" s="18"/>
      <c r="Z491" s="18"/>
      <c r="AA491" s="18"/>
      <c r="AB491" s="18"/>
      <c r="AC491" s="18"/>
      <c r="AD491" s="18"/>
      <c r="AE491" s="18"/>
      <c r="AF491" s="18"/>
      <c r="AG491" s="18"/>
      <c r="AH491" s="51"/>
      <c r="AI491" s="18"/>
      <c r="AJ491" s="18"/>
      <c r="AK491" s="18"/>
      <c r="AL491" s="18"/>
      <c r="AM491" s="18"/>
      <c r="AN491" s="18"/>
      <c r="AO491" s="18"/>
      <c r="AP491" s="18"/>
    </row>
    <row r="492" spans="1:42" x14ac:dyDescent="0.25">
      <c r="A492" s="12"/>
      <c r="B492" s="13"/>
      <c r="C492" s="13"/>
      <c r="D492" s="13"/>
      <c r="E492" s="13"/>
      <c r="F492" s="13"/>
      <c r="G492" s="13"/>
      <c r="H492" s="13"/>
      <c r="I492" s="13"/>
      <c r="J492" s="107"/>
      <c r="K492" s="107"/>
      <c r="L492" s="107"/>
      <c r="O492" s="18"/>
      <c r="P492" s="18"/>
      <c r="Q492" s="97"/>
      <c r="R492" s="97"/>
      <c r="S492" s="97"/>
      <c r="T492" s="97"/>
      <c r="U492" s="97"/>
      <c r="V492" s="97"/>
      <c r="W492" s="97"/>
      <c r="X492" s="51"/>
      <c r="Y492" s="18"/>
      <c r="Z492" s="18"/>
      <c r="AA492" s="18"/>
      <c r="AB492" s="18"/>
      <c r="AC492" s="18"/>
      <c r="AD492" s="18"/>
      <c r="AE492" s="18"/>
      <c r="AF492" s="18"/>
      <c r="AG492" s="18"/>
      <c r="AH492" s="51"/>
      <c r="AI492" s="18"/>
      <c r="AJ492" s="18"/>
      <c r="AK492" s="18"/>
      <c r="AL492" s="18"/>
      <c r="AM492" s="18"/>
      <c r="AN492" s="18"/>
      <c r="AO492" s="18"/>
      <c r="AP492" s="18"/>
    </row>
    <row r="493" spans="1:42" x14ac:dyDescent="0.25">
      <c r="A493" s="12"/>
      <c r="B493" s="13"/>
      <c r="C493" s="13"/>
      <c r="D493" s="13"/>
      <c r="E493" s="13"/>
      <c r="F493" s="13"/>
      <c r="G493" s="13"/>
      <c r="H493" s="13"/>
      <c r="I493" s="13"/>
      <c r="J493" s="100"/>
      <c r="K493" s="100"/>
      <c r="L493" s="100"/>
      <c r="O493" s="18"/>
      <c r="P493" s="18"/>
      <c r="Q493" s="97"/>
      <c r="R493" s="97"/>
      <c r="S493" s="97"/>
      <c r="T493" s="97"/>
      <c r="U493" s="97"/>
      <c r="V493" s="97"/>
      <c r="W493" s="97"/>
      <c r="X493" s="51"/>
      <c r="Y493" s="18"/>
      <c r="Z493" s="18"/>
      <c r="AA493" s="18"/>
      <c r="AB493" s="18"/>
      <c r="AC493" s="18"/>
      <c r="AD493" s="18"/>
      <c r="AE493" s="18"/>
      <c r="AF493" s="18"/>
      <c r="AG493" s="18"/>
      <c r="AH493" s="51"/>
      <c r="AI493" s="18"/>
      <c r="AJ493" s="18"/>
      <c r="AK493" s="18"/>
      <c r="AL493" s="18"/>
      <c r="AM493" s="18"/>
      <c r="AN493" s="18"/>
      <c r="AO493" s="18"/>
      <c r="AP493" s="18"/>
    </row>
    <row r="494" spans="1:42" x14ac:dyDescent="0.25">
      <c r="A494" s="12"/>
      <c r="B494" s="13"/>
      <c r="C494" s="13"/>
      <c r="D494" s="13"/>
      <c r="E494" s="13"/>
      <c r="F494" s="13"/>
      <c r="G494" s="13"/>
      <c r="H494" s="13"/>
      <c r="I494" s="13"/>
      <c r="J494" s="100"/>
      <c r="K494" s="100"/>
      <c r="L494" s="100"/>
      <c r="O494" s="18"/>
      <c r="P494" s="18"/>
      <c r="Q494" s="97"/>
      <c r="R494" s="97"/>
      <c r="S494" s="97"/>
      <c r="T494" s="97"/>
      <c r="U494" s="97"/>
      <c r="V494" s="97"/>
      <c r="W494" s="97"/>
      <c r="X494" s="51"/>
      <c r="Y494" s="18"/>
      <c r="Z494" s="18"/>
      <c r="AA494" s="18"/>
      <c r="AB494" s="18"/>
      <c r="AC494" s="18"/>
      <c r="AD494" s="18"/>
      <c r="AE494" s="18"/>
      <c r="AF494" s="18"/>
      <c r="AG494" s="18"/>
      <c r="AH494" s="51"/>
      <c r="AI494" s="18"/>
      <c r="AJ494" s="18"/>
      <c r="AK494" s="18"/>
      <c r="AL494" s="18"/>
      <c r="AM494" s="18"/>
      <c r="AN494" s="18"/>
      <c r="AO494" s="18"/>
      <c r="AP494" s="18"/>
    </row>
    <row r="495" spans="1:42" x14ac:dyDescent="0.25">
      <c r="A495" s="12"/>
      <c r="B495" s="13"/>
      <c r="C495" s="13"/>
      <c r="D495" s="13"/>
      <c r="E495" s="13"/>
      <c r="F495" s="13"/>
      <c r="G495" s="13"/>
      <c r="H495" s="13"/>
      <c r="I495" s="13"/>
      <c r="J495" s="70"/>
      <c r="K495" s="70"/>
      <c r="L495" s="70"/>
      <c r="O495" s="18"/>
      <c r="P495" s="18"/>
      <c r="Q495" s="97"/>
      <c r="R495" s="97"/>
      <c r="S495" s="97"/>
      <c r="T495" s="97"/>
      <c r="U495" s="97"/>
      <c r="V495" s="97"/>
      <c r="W495" s="97"/>
      <c r="X495" s="51"/>
      <c r="Y495" s="18"/>
      <c r="Z495" s="18"/>
      <c r="AA495" s="18"/>
      <c r="AB495" s="18"/>
      <c r="AC495" s="18"/>
      <c r="AD495" s="18"/>
      <c r="AE495" s="18"/>
      <c r="AF495" s="18"/>
      <c r="AG495" s="18"/>
      <c r="AH495" s="51"/>
      <c r="AI495" s="18"/>
      <c r="AJ495" s="18"/>
      <c r="AK495" s="18"/>
      <c r="AL495" s="18"/>
      <c r="AM495" s="18"/>
      <c r="AN495" s="18"/>
      <c r="AO495" s="18"/>
      <c r="AP495" s="18"/>
    </row>
    <row r="496" spans="1:42" x14ac:dyDescent="0.25">
      <c r="A496" s="12"/>
      <c r="B496" s="13"/>
      <c r="C496" s="13"/>
      <c r="D496" s="13"/>
      <c r="E496" s="13"/>
      <c r="F496" s="13"/>
      <c r="G496" s="13"/>
      <c r="H496" s="13"/>
      <c r="I496" s="13"/>
      <c r="J496" s="70"/>
      <c r="K496" s="70"/>
      <c r="L496" s="70"/>
      <c r="O496" s="18"/>
      <c r="P496" s="18"/>
      <c r="Q496" s="97"/>
      <c r="R496" s="97"/>
      <c r="S496" s="97"/>
      <c r="T496" s="97"/>
      <c r="U496" s="97"/>
      <c r="V496" s="97"/>
      <c r="W496" s="97"/>
      <c r="X496" s="51"/>
      <c r="Y496" s="18"/>
      <c r="Z496" s="18"/>
      <c r="AA496" s="18"/>
      <c r="AB496" s="18"/>
      <c r="AC496" s="18"/>
      <c r="AD496" s="18"/>
      <c r="AE496" s="18"/>
      <c r="AF496" s="18"/>
      <c r="AG496" s="18"/>
      <c r="AH496" s="51"/>
      <c r="AI496" s="18"/>
      <c r="AJ496" s="18"/>
      <c r="AK496" s="18"/>
      <c r="AL496" s="18"/>
      <c r="AM496" s="18"/>
      <c r="AN496" s="18"/>
      <c r="AO496" s="18"/>
      <c r="AP496" s="18"/>
    </row>
    <row r="497" spans="1:42" x14ac:dyDescent="0.25">
      <c r="A497" s="12"/>
      <c r="B497" s="13"/>
      <c r="C497" s="13"/>
      <c r="D497" s="13"/>
      <c r="E497" s="13"/>
      <c r="F497" s="13"/>
      <c r="G497" s="13"/>
      <c r="H497" s="13"/>
      <c r="I497" s="13"/>
      <c r="J497" s="107"/>
      <c r="K497" s="107"/>
      <c r="L497" s="107"/>
      <c r="O497" s="18"/>
      <c r="P497" s="18"/>
      <c r="Q497" s="97"/>
      <c r="R497" s="97"/>
      <c r="S497" s="97"/>
      <c r="T497" s="97"/>
      <c r="U497" s="97"/>
      <c r="V497" s="97"/>
      <c r="W497" s="97"/>
      <c r="X497" s="51"/>
      <c r="Y497" s="18"/>
      <c r="Z497" s="18"/>
      <c r="AA497" s="18"/>
      <c r="AB497" s="18"/>
      <c r="AC497" s="18"/>
      <c r="AD497" s="18"/>
      <c r="AE497" s="18"/>
      <c r="AF497" s="18"/>
      <c r="AG497" s="18"/>
      <c r="AH497" s="51"/>
      <c r="AI497" s="18"/>
      <c r="AJ497" s="18"/>
      <c r="AK497" s="18"/>
      <c r="AL497" s="18"/>
      <c r="AM497" s="18"/>
      <c r="AN497" s="18"/>
      <c r="AO497" s="18"/>
      <c r="AP497" s="18"/>
    </row>
    <row r="498" spans="1:42" x14ac:dyDescent="0.25">
      <c r="A498" s="12"/>
      <c r="B498" s="13"/>
      <c r="C498" s="13"/>
      <c r="D498" s="13"/>
      <c r="E498" s="13"/>
      <c r="F498" s="13"/>
      <c r="G498" s="13"/>
      <c r="H498" s="13"/>
      <c r="I498" s="13"/>
      <c r="J498" s="70"/>
      <c r="K498" s="70"/>
      <c r="L498" s="70"/>
      <c r="O498" s="18"/>
      <c r="P498" s="18"/>
      <c r="Q498" s="97"/>
      <c r="R498" s="97"/>
      <c r="S498" s="97"/>
      <c r="T498" s="97"/>
      <c r="U498" s="97"/>
      <c r="V498" s="97"/>
      <c r="W498" s="97"/>
      <c r="X498" s="51"/>
      <c r="Y498" s="18"/>
      <c r="Z498" s="18"/>
      <c r="AA498" s="18"/>
      <c r="AB498" s="18"/>
      <c r="AC498" s="18"/>
      <c r="AD498" s="18"/>
      <c r="AE498" s="18"/>
      <c r="AF498" s="18"/>
      <c r="AG498" s="18"/>
      <c r="AH498" s="51"/>
      <c r="AI498" s="18"/>
      <c r="AJ498" s="18"/>
      <c r="AK498" s="18"/>
      <c r="AL498" s="18"/>
      <c r="AM498" s="18"/>
      <c r="AN498" s="18"/>
      <c r="AO498" s="18"/>
      <c r="AP498" s="18"/>
    </row>
    <row r="499" spans="1:42" x14ac:dyDescent="0.25">
      <c r="A499" s="12"/>
      <c r="B499" s="13"/>
      <c r="C499" s="13"/>
      <c r="D499" s="13"/>
      <c r="E499" s="13"/>
      <c r="F499" s="13"/>
      <c r="G499" s="13"/>
      <c r="H499" s="13"/>
      <c r="I499" s="13"/>
      <c r="J499" s="70"/>
      <c r="K499" s="70"/>
      <c r="L499" s="70"/>
      <c r="O499" s="18"/>
      <c r="P499" s="18"/>
      <c r="Q499" s="97"/>
      <c r="R499" s="97"/>
      <c r="S499" s="97"/>
      <c r="T499" s="97"/>
      <c r="U499" s="97"/>
      <c r="V499" s="97"/>
      <c r="W499" s="97"/>
      <c r="X499" s="51"/>
      <c r="Y499" s="18"/>
      <c r="Z499" s="18"/>
      <c r="AA499" s="18"/>
      <c r="AB499" s="18"/>
      <c r="AC499" s="18"/>
      <c r="AD499" s="18"/>
      <c r="AE499" s="18"/>
      <c r="AF499" s="18"/>
      <c r="AG499" s="18"/>
      <c r="AH499" s="51"/>
      <c r="AI499" s="18"/>
      <c r="AJ499" s="18"/>
      <c r="AK499" s="18"/>
      <c r="AL499" s="18"/>
      <c r="AM499" s="18"/>
      <c r="AN499" s="18"/>
      <c r="AO499" s="18"/>
      <c r="AP499" s="18"/>
    </row>
    <row r="500" spans="1:42" x14ac:dyDescent="0.25">
      <c r="A500" s="12"/>
      <c r="B500" s="13"/>
      <c r="C500" s="13"/>
      <c r="D500" s="13"/>
      <c r="E500" s="13"/>
      <c r="F500" s="13"/>
      <c r="G500" s="13"/>
      <c r="H500" s="13"/>
      <c r="I500" s="13"/>
      <c r="J500" s="70"/>
      <c r="K500" s="70"/>
      <c r="L500" s="70"/>
      <c r="O500" s="18"/>
      <c r="P500" s="18"/>
      <c r="Q500" s="97"/>
      <c r="R500" s="97"/>
      <c r="S500" s="97"/>
      <c r="T500" s="97"/>
      <c r="U500" s="97"/>
      <c r="V500" s="97"/>
      <c r="W500" s="97"/>
      <c r="X500" s="51"/>
      <c r="Y500" s="18"/>
      <c r="Z500" s="18"/>
      <c r="AA500" s="18"/>
      <c r="AB500" s="18"/>
      <c r="AC500" s="18"/>
      <c r="AD500" s="18"/>
      <c r="AE500" s="18"/>
      <c r="AF500" s="18"/>
      <c r="AG500" s="18"/>
      <c r="AH500" s="51"/>
      <c r="AI500" s="18"/>
      <c r="AJ500" s="18"/>
      <c r="AK500" s="18"/>
      <c r="AL500" s="18"/>
      <c r="AM500" s="18"/>
      <c r="AN500" s="18"/>
      <c r="AO500" s="18"/>
      <c r="AP500" s="18"/>
    </row>
    <row r="501" spans="1:42" x14ac:dyDescent="0.25">
      <c r="A501" s="12"/>
      <c r="B501" s="13"/>
      <c r="C501" s="13"/>
      <c r="D501" s="13"/>
      <c r="E501" s="13"/>
      <c r="F501" s="13"/>
      <c r="G501" s="13"/>
      <c r="H501" s="13"/>
      <c r="I501" s="13"/>
      <c r="J501" s="70"/>
      <c r="K501" s="70"/>
      <c r="L501" s="70"/>
      <c r="O501" s="18"/>
      <c r="P501" s="18"/>
      <c r="Q501" s="97"/>
      <c r="R501" s="97"/>
      <c r="S501" s="97"/>
      <c r="T501" s="97"/>
      <c r="U501" s="97"/>
      <c r="V501" s="97"/>
      <c r="W501" s="97"/>
      <c r="X501" s="51"/>
      <c r="Y501" s="18"/>
      <c r="Z501" s="18"/>
      <c r="AA501" s="18"/>
      <c r="AB501" s="18"/>
      <c r="AC501" s="18"/>
      <c r="AD501" s="18"/>
      <c r="AE501" s="18"/>
      <c r="AF501" s="18"/>
      <c r="AG501" s="18"/>
      <c r="AH501" s="51"/>
      <c r="AI501" s="18"/>
      <c r="AJ501" s="18"/>
      <c r="AK501" s="18"/>
      <c r="AL501" s="18"/>
      <c r="AM501" s="18"/>
      <c r="AN501" s="18"/>
      <c r="AO501" s="18"/>
      <c r="AP501" s="18"/>
    </row>
    <row r="502" spans="1:42" x14ac:dyDescent="0.25">
      <c r="A502" s="12"/>
      <c r="B502" s="13"/>
      <c r="C502" s="13"/>
      <c r="D502" s="13"/>
      <c r="E502" s="13"/>
      <c r="F502" s="13"/>
      <c r="G502" s="13"/>
      <c r="H502" s="13"/>
      <c r="I502" s="13"/>
      <c r="J502" s="107"/>
      <c r="K502" s="107"/>
      <c r="L502" s="107"/>
      <c r="O502" s="18"/>
      <c r="P502" s="18"/>
      <c r="Q502" s="97"/>
      <c r="R502" s="97"/>
      <c r="S502" s="97"/>
      <c r="T502" s="97"/>
      <c r="U502" s="97"/>
      <c r="V502" s="97"/>
      <c r="W502" s="97"/>
      <c r="X502" s="51"/>
      <c r="Y502" s="18"/>
      <c r="Z502" s="18"/>
      <c r="AA502" s="18"/>
      <c r="AB502" s="18"/>
      <c r="AC502" s="18"/>
      <c r="AD502" s="18"/>
      <c r="AE502" s="18"/>
      <c r="AF502" s="18"/>
      <c r="AG502" s="18"/>
      <c r="AH502" s="51"/>
      <c r="AI502" s="18"/>
      <c r="AJ502" s="18"/>
      <c r="AK502" s="18"/>
      <c r="AL502" s="18"/>
      <c r="AM502" s="18"/>
      <c r="AN502" s="18"/>
      <c r="AO502" s="18"/>
      <c r="AP502" s="18"/>
    </row>
    <row r="503" spans="1:42" x14ac:dyDescent="0.25">
      <c r="A503" s="12"/>
      <c r="B503" s="13"/>
      <c r="C503" s="13"/>
      <c r="D503" s="13"/>
      <c r="E503" s="13"/>
      <c r="F503" s="13"/>
      <c r="G503" s="13"/>
      <c r="H503" s="13"/>
      <c r="I503" s="13"/>
      <c r="J503" s="100"/>
      <c r="K503" s="100"/>
      <c r="L503" s="100"/>
      <c r="O503" s="18"/>
      <c r="P503" s="18"/>
      <c r="Q503" s="97"/>
      <c r="R503" s="97"/>
      <c r="S503" s="97"/>
      <c r="T503" s="97"/>
      <c r="U503" s="97"/>
      <c r="V503" s="97"/>
      <c r="W503" s="97"/>
      <c r="X503" s="51"/>
      <c r="Y503" s="18"/>
      <c r="Z503" s="18"/>
      <c r="AA503" s="18"/>
      <c r="AB503" s="18"/>
      <c r="AC503" s="18"/>
      <c r="AD503" s="18"/>
      <c r="AE503" s="18"/>
      <c r="AF503" s="18"/>
      <c r="AG503" s="18"/>
      <c r="AH503" s="51"/>
      <c r="AI503" s="18"/>
      <c r="AJ503" s="18"/>
      <c r="AK503" s="18"/>
      <c r="AL503" s="18"/>
      <c r="AM503" s="18"/>
      <c r="AN503" s="18"/>
      <c r="AO503" s="18"/>
      <c r="AP503" s="18"/>
    </row>
    <row r="504" spans="1:42" x14ac:dyDescent="0.25">
      <c r="A504" s="12"/>
      <c r="B504" s="13"/>
      <c r="C504" s="13"/>
      <c r="D504" s="13"/>
      <c r="E504" s="13"/>
      <c r="F504" s="13"/>
      <c r="G504" s="13"/>
      <c r="H504" s="13"/>
      <c r="I504" s="13"/>
      <c r="J504" s="107"/>
      <c r="K504" s="107"/>
      <c r="L504" s="107"/>
      <c r="O504" s="18"/>
      <c r="P504" s="18"/>
      <c r="Q504" s="97"/>
      <c r="R504" s="97"/>
      <c r="S504" s="97"/>
      <c r="T504" s="97"/>
      <c r="U504" s="97"/>
      <c r="V504" s="97"/>
      <c r="W504" s="97"/>
      <c r="X504" s="51"/>
      <c r="Y504" s="18"/>
      <c r="Z504" s="18"/>
      <c r="AA504" s="18"/>
      <c r="AB504" s="18"/>
      <c r="AC504" s="18"/>
      <c r="AD504" s="18"/>
      <c r="AE504" s="18"/>
      <c r="AF504" s="18"/>
      <c r="AG504" s="18"/>
      <c r="AH504" s="51"/>
      <c r="AI504" s="18"/>
      <c r="AJ504" s="18"/>
      <c r="AK504" s="18"/>
      <c r="AL504" s="18"/>
      <c r="AM504" s="18"/>
      <c r="AN504" s="18"/>
      <c r="AO504" s="18"/>
      <c r="AP504" s="18"/>
    </row>
    <row r="505" spans="1:42" x14ac:dyDescent="0.25">
      <c r="A505" s="12"/>
      <c r="B505" s="13"/>
      <c r="C505" s="13"/>
      <c r="D505" s="13"/>
      <c r="E505" s="13"/>
      <c r="F505" s="13"/>
      <c r="G505" s="13"/>
      <c r="H505" s="13"/>
      <c r="I505" s="13"/>
      <c r="J505" s="70"/>
      <c r="K505" s="70"/>
      <c r="L505" s="70"/>
      <c r="O505" s="18"/>
      <c r="P505" s="18"/>
      <c r="Q505" s="97"/>
      <c r="R505" s="97"/>
      <c r="S505" s="97"/>
      <c r="T505" s="97"/>
      <c r="U505" s="97"/>
      <c r="V505" s="97"/>
      <c r="W505" s="97"/>
      <c r="X505" s="51"/>
      <c r="Y505" s="18"/>
      <c r="Z505" s="18"/>
      <c r="AA505" s="18"/>
      <c r="AB505" s="18"/>
      <c r="AC505" s="18"/>
      <c r="AD505" s="18"/>
      <c r="AE505" s="18"/>
      <c r="AF505" s="18"/>
      <c r="AG505" s="18"/>
      <c r="AH505" s="51"/>
      <c r="AI505" s="18"/>
      <c r="AJ505" s="18"/>
      <c r="AK505" s="18"/>
      <c r="AL505" s="18"/>
      <c r="AM505" s="18"/>
      <c r="AN505" s="18"/>
      <c r="AO505" s="18"/>
      <c r="AP505" s="18"/>
    </row>
    <row r="506" spans="1:42" x14ac:dyDescent="0.25">
      <c r="A506" s="12"/>
      <c r="B506" s="13"/>
      <c r="C506" s="13"/>
      <c r="D506" s="13"/>
      <c r="E506" s="13"/>
      <c r="F506" s="13"/>
      <c r="G506" s="13"/>
      <c r="H506" s="13"/>
      <c r="I506" s="13"/>
      <c r="J506" s="100"/>
      <c r="K506" s="100"/>
      <c r="L506" s="100"/>
      <c r="O506" s="18"/>
      <c r="P506" s="18"/>
      <c r="Q506" s="97"/>
      <c r="R506" s="97"/>
      <c r="S506" s="97"/>
      <c r="T506" s="97"/>
      <c r="U506" s="97"/>
      <c r="V506" s="97"/>
      <c r="W506" s="97"/>
      <c r="X506" s="51"/>
      <c r="Y506" s="18"/>
      <c r="Z506" s="18"/>
      <c r="AA506" s="18"/>
      <c r="AB506" s="18"/>
      <c r="AC506" s="18"/>
      <c r="AD506" s="18"/>
      <c r="AE506" s="18"/>
      <c r="AF506" s="18"/>
      <c r="AG506" s="18"/>
      <c r="AH506" s="51"/>
      <c r="AI506" s="18"/>
      <c r="AJ506" s="18"/>
      <c r="AK506" s="18"/>
      <c r="AL506" s="18"/>
      <c r="AM506" s="18"/>
      <c r="AN506" s="18"/>
      <c r="AO506" s="18"/>
      <c r="AP506" s="18"/>
    </row>
    <row r="507" spans="1:42" x14ac:dyDescent="0.25">
      <c r="A507" s="12"/>
      <c r="B507" s="13"/>
      <c r="C507" s="13"/>
      <c r="D507" s="13"/>
      <c r="E507" s="13"/>
      <c r="F507" s="13"/>
      <c r="G507" s="13"/>
      <c r="H507" s="13"/>
      <c r="I507" s="13"/>
      <c r="J507" s="100"/>
      <c r="K507" s="100"/>
      <c r="L507" s="100"/>
      <c r="O507" s="18"/>
      <c r="P507" s="18"/>
      <c r="Q507" s="97"/>
      <c r="R507" s="97"/>
      <c r="S507" s="97"/>
      <c r="T507" s="97"/>
      <c r="U507" s="97"/>
      <c r="V507" s="97"/>
      <c r="W507" s="97"/>
      <c r="X507" s="51"/>
      <c r="Y507" s="18"/>
      <c r="Z507" s="18"/>
      <c r="AA507" s="18"/>
      <c r="AB507" s="18"/>
      <c r="AC507" s="18"/>
      <c r="AD507" s="18"/>
      <c r="AE507" s="18"/>
      <c r="AF507" s="18"/>
      <c r="AG507" s="18"/>
      <c r="AH507" s="51"/>
      <c r="AI507" s="18"/>
      <c r="AJ507" s="18"/>
      <c r="AK507" s="18"/>
      <c r="AL507" s="18"/>
      <c r="AM507" s="18"/>
      <c r="AN507" s="18"/>
      <c r="AO507" s="18"/>
      <c r="AP507" s="18"/>
    </row>
    <row r="508" spans="1:42" x14ac:dyDescent="0.25">
      <c r="A508" s="12"/>
      <c r="B508" s="13"/>
      <c r="C508" s="13"/>
      <c r="D508" s="13"/>
      <c r="E508" s="13"/>
      <c r="F508" s="13"/>
      <c r="G508" s="13"/>
      <c r="H508" s="13"/>
      <c r="I508" s="13"/>
      <c r="J508" s="70"/>
      <c r="K508" s="70"/>
      <c r="L508" s="70"/>
      <c r="O508" s="18"/>
      <c r="P508" s="18"/>
      <c r="Q508" s="97"/>
      <c r="R508" s="97"/>
      <c r="S508" s="97"/>
      <c r="T508" s="97"/>
      <c r="U508" s="97"/>
      <c r="V508" s="97"/>
      <c r="W508" s="97"/>
      <c r="X508" s="51"/>
      <c r="Y508" s="18"/>
      <c r="Z508" s="18"/>
      <c r="AA508" s="18"/>
      <c r="AB508" s="18"/>
      <c r="AC508" s="18"/>
      <c r="AD508" s="18"/>
      <c r="AE508" s="18"/>
      <c r="AF508" s="18"/>
      <c r="AG508" s="18"/>
      <c r="AH508" s="51"/>
      <c r="AI508" s="18"/>
      <c r="AJ508" s="18"/>
      <c r="AK508" s="18"/>
      <c r="AL508" s="18"/>
      <c r="AM508" s="18"/>
      <c r="AN508" s="18"/>
      <c r="AO508" s="18"/>
      <c r="AP508" s="18"/>
    </row>
    <row r="509" spans="1:42" x14ac:dyDescent="0.25">
      <c r="A509" s="12"/>
      <c r="B509" s="13"/>
      <c r="C509" s="13"/>
      <c r="D509" s="13"/>
      <c r="E509" s="13"/>
      <c r="F509" s="13"/>
      <c r="G509" s="13"/>
      <c r="H509" s="13"/>
      <c r="I509" s="13"/>
      <c r="J509" s="100"/>
      <c r="K509" s="100"/>
      <c r="L509" s="100"/>
      <c r="O509" s="18"/>
      <c r="P509" s="18"/>
      <c r="Q509" s="97"/>
      <c r="R509" s="97"/>
      <c r="S509" s="97"/>
      <c r="T509" s="97"/>
      <c r="U509" s="97"/>
      <c r="V509" s="97"/>
      <c r="W509" s="97"/>
      <c r="X509" s="51"/>
      <c r="Y509" s="18"/>
      <c r="Z509" s="18"/>
      <c r="AA509" s="18"/>
      <c r="AB509" s="18"/>
      <c r="AC509" s="18"/>
      <c r="AD509" s="18"/>
      <c r="AE509" s="18"/>
      <c r="AF509" s="18"/>
      <c r="AG509" s="18"/>
      <c r="AH509" s="51"/>
      <c r="AI509" s="18"/>
      <c r="AJ509" s="18"/>
      <c r="AK509" s="18"/>
      <c r="AL509" s="18"/>
      <c r="AM509" s="18"/>
      <c r="AN509" s="18"/>
      <c r="AO509" s="18"/>
      <c r="AP509" s="18"/>
    </row>
    <row r="510" spans="1:42" x14ac:dyDescent="0.25">
      <c r="A510" s="12"/>
      <c r="B510" s="13"/>
      <c r="C510" s="13"/>
      <c r="D510" s="13"/>
      <c r="E510" s="13"/>
      <c r="F510" s="13"/>
      <c r="G510" s="13"/>
      <c r="H510" s="13"/>
      <c r="I510" s="13"/>
      <c r="J510" s="100"/>
      <c r="K510" s="100"/>
      <c r="L510" s="100"/>
      <c r="O510" s="18"/>
      <c r="P510" s="18"/>
      <c r="Q510" s="97"/>
      <c r="R510" s="97"/>
      <c r="S510" s="97"/>
      <c r="T510" s="97"/>
      <c r="U510" s="97"/>
      <c r="V510" s="97"/>
      <c r="W510" s="97"/>
      <c r="X510" s="51"/>
      <c r="Y510" s="18"/>
      <c r="Z510" s="18"/>
      <c r="AA510" s="18"/>
      <c r="AB510" s="18"/>
      <c r="AC510" s="18"/>
      <c r="AD510" s="18"/>
      <c r="AE510" s="18"/>
      <c r="AF510" s="18"/>
      <c r="AG510" s="18"/>
      <c r="AH510" s="51"/>
      <c r="AI510" s="18"/>
      <c r="AJ510" s="18"/>
      <c r="AK510" s="18"/>
      <c r="AL510" s="18"/>
      <c r="AM510" s="18"/>
      <c r="AN510" s="18"/>
      <c r="AO510" s="18"/>
      <c r="AP510" s="18"/>
    </row>
    <row r="511" spans="1:42" x14ac:dyDescent="0.25">
      <c r="A511" s="12"/>
      <c r="B511" s="13"/>
      <c r="C511" s="13"/>
      <c r="D511" s="13"/>
      <c r="E511" s="13"/>
      <c r="F511" s="13"/>
      <c r="G511" s="13"/>
      <c r="H511" s="13"/>
      <c r="I511" s="13"/>
      <c r="J511" s="100"/>
      <c r="K511" s="100"/>
      <c r="L511" s="100"/>
      <c r="O511" s="18"/>
      <c r="P511" s="18"/>
      <c r="Q511" s="97"/>
      <c r="R511" s="97"/>
      <c r="S511" s="97"/>
      <c r="T511" s="97"/>
      <c r="U511" s="97"/>
      <c r="V511" s="97"/>
      <c r="W511" s="97"/>
      <c r="X511" s="51"/>
      <c r="Y511" s="18"/>
      <c r="Z511" s="18"/>
      <c r="AA511" s="18"/>
      <c r="AB511" s="18"/>
      <c r="AC511" s="18"/>
      <c r="AD511" s="18"/>
      <c r="AE511" s="18"/>
      <c r="AF511" s="18"/>
      <c r="AG511" s="18"/>
      <c r="AH511" s="51"/>
      <c r="AI511" s="18"/>
      <c r="AJ511" s="18"/>
      <c r="AK511" s="18"/>
      <c r="AL511" s="18"/>
      <c r="AM511" s="18"/>
      <c r="AN511" s="18"/>
      <c r="AO511" s="18"/>
      <c r="AP511" s="18"/>
    </row>
    <row r="512" spans="1:42" x14ac:dyDescent="0.25">
      <c r="A512" s="12"/>
      <c r="B512" s="13"/>
      <c r="C512" s="13"/>
      <c r="D512" s="13"/>
      <c r="E512" s="13"/>
      <c r="F512" s="13"/>
      <c r="G512" s="13"/>
      <c r="H512" s="13"/>
      <c r="I512" s="13"/>
      <c r="J512" s="100"/>
      <c r="K512" s="100"/>
      <c r="L512" s="100"/>
      <c r="O512" s="18"/>
      <c r="P512" s="18"/>
      <c r="Q512" s="97"/>
      <c r="R512" s="97"/>
      <c r="S512" s="97"/>
      <c r="T512" s="97"/>
      <c r="U512" s="97"/>
      <c r="V512" s="97"/>
      <c r="W512" s="97"/>
      <c r="X512" s="51"/>
      <c r="Y512" s="18"/>
      <c r="Z512" s="18"/>
      <c r="AA512" s="18"/>
      <c r="AB512" s="18"/>
      <c r="AC512" s="18"/>
      <c r="AD512" s="18"/>
      <c r="AE512" s="18"/>
      <c r="AF512" s="18"/>
      <c r="AG512" s="18"/>
      <c r="AH512" s="51"/>
      <c r="AI512" s="18"/>
      <c r="AJ512" s="18"/>
      <c r="AK512" s="18"/>
      <c r="AL512" s="18"/>
      <c r="AM512" s="18"/>
      <c r="AN512" s="18"/>
      <c r="AO512" s="18"/>
      <c r="AP512" s="18"/>
    </row>
    <row r="513" spans="1:42" x14ac:dyDescent="0.25">
      <c r="A513" s="12"/>
      <c r="B513" s="13"/>
      <c r="C513" s="13"/>
      <c r="D513" s="13"/>
      <c r="E513" s="13"/>
      <c r="F513" s="13"/>
      <c r="G513" s="13"/>
      <c r="H513" s="13"/>
      <c r="I513" s="13"/>
      <c r="J513" s="100"/>
      <c r="K513" s="100"/>
      <c r="L513" s="100"/>
      <c r="O513" s="18"/>
      <c r="P513" s="18"/>
      <c r="Q513" s="97"/>
      <c r="R513" s="97"/>
      <c r="S513" s="97"/>
      <c r="T513" s="97"/>
      <c r="U513" s="97"/>
      <c r="V513" s="97"/>
      <c r="W513" s="97"/>
      <c r="X513" s="51"/>
      <c r="Y513" s="18"/>
      <c r="Z513" s="18"/>
      <c r="AA513" s="18"/>
      <c r="AB513" s="18"/>
      <c r="AC513" s="18"/>
      <c r="AD513" s="18"/>
      <c r="AE513" s="18"/>
      <c r="AF513" s="18"/>
      <c r="AG513" s="18"/>
      <c r="AH513" s="51"/>
      <c r="AI513" s="18"/>
      <c r="AJ513" s="18"/>
      <c r="AK513" s="18"/>
      <c r="AL513" s="18"/>
      <c r="AM513" s="18"/>
      <c r="AN513" s="18"/>
      <c r="AO513" s="18"/>
      <c r="AP513" s="18"/>
    </row>
    <row r="514" spans="1:42" x14ac:dyDescent="0.25">
      <c r="A514" s="12"/>
      <c r="B514" s="13"/>
      <c r="C514" s="13"/>
      <c r="D514" s="13"/>
      <c r="E514" s="13"/>
      <c r="F514" s="13"/>
      <c r="G514" s="13"/>
      <c r="H514" s="13"/>
      <c r="I514" s="13"/>
      <c r="J514" s="70"/>
      <c r="K514" s="70"/>
      <c r="L514" s="70"/>
      <c r="O514" s="18"/>
      <c r="P514" s="18"/>
      <c r="Q514" s="97"/>
      <c r="R514" s="97"/>
      <c r="S514" s="97"/>
      <c r="T514" s="97"/>
      <c r="U514" s="97"/>
      <c r="V514" s="97"/>
      <c r="W514" s="97"/>
      <c r="X514" s="51"/>
      <c r="Y514" s="18"/>
      <c r="Z514" s="18"/>
      <c r="AA514" s="18"/>
      <c r="AB514" s="18"/>
      <c r="AC514" s="18"/>
      <c r="AD514" s="18"/>
      <c r="AE514" s="18"/>
      <c r="AF514" s="18"/>
      <c r="AG514" s="18"/>
      <c r="AH514" s="51"/>
      <c r="AI514" s="18"/>
      <c r="AJ514" s="18"/>
      <c r="AK514" s="18"/>
      <c r="AL514" s="18"/>
      <c r="AM514" s="18"/>
      <c r="AN514" s="18"/>
      <c r="AO514" s="18"/>
      <c r="AP514" s="18"/>
    </row>
    <row r="515" spans="1:42" x14ac:dyDescent="0.25">
      <c r="A515" s="12"/>
      <c r="B515" s="13"/>
      <c r="C515" s="13"/>
      <c r="D515" s="13"/>
      <c r="E515" s="13"/>
      <c r="F515" s="13"/>
      <c r="G515" s="13"/>
      <c r="H515" s="13"/>
      <c r="I515" s="13"/>
      <c r="J515" s="70"/>
      <c r="K515" s="70"/>
      <c r="L515" s="70"/>
      <c r="O515" s="18"/>
      <c r="P515" s="18"/>
      <c r="Q515" s="97"/>
      <c r="R515" s="97"/>
      <c r="S515" s="97"/>
      <c r="T515" s="97"/>
      <c r="U515" s="97"/>
      <c r="V515" s="97"/>
      <c r="W515" s="97"/>
      <c r="X515" s="51"/>
      <c r="Y515" s="18"/>
      <c r="Z515" s="18"/>
      <c r="AA515" s="18"/>
      <c r="AB515" s="18"/>
      <c r="AC515" s="18"/>
      <c r="AD515" s="18"/>
      <c r="AE515" s="18"/>
      <c r="AF515" s="18"/>
      <c r="AG515" s="18"/>
      <c r="AH515" s="51"/>
      <c r="AI515" s="18"/>
      <c r="AJ515" s="18"/>
      <c r="AK515" s="18"/>
      <c r="AL515" s="18"/>
      <c r="AM515" s="18"/>
      <c r="AN515" s="18"/>
      <c r="AO515" s="18"/>
      <c r="AP515" s="18"/>
    </row>
    <row r="516" spans="1:42" x14ac:dyDescent="0.25">
      <c r="A516" s="12"/>
      <c r="B516" s="13"/>
      <c r="C516" s="13"/>
      <c r="D516" s="13"/>
      <c r="E516" s="13"/>
      <c r="F516" s="13"/>
      <c r="G516" s="13"/>
      <c r="H516" s="13"/>
      <c r="I516" s="13"/>
      <c r="J516" s="70"/>
      <c r="K516" s="70"/>
      <c r="L516" s="70"/>
      <c r="O516" s="18"/>
      <c r="P516" s="18"/>
      <c r="Q516" s="97"/>
      <c r="R516" s="97"/>
      <c r="S516" s="97"/>
      <c r="T516" s="97"/>
      <c r="U516" s="97"/>
      <c r="V516" s="97"/>
      <c r="W516" s="97"/>
      <c r="X516" s="51"/>
      <c r="Y516" s="18"/>
      <c r="Z516" s="18"/>
      <c r="AA516" s="18"/>
      <c r="AB516" s="18"/>
      <c r="AC516" s="18"/>
      <c r="AD516" s="18"/>
      <c r="AE516" s="18"/>
      <c r="AF516" s="18"/>
      <c r="AG516" s="18"/>
      <c r="AH516" s="51"/>
      <c r="AI516" s="18"/>
      <c r="AJ516" s="18"/>
      <c r="AK516" s="18"/>
      <c r="AL516" s="18"/>
      <c r="AM516" s="18"/>
      <c r="AN516" s="18"/>
      <c r="AO516" s="18"/>
      <c r="AP516" s="18"/>
    </row>
    <row r="517" spans="1:42" x14ac:dyDescent="0.25">
      <c r="A517" s="12"/>
      <c r="B517" s="13"/>
      <c r="C517" s="13"/>
      <c r="D517" s="13"/>
      <c r="E517" s="13"/>
      <c r="F517" s="13"/>
      <c r="G517" s="13"/>
      <c r="H517" s="13"/>
      <c r="I517" s="13"/>
      <c r="J517" s="70"/>
      <c r="K517" s="70"/>
      <c r="L517" s="70"/>
      <c r="O517" s="18"/>
      <c r="P517" s="18"/>
      <c r="Q517" s="97"/>
      <c r="R517" s="97"/>
      <c r="S517" s="97"/>
      <c r="T517" s="97"/>
      <c r="U517" s="97"/>
      <c r="V517" s="97"/>
      <c r="W517" s="97"/>
      <c r="X517" s="51"/>
      <c r="Y517" s="18"/>
      <c r="Z517" s="18"/>
      <c r="AA517" s="18"/>
      <c r="AB517" s="18"/>
      <c r="AC517" s="18"/>
      <c r="AD517" s="18"/>
      <c r="AE517" s="18"/>
      <c r="AF517" s="18"/>
      <c r="AG517" s="18"/>
      <c r="AH517" s="51"/>
      <c r="AI517" s="18"/>
      <c r="AJ517" s="18"/>
      <c r="AK517" s="18"/>
      <c r="AL517" s="18"/>
      <c r="AM517" s="18"/>
      <c r="AN517" s="18"/>
      <c r="AO517" s="18"/>
      <c r="AP517" s="18"/>
    </row>
    <row r="518" spans="1:42" x14ac:dyDescent="0.25">
      <c r="A518" s="12"/>
      <c r="B518" s="13"/>
      <c r="C518" s="13"/>
      <c r="D518" s="13"/>
      <c r="E518" s="13"/>
      <c r="F518" s="13"/>
      <c r="G518" s="13"/>
      <c r="H518" s="13"/>
      <c r="I518" s="13"/>
      <c r="J518" s="70"/>
      <c r="K518" s="70"/>
      <c r="L518" s="70"/>
      <c r="O518" s="18"/>
      <c r="P518" s="18"/>
      <c r="Q518" s="97"/>
      <c r="R518" s="97"/>
      <c r="S518" s="97"/>
      <c r="T518" s="97"/>
      <c r="U518" s="97"/>
      <c r="V518" s="97"/>
      <c r="W518" s="97"/>
      <c r="X518" s="51"/>
      <c r="Y518" s="18"/>
      <c r="Z518" s="18"/>
      <c r="AA518" s="18"/>
      <c r="AB518" s="18"/>
      <c r="AC518" s="18"/>
      <c r="AD518" s="18"/>
      <c r="AE518" s="18"/>
      <c r="AF518" s="18"/>
      <c r="AG518" s="18"/>
      <c r="AH518" s="51"/>
      <c r="AI518" s="18"/>
      <c r="AJ518" s="18"/>
      <c r="AK518" s="18"/>
      <c r="AL518" s="18"/>
      <c r="AM518" s="18"/>
      <c r="AN518" s="18"/>
      <c r="AO518" s="18"/>
      <c r="AP518" s="18"/>
    </row>
    <row r="519" spans="1:42" x14ac:dyDescent="0.25">
      <c r="A519" s="12"/>
      <c r="B519" s="13"/>
      <c r="C519" s="13"/>
      <c r="D519" s="13"/>
      <c r="E519" s="13"/>
      <c r="F519" s="13"/>
      <c r="G519" s="13"/>
      <c r="H519" s="13"/>
      <c r="I519" s="13"/>
      <c r="J519" s="107"/>
      <c r="K519" s="107"/>
      <c r="L519" s="107"/>
      <c r="O519" s="18"/>
      <c r="P519" s="18"/>
      <c r="Q519" s="97"/>
      <c r="R519" s="97"/>
      <c r="S519" s="97"/>
      <c r="T519" s="97"/>
      <c r="U519" s="97"/>
      <c r="V519" s="97"/>
      <c r="W519" s="97"/>
      <c r="X519" s="51"/>
      <c r="Y519" s="18"/>
      <c r="Z519" s="18"/>
      <c r="AA519" s="18"/>
      <c r="AB519" s="18"/>
      <c r="AC519" s="18"/>
      <c r="AD519" s="18"/>
      <c r="AE519" s="18"/>
      <c r="AF519" s="18"/>
      <c r="AG519" s="18"/>
      <c r="AH519" s="51"/>
      <c r="AI519" s="18"/>
      <c r="AJ519" s="18"/>
      <c r="AK519" s="18"/>
      <c r="AL519" s="18"/>
      <c r="AM519" s="18"/>
      <c r="AN519" s="18"/>
      <c r="AO519" s="18"/>
      <c r="AP519" s="18"/>
    </row>
    <row r="520" spans="1:42" x14ac:dyDescent="0.25">
      <c r="A520" s="12"/>
      <c r="B520" s="13"/>
      <c r="C520" s="13"/>
      <c r="D520" s="13"/>
      <c r="E520" s="13"/>
      <c r="F520" s="13"/>
      <c r="G520" s="13"/>
      <c r="H520" s="13"/>
      <c r="I520" s="13"/>
      <c r="J520" s="70"/>
      <c r="K520" s="70"/>
      <c r="L520" s="70"/>
      <c r="O520" s="18"/>
      <c r="P520" s="18"/>
      <c r="Q520" s="97"/>
      <c r="R520" s="97"/>
      <c r="S520" s="97"/>
      <c r="T520" s="97"/>
      <c r="U520" s="97"/>
      <c r="V520" s="97"/>
      <c r="W520" s="97"/>
      <c r="X520" s="51"/>
      <c r="Y520" s="18"/>
      <c r="Z520" s="18"/>
      <c r="AA520" s="18"/>
      <c r="AB520" s="18"/>
      <c r="AC520" s="18"/>
      <c r="AD520" s="18"/>
      <c r="AE520" s="18"/>
      <c r="AF520" s="18"/>
      <c r="AG520" s="18"/>
      <c r="AH520" s="51"/>
      <c r="AI520" s="18"/>
      <c r="AJ520" s="18"/>
      <c r="AK520" s="18"/>
      <c r="AL520" s="18"/>
      <c r="AM520" s="18"/>
      <c r="AN520" s="18"/>
      <c r="AO520" s="18"/>
      <c r="AP520" s="18"/>
    </row>
    <row r="521" spans="1:42" x14ac:dyDescent="0.25">
      <c r="A521" s="12"/>
      <c r="B521" s="13"/>
      <c r="C521" s="13"/>
      <c r="D521" s="13"/>
      <c r="E521" s="13"/>
      <c r="F521" s="13"/>
      <c r="G521" s="13"/>
      <c r="H521" s="13"/>
      <c r="I521" s="13"/>
      <c r="J521" s="70"/>
      <c r="K521" s="70"/>
      <c r="L521" s="70"/>
      <c r="O521" s="18"/>
      <c r="P521" s="18"/>
      <c r="Q521" s="97"/>
      <c r="R521" s="97"/>
      <c r="S521" s="97"/>
      <c r="T521" s="97"/>
      <c r="U521" s="97"/>
      <c r="V521" s="97"/>
      <c r="W521" s="97"/>
      <c r="X521" s="51"/>
      <c r="Y521" s="18"/>
      <c r="Z521" s="18"/>
      <c r="AA521" s="18"/>
      <c r="AB521" s="18"/>
      <c r="AC521" s="18"/>
      <c r="AD521" s="18"/>
      <c r="AE521" s="18"/>
      <c r="AF521" s="18"/>
      <c r="AG521" s="18"/>
      <c r="AH521" s="51"/>
      <c r="AI521" s="18"/>
      <c r="AJ521" s="18"/>
      <c r="AK521" s="18"/>
      <c r="AL521" s="18"/>
      <c r="AM521" s="18"/>
      <c r="AN521" s="18"/>
      <c r="AO521" s="18"/>
      <c r="AP521" s="18"/>
    </row>
    <row r="522" spans="1:42" x14ac:dyDescent="0.25">
      <c r="A522" s="12"/>
      <c r="B522" s="13"/>
      <c r="C522" s="13"/>
      <c r="D522" s="13"/>
      <c r="E522" s="13"/>
      <c r="F522" s="13"/>
      <c r="G522" s="13"/>
      <c r="H522" s="13"/>
      <c r="I522" s="13"/>
      <c r="J522" s="70"/>
      <c r="K522" s="70"/>
      <c r="L522" s="70"/>
      <c r="O522" s="18"/>
      <c r="P522" s="18"/>
      <c r="Q522" s="97"/>
      <c r="R522" s="97"/>
      <c r="S522" s="97"/>
      <c r="T522" s="97"/>
      <c r="U522" s="97"/>
      <c r="V522" s="97"/>
      <c r="W522" s="97"/>
      <c r="X522" s="51"/>
      <c r="Y522" s="18"/>
      <c r="Z522" s="18"/>
      <c r="AA522" s="18"/>
      <c r="AB522" s="18"/>
      <c r="AC522" s="18"/>
      <c r="AD522" s="18"/>
      <c r="AE522" s="18"/>
      <c r="AF522" s="18"/>
      <c r="AG522" s="18"/>
      <c r="AH522" s="51"/>
      <c r="AI522" s="18"/>
      <c r="AJ522" s="18"/>
      <c r="AK522" s="18"/>
      <c r="AL522" s="18"/>
      <c r="AM522" s="18"/>
      <c r="AN522" s="18"/>
      <c r="AO522" s="18"/>
      <c r="AP522" s="18"/>
    </row>
    <row r="523" spans="1:42" x14ac:dyDescent="0.25">
      <c r="A523" s="12"/>
      <c r="B523" s="13"/>
      <c r="C523" s="13"/>
      <c r="D523" s="13"/>
      <c r="E523" s="13"/>
      <c r="F523" s="13"/>
      <c r="G523" s="13"/>
      <c r="H523" s="13"/>
      <c r="I523" s="13"/>
      <c r="J523" s="100"/>
      <c r="K523" s="100"/>
      <c r="L523" s="100"/>
      <c r="O523" s="18"/>
      <c r="P523" s="18"/>
      <c r="Q523" s="97"/>
      <c r="R523" s="97"/>
      <c r="S523" s="97"/>
      <c r="T523" s="97"/>
      <c r="U523" s="97"/>
      <c r="V523" s="97"/>
      <c r="W523" s="97"/>
      <c r="X523" s="51"/>
      <c r="Y523" s="18"/>
      <c r="Z523" s="18"/>
      <c r="AA523" s="18"/>
      <c r="AB523" s="18"/>
      <c r="AC523" s="18"/>
      <c r="AD523" s="18"/>
      <c r="AE523" s="18"/>
      <c r="AF523" s="18"/>
      <c r="AG523" s="18"/>
      <c r="AH523" s="51"/>
      <c r="AI523" s="18"/>
      <c r="AJ523" s="18"/>
      <c r="AK523" s="18"/>
      <c r="AL523" s="18"/>
      <c r="AM523" s="18"/>
      <c r="AN523" s="18"/>
      <c r="AO523" s="18"/>
      <c r="AP523" s="18"/>
    </row>
    <row r="524" spans="1:42" x14ac:dyDescent="0.25">
      <c r="A524" s="12"/>
      <c r="B524" s="13"/>
      <c r="C524" s="13"/>
      <c r="D524" s="13"/>
      <c r="E524" s="13"/>
      <c r="F524" s="13"/>
      <c r="G524" s="13"/>
      <c r="H524" s="13"/>
      <c r="I524" s="13"/>
      <c r="J524" s="70"/>
      <c r="K524" s="70"/>
      <c r="L524" s="70"/>
      <c r="O524" s="18"/>
      <c r="P524" s="18"/>
      <c r="Q524" s="97"/>
      <c r="R524" s="97"/>
      <c r="S524" s="97"/>
      <c r="T524" s="97"/>
      <c r="U524" s="97"/>
      <c r="V524" s="97"/>
      <c r="W524" s="97"/>
      <c r="X524" s="51"/>
      <c r="Y524" s="18"/>
      <c r="Z524" s="18"/>
      <c r="AA524" s="18"/>
      <c r="AB524" s="18"/>
      <c r="AC524" s="18"/>
      <c r="AD524" s="18"/>
      <c r="AE524" s="18"/>
      <c r="AF524" s="18"/>
      <c r="AG524" s="18"/>
      <c r="AH524" s="51"/>
      <c r="AI524" s="18"/>
      <c r="AJ524" s="18"/>
      <c r="AK524" s="18"/>
      <c r="AL524" s="18"/>
      <c r="AM524" s="18"/>
      <c r="AN524" s="18"/>
      <c r="AO524" s="18"/>
      <c r="AP524" s="18"/>
    </row>
    <row r="525" spans="1:42" x14ac:dyDescent="0.25">
      <c r="A525" s="12"/>
      <c r="B525" s="13"/>
      <c r="C525" s="13"/>
      <c r="D525" s="13"/>
      <c r="E525" s="13"/>
      <c r="F525" s="13"/>
      <c r="G525" s="13"/>
      <c r="H525" s="13"/>
      <c r="I525" s="13"/>
      <c r="J525" s="107"/>
      <c r="K525" s="107"/>
      <c r="L525" s="107"/>
      <c r="O525" s="18"/>
      <c r="P525" s="18"/>
      <c r="Q525" s="97"/>
      <c r="R525" s="97"/>
      <c r="S525" s="97"/>
      <c r="T525" s="97"/>
      <c r="U525" s="97"/>
      <c r="V525" s="97"/>
      <c r="W525" s="97"/>
      <c r="X525" s="51"/>
      <c r="Y525" s="18"/>
      <c r="Z525" s="18"/>
      <c r="AA525" s="18"/>
      <c r="AB525" s="18"/>
      <c r="AC525" s="18"/>
      <c r="AD525" s="18"/>
      <c r="AE525" s="18"/>
      <c r="AF525" s="18"/>
      <c r="AG525" s="18"/>
      <c r="AH525" s="51"/>
      <c r="AI525" s="18"/>
      <c r="AJ525" s="18"/>
      <c r="AK525" s="18"/>
      <c r="AL525" s="18"/>
      <c r="AM525" s="18"/>
      <c r="AN525" s="18"/>
      <c r="AO525" s="18"/>
      <c r="AP525" s="18"/>
    </row>
    <row r="526" spans="1:42" x14ac:dyDescent="0.25">
      <c r="A526" s="12"/>
      <c r="B526" s="13"/>
      <c r="C526" s="13"/>
      <c r="D526" s="13"/>
      <c r="E526" s="13"/>
      <c r="F526" s="13"/>
      <c r="G526" s="13"/>
      <c r="H526" s="13"/>
      <c r="I526" s="13"/>
      <c r="J526" s="107"/>
      <c r="K526" s="107"/>
      <c r="L526" s="107"/>
      <c r="O526" s="18"/>
      <c r="P526" s="18"/>
      <c r="Q526" s="97"/>
      <c r="R526" s="97"/>
      <c r="S526" s="97"/>
      <c r="T526" s="97"/>
      <c r="U526" s="97"/>
      <c r="V526" s="97"/>
      <c r="W526" s="97"/>
      <c r="X526" s="51"/>
      <c r="Y526" s="18"/>
      <c r="Z526" s="18"/>
      <c r="AA526" s="18"/>
      <c r="AB526" s="18"/>
      <c r="AC526" s="18"/>
      <c r="AD526" s="18"/>
      <c r="AE526" s="18"/>
      <c r="AF526" s="18"/>
      <c r="AG526" s="18"/>
      <c r="AH526" s="51"/>
      <c r="AI526" s="18"/>
      <c r="AJ526" s="18"/>
      <c r="AK526" s="18"/>
      <c r="AL526" s="18"/>
      <c r="AM526" s="18"/>
      <c r="AN526" s="18"/>
      <c r="AO526" s="18"/>
      <c r="AP526" s="18"/>
    </row>
    <row r="527" spans="1:42" x14ac:dyDescent="0.25">
      <c r="A527" s="12"/>
      <c r="B527" s="13"/>
      <c r="C527" s="13"/>
      <c r="D527" s="13"/>
      <c r="E527" s="13"/>
      <c r="F527" s="13"/>
      <c r="G527" s="13"/>
      <c r="H527" s="13"/>
      <c r="I527" s="13"/>
      <c r="J527" s="70"/>
      <c r="K527" s="70"/>
      <c r="L527" s="70"/>
      <c r="O527" s="18"/>
      <c r="P527" s="18"/>
      <c r="Q527" s="97"/>
      <c r="R527" s="97"/>
      <c r="S527" s="97"/>
      <c r="T527" s="97"/>
      <c r="U527" s="97"/>
      <c r="V527" s="97"/>
      <c r="W527" s="97"/>
      <c r="X527" s="51"/>
      <c r="Y527" s="18"/>
      <c r="Z527" s="18"/>
      <c r="AA527" s="18"/>
      <c r="AB527" s="18"/>
      <c r="AC527" s="18"/>
      <c r="AD527" s="18"/>
      <c r="AE527" s="18"/>
      <c r="AF527" s="18"/>
      <c r="AG527" s="18"/>
      <c r="AH527" s="51"/>
      <c r="AI527" s="18"/>
      <c r="AJ527" s="18"/>
      <c r="AK527" s="18"/>
      <c r="AL527" s="18"/>
      <c r="AM527" s="18"/>
      <c r="AN527" s="18"/>
      <c r="AO527" s="18"/>
      <c r="AP527" s="18"/>
    </row>
    <row r="528" spans="1:42" x14ac:dyDescent="0.25">
      <c r="A528" s="12"/>
      <c r="B528" s="13"/>
      <c r="C528" s="13"/>
      <c r="D528" s="13"/>
      <c r="E528" s="13"/>
      <c r="F528" s="13"/>
      <c r="G528" s="13"/>
      <c r="H528" s="13"/>
      <c r="I528" s="13"/>
      <c r="J528" s="100"/>
      <c r="K528" s="100"/>
      <c r="L528" s="100"/>
      <c r="O528" s="18"/>
      <c r="P528" s="18"/>
      <c r="Q528" s="97"/>
      <c r="R528" s="97"/>
      <c r="S528" s="97"/>
      <c r="T528" s="97"/>
      <c r="U528" s="97"/>
      <c r="V528" s="97"/>
      <c r="W528" s="97"/>
      <c r="X528" s="51"/>
      <c r="Y528" s="18"/>
      <c r="Z528" s="18"/>
      <c r="AA528" s="18"/>
      <c r="AB528" s="18"/>
      <c r="AC528" s="18"/>
      <c r="AD528" s="18"/>
      <c r="AE528" s="18"/>
      <c r="AF528" s="18"/>
      <c r="AG528" s="18"/>
      <c r="AH528" s="51"/>
      <c r="AI528" s="18"/>
      <c r="AJ528" s="18"/>
      <c r="AK528" s="18"/>
      <c r="AL528" s="18"/>
      <c r="AM528" s="18"/>
      <c r="AN528" s="18"/>
      <c r="AO528" s="18"/>
      <c r="AP528" s="18"/>
    </row>
    <row r="529" spans="1:42" x14ac:dyDescent="0.25">
      <c r="A529" s="12"/>
      <c r="B529" s="13"/>
      <c r="C529" s="13"/>
      <c r="D529" s="13"/>
      <c r="E529" s="13"/>
      <c r="F529" s="13"/>
      <c r="G529" s="13"/>
      <c r="H529" s="13"/>
      <c r="I529" s="13"/>
      <c r="J529" s="100"/>
      <c r="K529" s="100"/>
      <c r="L529" s="100"/>
      <c r="O529" s="18"/>
      <c r="P529" s="18"/>
      <c r="Q529" s="97"/>
      <c r="R529" s="97"/>
      <c r="S529" s="97"/>
      <c r="T529" s="97"/>
      <c r="U529" s="97"/>
      <c r="V529" s="97"/>
      <c r="W529" s="97"/>
      <c r="X529" s="51"/>
      <c r="Y529" s="18"/>
      <c r="Z529" s="18"/>
      <c r="AA529" s="18"/>
      <c r="AB529" s="18"/>
      <c r="AC529" s="18"/>
      <c r="AD529" s="18"/>
      <c r="AE529" s="18"/>
      <c r="AF529" s="18"/>
      <c r="AG529" s="18"/>
      <c r="AH529" s="51"/>
      <c r="AI529" s="18"/>
      <c r="AJ529" s="18"/>
      <c r="AK529" s="18"/>
      <c r="AL529" s="18"/>
      <c r="AM529" s="18"/>
      <c r="AN529" s="18"/>
      <c r="AO529" s="18"/>
      <c r="AP529" s="18"/>
    </row>
    <row r="530" spans="1:42" x14ac:dyDescent="0.25">
      <c r="A530" s="12"/>
      <c r="B530" s="13"/>
      <c r="C530" s="13"/>
      <c r="D530" s="13"/>
      <c r="E530" s="13"/>
      <c r="F530" s="13"/>
      <c r="G530" s="13"/>
      <c r="H530" s="13"/>
      <c r="I530" s="13"/>
      <c r="J530" s="70"/>
      <c r="K530" s="70"/>
      <c r="L530" s="70"/>
      <c r="O530" s="18"/>
      <c r="P530" s="18"/>
      <c r="Q530" s="97"/>
      <c r="R530" s="97"/>
      <c r="S530" s="97"/>
      <c r="T530" s="97"/>
      <c r="U530" s="97"/>
      <c r="V530" s="97"/>
      <c r="W530" s="97"/>
      <c r="X530" s="51"/>
      <c r="Y530" s="18"/>
      <c r="Z530" s="18"/>
      <c r="AA530" s="18"/>
      <c r="AB530" s="18"/>
      <c r="AC530" s="18"/>
      <c r="AD530" s="18"/>
      <c r="AE530" s="18"/>
      <c r="AF530" s="18"/>
      <c r="AG530" s="18"/>
      <c r="AH530" s="51"/>
      <c r="AI530" s="18"/>
      <c r="AJ530" s="18"/>
      <c r="AK530" s="18"/>
      <c r="AL530" s="18"/>
      <c r="AM530" s="18"/>
      <c r="AN530" s="18"/>
      <c r="AO530" s="18"/>
      <c r="AP530" s="18"/>
    </row>
    <row r="531" spans="1:42" x14ac:dyDescent="0.25">
      <c r="A531" s="12"/>
      <c r="B531" s="13"/>
      <c r="C531" s="13"/>
      <c r="D531" s="13"/>
      <c r="E531" s="13"/>
      <c r="F531" s="13"/>
      <c r="G531" s="13"/>
      <c r="H531" s="13"/>
      <c r="I531" s="13"/>
      <c r="J531" s="100"/>
      <c r="K531" s="100"/>
      <c r="L531" s="100"/>
      <c r="O531" s="18"/>
      <c r="P531" s="18"/>
      <c r="Q531" s="97"/>
      <c r="R531" s="97"/>
      <c r="S531" s="97"/>
      <c r="T531" s="97"/>
      <c r="U531" s="97"/>
      <c r="V531" s="97"/>
      <c r="W531" s="97"/>
      <c r="X531" s="51"/>
      <c r="Y531" s="18"/>
      <c r="Z531" s="18"/>
      <c r="AA531" s="18"/>
      <c r="AB531" s="18"/>
      <c r="AC531" s="18"/>
      <c r="AD531" s="18"/>
      <c r="AE531" s="18"/>
      <c r="AF531" s="18"/>
      <c r="AG531" s="18"/>
      <c r="AH531" s="51"/>
      <c r="AI531" s="18"/>
      <c r="AJ531" s="18"/>
      <c r="AK531" s="18"/>
      <c r="AL531" s="18"/>
      <c r="AM531" s="18"/>
      <c r="AN531" s="18"/>
      <c r="AO531" s="18"/>
      <c r="AP531" s="18"/>
    </row>
    <row r="532" spans="1:42" x14ac:dyDescent="0.25">
      <c r="A532" s="12"/>
      <c r="B532" s="13"/>
      <c r="C532" s="13"/>
      <c r="D532" s="13"/>
      <c r="E532" s="13"/>
      <c r="F532" s="13"/>
      <c r="G532" s="13"/>
      <c r="H532" s="13"/>
      <c r="I532" s="13"/>
      <c r="J532" s="100"/>
      <c r="K532" s="100"/>
      <c r="L532" s="100"/>
      <c r="O532" s="18"/>
      <c r="P532" s="18"/>
      <c r="Q532" s="97"/>
      <c r="R532" s="97"/>
      <c r="S532" s="97"/>
      <c r="T532" s="97"/>
      <c r="U532" s="97"/>
      <c r="V532" s="97"/>
      <c r="W532" s="97"/>
      <c r="X532" s="51"/>
      <c r="Y532" s="18"/>
      <c r="Z532" s="18"/>
      <c r="AA532" s="18"/>
      <c r="AB532" s="18"/>
      <c r="AC532" s="18"/>
      <c r="AD532" s="18"/>
      <c r="AE532" s="18"/>
      <c r="AF532" s="18"/>
      <c r="AG532" s="18"/>
      <c r="AH532" s="51"/>
      <c r="AI532" s="18"/>
      <c r="AJ532" s="18"/>
      <c r="AK532" s="18"/>
      <c r="AL532" s="18"/>
      <c r="AM532" s="18"/>
      <c r="AN532" s="18"/>
      <c r="AO532" s="18"/>
      <c r="AP532" s="18"/>
    </row>
    <row r="533" spans="1:42" x14ac:dyDescent="0.25">
      <c r="A533" s="12"/>
      <c r="B533" s="13"/>
      <c r="C533" s="13"/>
      <c r="D533" s="13"/>
      <c r="E533" s="13"/>
      <c r="F533" s="13"/>
      <c r="G533" s="13"/>
      <c r="H533" s="13"/>
      <c r="I533" s="13"/>
      <c r="J533" s="100"/>
      <c r="K533" s="100"/>
      <c r="L533" s="100"/>
      <c r="O533" s="18"/>
      <c r="P533" s="18"/>
      <c r="Q533" s="97"/>
      <c r="R533" s="97"/>
      <c r="S533" s="97"/>
      <c r="T533" s="97"/>
      <c r="U533" s="97"/>
      <c r="V533" s="97"/>
      <c r="W533" s="97"/>
      <c r="X533" s="51"/>
      <c r="Y533" s="18"/>
      <c r="Z533" s="18"/>
      <c r="AA533" s="18"/>
      <c r="AB533" s="18"/>
      <c r="AC533" s="18"/>
      <c r="AD533" s="18"/>
      <c r="AE533" s="18"/>
      <c r="AF533" s="18"/>
      <c r="AG533" s="18"/>
      <c r="AH533" s="51"/>
      <c r="AK533" s="18"/>
      <c r="AL533" s="18"/>
      <c r="AM533" s="18"/>
      <c r="AN533" s="18"/>
      <c r="AO533" s="18"/>
      <c r="AP533" s="18"/>
    </row>
    <row r="534" spans="1:42" x14ac:dyDescent="0.25">
      <c r="B534" s="13"/>
      <c r="C534" s="13"/>
      <c r="D534" s="13"/>
      <c r="E534" s="13"/>
      <c r="F534" s="13"/>
      <c r="G534" s="13"/>
      <c r="H534" s="13"/>
      <c r="I534" s="13"/>
    </row>
    <row r="535" spans="1:42" x14ac:dyDescent="0.25">
      <c r="B535" s="13"/>
      <c r="C535" s="13"/>
      <c r="D535" s="13"/>
      <c r="E535" s="13"/>
      <c r="F535" s="13"/>
      <c r="G535" s="13"/>
      <c r="H535" s="13"/>
      <c r="I535" s="13"/>
    </row>
    <row r="536" spans="1:42" x14ac:dyDescent="0.25">
      <c r="B536" s="13"/>
      <c r="C536" s="13"/>
      <c r="D536" s="13"/>
      <c r="E536" s="13"/>
      <c r="F536" s="13"/>
      <c r="G536" s="13"/>
      <c r="H536" s="13"/>
      <c r="I536" s="13"/>
    </row>
    <row r="537" spans="1:42" x14ac:dyDescent="0.25">
      <c r="B537" s="13"/>
      <c r="C537" s="13"/>
      <c r="D537" s="13"/>
      <c r="E537" s="13"/>
      <c r="F537" s="13"/>
      <c r="G537" s="13"/>
      <c r="H537" s="13"/>
      <c r="I537" s="13"/>
    </row>
    <row r="538" spans="1:42" x14ac:dyDescent="0.25">
      <c r="B538" s="13"/>
      <c r="C538" s="13"/>
      <c r="D538" s="13"/>
      <c r="E538" s="13"/>
      <c r="F538" s="13"/>
      <c r="G538" s="13"/>
      <c r="H538" s="13"/>
      <c r="I538" s="13"/>
    </row>
    <row r="539" spans="1:42" x14ac:dyDescent="0.25">
      <c r="B539" s="13"/>
      <c r="C539" s="13"/>
      <c r="D539" s="13"/>
      <c r="E539" s="13"/>
      <c r="F539" s="13"/>
      <c r="G539" s="13"/>
      <c r="H539" s="13"/>
      <c r="I539" s="13"/>
    </row>
    <row r="540" spans="1:42" x14ac:dyDescent="0.25">
      <c r="B540" s="13"/>
      <c r="C540" s="13"/>
      <c r="D540" s="13"/>
      <c r="E540" s="13"/>
      <c r="F540" s="13"/>
      <c r="G540" s="13"/>
      <c r="H540" s="13"/>
      <c r="I540" s="13"/>
    </row>
    <row r="541" spans="1:42" x14ac:dyDescent="0.25">
      <c r="B541" s="13"/>
      <c r="C541" s="13"/>
      <c r="D541" s="13"/>
      <c r="E541" s="13"/>
      <c r="F541" s="13"/>
      <c r="G541" s="13"/>
      <c r="H541" s="13"/>
      <c r="I541" s="13"/>
    </row>
    <row r="542" spans="1:42" x14ac:dyDescent="0.25">
      <c r="B542" s="13"/>
      <c r="C542" s="13"/>
      <c r="D542" s="13"/>
      <c r="E542" s="13"/>
      <c r="F542" s="13"/>
      <c r="G542" s="13"/>
      <c r="H542" s="13"/>
      <c r="I542" s="13"/>
    </row>
    <row r="543" spans="1:42" x14ac:dyDescent="0.25">
      <c r="B543" s="13"/>
      <c r="C543" s="13"/>
      <c r="D543" s="13"/>
      <c r="E543" s="13"/>
      <c r="F543" s="13"/>
      <c r="G543" s="13"/>
      <c r="H543" s="13"/>
      <c r="I543" s="13"/>
    </row>
    <row r="544" spans="1:42" x14ac:dyDescent="0.25">
      <c r="B544" s="13"/>
      <c r="C544" s="13"/>
      <c r="D544" s="13"/>
      <c r="E544" s="13"/>
      <c r="F544" s="13"/>
      <c r="G544" s="13"/>
      <c r="H544" s="13"/>
      <c r="I544" s="13"/>
    </row>
    <row r="545" spans="2:9" x14ac:dyDescent="0.25">
      <c r="B545" s="13"/>
      <c r="C545" s="13"/>
      <c r="D545" s="13"/>
      <c r="E545" s="13"/>
      <c r="F545" s="13"/>
      <c r="G545" s="13"/>
      <c r="H545" s="13"/>
      <c r="I545" s="13"/>
    </row>
    <row r="546" spans="2:9" x14ac:dyDescent="0.25">
      <c r="B546" s="13"/>
      <c r="C546" s="13"/>
      <c r="D546" s="13"/>
      <c r="E546" s="13"/>
      <c r="F546" s="13"/>
      <c r="G546" s="13"/>
      <c r="H546" s="13"/>
      <c r="I546" s="13"/>
    </row>
    <row r="547" spans="2:9" x14ac:dyDescent="0.25">
      <c r="B547" s="13"/>
      <c r="C547" s="13"/>
      <c r="D547" s="13"/>
      <c r="E547" s="13"/>
      <c r="F547" s="13"/>
      <c r="G547" s="13"/>
      <c r="H547" s="13"/>
      <c r="I547" s="13"/>
    </row>
    <row r="548" spans="2:9" x14ac:dyDescent="0.25">
      <c r="B548" s="13"/>
      <c r="C548" s="13"/>
      <c r="D548" s="13"/>
      <c r="E548" s="13"/>
      <c r="F548" s="13"/>
      <c r="G548" s="13"/>
      <c r="H548" s="13"/>
      <c r="I548" s="13"/>
    </row>
    <row r="549" spans="2:9" x14ac:dyDescent="0.25">
      <c r="B549" s="13"/>
      <c r="C549" s="13"/>
      <c r="D549" s="13"/>
      <c r="E549" s="13"/>
      <c r="F549" s="13"/>
      <c r="G549" s="13"/>
      <c r="H549" s="13"/>
      <c r="I549" s="13"/>
    </row>
    <row r="550" spans="2:9" x14ac:dyDescent="0.25">
      <c r="B550" s="13"/>
      <c r="C550" s="13"/>
      <c r="D550" s="13"/>
      <c r="E550" s="13"/>
      <c r="F550" s="13"/>
      <c r="G550" s="13"/>
      <c r="H550" s="13"/>
      <c r="I550" s="13"/>
    </row>
    <row r="551" spans="2:9" x14ac:dyDescent="0.25">
      <c r="B551" s="13"/>
      <c r="C551" s="13"/>
      <c r="D551" s="13"/>
      <c r="E551" s="13"/>
      <c r="F551" s="13"/>
      <c r="G551" s="13"/>
      <c r="H551" s="13"/>
      <c r="I551" s="13"/>
    </row>
    <row r="552" spans="2:9" x14ac:dyDescent="0.25">
      <c r="B552" s="13"/>
      <c r="C552" s="13"/>
      <c r="D552" s="13"/>
      <c r="E552" s="13"/>
      <c r="F552" s="13"/>
      <c r="G552" s="13"/>
      <c r="H552" s="13"/>
      <c r="I552" s="13"/>
    </row>
    <row r="553" spans="2:9" x14ac:dyDescent="0.25">
      <c r="B553" s="13"/>
      <c r="C553" s="13"/>
      <c r="D553" s="13"/>
      <c r="E553" s="13"/>
      <c r="F553" s="13"/>
      <c r="G553" s="13"/>
      <c r="H553" s="13"/>
      <c r="I553" s="13"/>
    </row>
    <row r="554" spans="2:9" x14ac:dyDescent="0.25">
      <c r="B554" s="13"/>
      <c r="C554" s="13"/>
      <c r="D554" s="13"/>
      <c r="E554" s="13"/>
      <c r="F554" s="13"/>
      <c r="G554" s="13"/>
      <c r="H554" s="13"/>
      <c r="I554" s="13"/>
    </row>
    <row r="555" spans="2:9" x14ac:dyDescent="0.25">
      <c r="B555" s="13"/>
      <c r="C555" s="13"/>
      <c r="D555" s="13"/>
      <c r="E555" s="13"/>
      <c r="F555" s="13"/>
      <c r="G555" s="13"/>
      <c r="H555" s="13"/>
      <c r="I555" s="13"/>
    </row>
    <row r="556" spans="2:9" x14ac:dyDescent="0.25">
      <c r="B556" s="13"/>
      <c r="C556" s="13"/>
      <c r="D556" s="13"/>
      <c r="E556" s="13"/>
      <c r="F556" s="13"/>
      <c r="G556" s="13"/>
      <c r="H556" s="13"/>
      <c r="I556" s="13"/>
    </row>
    <row r="557" spans="2:9" x14ac:dyDescent="0.25">
      <c r="B557" s="13"/>
      <c r="C557" s="13"/>
      <c r="D557" s="13"/>
      <c r="E557" s="13"/>
      <c r="F557" s="13"/>
      <c r="G557" s="13"/>
      <c r="H557" s="13"/>
      <c r="I557" s="13"/>
    </row>
    <row r="558" spans="2:9" x14ac:dyDescent="0.25">
      <c r="B558" s="13"/>
      <c r="C558" s="13"/>
      <c r="D558" s="13"/>
      <c r="E558" s="13"/>
      <c r="F558" s="13"/>
      <c r="G558" s="13"/>
      <c r="H558" s="13"/>
      <c r="I558" s="13"/>
    </row>
    <row r="559" spans="2:9" x14ac:dyDescent="0.25">
      <c r="B559" s="13"/>
      <c r="C559" s="13"/>
      <c r="D559" s="13"/>
      <c r="E559" s="13"/>
      <c r="F559" s="13"/>
      <c r="G559" s="13"/>
      <c r="H559" s="13"/>
      <c r="I559" s="13"/>
    </row>
    <row r="560" spans="2:9" x14ac:dyDescent="0.25">
      <c r="B560" s="13"/>
      <c r="C560" s="13"/>
      <c r="D560" s="13"/>
      <c r="E560" s="13"/>
      <c r="F560" s="13"/>
      <c r="G560" s="13"/>
      <c r="H560" s="13"/>
      <c r="I560" s="13"/>
    </row>
    <row r="561" spans="2:9" x14ac:dyDescent="0.25">
      <c r="B561" s="13"/>
      <c r="C561" s="13"/>
      <c r="D561" s="13"/>
      <c r="E561" s="13"/>
      <c r="F561" s="13"/>
      <c r="G561" s="13"/>
      <c r="H561" s="13"/>
      <c r="I561" s="13"/>
    </row>
    <row r="562" spans="2:9" x14ac:dyDescent="0.25">
      <c r="B562" s="13"/>
      <c r="C562" s="13"/>
      <c r="D562" s="13"/>
      <c r="E562" s="13"/>
      <c r="F562" s="13"/>
      <c r="G562" s="13"/>
      <c r="H562" s="13"/>
      <c r="I562" s="13"/>
    </row>
    <row r="563" spans="2:9" x14ac:dyDescent="0.25">
      <c r="B563" s="13"/>
      <c r="C563" s="13"/>
      <c r="D563" s="13"/>
      <c r="E563" s="13"/>
      <c r="F563" s="13"/>
      <c r="G563" s="13"/>
      <c r="H563" s="13"/>
      <c r="I563" s="13"/>
    </row>
    <row r="564" spans="2:9" x14ac:dyDescent="0.25">
      <c r="B564" s="13"/>
      <c r="C564" s="13"/>
      <c r="D564" s="13"/>
      <c r="E564" s="13"/>
      <c r="F564" s="13"/>
      <c r="G564" s="13"/>
      <c r="H564" s="13"/>
      <c r="I564" s="13"/>
    </row>
    <row r="565" spans="2:9" x14ac:dyDescent="0.25">
      <c r="B565" s="13"/>
      <c r="C565" s="13"/>
      <c r="D565" s="13"/>
      <c r="E565" s="13"/>
      <c r="F565" s="13"/>
      <c r="G565" s="13"/>
      <c r="H565" s="13"/>
      <c r="I565" s="13"/>
    </row>
    <row r="566" spans="2:9" x14ac:dyDescent="0.25">
      <c r="B566" s="13"/>
      <c r="C566" s="13"/>
      <c r="D566" s="13"/>
      <c r="E566" s="13"/>
      <c r="F566" s="13"/>
      <c r="G566" s="13"/>
      <c r="H566" s="13"/>
      <c r="I566" s="13"/>
    </row>
    <row r="567" spans="2:9" x14ac:dyDescent="0.25">
      <c r="B567" s="13"/>
      <c r="C567" s="13"/>
      <c r="D567" s="13"/>
      <c r="E567" s="13"/>
      <c r="F567" s="13"/>
      <c r="G567" s="13"/>
      <c r="H567" s="13"/>
      <c r="I567" s="13"/>
    </row>
    <row r="568" spans="2:9" x14ac:dyDescent="0.25">
      <c r="B568" s="13"/>
      <c r="C568" s="13"/>
      <c r="D568" s="13"/>
      <c r="E568" s="13"/>
      <c r="F568" s="13"/>
      <c r="G568" s="13"/>
      <c r="H568" s="13"/>
      <c r="I568" s="13"/>
    </row>
    <row r="569" spans="2:9" x14ac:dyDescent="0.25">
      <c r="B569" s="13"/>
      <c r="C569" s="13"/>
      <c r="D569" s="13"/>
      <c r="E569" s="13"/>
      <c r="F569" s="13"/>
      <c r="G569" s="13"/>
      <c r="H569" s="13"/>
      <c r="I569" s="13"/>
    </row>
    <row r="570" spans="2:9" x14ac:dyDescent="0.25">
      <c r="B570" s="13"/>
      <c r="C570" s="13"/>
      <c r="D570" s="13"/>
      <c r="E570" s="13"/>
      <c r="F570" s="13"/>
      <c r="G570" s="13"/>
      <c r="H570" s="13"/>
      <c r="I570" s="13"/>
    </row>
    <row r="571" spans="2:9" x14ac:dyDescent="0.25">
      <c r="B571" s="13"/>
      <c r="C571" s="13"/>
      <c r="D571" s="13"/>
      <c r="E571" s="13"/>
      <c r="F571" s="13"/>
      <c r="G571" s="13"/>
      <c r="H571" s="13"/>
      <c r="I571" s="13"/>
    </row>
    <row r="572" spans="2:9" x14ac:dyDescent="0.25">
      <c r="B572" s="13"/>
      <c r="C572" s="13"/>
      <c r="D572" s="13"/>
      <c r="E572" s="13"/>
      <c r="F572" s="13"/>
      <c r="G572" s="13"/>
      <c r="H572" s="13"/>
      <c r="I572" s="13"/>
    </row>
    <row r="573" spans="2:9" x14ac:dyDescent="0.25">
      <c r="B573" s="13"/>
      <c r="C573" s="13"/>
      <c r="D573" s="13"/>
      <c r="E573" s="13"/>
      <c r="F573" s="13"/>
      <c r="G573" s="13"/>
      <c r="H573" s="13"/>
      <c r="I573" s="13"/>
    </row>
    <row r="574" spans="2:9" x14ac:dyDescent="0.25">
      <c r="B574" s="13"/>
      <c r="C574" s="13"/>
      <c r="D574" s="13"/>
      <c r="E574" s="13"/>
      <c r="F574" s="13"/>
      <c r="G574" s="13"/>
      <c r="H574" s="13"/>
      <c r="I574" s="13"/>
    </row>
    <row r="575" spans="2:9" x14ac:dyDescent="0.25">
      <c r="B575" s="13"/>
      <c r="C575" s="13"/>
      <c r="D575" s="13"/>
      <c r="E575" s="13"/>
      <c r="F575" s="13"/>
      <c r="G575" s="13"/>
      <c r="H575" s="13"/>
      <c r="I575" s="13"/>
    </row>
    <row r="576" spans="2:9" x14ac:dyDescent="0.25">
      <c r="B576" s="13"/>
      <c r="C576" s="13"/>
      <c r="D576" s="13"/>
      <c r="E576" s="13"/>
      <c r="F576" s="13"/>
      <c r="G576" s="13"/>
      <c r="H576" s="13"/>
      <c r="I576" s="13"/>
    </row>
    <row r="577" spans="2:9" x14ac:dyDescent="0.25">
      <c r="B577" s="13"/>
      <c r="C577" s="13"/>
      <c r="D577" s="13"/>
      <c r="E577" s="13"/>
      <c r="F577" s="13"/>
      <c r="G577" s="13"/>
      <c r="H577" s="13"/>
      <c r="I577" s="13"/>
    </row>
    <row r="578" spans="2:9" x14ac:dyDescent="0.25">
      <c r="B578" s="13"/>
      <c r="C578" s="13"/>
      <c r="D578" s="13"/>
      <c r="E578" s="13"/>
      <c r="F578" s="13"/>
      <c r="G578" s="13"/>
      <c r="H578" s="13"/>
      <c r="I578" s="13"/>
    </row>
    <row r="579" spans="2:9" x14ac:dyDescent="0.25">
      <c r="B579" s="13"/>
      <c r="C579" s="13"/>
      <c r="D579" s="13"/>
      <c r="E579" s="13"/>
      <c r="F579" s="13"/>
      <c r="G579" s="13"/>
      <c r="H579" s="13"/>
      <c r="I579" s="13"/>
    </row>
    <row r="580" spans="2:9" x14ac:dyDescent="0.25">
      <c r="B580" s="13"/>
      <c r="C580" s="13"/>
      <c r="D580" s="13"/>
      <c r="E580" s="13"/>
      <c r="F580" s="13"/>
      <c r="G580" s="13"/>
      <c r="H580" s="13"/>
      <c r="I580" s="13"/>
    </row>
    <row r="581" spans="2:9" x14ac:dyDescent="0.25">
      <c r="B581" s="13"/>
      <c r="C581" s="13"/>
      <c r="D581" s="13"/>
      <c r="E581" s="13"/>
      <c r="F581" s="13"/>
      <c r="G581" s="13"/>
      <c r="H581" s="13"/>
      <c r="I581" s="13"/>
    </row>
    <row r="582" spans="2:9" x14ac:dyDescent="0.25">
      <c r="B582" s="13"/>
      <c r="C582" s="13"/>
      <c r="D582" s="13"/>
      <c r="E582" s="13"/>
      <c r="F582" s="13"/>
      <c r="G582" s="13"/>
      <c r="H582" s="13"/>
      <c r="I582" s="13"/>
    </row>
    <row r="583" spans="2:9" x14ac:dyDescent="0.25">
      <c r="B583" s="13"/>
      <c r="C583" s="13"/>
      <c r="D583" s="13"/>
      <c r="E583" s="13"/>
      <c r="F583" s="13"/>
      <c r="G583" s="13"/>
      <c r="H583" s="13"/>
      <c r="I583" s="13"/>
    </row>
    <row r="584" spans="2:9" x14ac:dyDescent="0.25">
      <c r="B584" s="13"/>
      <c r="C584" s="13"/>
      <c r="D584" s="13"/>
      <c r="E584" s="13"/>
      <c r="F584" s="13"/>
      <c r="G584" s="13"/>
      <c r="H584" s="13"/>
      <c r="I584" s="13"/>
    </row>
    <row r="585" spans="2:9" x14ac:dyDescent="0.25">
      <c r="B585" s="13"/>
      <c r="C585" s="13"/>
      <c r="D585" s="13"/>
      <c r="E585" s="13"/>
      <c r="F585" s="13"/>
      <c r="G585" s="13"/>
      <c r="H585" s="13"/>
      <c r="I585" s="13"/>
    </row>
    <row r="586" spans="2:9" x14ac:dyDescent="0.25">
      <c r="B586" s="13"/>
      <c r="C586" s="13"/>
      <c r="D586" s="13"/>
      <c r="E586" s="13"/>
      <c r="F586" s="13"/>
      <c r="G586" s="13"/>
      <c r="H586" s="13"/>
      <c r="I586" s="13"/>
    </row>
    <row r="587" spans="2:9" x14ac:dyDescent="0.25">
      <c r="B587" s="13"/>
      <c r="C587" s="13"/>
      <c r="D587" s="13"/>
      <c r="E587" s="13"/>
      <c r="F587" s="13"/>
      <c r="G587" s="13"/>
      <c r="H587" s="13"/>
      <c r="I587" s="13"/>
    </row>
    <row r="588" spans="2:9" x14ac:dyDescent="0.25">
      <c r="B588" s="13"/>
      <c r="C588" s="13"/>
      <c r="D588" s="13"/>
      <c r="E588" s="13"/>
      <c r="F588" s="13"/>
      <c r="G588" s="13"/>
      <c r="H588" s="13"/>
      <c r="I588" s="13"/>
    </row>
    <row r="589" spans="2:9" x14ac:dyDescent="0.25">
      <c r="B589" s="13"/>
      <c r="C589" s="13"/>
      <c r="D589" s="13"/>
      <c r="E589" s="13"/>
      <c r="F589" s="13"/>
      <c r="G589" s="13"/>
      <c r="H589" s="13"/>
      <c r="I589" s="13"/>
    </row>
    <row r="590" spans="2:9" x14ac:dyDescent="0.25">
      <c r="B590" s="13"/>
      <c r="C590" s="13"/>
      <c r="D590" s="13"/>
      <c r="E590" s="13"/>
      <c r="F590" s="13"/>
      <c r="G590" s="13"/>
      <c r="H590" s="13"/>
      <c r="I590" s="13"/>
    </row>
    <row r="591" spans="2:9" x14ac:dyDescent="0.25">
      <c r="B591" s="13"/>
      <c r="C591" s="13"/>
      <c r="D591" s="13"/>
      <c r="E591" s="13"/>
      <c r="F591" s="13"/>
      <c r="G591" s="13"/>
      <c r="H591" s="13"/>
      <c r="I591" s="13"/>
    </row>
    <row r="592" spans="2:9" x14ac:dyDescent="0.25">
      <c r="B592" s="13"/>
      <c r="C592" s="13"/>
      <c r="D592" s="13"/>
      <c r="E592" s="13"/>
      <c r="F592" s="13"/>
      <c r="G592" s="13"/>
      <c r="H592" s="13"/>
      <c r="I592" s="13"/>
    </row>
    <row r="593" spans="2:9" x14ac:dyDescent="0.25">
      <c r="B593" s="13"/>
      <c r="C593" s="13"/>
      <c r="D593" s="13"/>
      <c r="E593" s="13"/>
      <c r="F593" s="13"/>
      <c r="G593" s="13"/>
      <c r="H593" s="13"/>
      <c r="I593" s="13"/>
    </row>
  </sheetData>
  <mergeCells count="1">
    <mergeCell ref="AY4:AZ4"/>
  </mergeCells>
  <conditionalFormatting sqref="I20:I19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0:L191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{D346629C-70EE-4D68-BA89-95CC60A76B1D}</x14:id>
        </ext>
      </extLst>
    </cfRule>
  </conditionalFormatting>
  <conditionalFormatting sqref="P20:P191">
    <cfRule type="cellIs" dxfId="28" priority="21" operator="lessThan">
      <formula>$BJ$16</formula>
    </cfRule>
  </conditionalFormatting>
  <conditionalFormatting sqref="Y20:Y191">
    <cfRule type="expression" dxfId="27" priority="4">
      <formula>Y20&gt;=LARGE($Y$20:$Y$191,$AK$17)</formula>
    </cfRule>
    <cfRule type="expression" dxfId="26" priority="13">
      <formula>Y20&lt;=AVERAGE(_xlfn._xlws.FILTER(Y$20:Y$191,Y$20:Y$191=SMALL(Y$20:Y$191,COUNT(Y$20:Y$191)*AK$11)))</formula>
    </cfRule>
    <cfRule type="cellIs" dxfId="25" priority="16" operator="greaterThan">
      <formula>$Y$10</formula>
    </cfRule>
  </conditionalFormatting>
  <conditionalFormatting sqref="Z20:Z191">
    <cfRule type="expression" dxfId="24" priority="12">
      <formula>Z20&gt;=AVERAGE(_xlfn._xlws.FILTER(Z$20:Z$191,Z$20:Z$191=LARGE(Z$20:Z$191,COUNT(Z$20:Z$191)*AL$11)))</formula>
    </cfRule>
    <cfRule type="cellIs" dxfId="23" priority="18" operator="lessThan">
      <formula>$Z$10</formula>
    </cfRule>
  </conditionalFormatting>
  <conditionalFormatting sqref="AA20:AA191">
    <cfRule type="expression" dxfId="22" priority="8">
      <formula>AA20&lt;=SMALL($AA$20:$AA$191,$AM$17)</formula>
    </cfRule>
    <cfRule type="expression" dxfId="21" priority="11">
      <formula>AA20&gt;AVERAGE(_xlfn._xlws.FILTER(AA$20:AA$191,AA$20:AA$191=LARGE(AA$20:AA$191,COUNT(AA$20:AA$191)*AM$11)))</formula>
    </cfRule>
    <cfRule type="cellIs" dxfId="20" priority="19" operator="lessThan">
      <formula>$AA$10</formula>
    </cfRule>
  </conditionalFormatting>
  <conditionalFormatting sqref="AB20:AB191">
    <cfRule type="expression" dxfId="19" priority="9">
      <formula>AB20&lt;=SMALL($AB$20:$AB$191,$AN$17)</formula>
    </cfRule>
    <cfRule type="expression" dxfId="18" priority="10">
      <formula>AB20&gt;AVERAGE(_xlfn._xlws.FILTER(AB$20:AB$191,AB$20:AB$191=LARGE(AB$20:AB$191,COUNT(AB$20:AB$191)*AN$11)))</formula>
    </cfRule>
    <cfRule type="cellIs" dxfId="17" priority="20" operator="between">
      <formula>0.1</formula>
      <formula>$AB$10</formula>
    </cfRule>
  </conditionalFormatting>
  <conditionalFormatting sqref="AC20:AC191">
    <cfRule type="expression" dxfId="16" priority="23">
      <formula>AD20&lt;=$AC$15</formula>
    </cfRule>
  </conditionalFormatting>
  <conditionalFormatting sqref="AD20:AD191">
    <cfRule type="expression" dxfId="15" priority="24">
      <formula>AD20&lt;=$AC$15</formula>
    </cfRule>
  </conditionalFormatting>
  <conditionalFormatting sqref="AK20:AK191">
    <cfRule type="expression" dxfId="14" priority="1">
      <formula>AK20&lt;=SMALL(AK$20:AK$191,$AK$12)</formula>
    </cfRule>
    <cfRule type="expression" dxfId="13" priority="5">
      <formula>AK20&gt;=LARGE(AK$20:AK$191,$AK$17)</formula>
    </cfRule>
  </conditionalFormatting>
  <conditionalFormatting sqref="AM20:AM191">
    <cfRule type="expression" dxfId="12" priority="2">
      <formula>AM20&gt;LARGE(AM$20:AM$191,$AM$12)</formula>
    </cfRule>
    <cfRule type="expression" dxfId="11" priority="6">
      <formula>AM20&lt;=SMALL(AM$20:AM$191,$AM$17)</formula>
    </cfRule>
  </conditionalFormatting>
  <conditionalFormatting sqref="AN20:AN191">
    <cfRule type="expression" dxfId="10" priority="3">
      <formula>AN20&gt;LARGE(AN$20:AN$191,$AN$12)</formula>
    </cfRule>
    <cfRule type="expression" dxfId="9" priority="7">
      <formula>AN20&lt;=SMALL(AN$20:AN$191,$AN$17)</formula>
    </cfRule>
  </conditionalFormatting>
  <conditionalFormatting sqref="AP20:AP410">
    <cfRule type="expression" dxfId="8" priority="25">
      <formula>($AR$13-AB20)/$AR$13%&gt;$AR$16</formula>
    </cfRule>
  </conditionalFormatting>
  <conditionalFormatting sqref="CI4 CO20:CO532">
    <cfRule type="top10" priority="17" percent="1" rank="10"/>
  </conditionalFormatting>
  <conditionalFormatting sqref="CI4:CI28">
    <cfRule type="expression" dxfId="7" priority="22">
      <formula>$A$20:$A$191="ICARDA"</formula>
    </cfRule>
  </conditionalFormatting>
  <hyperlinks>
    <hyperlink ref="G87" r:id="rId1" tooltip="Papaveraceae" display="https://en.wikipedia.org/wiki/Papaveraceae" xr:uid="{B04E983A-E061-4E76-ABC4-A4A8FCBE3003}"/>
    <hyperlink ref="H87" r:id="rId2" display="https://en.wikipedia.org/wiki/Ranunculales" xr:uid="{B092C4F9-2558-42EA-B640-93C09BE07A32}"/>
    <hyperlink ref="G26" r:id="rId3" tooltip="Boraginaceae" display="https://en.wikipedia.org/wiki/Boraginaceae" xr:uid="{8E836BA4-8B3D-4C39-9B09-E05D13FBA219}"/>
    <hyperlink ref="H26" r:id="rId4" tooltip="Boraginaceae" display="https://en.wikipedia.org/wiki/Boraginaceae" xr:uid="{031F6C6B-BDB7-4452-B617-ECB217D23C80}"/>
    <hyperlink ref="G29" r:id="rId5" tooltip="Amaranthaceae" display="https://en.wikipedia.org/wiki/Amaranthaceae" xr:uid="{770BD7E5-D097-4522-AB80-54D85A82B348}"/>
    <hyperlink ref="H29" r:id="rId6" tooltip="Caryophyllales" display="https://en.wikipedia.org/wiki/Caryophyllales" xr:uid="{F397BF48-F52D-4535-9EF8-7A6DE2AD711D}"/>
    <hyperlink ref="G42" r:id="rId7" tooltip="Polygonaceae" display="https://en.wikipedia.org/wiki/Polygonaceae" xr:uid="{A84C67A2-579D-4AFA-9DA2-91F177FB6809}"/>
    <hyperlink ref="H42" r:id="rId8" tooltip="Caryophyllales" display="https://en.wikipedia.org/wiki/Caryophyllales" xr:uid="{F3364726-94CF-4574-90CC-7A12C8EC0C9E}"/>
    <hyperlink ref="G79" r:id="rId9" tooltip="Geraniaceae" display="https://en.wikipedia.org/wiki/Geraniaceae" xr:uid="{5388F388-7957-4213-8DE8-02E78132B275}"/>
    <hyperlink ref="H79" r:id="rId10" tooltip="Geraniales" display="https://en.wikipedia.org/wiki/Geraniales" xr:uid="{23E1D01F-DBB7-4FA5-BAA1-4E7E57CEC695}"/>
    <hyperlink ref="G109" r:id="rId11" tooltip="Lamiaceae" display="https://en.wikipedia.org/wiki/Lamiaceae" xr:uid="{86F0713F-48D0-44D8-BC73-2126A8265292}"/>
    <hyperlink ref="H109" r:id="rId12" tooltip="Lamiales" display="https://en.wikipedia.org/wiki/Lamiales" xr:uid="{C8A08D5C-5B1B-4844-BDC9-654DCAF34939}"/>
  </hyperlinks>
  <pageMargins left="0.7" right="0.7" top="0.75" bottom="0.75" header="0.3" footer="0.3"/>
  <pageSetup orientation="landscape" r:id="rId13"/>
  <drawing r:id="rId14"/>
  <legacyDrawing r:id="rId15"/>
  <tableParts count="4">
    <tablePart r:id="rId16"/>
    <tablePart r:id="rId17"/>
    <tablePart r:id="rId18"/>
    <tablePart r:id="rId19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346629C-70EE-4D68-BA89-95CC60A76B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J20:L191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BD94C-8372-4DA6-AAD5-5856E219C224}">
  <dimension ref="A1:N26"/>
  <sheetViews>
    <sheetView workbookViewId="0">
      <selection activeCell="M6" sqref="M6:M8"/>
    </sheetView>
  </sheetViews>
  <sheetFormatPr defaultColWidth="8.85546875" defaultRowHeight="15" x14ac:dyDescent="0.25"/>
  <cols>
    <col min="3" max="3" width="15.42578125" bestFit="1" customWidth="1"/>
    <col min="4" max="4" width="11.7109375" bestFit="1" customWidth="1"/>
    <col min="5" max="5" width="12.85546875" bestFit="1" customWidth="1"/>
    <col min="6" max="6" width="25.85546875" bestFit="1" customWidth="1"/>
    <col min="7" max="7" width="9.140625" bestFit="1" customWidth="1"/>
    <col min="8" max="8" width="9.140625" customWidth="1"/>
    <col min="11" max="11" width="11.140625" bestFit="1" customWidth="1"/>
    <col min="12" max="12" width="10.140625" bestFit="1" customWidth="1"/>
    <col min="13" max="13" width="10.7109375" bestFit="1" customWidth="1"/>
    <col min="14" max="14" width="13.7109375" bestFit="1" customWidth="1"/>
  </cols>
  <sheetData>
    <row r="1" spans="1:14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2" t="s">
        <v>59</v>
      </c>
      <c r="H1" s="2" t="s">
        <v>60</v>
      </c>
      <c r="I1" s="3" t="s">
        <v>61</v>
      </c>
      <c r="J1" s="3" t="s">
        <v>629</v>
      </c>
      <c r="K1" s="4" t="s">
        <v>10</v>
      </c>
      <c r="L1" s="1" t="s">
        <v>11</v>
      </c>
      <c r="M1" s="4" t="s">
        <v>12</v>
      </c>
      <c r="N1" s="4" t="s">
        <v>13</v>
      </c>
    </row>
    <row r="2" spans="1:14" x14ac:dyDescent="0.25">
      <c r="A2" s="5" t="s">
        <v>86</v>
      </c>
      <c r="B2" s="6">
        <v>1048</v>
      </c>
      <c r="C2" s="7" t="s">
        <v>87</v>
      </c>
      <c r="D2" s="7" t="s">
        <v>88</v>
      </c>
      <c r="E2" s="7" t="s">
        <v>89</v>
      </c>
      <c r="F2" s="7" t="s">
        <v>90</v>
      </c>
      <c r="G2" s="8" t="s">
        <v>73</v>
      </c>
      <c r="H2" s="8" t="s">
        <v>74</v>
      </c>
      <c r="I2" s="7" t="s">
        <v>48</v>
      </c>
      <c r="J2" s="9" t="s">
        <v>627</v>
      </c>
      <c r="K2" s="10">
        <v>478.14345791781392</v>
      </c>
      <c r="L2" s="11">
        <v>18.92968837593077</v>
      </c>
      <c r="M2" s="10">
        <v>15.461525180578631</v>
      </c>
      <c r="N2" s="10">
        <v>40.087747192156769</v>
      </c>
    </row>
    <row r="3" spans="1:14" x14ac:dyDescent="0.25">
      <c r="A3" s="12" t="s">
        <v>70</v>
      </c>
      <c r="B3" s="13">
        <v>1034</v>
      </c>
      <c r="C3" s="14" t="s">
        <v>107</v>
      </c>
      <c r="D3" s="14"/>
      <c r="E3" s="14"/>
      <c r="F3" s="14" t="s">
        <v>108</v>
      </c>
      <c r="G3" s="15" t="s">
        <v>73</v>
      </c>
      <c r="H3" s="15" t="s">
        <v>74</v>
      </c>
      <c r="I3" s="16" t="s">
        <v>75</v>
      </c>
      <c r="J3" s="17" t="s">
        <v>627</v>
      </c>
      <c r="K3" s="18">
        <v>495.93212821371736</v>
      </c>
      <c r="L3" s="19">
        <v>26.773735901395781</v>
      </c>
      <c r="M3" s="18">
        <v>14.881228151248209</v>
      </c>
      <c r="N3" s="18">
        <v>54.057877185418128</v>
      </c>
    </row>
    <row r="4" spans="1:14" x14ac:dyDescent="0.25">
      <c r="A4" s="5" t="s">
        <v>70</v>
      </c>
      <c r="B4" s="6">
        <v>1024</v>
      </c>
      <c r="C4" s="14" t="s">
        <v>77</v>
      </c>
      <c r="D4" s="14"/>
      <c r="E4" s="14"/>
      <c r="F4" s="20" t="s">
        <v>78</v>
      </c>
      <c r="G4" s="21" t="s">
        <v>73</v>
      </c>
      <c r="H4" s="21" t="s">
        <v>74</v>
      </c>
      <c r="I4" s="22" t="s">
        <v>79</v>
      </c>
      <c r="J4" s="9" t="s">
        <v>627</v>
      </c>
      <c r="K4" s="10">
        <v>349.5777604679472</v>
      </c>
      <c r="L4" s="11">
        <v>14.397922733033321</v>
      </c>
      <c r="M4" s="10">
        <v>11.31209155500448</v>
      </c>
      <c r="N4" s="10">
        <v>40.732617108061213</v>
      </c>
    </row>
    <row r="5" spans="1:14" x14ac:dyDescent="0.25">
      <c r="A5" s="12" t="s">
        <v>86</v>
      </c>
      <c r="B5" s="13">
        <v>1049</v>
      </c>
      <c r="C5" s="7" t="s">
        <v>157</v>
      </c>
      <c r="D5" s="7" t="s">
        <v>158</v>
      </c>
      <c r="E5" s="7" t="s">
        <v>159</v>
      </c>
      <c r="F5" s="7" t="s">
        <v>160</v>
      </c>
      <c r="G5" s="23" t="s">
        <v>73</v>
      </c>
      <c r="H5" s="23" t="s">
        <v>74</v>
      </c>
      <c r="I5" s="7" t="s">
        <v>44</v>
      </c>
      <c r="J5" s="17" t="s">
        <v>627</v>
      </c>
      <c r="K5" s="18">
        <v>622.10209633282386</v>
      </c>
      <c r="L5" s="19">
        <v>22.51821748557121</v>
      </c>
      <c r="M5" s="18">
        <v>14.335840449621394</v>
      </c>
      <c r="N5" s="18">
        <v>36.391600184858682</v>
      </c>
    </row>
    <row r="6" spans="1:14" x14ac:dyDescent="0.25">
      <c r="A6" s="5" t="s">
        <v>86</v>
      </c>
      <c r="B6" s="6">
        <v>1056</v>
      </c>
      <c r="C6" s="24">
        <v>23890</v>
      </c>
      <c r="D6" s="7" t="s">
        <v>115</v>
      </c>
      <c r="E6" s="7" t="s">
        <v>116</v>
      </c>
      <c r="F6" s="25" t="s">
        <v>117</v>
      </c>
      <c r="G6" s="26" t="s">
        <v>73</v>
      </c>
      <c r="H6" s="26" t="s">
        <v>74</v>
      </c>
      <c r="I6" s="27" t="s">
        <v>75</v>
      </c>
      <c r="J6" s="9" t="s">
        <v>627</v>
      </c>
      <c r="K6" s="10">
        <v>560.07055147350798</v>
      </c>
      <c r="L6" s="11">
        <v>22.285008142044685</v>
      </c>
      <c r="M6" s="10">
        <v>13.7305147989125</v>
      </c>
      <c r="N6" s="10">
        <v>39.568728560370722</v>
      </c>
    </row>
    <row r="7" spans="1:14" x14ac:dyDescent="0.25">
      <c r="A7" s="12" t="s">
        <v>70</v>
      </c>
      <c r="B7" s="13">
        <v>993</v>
      </c>
      <c r="C7" s="14" t="s">
        <v>228</v>
      </c>
      <c r="D7" s="14"/>
      <c r="E7" s="14"/>
      <c r="F7" s="14" t="s">
        <v>229</v>
      </c>
      <c r="G7" t="s">
        <v>73</v>
      </c>
      <c r="H7" t="s">
        <v>74</v>
      </c>
      <c r="I7" s="16" t="s">
        <v>75</v>
      </c>
      <c r="J7" s="17" t="s">
        <v>627</v>
      </c>
      <c r="K7" s="18">
        <v>748.8404674206754</v>
      </c>
      <c r="L7" s="19">
        <v>30.428672698915623</v>
      </c>
      <c r="M7" s="18">
        <v>13.269903902789702</v>
      </c>
      <c r="N7" s="18">
        <v>40.591590271415889</v>
      </c>
    </row>
    <row r="8" spans="1:14" x14ac:dyDescent="0.25">
      <c r="A8" s="5" t="s">
        <v>86</v>
      </c>
      <c r="B8" s="6">
        <v>1058</v>
      </c>
      <c r="C8" s="7" t="s">
        <v>189</v>
      </c>
      <c r="D8" s="7" t="s">
        <v>115</v>
      </c>
      <c r="E8" s="7" t="s">
        <v>190</v>
      </c>
      <c r="F8" s="7" t="s">
        <v>191</v>
      </c>
      <c r="G8" s="26" t="s">
        <v>73</v>
      </c>
      <c r="H8" s="26" t="s">
        <v>74</v>
      </c>
      <c r="I8" s="27" t="s">
        <v>75</v>
      </c>
      <c r="J8" s="9" t="s">
        <v>627</v>
      </c>
      <c r="K8" s="10">
        <v>720.97195421824142</v>
      </c>
      <c r="L8" s="11">
        <v>48.950889308345488</v>
      </c>
      <c r="M8" s="10">
        <v>17.377116736877934</v>
      </c>
      <c r="N8" s="10">
        <v>68.152553573361857</v>
      </c>
    </row>
    <row r="9" spans="1:14" x14ac:dyDescent="0.25">
      <c r="A9" s="12" t="s">
        <v>70</v>
      </c>
      <c r="B9" s="13">
        <v>1028</v>
      </c>
      <c r="C9" s="14" t="s">
        <v>129</v>
      </c>
      <c r="D9" s="14"/>
      <c r="E9" s="14"/>
      <c r="F9" s="14" t="s">
        <v>130</v>
      </c>
      <c r="G9" s="15" t="s">
        <v>73</v>
      </c>
      <c r="H9" s="15" t="s">
        <v>74</v>
      </c>
      <c r="I9" s="28" t="s">
        <v>79</v>
      </c>
      <c r="J9" s="17" t="s">
        <v>627</v>
      </c>
      <c r="K9" s="18">
        <v>554.12853153575895</v>
      </c>
      <c r="L9" s="19">
        <v>25.020616860759123</v>
      </c>
      <c r="M9" s="18">
        <v>14.520386725633308</v>
      </c>
      <c r="N9" s="18">
        <v>45.362872619692986</v>
      </c>
    </row>
    <row r="10" spans="1:14" x14ac:dyDescent="0.25">
      <c r="A10" s="5" t="s">
        <v>86</v>
      </c>
      <c r="B10" s="6">
        <v>1061</v>
      </c>
      <c r="C10" s="7" t="s">
        <v>150</v>
      </c>
      <c r="D10" s="7" t="s">
        <v>134</v>
      </c>
      <c r="E10" s="7" t="s">
        <v>151</v>
      </c>
      <c r="F10" s="7" t="s">
        <v>152</v>
      </c>
      <c r="G10" s="26" t="s">
        <v>73</v>
      </c>
      <c r="H10" s="26" t="s">
        <v>74</v>
      </c>
      <c r="I10" s="27" t="s">
        <v>44</v>
      </c>
      <c r="J10" s="9" t="s">
        <v>627</v>
      </c>
      <c r="K10" s="10">
        <v>619.13805504227832</v>
      </c>
      <c r="L10" s="11">
        <v>35.271320463281292</v>
      </c>
      <c r="M10" s="10">
        <v>19.301351462060161</v>
      </c>
      <c r="N10" s="10">
        <v>57.183516554510156</v>
      </c>
    </row>
    <row r="11" spans="1:14" x14ac:dyDescent="0.25">
      <c r="A11" s="12" t="s">
        <v>70</v>
      </c>
      <c r="B11" s="13">
        <v>1032</v>
      </c>
      <c r="C11" s="29" t="s">
        <v>82</v>
      </c>
      <c r="D11" s="30"/>
      <c r="E11" s="30"/>
      <c r="F11" s="16" t="s">
        <v>83</v>
      </c>
      <c r="G11" s="15" t="s">
        <v>73</v>
      </c>
      <c r="H11" s="15" t="s">
        <v>74</v>
      </c>
      <c r="I11" s="16" t="s">
        <v>75</v>
      </c>
      <c r="J11" s="17" t="s">
        <v>627</v>
      </c>
      <c r="K11" s="18">
        <v>370.85255241764708</v>
      </c>
      <c r="L11" s="19">
        <v>20.702318173433479</v>
      </c>
      <c r="M11" s="18">
        <v>13.590971221590719</v>
      </c>
      <c r="N11" s="18">
        <v>56.458757877656275</v>
      </c>
    </row>
    <row r="12" spans="1:14" x14ac:dyDescent="0.25">
      <c r="A12" s="5" t="s">
        <v>86</v>
      </c>
      <c r="B12" s="6">
        <v>1063</v>
      </c>
      <c r="C12" s="27">
        <v>21083</v>
      </c>
      <c r="D12" s="25" t="s">
        <v>96</v>
      </c>
      <c r="E12" s="25" t="s">
        <v>97</v>
      </c>
      <c r="F12" s="25" t="s">
        <v>83</v>
      </c>
      <c r="G12" s="26" t="s">
        <v>73</v>
      </c>
      <c r="H12" s="26" t="s">
        <v>74</v>
      </c>
      <c r="I12" s="27" t="s">
        <v>48</v>
      </c>
      <c r="J12" s="9" t="s">
        <v>627</v>
      </c>
      <c r="K12" s="10">
        <v>553.48450074589027</v>
      </c>
      <c r="L12" s="11">
        <v>27.316643897902509</v>
      </c>
      <c r="M12" s="10">
        <v>20.089059498544632</v>
      </c>
      <c r="N12" s="10">
        <v>49.282476006761804</v>
      </c>
    </row>
    <row r="13" spans="1:14" x14ac:dyDescent="0.25">
      <c r="A13" s="12" t="s">
        <v>86</v>
      </c>
      <c r="B13" s="13">
        <v>1072</v>
      </c>
      <c r="C13" s="31">
        <v>17488</v>
      </c>
      <c r="D13" s="7" t="s">
        <v>161</v>
      </c>
      <c r="E13" s="16" t="s">
        <v>242</v>
      </c>
      <c r="F13" s="16" t="s">
        <v>147</v>
      </c>
      <c r="G13" s="32" t="s">
        <v>73</v>
      </c>
      <c r="H13" s="32" t="s">
        <v>74</v>
      </c>
      <c r="I13" s="31" t="s">
        <v>44</v>
      </c>
      <c r="J13" s="17" t="s">
        <v>627</v>
      </c>
      <c r="K13" s="18">
        <v>876.27718980310021</v>
      </c>
      <c r="L13" s="19">
        <v>44.347443292723462</v>
      </c>
      <c r="M13" s="18">
        <v>17.937749489078584</v>
      </c>
      <c r="N13" s="18">
        <v>50.658121993881714</v>
      </c>
    </row>
    <row r="14" spans="1:14" x14ac:dyDescent="0.25">
      <c r="A14" s="5" t="s">
        <v>86</v>
      </c>
      <c r="B14" s="6">
        <v>1071</v>
      </c>
      <c r="C14" s="27">
        <v>17238</v>
      </c>
      <c r="D14" s="7" t="s">
        <v>161</v>
      </c>
      <c r="E14" s="7" t="s">
        <v>97</v>
      </c>
      <c r="F14" s="7" t="s">
        <v>162</v>
      </c>
      <c r="G14" s="8" t="s">
        <v>73</v>
      </c>
      <c r="H14" s="8" t="s">
        <v>74</v>
      </c>
      <c r="I14" s="27" t="s">
        <v>44</v>
      </c>
      <c r="J14" s="9" t="s">
        <v>627</v>
      </c>
      <c r="K14" s="10">
        <v>616.46137359399017</v>
      </c>
      <c r="L14" s="11">
        <v>35.487724644600014</v>
      </c>
      <c r="M14" s="10">
        <v>19.79227312837823</v>
      </c>
      <c r="N14" s="10">
        <v>57.588160962133365</v>
      </c>
    </row>
    <row r="15" spans="1:14" x14ac:dyDescent="0.25">
      <c r="A15" s="12" t="s">
        <v>70</v>
      </c>
      <c r="B15" s="13">
        <v>1010</v>
      </c>
      <c r="C15" s="14" t="s">
        <v>71</v>
      </c>
      <c r="D15" s="14"/>
      <c r="E15" s="14"/>
      <c r="F15" s="14" t="s">
        <v>72</v>
      </c>
      <c r="G15" t="s">
        <v>73</v>
      </c>
      <c r="H15" t="s">
        <v>74</v>
      </c>
      <c r="I15" s="16" t="s">
        <v>75</v>
      </c>
      <c r="J15" s="17" t="s">
        <v>627</v>
      </c>
      <c r="K15" s="18">
        <v>386.87866284421131</v>
      </c>
      <c r="L15" s="19">
        <v>19.88917758865945</v>
      </c>
      <c r="M15" s="18">
        <v>11.115243898587174</v>
      </c>
      <c r="N15" s="18">
        <v>52.366336452253698</v>
      </c>
    </row>
    <row r="16" spans="1:14" x14ac:dyDescent="0.25">
      <c r="A16" s="5" t="s">
        <v>70</v>
      </c>
      <c r="B16" s="6">
        <v>1043</v>
      </c>
      <c r="C16" s="14" t="s">
        <v>230</v>
      </c>
      <c r="D16" s="14"/>
      <c r="E16" s="14"/>
      <c r="F16" s="14" t="s">
        <v>231</v>
      </c>
      <c r="G16" s="33" t="s">
        <v>143</v>
      </c>
      <c r="H16" s="33" t="s">
        <v>144</v>
      </c>
      <c r="I16" s="25" t="s">
        <v>52</v>
      </c>
      <c r="J16" s="9" t="s">
        <v>627</v>
      </c>
      <c r="K16" s="10">
        <v>743.56890634915328</v>
      </c>
      <c r="L16" s="11">
        <v>33.769053244308587</v>
      </c>
      <c r="M16" s="10">
        <v>12.876538774987404</v>
      </c>
      <c r="N16" s="10">
        <v>45.332018669700453</v>
      </c>
    </row>
    <row r="17" spans="1:14" x14ac:dyDescent="0.25">
      <c r="A17" s="12" t="s">
        <v>86</v>
      </c>
      <c r="B17" s="13">
        <v>1091</v>
      </c>
      <c r="C17" s="7" t="s">
        <v>472</v>
      </c>
      <c r="D17" s="7" t="s">
        <v>473</v>
      </c>
      <c r="E17" s="7" t="s">
        <v>474</v>
      </c>
      <c r="F17" s="7" t="s">
        <v>475</v>
      </c>
      <c r="G17" s="32" t="s">
        <v>143</v>
      </c>
      <c r="H17" s="32" t="s">
        <v>144</v>
      </c>
      <c r="I17" s="31" t="s">
        <v>52</v>
      </c>
      <c r="J17" s="17" t="s">
        <v>627</v>
      </c>
      <c r="K17" s="18">
        <v>890.26176022055131</v>
      </c>
      <c r="L17" s="19">
        <v>53.835204090527348</v>
      </c>
      <c r="M17" s="18">
        <v>18.241589881683968</v>
      </c>
      <c r="N17" s="18">
        <v>60.411104667659252</v>
      </c>
    </row>
    <row r="18" spans="1:14" x14ac:dyDescent="0.25">
      <c r="A18" s="5" t="s">
        <v>70</v>
      </c>
      <c r="B18" s="6">
        <v>1037</v>
      </c>
      <c r="C18" s="14" t="s">
        <v>272</v>
      </c>
      <c r="D18" s="14"/>
      <c r="E18" s="14"/>
      <c r="F18" s="14" t="s">
        <v>273</v>
      </c>
      <c r="G18" s="21" t="s">
        <v>73</v>
      </c>
      <c r="H18" s="21" t="s">
        <v>74</v>
      </c>
      <c r="I18" s="22" t="s">
        <v>274</v>
      </c>
      <c r="J18" s="9" t="s">
        <v>627</v>
      </c>
      <c r="K18" s="10">
        <v>778.23899742636229</v>
      </c>
      <c r="L18" s="11">
        <v>33.73755360483208</v>
      </c>
      <c r="M18" s="10">
        <v>13.481336536429893</v>
      </c>
      <c r="N18" s="10">
        <v>43.157271099805477</v>
      </c>
    </row>
    <row r="19" spans="1:14" x14ac:dyDescent="0.25">
      <c r="A19" s="12" t="s">
        <v>70</v>
      </c>
      <c r="B19" s="13">
        <v>1036</v>
      </c>
      <c r="C19" s="14" t="s">
        <v>253</v>
      </c>
      <c r="D19" s="14"/>
      <c r="E19" s="14"/>
      <c r="F19" s="14" t="s">
        <v>254</v>
      </c>
      <c r="G19" t="s">
        <v>73</v>
      </c>
      <c r="H19" t="s">
        <v>74</v>
      </c>
      <c r="I19" s="28" t="s">
        <v>79</v>
      </c>
      <c r="J19" s="17" t="s">
        <v>627</v>
      </c>
      <c r="K19" s="18">
        <v>769.18747050422064</v>
      </c>
      <c r="L19" s="19">
        <v>40.179412196029666</v>
      </c>
      <c r="M19" s="18">
        <v>14.853129570392747</v>
      </c>
      <c r="N19" s="18">
        <v>52.254675633924897</v>
      </c>
    </row>
    <row r="20" spans="1:14" x14ac:dyDescent="0.25">
      <c r="A20" s="5" t="s">
        <v>86</v>
      </c>
      <c r="B20" s="6">
        <v>1078</v>
      </c>
      <c r="C20" s="7" t="s">
        <v>493</v>
      </c>
      <c r="D20" s="7" t="s">
        <v>494</v>
      </c>
      <c r="E20" s="7" t="s">
        <v>495</v>
      </c>
      <c r="F20" s="7" t="s">
        <v>496</v>
      </c>
      <c r="G20" s="8" t="s">
        <v>73</v>
      </c>
      <c r="H20" s="8" t="s">
        <v>74</v>
      </c>
      <c r="I20" s="7" t="s">
        <v>75</v>
      </c>
      <c r="J20" s="9" t="s">
        <v>627</v>
      </c>
      <c r="K20" s="10">
        <v>892.83690115528645</v>
      </c>
      <c r="L20" s="11">
        <v>57.118992057032472</v>
      </c>
      <c r="M20" s="10">
        <v>18.256668175842901</v>
      </c>
      <c r="N20" s="10">
        <v>64.041706818504494</v>
      </c>
    </row>
    <row r="21" spans="1:14" x14ac:dyDescent="0.25">
      <c r="A21" s="12" t="s">
        <v>70</v>
      </c>
      <c r="B21" s="13">
        <v>1015</v>
      </c>
      <c r="C21" s="14" t="s">
        <v>176</v>
      </c>
      <c r="D21" s="14"/>
      <c r="E21" s="14"/>
      <c r="F21" s="14" t="s">
        <v>177</v>
      </c>
      <c r="G21" s="15" t="s">
        <v>73</v>
      </c>
      <c r="H21" s="15" t="s">
        <v>74</v>
      </c>
      <c r="I21" s="16" t="s">
        <v>75</v>
      </c>
      <c r="J21" s="17" t="s">
        <v>627</v>
      </c>
      <c r="K21" s="18">
        <v>696.12927496963187</v>
      </c>
      <c r="L21" s="19">
        <v>41.765687080388055</v>
      </c>
      <c r="M21" s="18">
        <v>15.445617660835952</v>
      </c>
      <c r="N21" s="18">
        <v>60.25387166655846</v>
      </c>
    </row>
    <row r="22" spans="1:14" x14ac:dyDescent="0.25">
      <c r="A22" s="5" t="s">
        <v>70</v>
      </c>
      <c r="B22" s="6">
        <v>1013</v>
      </c>
      <c r="C22" s="14" t="s">
        <v>131</v>
      </c>
      <c r="D22" s="14"/>
      <c r="E22" s="14"/>
      <c r="F22" s="14" t="s">
        <v>132</v>
      </c>
      <c r="G22" s="33" t="s">
        <v>73</v>
      </c>
      <c r="H22" s="33" t="s">
        <v>74</v>
      </c>
      <c r="I22" s="25" t="s">
        <v>75</v>
      </c>
      <c r="J22" s="9" t="s">
        <v>627</v>
      </c>
      <c r="K22" s="10">
        <v>639.16798420512055</v>
      </c>
      <c r="L22" s="11">
        <v>9.2859127040320235</v>
      </c>
      <c r="M22" s="10">
        <v>6.2422044355541564</v>
      </c>
      <c r="N22" s="10">
        <v>18.432071981371976</v>
      </c>
    </row>
    <row r="23" spans="1:14" x14ac:dyDescent="0.25">
      <c r="A23" s="12" t="s">
        <v>70</v>
      </c>
      <c r="B23" s="13">
        <v>1009</v>
      </c>
      <c r="C23" s="14" t="s">
        <v>384</v>
      </c>
      <c r="D23" s="14"/>
      <c r="E23" s="14"/>
      <c r="F23" s="14" t="s">
        <v>385</v>
      </c>
      <c r="G23" t="s">
        <v>73</v>
      </c>
      <c r="H23" t="s">
        <v>74</v>
      </c>
      <c r="I23" s="16" t="s">
        <v>75</v>
      </c>
      <c r="J23" s="17" t="s">
        <v>627</v>
      </c>
      <c r="K23" s="18">
        <v>834.90465923716147</v>
      </c>
      <c r="L23" s="19">
        <v>43.31065492302001</v>
      </c>
      <c r="M23" s="18">
        <v>14.385621473701004</v>
      </c>
      <c r="N23" s="18">
        <v>52.01672157679765</v>
      </c>
    </row>
    <row r="24" spans="1:14" x14ac:dyDescent="0.25">
      <c r="A24" s="5" t="s">
        <v>200</v>
      </c>
      <c r="B24" s="6">
        <v>1152</v>
      </c>
      <c r="C24" s="34" t="s">
        <v>497</v>
      </c>
      <c r="D24" s="34" t="s">
        <v>408</v>
      </c>
      <c r="E24" s="34" t="s">
        <v>213</v>
      </c>
      <c r="F24" s="34" t="s">
        <v>214</v>
      </c>
      <c r="G24" s="21" t="s">
        <v>73</v>
      </c>
      <c r="H24" s="21" t="s">
        <v>74</v>
      </c>
      <c r="I24" s="25" t="s">
        <v>75</v>
      </c>
      <c r="J24" s="9" t="s">
        <v>627</v>
      </c>
      <c r="K24" s="10">
        <v>888.28715222553581</v>
      </c>
      <c r="L24" s="11">
        <v>55.178677406560269</v>
      </c>
      <c r="M24" s="10">
        <v>17.87046300637267</v>
      </c>
      <c r="N24" s="10">
        <v>62.145041370585112</v>
      </c>
    </row>
    <row r="25" spans="1:14" x14ac:dyDescent="0.25">
      <c r="A25" s="12" t="s">
        <v>200</v>
      </c>
      <c r="B25" s="13">
        <v>1255</v>
      </c>
      <c r="C25" s="35" t="s">
        <v>501</v>
      </c>
      <c r="D25" s="35" t="s">
        <v>432</v>
      </c>
      <c r="E25" s="35" t="s">
        <v>502</v>
      </c>
      <c r="F25" s="36" t="s">
        <v>503</v>
      </c>
      <c r="G25" t="s">
        <v>73</v>
      </c>
      <c r="H25" t="s">
        <v>74</v>
      </c>
      <c r="I25" s="16" t="s">
        <v>75</v>
      </c>
      <c r="J25" s="17" t="s">
        <v>627</v>
      </c>
      <c r="K25" s="18">
        <v>928.26539110152032</v>
      </c>
      <c r="L25" s="19">
        <v>39.971459023862664</v>
      </c>
      <c r="M25" s="18">
        <v>16.588545836372671</v>
      </c>
      <c r="N25" s="18">
        <v>43.211498589771786</v>
      </c>
    </row>
    <row r="26" spans="1:14" ht="15.75" thickBot="1" x14ac:dyDescent="0.3">
      <c r="A26" s="37" t="s">
        <v>200</v>
      </c>
      <c r="B26" s="38">
        <v>1150</v>
      </c>
      <c r="C26" s="39" t="s">
        <v>431</v>
      </c>
      <c r="D26" s="39" t="s">
        <v>432</v>
      </c>
      <c r="E26" s="39" t="s">
        <v>433</v>
      </c>
      <c r="F26" s="39" t="s">
        <v>434</v>
      </c>
      <c r="G26" s="40" t="s">
        <v>73</v>
      </c>
      <c r="H26" s="40" t="s">
        <v>74</v>
      </c>
      <c r="I26" s="41" t="s">
        <v>75</v>
      </c>
      <c r="J26" s="42" t="s">
        <v>627</v>
      </c>
      <c r="K26" s="43">
        <v>852.6789920005109</v>
      </c>
      <c r="L26" s="44">
        <v>56.423876350199244</v>
      </c>
      <c r="M26" s="43">
        <v>18.223036180724549</v>
      </c>
      <c r="N26" s="43">
        <v>66.189001112247993</v>
      </c>
    </row>
  </sheetData>
  <autoFilter ref="A1:N26" xr:uid="{4820DD10-EADC-42A3-A9B5-2D196B6462BB}"/>
  <conditionalFormatting sqref="I2:I2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L26">
    <cfRule type="expression" dxfId="6" priority="1">
      <formula>J2&gt;=AVERAGE(_xlfn._xlws.FILTER(J$20:J$191,J$20:J$191=LARGE(J$20:J$191,COUNT(J$20:J$191)*V$11)))</formula>
    </cfRule>
    <cfRule type="cellIs" dxfId="5" priority="2" operator="lessThan">
      <formula>$X$10</formula>
    </cfRule>
  </conditionalFormatting>
  <conditionalFormatting sqref="M2:M26">
    <cfRule type="expression" dxfId="4" priority="5">
      <formula>M2&lt;=SMALL($Y$20:$Y$191,$AK$17)</formula>
    </cfRule>
    <cfRule type="cellIs" dxfId="3" priority="11" operator="lessThan">
      <formula>$Y$10</formula>
    </cfRule>
  </conditionalFormatting>
  <conditionalFormatting sqref="M2:N26">
    <cfRule type="expression" dxfId="2" priority="7">
      <formula>M2&gt;AVERAGE(_xlfn._xlws.FILTER(M$20:M$191,M$20:M$191=LARGE(M$20:M$191,COUNT(M$20:M$191)*Y$11)))</formula>
    </cfRule>
  </conditionalFormatting>
  <conditionalFormatting sqref="N2:N26">
    <cfRule type="expression" dxfId="1" priority="6">
      <formula>N2&lt;=SMALL($Z$20:$Z$191,$AL$17)</formula>
    </cfRule>
    <cfRule type="cellIs" dxfId="0" priority="12" operator="between">
      <formula>0.1</formula>
      <formula>$Z$10</formula>
    </cfRule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8A2F-0BC8-244F-B991-262244F898E3}">
  <dimension ref="A1:O26"/>
  <sheetViews>
    <sheetView workbookViewId="0">
      <selection activeCell="H30" sqref="H30"/>
    </sheetView>
  </sheetViews>
  <sheetFormatPr defaultColWidth="8.85546875" defaultRowHeight="15" x14ac:dyDescent="0.25"/>
  <cols>
    <col min="3" max="3" width="10.42578125" bestFit="1" customWidth="1"/>
    <col min="4" max="4" width="15.85546875" bestFit="1" customWidth="1"/>
    <col min="5" max="5" width="21.140625" bestFit="1" customWidth="1"/>
    <col min="6" max="6" width="10.7109375" bestFit="1" customWidth="1"/>
    <col min="7" max="7" width="12.28515625" bestFit="1" customWidth="1"/>
    <col min="8" max="8" width="8" bestFit="1" customWidth="1"/>
    <col min="9" max="9" width="6.28515625" bestFit="1" customWidth="1"/>
    <col min="10" max="10" width="14.42578125" bestFit="1" customWidth="1"/>
    <col min="11" max="13" width="12.140625" bestFit="1" customWidth="1"/>
    <col min="14" max="14" width="13" bestFit="1" customWidth="1"/>
  </cols>
  <sheetData>
    <row r="1" spans="1:15" ht="15.75" thickBot="1" x14ac:dyDescent="0.3"/>
    <row r="2" spans="1:15" ht="15.75" thickBot="1" x14ac:dyDescent="0.3">
      <c r="B2" s="152" t="s">
        <v>53</v>
      </c>
      <c r="C2" s="153" t="s">
        <v>54</v>
      </c>
      <c r="D2" s="153" t="s">
        <v>55</v>
      </c>
      <c r="E2" s="153" t="s">
        <v>58</v>
      </c>
      <c r="F2" s="153" t="s">
        <v>56</v>
      </c>
      <c r="G2" s="153" t="s">
        <v>57</v>
      </c>
      <c r="H2" s="153" t="s">
        <v>59</v>
      </c>
      <c r="I2" s="153" t="s">
        <v>60</v>
      </c>
      <c r="J2" s="153" t="s">
        <v>61</v>
      </c>
      <c r="K2" s="153" t="s">
        <v>11</v>
      </c>
      <c r="L2" s="153" t="s">
        <v>630</v>
      </c>
      <c r="M2" s="153" t="s">
        <v>631</v>
      </c>
      <c r="N2" s="154" t="s">
        <v>632</v>
      </c>
    </row>
    <row r="3" spans="1:15" x14ac:dyDescent="0.25">
      <c r="A3">
        <v>1</v>
      </c>
      <c r="B3" s="155" t="s">
        <v>200</v>
      </c>
      <c r="C3" s="156">
        <v>1152</v>
      </c>
      <c r="D3" s="156" t="s">
        <v>497</v>
      </c>
      <c r="E3" s="156" t="s">
        <v>214</v>
      </c>
      <c r="F3" s="156" t="s">
        <v>212</v>
      </c>
      <c r="G3" s="156" t="s">
        <v>213</v>
      </c>
      <c r="H3" s="156" t="s">
        <v>73</v>
      </c>
      <c r="I3" s="156" t="s">
        <v>74</v>
      </c>
      <c r="J3" s="156" t="s">
        <v>75</v>
      </c>
      <c r="K3" s="156">
        <v>55.178677406560269</v>
      </c>
      <c r="L3" s="156">
        <v>2.57099525329284</v>
      </c>
      <c r="M3" s="156">
        <v>8.4779387514454793E-5</v>
      </c>
      <c r="N3" s="157">
        <v>4.0717097253008641</v>
      </c>
      <c r="O3" s="103" t="s">
        <v>633</v>
      </c>
    </row>
    <row r="4" spans="1:15" x14ac:dyDescent="0.25">
      <c r="A4">
        <v>2</v>
      </c>
      <c r="B4" s="158" t="s">
        <v>70</v>
      </c>
      <c r="C4" s="159">
        <v>1013</v>
      </c>
      <c r="D4" s="159" t="s">
        <v>131</v>
      </c>
      <c r="E4" s="159" t="s">
        <v>132</v>
      </c>
      <c r="F4" s="159" t="s">
        <v>212</v>
      </c>
      <c r="G4" s="159" t="s">
        <v>634</v>
      </c>
      <c r="H4" s="159" t="s">
        <v>73</v>
      </c>
      <c r="I4" s="159" t="s">
        <v>74</v>
      </c>
      <c r="J4" s="159" t="s">
        <v>75</v>
      </c>
      <c r="K4" s="159">
        <v>9.28591270403202</v>
      </c>
      <c r="L4" s="159">
        <v>2.57099525329284</v>
      </c>
      <c r="M4" s="159">
        <v>8.4779387514454793E-5</v>
      </c>
      <c r="N4" s="160">
        <v>4.0717097253008641</v>
      </c>
    </row>
    <row r="5" spans="1:15" x14ac:dyDescent="0.25">
      <c r="A5">
        <v>3</v>
      </c>
      <c r="B5" s="161" t="s">
        <v>70</v>
      </c>
      <c r="C5" s="162">
        <v>1010</v>
      </c>
      <c r="D5" s="162" t="s">
        <v>71</v>
      </c>
      <c r="E5" s="162" t="s">
        <v>72</v>
      </c>
      <c r="F5" s="162" t="s">
        <v>126</v>
      </c>
      <c r="G5" s="162" t="s">
        <v>635</v>
      </c>
      <c r="H5" s="162" t="s">
        <v>73</v>
      </c>
      <c r="I5" s="162" t="s">
        <v>74</v>
      </c>
      <c r="J5" s="162" t="s">
        <v>75</v>
      </c>
      <c r="K5" s="162">
        <v>19.88917758865945</v>
      </c>
      <c r="L5" s="162">
        <v>1.15686731063287</v>
      </c>
      <c r="M5" s="162">
        <v>1.2046181879556109E-3</v>
      </c>
      <c r="N5" s="163">
        <v>2.9191505839106422</v>
      </c>
    </row>
    <row r="6" spans="1:15" x14ac:dyDescent="0.25">
      <c r="A6">
        <v>4</v>
      </c>
      <c r="B6" s="161" t="s">
        <v>86</v>
      </c>
      <c r="C6" s="162">
        <v>1072</v>
      </c>
      <c r="D6" s="162">
        <v>17488</v>
      </c>
      <c r="E6" s="162" t="s">
        <v>147</v>
      </c>
      <c r="F6" s="162" t="s">
        <v>126</v>
      </c>
      <c r="G6" s="162" t="s">
        <v>636</v>
      </c>
      <c r="H6" s="162" t="s">
        <v>73</v>
      </c>
      <c r="I6" s="162" t="s">
        <v>74</v>
      </c>
      <c r="J6" s="162" t="s">
        <v>44</v>
      </c>
      <c r="K6" s="162">
        <v>44.347443292723462</v>
      </c>
      <c r="L6" s="162">
        <v>1.15686731063287</v>
      </c>
      <c r="M6" s="162">
        <v>1.2046181879556109E-3</v>
      </c>
      <c r="N6" s="163">
        <v>2.9191505839106422</v>
      </c>
    </row>
    <row r="7" spans="1:15" x14ac:dyDescent="0.25">
      <c r="A7">
        <v>5</v>
      </c>
      <c r="B7" s="158" t="s">
        <v>70</v>
      </c>
      <c r="C7" s="159">
        <v>1028</v>
      </c>
      <c r="D7" s="159" t="s">
        <v>129</v>
      </c>
      <c r="E7" s="159" t="s">
        <v>130</v>
      </c>
      <c r="F7" s="159" t="s">
        <v>134</v>
      </c>
      <c r="G7" s="159" t="s">
        <v>637</v>
      </c>
      <c r="H7" s="159" t="s">
        <v>73</v>
      </c>
      <c r="I7" s="159" t="s">
        <v>74</v>
      </c>
      <c r="J7" s="159" t="s">
        <v>79</v>
      </c>
      <c r="K7" s="159">
        <v>25.02061686075912</v>
      </c>
      <c r="L7" s="159">
        <v>0.95800668176002102</v>
      </c>
      <c r="M7" s="159">
        <v>1.9152411028319841E-3</v>
      </c>
      <c r="N7" s="160">
        <v>2.7177765464794499</v>
      </c>
    </row>
    <row r="8" spans="1:15" x14ac:dyDescent="0.25">
      <c r="A8">
        <v>6</v>
      </c>
      <c r="B8" s="158" t="s">
        <v>86</v>
      </c>
      <c r="C8" s="159">
        <v>1062</v>
      </c>
      <c r="D8" s="159" t="s">
        <v>444</v>
      </c>
      <c r="E8" s="164" t="s">
        <v>446</v>
      </c>
      <c r="F8" s="159" t="s">
        <v>134</v>
      </c>
      <c r="G8" s="159" t="s">
        <v>445</v>
      </c>
      <c r="H8" s="159" t="s">
        <v>73</v>
      </c>
      <c r="I8" s="159" t="s">
        <v>74</v>
      </c>
      <c r="J8" s="159" t="s">
        <v>44</v>
      </c>
      <c r="K8" s="159">
        <v>48.60565051364577</v>
      </c>
      <c r="L8" s="159">
        <v>0.95800668176002102</v>
      </c>
      <c r="M8" s="159">
        <v>1.9152411028319841E-3</v>
      </c>
      <c r="N8" s="160">
        <v>2.7177765464794499</v>
      </c>
    </row>
    <row r="9" spans="1:15" x14ac:dyDescent="0.25">
      <c r="A9">
        <v>7</v>
      </c>
      <c r="B9" s="161" t="s">
        <v>86</v>
      </c>
      <c r="C9" s="162">
        <v>1091</v>
      </c>
      <c r="D9" s="162" t="s">
        <v>472</v>
      </c>
      <c r="E9" s="162" t="s">
        <v>475</v>
      </c>
      <c r="F9" s="162" t="s">
        <v>473</v>
      </c>
      <c r="G9" s="162" t="s">
        <v>474</v>
      </c>
      <c r="H9" s="162" t="s">
        <v>143</v>
      </c>
      <c r="I9" s="162" t="s">
        <v>144</v>
      </c>
      <c r="J9" s="162" t="s">
        <v>52</v>
      </c>
      <c r="K9" s="162">
        <v>53.835204090527348</v>
      </c>
      <c r="L9" s="162">
        <v>0.67284816094052102</v>
      </c>
      <c r="M9" s="162">
        <v>5.7570841166185568E-3</v>
      </c>
      <c r="N9" s="163">
        <v>2.2397974250322039</v>
      </c>
    </row>
    <row r="10" spans="1:15" x14ac:dyDescent="0.25">
      <c r="A10">
        <v>8</v>
      </c>
      <c r="B10" s="161" t="s">
        <v>70</v>
      </c>
      <c r="C10" s="162">
        <v>1043</v>
      </c>
      <c r="D10" s="162" t="s">
        <v>230</v>
      </c>
      <c r="E10" s="162" t="s">
        <v>231</v>
      </c>
      <c r="F10" s="162" t="s">
        <v>473</v>
      </c>
      <c r="G10" s="162" t="s">
        <v>638</v>
      </c>
      <c r="H10" s="162" t="s">
        <v>143</v>
      </c>
      <c r="I10" s="162" t="s">
        <v>144</v>
      </c>
      <c r="J10" s="162" t="s">
        <v>52</v>
      </c>
      <c r="K10" s="162">
        <v>33.76905324430858</v>
      </c>
      <c r="L10" s="162">
        <v>0.67284816094052102</v>
      </c>
      <c r="M10" s="162">
        <v>5.7570841166185568E-3</v>
      </c>
      <c r="N10" s="163">
        <v>2.2397974250322039</v>
      </c>
    </row>
    <row r="11" spans="1:15" x14ac:dyDescent="0.25">
      <c r="A11">
        <v>9</v>
      </c>
      <c r="B11" s="158" t="s">
        <v>70</v>
      </c>
      <c r="C11" s="159">
        <v>1015</v>
      </c>
      <c r="D11" s="159" t="s">
        <v>176</v>
      </c>
      <c r="E11" s="159" t="s">
        <v>177</v>
      </c>
      <c r="F11" s="159" t="s">
        <v>494</v>
      </c>
      <c r="G11" s="159" t="s">
        <v>639</v>
      </c>
      <c r="H11" s="159" t="s">
        <v>73</v>
      </c>
      <c r="I11" s="159" t="s">
        <v>74</v>
      </c>
      <c r="J11" s="159" t="s">
        <v>75</v>
      </c>
      <c r="K11" s="159">
        <v>41.765687080388062</v>
      </c>
      <c r="L11" s="159">
        <v>0.45165234948387301</v>
      </c>
      <c r="M11" s="159">
        <v>7.1383723736070026E-3</v>
      </c>
      <c r="N11" s="160">
        <v>2.146400800792716</v>
      </c>
    </row>
    <row r="12" spans="1:15" x14ac:dyDescent="0.25">
      <c r="A12">
        <v>10</v>
      </c>
      <c r="B12" s="158" t="s">
        <v>86</v>
      </c>
      <c r="C12" s="159">
        <v>1078</v>
      </c>
      <c r="D12" s="159" t="s">
        <v>493</v>
      </c>
      <c r="E12" s="159" t="s">
        <v>496</v>
      </c>
      <c r="F12" s="159" t="s">
        <v>494</v>
      </c>
      <c r="G12" s="159" t="s">
        <v>495</v>
      </c>
      <c r="H12" s="159" t="s">
        <v>73</v>
      </c>
      <c r="I12" s="159" t="s">
        <v>74</v>
      </c>
      <c r="J12" s="159" t="s">
        <v>75</v>
      </c>
      <c r="K12" s="159">
        <v>57.118992057032472</v>
      </c>
      <c r="L12" s="159">
        <v>0.45165234948387301</v>
      </c>
      <c r="M12" s="159">
        <v>7.1383723736070026E-3</v>
      </c>
      <c r="N12" s="160">
        <v>2.146400800792716</v>
      </c>
    </row>
    <row r="13" spans="1:15" x14ac:dyDescent="0.25">
      <c r="A13">
        <v>11</v>
      </c>
      <c r="B13" s="161" t="s">
        <v>200</v>
      </c>
      <c r="C13" s="162">
        <v>1153</v>
      </c>
      <c r="D13" s="162" t="s">
        <v>281</v>
      </c>
      <c r="E13" s="164" t="s">
        <v>283</v>
      </c>
      <c r="F13" s="162" t="s">
        <v>640</v>
      </c>
      <c r="G13" s="162" t="s">
        <v>282</v>
      </c>
      <c r="H13" s="162" t="s">
        <v>73</v>
      </c>
      <c r="I13" s="162" t="s">
        <v>74</v>
      </c>
      <c r="J13" s="162" t="s">
        <v>75</v>
      </c>
      <c r="K13" s="162">
        <v>41.094326193918562</v>
      </c>
      <c r="L13" s="162">
        <v>0.6748272647829705</v>
      </c>
      <c r="M13" s="162">
        <v>7.5693569865580646E-3</v>
      </c>
      <c r="N13" s="163">
        <v>2.1209410120521959</v>
      </c>
    </row>
    <row r="14" spans="1:15" x14ac:dyDescent="0.25">
      <c r="A14">
        <v>12</v>
      </c>
      <c r="B14" s="161" t="s">
        <v>200</v>
      </c>
      <c r="C14" s="162">
        <v>1204</v>
      </c>
      <c r="D14" s="162" t="s">
        <v>482</v>
      </c>
      <c r="E14" s="164" t="s">
        <v>412</v>
      </c>
      <c r="F14" s="162" t="s">
        <v>640</v>
      </c>
      <c r="G14" s="162" t="s">
        <v>641</v>
      </c>
      <c r="H14" s="162" t="s">
        <v>73</v>
      </c>
      <c r="I14" s="162" t="s">
        <v>74</v>
      </c>
      <c r="J14" s="162" t="s">
        <v>44</v>
      </c>
      <c r="K14" s="162">
        <v>65.603213374131101</v>
      </c>
      <c r="L14" s="162">
        <v>0.6748272647829705</v>
      </c>
      <c r="M14" s="162">
        <v>7.5693569865580646E-3</v>
      </c>
      <c r="N14" s="163">
        <v>2.1209410120521959</v>
      </c>
    </row>
    <row r="15" spans="1:15" x14ac:dyDescent="0.25">
      <c r="A15">
        <v>13</v>
      </c>
      <c r="B15" s="158" t="s">
        <v>200</v>
      </c>
      <c r="C15" s="159">
        <v>1255</v>
      </c>
      <c r="D15" s="159" t="s">
        <v>501</v>
      </c>
      <c r="E15" s="159" t="s">
        <v>642</v>
      </c>
      <c r="F15" s="159" t="s">
        <v>542</v>
      </c>
      <c r="G15" s="159" t="s">
        <v>643</v>
      </c>
      <c r="H15" s="159" t="s">
        <v>73</v>
      </c>
      <c r="I15" s="159" t="s">
        <v>74</v>
      </c>
      <c r="J15" s="159" t="s">
        <v>75</v>
      </c>
      <c r="K15" s="159">
        <v>39.971459023862657</v>
      </c>
      <c r="L15" s="159">
        <v>0.49733554878540831</v>
      </c>
      <c r="M15" s="159">
        <v>7.7636769735570524E-3</v>
      </c>
      <c r="N15" s="160">
        <v>2.1099325427736488</v>
      </c>
    </row>
    <row r="16" spans="1:15" x14ac:dyDescent="0.25">
      <c r="A16">
        <v>14</v>
      </c>
      <c r="B16" s="158" t="s">
        <v>200</v>
      </c>
      <c r="C16" s="159">
        <v>1150</v>
      </c>
      <c r="D16" s="159" t="s">
        <v>431</v>
      </c>
      <c r="E16" s="159" t="s">
        <v>434</v>
      </c>
      <c r="F16" s="159" t="s">
        <v>542</v>
      </c>
      <c r="G16" s="159" t="s">
        <v>433</v>
      </c>
      <c r="H16" s="159" t="s">
        <v>73</v>
      </c>
      <c r="I16" s="159" t="s">
        <v>74</v>
      </c>
      <c r="J16" s="159" t="s">
        <v>75</v>
      </c>
      <c r="K16" s="159">
        <v>56.423876350199237</v>
      </c>
      <c r="L16" s="159">
        <v>0.49733554878540831</v>
      </c>
      <c r="M16" s="159">
        <v>7.7636769735570524E-3</v>
      </c>
      <c r="N16" s="160">
        <v>2.1099325427736488</v>
      </c>
    </row>
    <row r="17" spans="1:14" x14ac:dyDescent="0.25">
      <c r="A17">
        <v>15</v>
      </c>
      <c r="B17" s="161" t="s">
        <v>86</v>
      </c>
      <c r="C17" s="162">
        <v>1056</v>
      </c>
      <c r="D17" s="162">
        <v>23890</v>
      </c>
      <c r="E17" s="162" t="s">
        <v>117</v>
      </c>
      <c r="F17" s="162" t="s">
        <v>115</v>
      </c>
      <c r="G17" s="162" t="s">
        <v>116</v>
      </c>
      <c r="H17" s="162" t="s">
        <v>73</v>
      </c>
      <c r="I17" s="162" t="s">
        <v>74</v>
      </c>
      <c r="J17" s="162" t="s">
        <v>75</v>
      </c>
      <c r="K17" s="162">
        <v>22.285008142044681</v>
      </c>
      <c r="L17" s="162">
        <v>1.135261581971448</v>
      </c>
      <c r="M17" s="162">
        <v>1.5373868919463881E-2</v>
      </c>
      <c r="N17" s="163">
        <v>1.81321682612848</v>
      </c>
    </row>
    <row r="18" spans="1:14" x14ac:dyDescent="0.25">
      <c r="A18">
        <v>16</v>
      </c>
      <c r="B18" s="161" t="s">
        <v>86</v>
      </c>
      <c r="C18" s="162">
        <v>1058</v>
      </c>
      <c r="D18" s="162" t="s">
        <v>189</v>
      </c>
      <c r="E18" s="162" t="s">
        <v>191</v>
      </c>
      <c r="F18" s="162" t="s">
        <v>115</v>
      </c>
      <c r="G18" s="162" t="s">
        <v>190</v>
      </c>
      <c r="H18" s="162" t="s">
        <v>73</v>
      </c>
      <c r="I18" s="162" t="s">
        <v>74</v>
      </c>
      <c r="J18" s="162" t="s">
        <v>75</v>
      </c>
      <c r="K18" s="162">
        <v>48.950889308345488</v>
      </c>
      <c r="L18" s="162">
        <v>1.135261581971448</v>
      </c>
      <c r="M18" s="162">
        <v>1.5373868919463881E-2</v>
      </c>
      <c r="N18" s="163">
        <v>1.81321682612848</v>
      </c>
    </row>
    <row r="19" spans="1:14" x14ac:dyDescent="0.25">
      <c r="A19">
        <v>17</v>
      </c>
      <c r="B19" s="158" t="s">
        <v>70</v>
      </c>
      <c r="C19" s="159">
        <v>1038</v>
      </c>
      <c r="D19" s="159" t="s">
        <v>372</v>
      </c>
      <c r="E19" s="164" t="s">
        <v>375</v>
      </c>
      <c r="F19" s="159" t="s">
        <v>299</v>
      </c>
      <c r="G19" s="159" t="s">
        <v>300</v>
      </c>
      <c r="H19" s="159" t="s">
        <v>143</v>
      </c>
      <c r="I19" s="159" t="s">
        <v>144</v>
      </c>
      <c r="J19" s="159" t="s">
        <v>52</v>
      </c>
      <c r="K19" s="159">
        <v>43.23354021887841</v>
      </c>
      <c r="L19" s="159">
        <v>0.26489027907462093</v>
      </c>
      <c r="M19" s="159">
        <v>1.913755791740137E-2</v>
      </c>
      <c r="N19" s="160">
        <v>1.7181134819543089</v>
      </c>
    </row>
    <row r="20" spans="1:14" x14ac:dyDescent="0.25">
      <c r="A20">
        <v>18</v>
      </c>
      <c r="B20" s="158" t="s">
        <v>86</v>
      </c>
      <c r="C20" s="159">
        <v>1089</v>
      </c>
      <c r="D20" s="159" t="s">
        <v>298</v>
      </c>
      <c r="E20" s="164" t="s">
        <v>301</v>
      </c>
      <c r="F20" s="159" t="s">
        <v>299</v>
      </c>
      <c r="G20" s="159" t="s">
        <v>300</v>
      </c>
      <c r="H20" s="159" t="s">
        <v>143</v>
      </c>
      <c r="I20" s="159" t="s">
        <v>144</v>
      </c>
      <c r="J20" s="159" t="s">
        <v>52</v>
      </c>
      <c r="K20" s="159">
        <v>51.947029610977957</v>
      </c>
      <c r="L20" s="159">
        <v>0.26489027907462093</v>
      </c>
      <c r="M20" s="159">
        <v>1.913755791740137E-2</v>
      </c>
      <c r="N20" s="160">
        <v>1.7181134819543089</v>
      </c>
    </row>
    <row r="21" spans="1:14" x14ac:dyDescent="0.25">
      <c r="A21">
        <v>19</v>
      </c>
      <c r="B21" s="161" t="s">
        <v>86</v>
      </c>
      <c r="C21" s="162">
        <v>1088</v>
      </c>
      <c r="D21" s="162" t="s">
        <v>288</v>
      </c>
      <c r="E21" s="164" t="s">
        <v>291</v>
      </c>
      <c r="F21" s="162" t="s">
        <v>289</v>
      </c>
      <c r="G21" s="162" t="s">
        <v>290</v>
      </c>
      <c r="H21" s="162" t="s">
        <v>143</v>
      </c>
      <c r="I21" s="162" t="s">
        <v>144</v>
      </c>
      <c r="J21" s="162" t="s">
        <v>52</v>
      </c>
      <c r="K21" s="162">
        <v>50.143401876471508</v>
      </c>
      <c r="L21" s="162">
        <v>0.34306716190196213</v>
      </c>
      <c r="M21" s="162">
        <v>2.3385788949772949E-2</v>
      </c>
      <c r="N21" s="163">
        <v>1.631047974023462</v>
      </c>
    </row>
    <row r="22" spans="1:14" x14ac:dyDescent="0.25">
      <c r="A22">
        <v>20</v>
      </c>
      <c r="B22" s="161" t="s">
        <v>70</v>
      </c>
      <c r="C22" s="162">
        <v>1039</v>
      </c>
      <c r="D22" s="162" t="s">
        <v>198</v>
      </c>
      <c r="E22" s="164" t="s">
        <v>199</v>
      </c>
      <c r="F22" s="162" t="s">
        <v>289</v>
      </c>
      <c r="G22" s="162" t="s">
        <v>644</v>
      </c>
      <c r="H22" s="162" t="s">
        <v>143</v>
      </c>
      <c r="I22" s="162" t="s">
        <v>144</v>
      </c>
      <c r="J22" s="162" t="s">
        <v>52</v>
      </c>
      <c r="K22" s="162">
        <v>39.531226423883297</v>
      </c>
      <c r="L22" s="162">
        <v>0.34306716190196213</v>
      </c>
      <c r="M22" s="162">
        <v>2.3385788949772949E-2</v>
      </c>
      <c r="N22" s="163">
        <v>1.631047974023462</v>
      </c>
    </row>
    <row r="23" spans="1:14" x14ac:dyDescent="0.25">
      <c r="A23">
        <v>21</v>
      </c>
      <c r="B23" s="158" t="s">
        <v>70</v>
      </c>
      <c r="C23" s="159">
        <v>1032</v>
      </c>
      <c r="D23" s="159" t="s">
        <v>82</v>
      </c>
      <c r="E23" s="159" t="s">
        <v>83</v>
      </c>
      <c r="F23" s="159" t="s">
        <v>96</v>
      </c>
      <c r="G23" s="159" t="s">
        <v>97</v>
      </c>
      <c r="H23" s="159" t="s">
        <v>73</v>
      </c>
      <c r="I23" s="159" t="s">
        <v>74</v>
      </c>
      <c r="J23" s="159" t="s">
        <v>75</v>
      </c>
      <c r="K23" s="159">
        <v>20.702318173433479</v>
      </c>
      <c r="L23" s="159">
        <v>0.58788235217791507</v>
      </c>
      <c r="M23" s="159">
        <v>2.9658745586325249E-2</v>
      </c>
      <c r="N23" s="160">
        <v>1.527847221360827</v>
      </c>
    </row>
    <row r="24" spans="1:14" x14ac:dyDescent="0.25">
      <c r="A24">
        <v>22</v>
      </c>
      <c r="B24" s="158" t="s">
        <v>86</v>
      </c>
      <c r="C24" s="159">
        <v>1064</v>
      </c>
      <c r="D24" s="159">
        <v>32055</v>
      </c>
      <c r="E24" s="164" t="s">
        <v>83</v>
      </c>
      <c r="F24" s="159" t="s">
        <v>96</v>
      </c>
      <c r="G24" s="159" t="s">
        <v>97</v>
      </c>
      <c r="H24" s="159" t="s">
        <v>73</v>
      </c>
      <c r="I24" s="159" t="s">
        <v>74</v>
      </c>
      <c r="J24" s="159" t="s">
        <v>48</v>
      </c>
      <c r="K24" s="159">
        <v>31.11638962530164</v>
      </c>
      <c r="L24" s="159">
        <v>0.58788235217791507</v>
      </c>
      <c r="M24" s="159">
        <v>2.9658745586325249E-2</v>
      </c>
      <c r="N24" s="160">
        <v>1.527847221360827</v>
      </c>
    </row>
    <row r="25" spans="1:14" x14ac:dyDescent="0.25">
      <c r="A25">
        <v>23</v>
      </c>
      <c r="B25" s="161" t="s">
        <v>86</v>
      </c>
      <c r="C25" s="162">
        <v>1048</v>
      </c>
      <c r="D25" s="162" t="s">
        <v>87</v>
      </c>
      <c r="E25" s="162" t="s">
        <v>90</v>
      </c>
      <c r="F25" s="162" t="s">
        <v>645</v>
      </c>
      <c r="G25" s="162" t="s">
        <v>646</v>
      </c>
      <c r="H25" s="162" t="s">
        <v>73</v>
      </c>
      <c r="I25" s="162" t="s">
        <v>74</v>
      </c>
      <c r="J25" s="162" t="s">
        <v>48</v>
      </c>
      <c r="K25" s="162">
        <v>18.92968837593077</v>
      </c>
      <c r="L25" s="162">
        <v>0.50016779967299996</v>
      </c>
      <c r="M25" s="162">
        <v>3.1536510578608609E-2</v>
      </c>
      <c r="N25" s="163">
        <v>1.5011863617455909</v>
      </c>
    </row>
    <row r="26" spans="1:14" ht="15.75" thickBot="1" x14ac:dyDescent="0.3">
      <c r="A26">
        <v>24</v>
      </c>
      <c r="B26" s="165" t="s">
        <v>70</v>
      </c>
      <c r="C26" s="166">
        <v>1034</v>
      </c>
      <c r="D26" s="166" t="s">
        <v>107</v>
      </c>
      <c r="E26" s="166" t="s">
        <v>108</v>
      </c>
      <c r="F26" s="166" t="s">
        <v>645</v>
      </c>
      <c r="G26" s="166" t="s">
        <v>647</v>
      </c>
      <c r="H26" s="166" t="s">
        <v>73</v>
      </c>
      <c r="I26" s="166" t="s">
        <v>74</v>
      </c>
      <c r="J26" s="166" t="s">
        <v>75</v>
      </c>
      <c r="K26" s="166">
        <v>26.773735901395781</v>
      </c>
      <c r="L26" s="166">
        <v>0.50016779967299996</v>
      </c>
      <c r="M26" s="166">
        <v>3.1536510578608609E-2</v>
      </c>
      <c r="N26" s="167">
        <v>1.5011863617455909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9A5F-D666-FC4B-9061-2ACB1D1C26AE}">
  <dimension ref="A1:K28"/>
  <sheetViews>
    <sheetView tabSelected="1" workbookViewId="0">
      <selection activeCell="N24" sqref="N24"/>
    </sheetView>
  </sheetViews>
  <sheetFormatPr defaultColWidth="11.42578125" defaultRowHeight="15" x14ac:dyDescent="0.25"/>
  <cols>
    <col min="1" max="1" width="8" bestFit="1" customWidth="1"/>
    <col min="2" max="2" width="12" bestFit="1" customWidth="1"/>
    <col min="3" max="3" width="18.7109375" bestFit="1" customWidth="1"/>
    <col min="4" max="4" width="22.85546875" bestFit="1" customWidth="1"/>
    <col min="5" max="5" width="11.7109375" bestFit="1" customWidth="1"/>
    <col min="6" max="6" width="12.42578125" bestFit="1" customWidth="1"/>
    <col min="7" max="7" width="23.85546875" customWidth="1"/>
    <col min="8" max="8" width="22" customWidth="1"/>
    <col min="9" max="9" width="16.85546875" bestFit="1" customWidth="1"/>
    <col min="10" max="10" width="12.7109375" bestFit="1" customWidth="1"/>
  </cols>
  <sheetData>
    <row r="1" spans="1:11" x14ac:dyDescent="0.25">
      <c r="A1" s="168" t="s">
        <v>53</v>
      </c>
      <c r="B1" s="169" t="s">
        <v>54</v>
      </c>
      <c r="C1" s="169" t="s">
        <v>55</v>
      </c>
      <c r="D1" s="169" t="s">
        <v>58</v>
      </c>
      <c r="E1" s="169" t="s">
        <v>56</v>
      </c>
      <c r="F1" s="169" t="s">
        <v>57</v>
      </c>
      <c r="G1" s="169" t="s">
        <v>59</v>
      </c>
      <c r="H1" s="169" t="s">
        <v>60</v>
      </c>
      <c r="I1" s="169" t="s">
        <v>61</v>
      </c>
      <c r="J1" s="169" t="s">
        <v>11</v>
      </c>
      <c r="K1" s="198" t="s">
        <v>663</v>
      </c>
    </row>
    <row r="2" spans="1:11" ht="15.75" thickBot="1" x14ac:dyDescent="0.3">
      <c r="A2" s="170" t="s">
        <v>200</v>
      </c>
      <c r="B2" s="171">
        <v>1149</v>
      </c>
      <c r="C2" s="172" t="s">
        <v>574</v>
      </c>
      <c r="D2" s="173" t="s">
        <v>523</v>
      </c>
      <c r="E2" s="172" t="s">
        <v>212</v>
      </c>
      <c r="F2" s="172" t="s">
        <v>522</v>
      </c>
      <c r="G2" s="172" t="s">
        <v>73</v>
      </c>
      <c r="H2" s="172" t="s">
        <v>74</v>
      </c>
      <c r="I2" s="172" t="s">
        <v>75</v>
      </c>
      <c r="J2" s="174">
        <v>53.718742399999996</v>
      </c>
      <c r="K2" s="195" t="s">
        <v>661</v>
      </c>
    </row>
    <row r="3" spans="1:11" ht="15.75" thickBot="1" x14ac:dyDescent="0.3">
      <c r="A3" s="176" t="s">
        <v>70</v>
      </c>
      <c r="B3" s="175">
        <v>1013</v>
      </c>
      <c r="C3" s="175" t="s">
        <v>131</v>
      </c>
      <c r="D3" s="177" t="s">
        <v>132</v>
      </c>
      <c r="E3" s="175" t="s">
        <v>212</v>
      </c>
      <c r="F3" s="175" t="s">
        <v>634</v>
      </c>
      <c r="G3" s="175" t="s">
        <v>73</v>
      </c>
      <c r="H3" s="175" t="s">
        <v>74</v>
      </c>
      <c r="I3" s="175" t="s">
        <v>75</v>
      </c>
      <c r="J3" s="178">
        <v>9.28591270403202</v>
      </c>
      <c r="K3" s="196" t="s">
        <v>662</v>
      </c>
    </row>
    <row r="4" spans="1:11" ht="15.75" thickBot="1" x14ac:dyDescent="0.3">
      <c r="A4" s="179" t="s">
        <v>70</v>
      </c>
      <c r="B4" s="180">
        <v>1010</v>
      </c>
      <c r="C4" s="180" t="s">
        <v>71</v>
      </c>
      <c r="D4" s="181" t="s">
        <v>648</v>
      </c>
      <c r="E4" s="180" t="s">
        <v>126</v>
      </c>
      <c r="F4" s="180" t="s">
        <v>635</v>
      </c>
      <c r="G4" s="180" t="s">
        <v>73</v>
      </c>
      <c r="H4" s="180" t="s">
        <v>74</v>
      </c>
      <c r="I4" s="180" t="s">
        <v>75</v>
      </c>
      <c r="J4" s="182">
        <v>19.88917758865945</v>
      </c>
      <c r="K4" s="197" t="s">
        <v>662</v>
      </c>
    </row>
    <row r="5" spans="1:11" ht="15.75" thickBot="1" x14ac:dyDescent="0.3">
      <c r="A5" s="179" t="s">
        <v>86</v>
      </c>
      <c r="B5" s="180">
        <v>1072</v>
      </c>
      <c r="C5" s="180">
        <v>17488</v>
      </c>
      <c r="D5" s="181" t="s">
        <v>147</v>
      </c>
      <c r="E5" s="180" t="s">
        <v>126</v>
      </c>
      <c r="F5" s="180" t="s">
        <v>636</v>
      </c>
      <c r="G5" s="180" t="s">
        <v>73</v>
      </c>
      <c r="H5" s="180" t="s">
        <v>74</v>
      </c>
      <c r="I5" s="180" t="s">
        <v>44</v>
      </c>
      <c r="J5" s="182">
        <v>44.347443292723462</v>
      </c>
      <c r="K5" s="197" t="s">
        <v>661</v>
      </c>
    </row>
    <row r="6" spans="1:11" ht="15.75" thickBot="1" x14ac:dyDescent="0.3">
      <c r="A6" s="176" t="s">
        <v>70</v>
      </c>
      <c r="B6" s="175">
        <v>1028</v>
      </c>
      <c r="C6" s="175" t="s">
        <v>129</v>
      </c>
      <c r="D6" s="177" t="s">
        <v>649</v>
      </c>
      <c r="E6" s="175" t="s">
        <v>134</v>
      </c>
      <c r="F6" s="175" t="s">
        <v>637</v>
      </c>
      <c r="G6" s="175" t="s">
        <v>73</v>
      </c>
      <c r="H6" s="175" t="s">
        <v>74</v>
      </c>
      <c r="I6" s="175" t="s">
        <v>44</v>
      </c>
      <c r="J6" s="178">
        <v>25.02061686075912</v>
      </c>
      <c r="K6" s="196" t="s">
        <v>662</v>
      </c>
    </row>
    <row r="7" spans="1:11" ht="15.75" thickBot="1" x14ac:dyDescent="0.3">
      <c r="A7" s="176" t="s">
        <v>86</v>
      </c>
      <c r="B7" s="175">
        <v>1062</v>
      </c>
      <c r="C7" s="175" t="s">
        <v>444</v>
      </c>
      <c r="D7" s="183" t="s">
        <v>446</v>
      </c>
      <c r="E7" s="175" t="s">
        <v>134</v>
      </c>
      <c r="F7" s="175" t="s">
        <v>445</v>
      </c>
      <c r="G7" s="175" t="s">
        <v>73</v>
      </c>
      <c r="H7" s="175" t="s">
        <v>74</v>
      </c>
      <c r="I7" s="175" t="s">
        <v>44</v>
      </c>
      <c r="J7" s="178">
        <v>48.60565051364577</v>
      </c>
      <c r="K7" s="196" t="s">
        <v>661</v>
      </c>
    </row>
    <row r="8" spans="1:11" ht="15.75" thickBot="1" x14ac:dyDescent="0.3">
      <c r="A8" s="179" t="s">
        <v>86</v>
      </c>
      <c r="B8" s="184">
        <v>1091</v>
      </c>
      <c r="C8" s="180" t="s">
        <v>472</v>
      </c>
      <c r="D8" s="181" t="s">
        <v>475</v>
      </c>
      <c r="E8" s="180" t="s">
        <v>473</v>
      </c>
      <c r="F8" s="180" t="s">
        <v>474</v>
      </c>
      <c r="G8" s="180" t="s">
        <v>143</v>
      </c>
      <c r="H8" s="180" t="s">
        <v>144</v>
      </c>
      <c r="I8" s="180" t="s">
        <v>650</v>
      </c>
      <c r="J8" s="182">
        <v>53.835204090527348</v>
      </c>
      <c r="K8" s="197" t="s">
        <v>661</v>
      </c>
    </row>
    <row r="9" spans="1:11" ht="15.75" thickBot="1" x14ac:dyDescent="0.3">
      <c r="A9" s="179" t="s">
        <v>70</v>
      </c>
      <c r="B9" s="180">
        <v>1043</v>
      </c>
      <c r="C9" s="180" t="s">
        <v>230</v>
      </c>
      <c r="D9" s="181" t="s">
        <v>651</v>
      </c>
      <c r="E9" s="180" t="s">
        <v>473</v>
      </c>
      <c r="F9" s="180" t="s">
        <v>638</v>
      </c>
      <c r="G9" s="180" t="s">
        <v>143</v>
      </c>
      <c r="H9" s="180" t="s">
        <v>144</v>
      </c>
      <c r="I9" s="180" t="s">
        <v>650</v>
      </c>
      <c r="J9" s="182">
        <v>33.76905324430858</v>
      </c>
      <c r="K9" s="197" t="s">
        <v>662</v>
      </c>
    </row>
    <row r="10" spans="1:11" ht="15.75" thickBot="1" x14ac:dyDescent="0.3">
      <c r="A10" s="176" t="s">
        <v>70</v>
      </c>
      <c r="B10" s="175">
        <v>1015</v>
      </c>
      <c r="C10" s="175" t="s">
        <v>176</v>
      </c>
      <c r="D10" s="177" t="s">
        <v>177</v>
      </c>
      <c r="E10" s="175" t="s">
        <v>494</v>
      </c>
      <c r="F10" s="175" t="s">
        <v>639</v>
      </c>
      <c r="G10" s="175" t="s">
        <v>73</v>
      </c>
      <c r="H10" s="175" t="s">
        <v>74</v>
      </c>
      <c r="I10" s="175" t="s">
        <v>75</v>
      </c>
      <c r="J10" s="178">
        <v>41.765687080388062</v>
      </c>
      <c r="K10" s="197" t="s">
        <v>662</v>
      </c>
    </row>
    <row r="11" spans="1:11" ht="15.75" thickBot="1" x14ac:dyDescent="0.3">
      <c r="A11" s="176" t="s">
        <v>86</v>
      </c>
      <c r="B11" s="175">
        <v>1078</v>
      </c>
      <c r="C11" s="175" t="s">
        <v>493</v>
      </c>
      <c r="D11" s="177" t="s">
        <v>496</v>
      </c>
      <c r="E11" s="175" t="s">
        <v>494</v>
      </c>
      <c r="F11" s="175" t="s">
        <v>495</v>
      </c>
      <c r="G11" s="175" t="s">
        <v>73</v>
      </c>
      <c r="H11" s="175" t="s">
        <v>74</v>
      </c>
      <c r="I11" s="175" t="s">
        <v>75</v>
      </c>
      <c r="J11" s="178">
        <v>57.118992057032472</v>
      </c>
      <c r="K11" s="197" t="s">
        <v>661</v>
      </c>
    </row>
    <row r="12" spans="1:11" ht="15.75" thickBot="1" x14ac:dyDescent="0.3">
      <c r="A12" s="179" t="s">
        <v>200</v>
      </c>
      <c r="B12" s="180">
        <v>1153</v>
      </c>
      <c r="C12" s="180" t="s">
        <v>281</v>
      </c>
      <c r="D12" s="183" t="s">
        <v>283</v>
      </c>
      <c r="E12" s="180" t="s">
        <v>640</v>
      </c>
      <c r="F12" s="180" t="s">
        <v>282</v>
      </c>
      <c r="G12" s="180" t="s">
        <v>73</v>
      </c>
      <c r="H12" s="180" t="s">
        <v>74</v>
      </c>
      <c r="I12" s="180" t="s">
        <v>75</v>
      </c>
      <c r="J12" s="182">
        <v>41.094326193918562</v>
      </c>
      <c r="K12" s="197" t="s">
        <v>662</v>
      </c>
    </row>
    <row r="13" spans="1:11" ht="15.75" thickBot="1" x14ac:dyDescent="0.3">
      <c r="A13" s="179" t="s">
        <v>200</v>
      </c>
      <c r="B13" s="180">
        <v>1204</v>
      </c>
      <c r="C13" s="180" t="s">
        <v>482</v>
      </c>
      <c r="D13" s="183" t="s">
        <v>412</v>
      </c>
      <c r="E13" s="180" t="s">
        <v>640</v>
      </c>
      <c r="F13" s="180" t="s">
        <v>641</v>
      </c>
      <c r="G13" s="180" t="s">
        <v>73</v>
      </c>
      <c r="H13" s="180" t="s">
        <v>74</v>
      </c>
      <c r="I13" s="180" t="s">
        <v>44</v>
      </c>
      <c r="J13" s="182">
        <v>65.603213374131101</v>
      </c>
      <c r="K13" s="197" t="s">
        <v>661</v>
      </c>
    </row>
    <row r="14" spans="1:11" ht="15.75" thickBot="1" x14ac:dyDescent="0.3">
      <c r="A14" s="176" t="s">
        <v>200</v>
      </c>
      <c r="B14" s="175">
        <v>1255</v>
      </c>
      <c r="C14" s="175" t="s">
        <v>501</v>
      </c>
      <c r="D14" s="177" t="s">
        <v>642</v>
      </c>
      <c r="E14" s="175" t="s">
        <v>542</v>
      </c>
      <c r="F14" s="175" t="s">
        <v>643</v>
      </c>
      <c r="G14" s="175" t="s">
        <v>73</v>
      </c>
      <c r="H14" s="175" t="s">
        <v>74</v>
      </c>
      <c r="I14" s="175" t="s">
        <v>75</v>
      </c>
      <c r="J14" s="178">
        <v>39.971459023862657</v>
      </c>
      <c r="K14" s="197" t="s">
        <v>662</v>
      </c>
    </row>
    <row r="15" spans="1:11" ht="15.75" thickBot="1" x14ac:dyDescent="0.3">
      <c r="A15" s="176" t="s">
        <v>200</v>
      </c>
      <c r="B15" s="175">
        <v>1150</v>
      </c>
      <c r="C15" s="175" t="s">
        <v>431</v>
      </c>
      <c r="D15" s="177" t="s">
        <v>434</v>
      </c>
      <c r="E15" s="175" t="s">
        <v>542</v>
      </c>
      <c r="F15" s="175" t="s">
        <v>433</v>
      </c>
      <c r="G15" s="175" t="s">
        <v>73</v>
      </c>
      <c r="H15" s="175" t="s">
        <v>74</v>
      </c>
      <c r="I15" s="175" t="s">
        <v>75</v>
      </c>
      <c r="J15" s="178">
        <v>56.423876350199237</v>
      </c>
      <c r="K15" s="197" t="s">
        <v>661</v>
      </c>
    </row>
    <row r="16" spans="1:11" ht="15.75" thickBot="1" x14ac:dyDescent="0.3">
      <c r="A16" s="179" t="s">
        <v>86</v>
      </c>
      <c r="B16" s="180">
        <v>1056</v>
      </c>
      <c r="C16" s="180">
        <v>23890</v>
      </c>
      <c r="D16" s="181" t="s">
        <v>117</v>
      </c>
      <c r="E16" s="180" t="s">
        <v>115</v>
      </c>
      <c r="F16" s="180" t="s">
        <v>116</v>
      </c>
      <c r="G16" s="180" t="s">
        <v>73</v>
      </c>
      <c r="H16" s="180" t="s">
        <v>74</v>
      </c>
      <c r="I16" s="180" t="s">
        <v>75</v>
      </c>
      <c r="J16" s="182">
        <v>22.285008142044681</v>
      </c>
      <c r="K16" s="197" t="s">
        <v>662</v>
      </c>
    </row>
    <row r="17" spans="1:11" ht="15.75" thickBot="1" x14ac:dyDescent="0.3">
      <c r="A17" s="179" t="s">
        <v>86</v>
      </c>
      <c r="B17" s="180">
        <v>1058</v>
      </c>
      <c r="C17" s="180" t="s">
        <v>189</v>
      </c>
      <c r="D17" s="181" t="s">
        <v>191</v>
      </c>
      <c r="E17" s="180" t="s">
        <v>115</v>
      </c>
      <c r="F17" s="180" t="s">
        <v>190</v>
      </c>
      <c r="G17" s="180" t="s">
        <v>73</v>
      </c>
      <c r="H17" s="180" t="s">
        <v>74</v>
      </c>
      <c r="I17" s="180" t="s">
        <v>75</v>
      </c>
      <c r="J17" s="182">
        <v>48.950889308345488</v>
      </c>
      <c r="K17" s="197" t="s">
        <v>661</v>
      </c>
    </row>
    <row r="18" spans="1:11" ht="15.75" thickBot="1" x14ac:dyDescent="0.3">
      <c r="A18" s="176" t="s">
        <v>70</v>
      </c>
      <c r="B18" s="175">
        <v>1038</v>
      </c>
      <c r="C18" s="175" t="s">
        <v>372</v>
      </c>
      <c r="D18" s="183" t="s">
        <v>652</v>
      </c>
      <c r="E18" s="175" t="s">
        <v>299</v>
      </c>
      <c r="F18" s="175" t="s">
        <v>300</v>
      </c>
      <c r="G18" s="175" t="s">
        <v>143</v>
      </c>
      <c r="H18" s="175" t="s">
        <v>144</v>
      </c>
      <c r="I18" s="175" t="s">
        <v>650</v>
      </c>
      <c r="J18" s="178">
        <v>43.23354021887841</v>
      </c>
      <c r="K18" s="197" t="s">
        <v>662</v>
      </c>
    </row>
    <row r="19" spans="1:11" ht="15.75" thickBot="1" x14ac:dyDescent="0.3">
      <c r="A19" s="176" t="s">
        <v>86</v>
      </c>
      <c r="B19" s="175">
        <v>1089</v>
      </c>
      <c r="C19" s="175" t="s">
        <v>298</v>
      </c>
      <c r="D19" s="183" t="s">
        <v>301</v>
      </c>
      <c r="E19" s="175" t="s">
        <v>299</v>
      </c>
      <c r="F19" s="175" t="s">
        <v>300</v>
      </c>
      <c r="G19" s="175" t="s">
        <v>143</v>
      </c>
      <c r="H19" s="175" t="s">
        <v>144</v>
      </c>
      <c r="I19" s="175" t="s">
        <v>650</v>
      </c>
      <c r="J19" s="178">
        <v>51.947029610977957</v>
      </c>
      <c r="K19" s="197" t="s">
        <v>661</v>
      </c>
    </row>
    <row r="20" spans="1:11" ht="15.75" thickBot="1" x14ac:dyDescent="0.3">
      <c r="A20" s="179" t="s">
        <v>86</v>
      </c>
      <c r="B20" s="180">
        <v>1088</v>
      </c>
      <c r="C20" s="180" t="s">
        <v>288</v>
      </c>
      <c r="D20" s="183" t="s">
        <v>291</v>
      </c>
      <c r="E20" s="180" t="s">
        <v>289</v>
      </c>
      <c r="F20" s="180" t="s">
        <v>290</v>
      </c>
      <c r="G20" s="180" t="s">
        <v>143</v>
      </c>
      <c r="H20" s="180" t="s">
        <v>144</v>
      </c>
      <c r="I20" s="180" t="s">
        <v>650</v>
      </c>
      <c r="J20" s="182">
        <v>50.143401876471508</v>
      </c>
      <c r="K20" s="197" t="s">
        <v>661</v>
      </c>
    </row>
    <row r="21" spans="1:11" ht="15.75" thickBot="1" x14ac:dyDescent="0.3">
      <c r="A21" s="179" t="s">
        <v>70</v>
      </c>
      <c r="B21" s="180">
        <v>1039</v>
      </c>
      <c r="C21" s="180" t="s">
        <v>198</v>
      </c>
      <c r="D21" s="183" t="s">
        <v>653</v>
      </c>
      <c r="E21" s="180" t="s">
        <v>289</v>
      </c>
      <c r="F21" s="180" t="s">
        <v>644</v>
      </c>
      <c r="G21" s="180" t="s">
        <v>143</v>
      </c>
      <c r="H21" s="180" t="s">
        <v>144</v>
      </c>
      <c r="I21" s="180" t="s">
        <v>650</v>
      </c>
      <c r="J21" s="182">
        <v>39.531226423883297</v>
      </c>
      <c r="K21" s="197" t="s">
        <v>662</v>
      </c>
    </row>
    <row r="22" spans="1:11" ht="15.75" thickBot="1" x14ac:dyDescent="0.3">
      <c r="A22" s="176" t="s">
        <v>70</v>
      </c>
      <c r="B22" s="175">
        <v>1032</v>
      </c>
      <c r="C22" s="175" t="s">
        <v>82</v>
      </c>
      <c r="D22" s="177" t="s">
        <v>83</v>
      </c>
      <c r="E22" s="175" t="s">
        <v>96</v>
      </c>
      <c r="F22" s="175" t="s">
        <v>97</v>
      </c>
      <c r="G22" s="175" t="s">
        <v>73</v>
      </c>
      <c r="H22" s="175" t="s">
        <v>74</v>
      </c>
      <c r="I22" s="175" t="s">
        <v>75</v>
      </c>
      <c r="J22" s="178">
        <v>20.702318173433479</v>
      </c>
      <c r="K22" s="197" t="s">
        <v>662</v>
      </c>
    </row>
    <row r="23" spans="1:11" ht="15.75" thickBot="1" x14ac:dyDescent="0.3">
      <c r="A23" s="176" t="s">
        <v>86</v>
      </c>
      <c r="B23" s="175">
        <v>1064</v>
      </c>
      <c r="C23" s="175">
        <v>32055</v>
      </c>
      <c r="D23" s="183" t="s">
        <v>83</v>
      </c>
      <c r="E23" s="175" t="s">
        <v>96</v>
      </c>
      <c r="F23" s="175" t="s">
        <v>97</v>
      </c>
      <c r="G23" s="175" t="s">
        <v>73</v>
      </c>
      <c r="H23" s="175" t="s">
        <v>74</v>
      </c>
      <c r="I23" s="175" t="s">
        <v>654</v>
      </c>
      <c r="J23" s="178">
        <v>31.11638962530164</v>
      </c>
      <c r="K23" s="197" t="s">
        <v>661</v>
      </c>
    </row>
    <row r="24" spans="1:11" ht="15.75" thickBot="1" x14ac:dyDescent="0.3">
      <c r="A24" s="179" t="s">
        <v>86</v>
      </c>
      <c r="B24" s="180">
        <v>1048</v>
      </c>
      <c r="C24" s="180" t="s">
        <v>87</v>
      </c>
      <c r="D24" s="181" t="s">
        <v>655</v>
      </c>
      <c r="E24" s="180" t="s">
        <v>645</v>
      </c>
      <c r="F24" s="180" t="s">
        <v>646</v>
      </c>
      <c r="G24" s="180" t="s">
        <v>73</v>
      </c>
      <c r="H24" s="180" t="s">
        <v>74</v>
      </c>
      <c r="I24" s="180" t="s">
        <v>654</v>
      </c>
      <c r="J24" s="182">
        <v>18.92968837593077</v>
      </c>
      <c r="K24" s="197" t="s">
        <v>662</v>
      </c>
    </row>
    <row r="25" spans="1:11" ht="15.75" thickBot="1" x14ac:dyDescent="0.3">
      <c r="A25" s="185" t="s">
        <v>70</v>
      </c>
      <c r="B25" s="186">
        <v>1034</v>
      </c>
      <c r="C25" s="186" t="s">
        <v>107</v>
      </c>
      <c r="D25" s="187" t="s">
        <v>655</v>
      </c>
      <c r="E25" s="186" t="s">
        <v>645</v>
      </c>
      <c r="F25" s="186" t="s">
        <v>647</v>
      </c>
      <c r="G25" s="186" t="s">
        <v>73</v>
      </c>
      <c r="H25" s="186" t="s">
        <v>74</v>
      </c>
      <c r="I25" s="186" t="s">
        <v>75</v>
      </c>
      <c r="J25" s="188">
        <v>26.773735901395781</v>
      </c>
      <c r="K25" s="197" t="s">
        <v>661</v>
      </c>
    </row>
    <row r="26" spans="1:11" ht="15.75" thickBot="1" x14ac:dyDescent="0.3">
      <c r="A26" s="189" t="s">
        <v>200</v>
      </c>
      <c r="B26" s="190">
        <v>1260</v>
      </c>
      <c r="C26" s="190" t="s">
        <v>546</v>
      </c>
      <c r="D26" s="190" t="s">
        <v>656</v>
      </c>
      <c r="E26" s="190" t="s">
        <v>657</v>
      </c>
      <c r="F26" s="190" t="s">
        <v>658</v>
      </c>
      <c r="G26" s="191" t="s">
        <v>73</v>
      </c>
      <c r="H26" s="191" t="s">
        <v>74</v>
      </c>
      <c r="I26" s="191" t="s">
        <v>75</v>
      </c>
      <c r="J26" s="190">
        <v>29.73314289</v>
      </c>
      <c r="K26" s="197" t="s">
        <v>662</v>
      </c>
    </row>
    <row r="27" spans="1:11" ht="15.75" thickBot="1" x14ac:dyDescent="0.3">
      <c r="A27" s="192" t="s">
        <v>200</v>
      </c>
      <c r="B27" s="193">
        <v>1259</v>
      </c>
      <c r="C27" s="193" t="s">
        <v>509</v>
      </c>
      <c r="D27" s="193" t="s">
        <v>659</v>
      </c>
      <c r="E27" s="193" t="s">
        <v>657</v>
      </c>
      <c r="F27" s="193" t="s">
        <v>660</v>
      </c>
      <c r="G27" s="194" t="s">
        <v>73</v>
      </c>
      <c r="H27" s="194" t="s">
        <v>74</v>
      </c>
      <c r="I27" s="194" t="s">
        <v>75</v>
      </c>
      <c r="J27" s="193">
        <v>38.173849339999997</v>
      </c>
      <c r="K27" s="197" t="s">
        <v>661</v>
      </c>
    </row>
    <row r="28" spans="1:11" x14ac:dyDescent="0.25">
      <c r="A28" t="s">
        <v>664</v>
      </c>
      <c r="B28" t="s">
        <v>664</v>
      </c>
      <c r="C28" t="s">
        <v>664</v>
      </c>
      <c r="D28" t="s">
        <v>664</v>
      </c>
      <c r="E28" t="s">
        <v>664</v>
      </c>
      <c r="F28" t="s">
        <v>664</v>
      </c>
      <c r="G28" t="s">
        <v>664</v>
      </c>
      <c r="H28" t="s">
        <v>664</v>
      </c>
      <c r="I28" t="s">
        <v>664</v>
      </c>
      <c r="J28" t="s">
        <v>664</v>
      </c>
      <c r="K28" t="s">
        <v>664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684d983-4ae3-4ccc-9049-8ddee4989bab">
      <Terms xmlns="http://schemas.microsoft.com/office/infopath/2007/PartnerControls"/>
    </lcf76f155ced4ddcb4097134ff3c332f>
    <TaxCatchAll xmlns="bf58bf8a-e58f-4a7d-8f17-0065cb21703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38CB00B291BE14F81E450BCF34BB43B" ma:contentTypeVersion="14" ma:contentTypeDescription="Crear nuevo documento." ma:contentTypeScope="" ma:versionID="e23c2408f2730360d67c5c683bf1ed7d">
  <xsd:schema xmlns:xsd="http://www.w3.org/2001/XMLSchema" xmlns:xs="http://www.w3.org/2001/XMLSchema" xmlns:p="http://schemas.microsoft.com/office/2006/metadata/properties" xmlns:ns2="616f1432-4cf2-4787-beaf-4d7d5a2495ac" xmlns:ns3="0684d983-4ae3-4ccc-9049-8ddee4989bab" xmlns:ns4="bf58bf8a-e58f-4a7d-8f17-0065cb217039" targetNamespace="http://schemas.microsoft.com/office/2006/metadata/properties" ma:root="true" ma:fieldsID="ed6e51ca5ad8ece4fbebcaa8a65d9eb7" ns2:_="" ns3:_="" ns4:_="">
    <xsd:import namespace="616f1432-4cf2-4787-beaf-4d7d5a2495ac"/>
    <xsd:import namespace="0684d983-4ae3-4ccc-9049-8ddee4989bab"/>
    <xsd:import namespace="bf58bf8a-e58f-4a7d-8f17-0065cb21703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4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6f1432-4cf2-4787-beaf-4d7d5a2495a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84d983-4ae3-4ccc-9049-8ddee4989b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47ec1249-a48c-4968-bfb0-a566660bd3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58bf8a-e58f-4a7d-8f17-0065cb21703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b3e28e3-1b26-43ee-8d09-1e6073e3ed38}" ma:internalName="TaxCatchAll" ma:showField="CatchAllData" ma:web="bf58bf8a-e58f-4a7d-8f17-0065cb2170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F672C6-392B-4F0A-A209-E73DBD678DE2}">
  <ds:schemaRefs>
    <ds:schemaRef ds:uri="http://purl.org/dc/terms/"/>
    <ds:schemaRef ds:uri="616f1432-4cf2-4787-beaf-4d7d5a2495ac"/>
    <ds:schemaRef ds:uri="0684d983-4ae3-4ccc-9049-8ddee4989bab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bf58bf8a-e58f-4a7d-8f17-0065cb217039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621A79D-5E7B-4775-AD16-55E8868108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6f1432-4cf2-4787-beaf-4d7d5a2495ac"/>
    <ds:schemaRef ds:uri="0684d983-4ae3-4ccc-9049-8ddee4989bab"/>
    <ds:schemaRef ds:uri="bf58bf8a-e58f-4a7d-8f17-0065cb2170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45C1ED-C2FB-4032-B624-BC7CDECBF1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Data Avg</vt:lpstr>
      <vt:lpstr>Metabolomics</vt:lpstr>
      <vt:lpstr>Data Volcano-plot</vt:lpstr>
      <vt:lpstr>Final Samples Pilot-Test March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Marin Gomez, Alejandra (Alliance Bioversity-CIAT)</dc:creator>
  <cp:keywords/>
  <dc:description/>
  <cp:lastModifiedBy>Gabriel Esteban Velez Mejia</cp:lastModifiedBy>
  <cp:revision/>
  <dcterms:created xsi:type="dcterms:W3CDTF">2025-03-07T21:15:14Z</dcterms:created>
  <dcterms:modified xsi:type="dcterms:W3CDTF">2025-04-28T19:53:37Z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0x010100138CB00B291BE14F81E450BCF34BB43B</vt:lpwstr>
  </property>
  <property fmtid="{D5CDD505-2E9C-101B-9397-08002B2CF9AE}" pid="3" name="MediaServiceImageTags">
    <vt:lpwstr/>
  </property>
</Properties>
</file>