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tthewford/Desktop/HWRS582 Model/hw-mford4/assignment1/"/>
    </mc:Choice>
  </mc:AlternateContent>
  <xr:revisionPtr revIDLastSave="0" documentId="13_ncr:1_{ADE4A482-AA51-EE4D-AA8F-97AA4538F890}" xr6:coauthVersionLast="45" xr6:coauthVersionMax="45" xr10:uidLastSave="{00000000-0000-0000-0000-000000000000}"/>
  <bookViews>
    <workbookView xWindow="-11020" yWindow="460" windowWidth="28800" windowHeight="16680" activeTab="1" xr2:uid="{00000000-000D-0000-FFFF-FFFF00000000}"/>
  </bookViews>
  <sheets>
    <sheet name="inputs" sheetId="2" r:id="rId1"/>
    <sheet name="model and key plot" sheetId="1" r:id="rId2"/>
  </sheets>
  <calcPr calcId="191029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9" i="1" l="1"/>
  <c r="N9" i="1" l="1"/>
  <c r="N10" i="1"/>
  <c r="N11" i="1"/>
  <c r="N12" i="1"/>
  <c r="N13" i="1"/>
  <c r="N14" i="1"/>
  <c r="N15" i="1"/>
  <c r="N16" i="1"/>
  <c r="N17" i="1"/>
  <c r="N18" i="1"/>
  <c r="N19" i="1"/>
  <c r="N20" i="1"/>
  <c r="N8" i="1"/>
  <c r="M9" i="1"/>
  <c r="M10" i="1"/>
  <c r="M11" i="1"/>
  <c r="M12" i="1"/>
  <c r="M13" i="1"/>
  <c r="M14" i="1"/>
  <c r="M15" i="1"/>
  <c r="M16" i="1"/>
  <c r="M17" i="1"/>
  <c r="M18" i="1"/>
  <c r="M19" i="1"/>
  <c r="M20" i="1"/>
  <c r="M8" i="1"/>
  <c r="L9" i="1"/>
  <c r="L10" i="1"/>
  <c r="L11" i="1"/>
  <c r="L12" i="1"/>
  <c r="L13" i="1"/>
  <c r="L14" i="1"/>
  <c r="L15" i="1"/>
  <c r="L16" i="1"/>
  <c r="L17" i="1"/>
  <c r="L18" i="1"/>
  <c r="L19" i="1"/>
  <c r="L20" i="1"/>
  <c r="L8" i="1"/>
  <c r="H10" i="1"/>
  <c r="H11" i="1"/>
  <c r="H12" i="1"/>
  <c r="H13" i="1"/>
  <c r="H14" i="1"/>
  <c r="H15" i="1"/>
  <c r="H16" i="1"/>
  <c r="H17" i="1"/>
  <c r="H18" i="1"/>
  <c r="H19" i="1"/>
  <c r="H20" i="1"/>
  <c r="H8" i="1"/>
  <c r="I20" i="1"/>
  <c r="I8" i="1"/>
  <c r="F20" i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E17" i="2"/>
  <c r="E18" i="2"/>
  <c r="E19" i="2"/>
  <c r="E20" i="2"/>
  <c r="E21" i="2"/>
  <c r="E22" i="2"/>
  <c r="E23" i="2"/>
  <c r="E24" i="2"/>
  <c r="E25" i="2"/>
  <c r="E26" i="2"/>
  <c r="E27" i="2"/>
  <c r="E28" i="2"/>
  <c r="E16" i="2"/>
  <c r="D9" i="1" l="1"/>
  <c r="C11" i="1" l="1"/>
  <c r="C12" i="1" s="1"/>
  <c r="J19" i="1" l="1"/>
  <c r="J13" i="1"/>
  <c r="J12" i="1"/>
  <c r="J14" i="1"/>
  <c r="J9" i="1"/>
  <c r="J10" i="1"/>
  <c r="J17" i="1"/>
  <c r="I18" i="1"/>
  <c r="I19" i="1"/>
  <c r="J20" i="1"/>
  <c r="J11" i="1"/>
  <c r="J15" i="1"/>
  <c r="I16" i="1"/>
  <c r="I17" i="1"/>
  <c r="J18" i="1"/>
  <c r="I9" i="1"/>
  <c r="I10" i="1"/>
  <c r="I11" i="1"/>
  <c r="I12" i="1"/>
  <c r="I13" i="1"/>
  <c r="I14" i="1"/>
  <c r="I15" i="1"/>
  <c r="J16" i="1"/>
</calcChain>
</file>

<file path=xl/sharedStrings.xml><?xml version="1.0" encoding="utf-8"?>
<sst xmlns="http://schemas.openxmlformats.org/spreadsheetml/2006/main" count="52" uniqueCount="35">
  <si>
    <t>dz</t>
  </si>
  <si>
    <t>z0</t>
  </si>
  <si>
    <t>z</t>
  </si>
  <si>
    <t>H</t>
  </si>
  <si>
    <t>K1</t>
  </si>
  <si>
    <t>K2</t>
  </si>
  <si>
    <t>K3</t>
  </si>
  <si>
    <t>q</t>
  </si>
  <si>
    <t>Keq</t>
  </si>
  <si>
    <t>top</t>
  </si>
  <si>
    <t>bottom</t>
  </si>
  <si>
    <t>Type I BC</t>
  </si>
  <si>
    <t>K</t>
  </si>
  <si>
    <t>Grid</t>
  </si>
  <si>
    <t>K zones</t>
  </si>
  <si>
    <t>K values</t>
  </si>
  <si>
    <t>bottom cell</t>
  </si>
  <si>
    <t>top cell</t>
  </si>
  <si>
    <t>Notes</t>
  </si>
  <si>
    <t>The model has 13 nodes, including the top and bottom boundary nodes.</t>
  </si>
  <si>
    <t>The solver is set to 100 iterations with a closer criterion of 0.001 in head change per iteration.</t>
  </si>
  <si>
    <t>All model units are consistent, but not specifically defined (e.g. m, days vs cm, min)</t>
  </si>
  <si>
    <t>soil type</t>
  </si>
  <si>
    <t>-</t>
  </si>
  <si>
    <t>node</t>
  </si>
  <si>
    <t>cell</t>
  </si>
  <si>
    <t>K zone cell</t>
  </si>
  <si>
    <t>K cell</t>
  </si>
  <si>
    <t>zone 1</t>
  </si>
  <si>
    <t>zone 2</t>
  </si>
  <si>
    <t>zone 3</t>
  </si>
  <si>
    <t>num cells</t>
  </si>
  <si>
    <t>Direct solution for flux</t>
  </si>
  <si>
    <t>Map of node and cell numbers</t>
  </si>
  <si>
    <t>K values are defined by cell.  Cells are node centered - the head value calculated is at the center of a cell.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</si>
</sst>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8" xfId="0" applyBorder="1" applyAlignment="1">
      <alignment horizontal="center"/>
    </xf>
    <xf numFmtId="0" fontId="3" fillId="0" borderId="0" xfId="0" applyFont="1"/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5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plot'!$I$8:$I$20</c:f>
              <c:numCache>
                <c:formatCode>General</c:formatCode>
                <c:ptCount val="13"/>
                <c:pt idx="0">
                  <c:v>100</c:v>
                </c:pt>
                <c:pt idx="1">
                  <c:v>91.666666666666629</c:v>
                </c:pt>
                <c:pt idx="2">
                  <c:v>83.333333333333272</c:v>
                </c:pt>
                <c:pt idx="3">
                  <c:v>74.999999999999915</c:v>
                </c:pt>
                <c:pt idx="4">
                  <c:v>66.666666666666572</c:v>
                </c:pt>
                <c:pt idx="5">
                  <c:v>58.333333333333243</c:v>
                </c:pt>
                <c:pt idx="6">
                  <c:v>49.999999999999915</c:v>
                </c:pt>
                <c:pt idx="7">
                  <c:v>41.666666666666586</c:v>
                </c:pt>
                <c:pt idx="8">
                  <c:v>33.333333333333265</c:v>
                </c:pt>
                <c:pt idx="9">
                  <c:v>24.999999999999947</c:v>
                </c:pt>
                <c:pt idx="10">
                  <c:v>16.666666666666629</c:v>
                </c:pt>
                <c:pt idx="11">
                  <c:v>8.3333333333333144</c:v>
                </c:pt>
                <c:pt idx="12">
                  <c:v>0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5-47CA-B4F7-6A4DC8E60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Hydraulic 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plot'!$J$8:$J$20</c:f>
              <c:numCache>
                <c:formatCode>General</c:formatCode>
                <c:ptCount val="13"/>
                <c:pt idx="1">
                  <c:v>0</c:v>
                </c:pt>
                <c:pt idx="2">
                  <c:v>0.83333333333333715</c:v>
                </c:pt>
                <c:pt idx="3">
                  <c:v>0.83333333333333715</c:v>
                </c:pt>
                <c:pt idx="4">
                  <c:v>0.83333333333333715</c:v>
                </c:pt>
                <c:pt idx="5">
                  <c:v>0.83333333333333715</c:v>
                </c:pt>
                <c:pt idx="6">
                  <c:v>0.83333333333333715</c:v>
                </c:pt>
                <c:pt idx="7">
                  <c:v>0.83333333333333715</c:v>
                </c:pt>
                <c:pt idx="8">
                  <c:v>0.83333333333333715</c:v>
                </c:pt>
                <c:pt idx="9">
                  <c:v>0.83333333333333715</c:v>
                </c:pt>
                <c:pt idx="10">
                  <c:v>0.83333333333333715</c:v>
                </c:pt>
                <c:pt idx="11">
                  <c:v>0.83333333333333715</c:v>
                </c:pt>
                <c:pt idx="12">
                  <c:v>0.83333333333333715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9-446A-A4E2-5632CF44F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20</xdr:row>
      <xdr:rowOff>63500</xdr:rowOff>
    </xdr:from>
    <xdr:to>
      <xdr:col>12</xdr:col>
      <xdr:colOff>12700</xdr:colOff>
      <xdr:row>37</xdr:row>
      <xdr:rowOff>127000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361950</xdr:colOff>
      <xdr:row>25</xdr:row>
      <xdr:rowOff>123825</xdr:rowOff>
    </xdr:from>
    <xdr:ext cx="6741526" cy="233127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62D37F-C9FF-40A6-97BA-01816464B469}"/>
            </a:ext>
          </a:extLst>
        </xdr:cNvPr>
        <xdr:cNvSpPr txBox="1"/>
      </xdr:nvSpPr>
      <xdr:spPr>
        <a:xfrm>
          <a:off x="8620125" y="4581525"/>
          <a:ext cx="6741526" cy="2331279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Challenge: </a:t>
          </a:r>
        </a:p>
        <a:p>
          <a:endParaRPr lang="en-US" sz="1100"/>
        </a:p>
        <a:p>
          <a:r>
            <a:rPr lang="en-US" sz="1100"/>
            <a:t>Create a 1D, vertical steady state model with constant head top and bottom boundaries. </a:t>
          </a:r>
        </a:p>
        <a:p>
          <a:endParaRPr lang="en-US" sz="1100"/>
        </a:p>
        <a:p>
          <a:r>
            <a:rPr lang="en-US" sz="1100"/>
            <a:t>Show,</a:t>
          </a:r>
          <a:r>
            <a:rPr lang="en-US" sz="1100" baseline="0"/>
            <a:t> based on the flux with depth, that the model is steady state.  </a:t>
          </a:r>
        </a:p>
        <a:p>
          <a:r>
            <a:rPr lang="en-US" sz="1100" baseline="0"/>
            <a:t>Repeat this for a homogeneous and for a heterogeneous column.</a:t>
          </a:r>
        </a:p>
        <a:p>
          <a:endParaRPr lang="en-US" sz="1100" baseline="0"/>
        </a:p>
        <a:p>
          <a:r>
            <a:rPr lang="en-US" sz="1100" baseline="0"/>
            <a:t>Show </a:t>
          </a:r>
          <a:r>
            <a:rPr lang="en-US" sz="1100"/>
            <a:t>that</a:t>
          </a:r>
          <a:r>
            <a:rPr lang="en-US" sz="1100" baseline="0"/>
            <a:t> the steady state flux agrees with the direct calculation based on the harmonic mean average K.</a:t>
          </a:r>
        </a:p>
        <a:p>
          <a:endParaRPr lang="en-US" sz="1100" baseline="0"/>
        </a:p>
        <a:p>
          <a:r>
            <a:rPr lang="en-US" sz="1100" baseline="0"/>
            <a:t>Show the steady state head profile for a column with approximately equal-thickness layers with different K values.  </a:t>
          </a:r>
        </a:p>
        <a:p>
          <a:r>
            <a:rPr lang="en-US" sz="1100" baseline="0"/>
            <a:t>Use this profile to explain why the equivalent hydraulic conductivity, Keq, is closer to the lower of the K values.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4</xdr:col>
      <xdr:colOff>381000</xdr:colOff>
      <xdr:row>38</xdr:row>
      <xdr:rowOff>152400</xdr:rowOff>
    </xdr:from>
    <xdr:to>
      <xdr:col>12</xdr:col>
      <xdr:colOff>12700</xdr:colOff>
      <xdr:row>56</xdr:row>
      <xdr:rowOff>53975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8D83CF14-1766-4443-BA1E-128F241B2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E36"/>
  <sheetViews>
    <sheetView workbookViewId="0">
      <selection activeCell="D12" sqref="D12"/>
    </sheetView>
  </sheetViews>
  <sheetFormatPr baseColWidth="10" defaultColWidth="8.83203125" defaultRowHeight="13"/>
  <cols>
    <col min="2" max="2" width="9.1640625" bestFit="1" customWidth="1"/>
    <col min="3" max="3" width="10.1640625" bestFit="1" customWidth="1"/>
    <col min="4" max="4" width="8.1640625" customWidth="1"/>
  </cols>
  <sheetData>
    <row r="4" spans="2:5">
      <c r="B4" t="s">
        <v>11</v>
      </c>
      <c r="C4" t="s">
        <v>9</v>
      </c>
      <c r="D4" s="1">
        <v>100</v>
      </c>
    </row>
    <row r="5" spans="2:5">
      <c r="C5" t="s">
        <v>10</v>
      </c>
      <c r="D5" s="1">
        <v>0</v>
      </c>
    </row>
    <row r="6" spans="2:5">
      <c r="D6" s="1"/>
    </row>
    <row r="7" spans="2:5">
      <c r="D7" s="1"/>
    </row>
    <row r="8" spans="2:5">
      <c r="B8" t="s">
        <v>13</v>
      </c>
      <c r="C8" t="s">
        <v>0</v>
      </c>
      <c r="D8" s="1">
        <v>5</v>
      </c>
    </row>
    <row r="9" spans="2:5">
      <c r="C9" t="s">
        <v>1</v>
      </c>
      <c r="D9" s="1">
        <v>0</v>
      </c>
    </row>
    <row r="10" spans="2:5">
      <c r="D10" s="1"/>
    </row>
    <row r="11" spans="2:5">
      <c r="B11" t="s">
        <v>15</v>
      </c>
      <c r="C11" t="s">
        <v>4</v>
      </c>
      <c r="D11" s="1">
        <v>0.5</v>
      </c>
    </row>
    <row r="12" spans="2:5">
      <c r="C12" t="s">
        <v>5</v>
      </c>
      <c r="D12" s="1">
        <v>0.01</v>
      </c>
    </row>
    <row r="13" spans="2:5">
      <c r="C13" t="s">
        <v>6</v>
      </c>
      <c r="D13" s="1">
        <v>1E-4</v>
      </c>
    </row>
    <row r="15" spans="2:5">
      <c r="D15" t="s">
        <v>22</v>
      </c>
      <c r="E15" t="s">
        <v>12</v>
      </c>
    </row>
    <row r="16" spans="2:5">
      <c r="B16" t="s">
        <v>14</v>
      </c>
      <c r="C16" t="s">
        <v>17</v>
      </c>
      <c r="D16" s="1">
        <v>1</v>
      </c>
      <c r="E16" s="1">
        <f>IF(D16=1,+$D$11,+IF(D16=2,+$D$12,+$D$13))</f>
        <v>0.5</v>
      </c>
    </row>
    <row r="17" spans="3:5">
      <c r="D17" s="1">
        <v>1</v>
      </c>
      <c r="E17" s="1">
        <f t="shared" ref="E17:E28" si="0">IF(D17=1,+$D$11,+IF(D17=2,+$D$12,+$D$13))</f>
        <v>0.5</v>
      </c>
    </row>
    <row r="18" spans="3:5">
      <c r="D18" s="1">
        <v>1</v>
      </c>
      <c r="E18" s="1">
        <f t="shared" si="0"/>
        <v>0.5</v>
      </c>
    </row>
    <row r="19" spans="3:5">
      <c r="D19" s="1">
        <v>1</v>
      </c>
      <c r="E19" s="1">
        <f t="shared" si="0"/>
        <v>0.5</v>
      </c>
    </row>
    <row r="20" spans="3:5">
      <c r="D20" s="1">
        <v>1</v>
      </c>
      <c r="E20" s="1">
        <f t="shared" si="0"/>
        <v>0.5</v>
      </c>
    </row>
    <row r="21" spans="3:5">
      <c r="D21" s="1">
        <v>1</v>
      </c>
      <c r="E21" s="1">
        <f t="shared" si="0"/>
        <v>0.5</v>
      </c>
    </row>
    <row r="22" spans="3:5">
      <c r="D22" s="1">
        <v>1</v>
      </c>
      <c r="E22" s="1">
        <f t="shared" si="0"/>
        <v>0.5</v>
      </c>
    </row>
    <row r="23" spans="3:5">
      <c r="D23" s="1">
        <v>1</v>
      </c>
      <c r="E23" s="1">
        <f t="shared" si="0"/>
        <v>0.5</v>
      </c>
    </row>
    <row r="24" spans="3:5">
      <c r="D24" s="1">
        <v>1</v>
      </c>
      <c r="E24" s="1">
        <f t="shared" si="0"/>
        <v>0.5</v>
      </c>
    </row>
    <row r="25" spans="3:5">
      <c r="D25" s="1">
        <v>1</v>
      </c>
      <c r="E25" s="1">
        <f t="shared" si="0"/>
        <v>0.5</v>
      </c>
    </row>
    <row r="26" spans="3:5">
      <c r="D26" s="1">
        <v>1</v>
      </c>
      <c r="E26" s="1">
        <f t="shared" si="0"/>
        <v>0.5</v>
      </c>
    </row>
    <row r="27" spans="3:5">
      <c r="D27" s="1">
        <v>1</v>
      </c>
      <c r="E27" s="1">
        <f t="shared" si="0"/>
        <v>0.5</v>
      </c>
    </row>
    <row r="28" spans="3:5">
      <c r="C28" t="s">
        <v>16</v>
      </c>
      <c r="D28" s="1">
        <v>1</v>
      </c>
      <c r="E28" s="1">
        <f t="shared" si="0"/>
        <v>0.5</v>
      </c>
    </row>
    <row r="33" spans="2:3">
      <c r="B33" t="s">
        <v>18</v>
      </c>
      <c r="C33" t="s">
        <v>19</v>
      </c>
    </row>
    <row r="34" spans="2:3">
      <c r="C34" s="10" t="s">
        <v>34</v>
      </c>
    </row>
    <row r="35" spans="2:3">
      <c r="C35" t="s">
        <v>20</v>
      </c>
    </row>
    <row r="36" spans="2:3">
      <c r="C36" t="s">
        <v>21</v>
      </c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T31"/>
  <sheetViews>
    <sheetView tabSelected="1" workbookViewId="0">
      <selection activeCell="D15" sqref="D15"/>
    </sheetView>
  </sheetViews>
  <sheetFormatPr baseColWidth="10" defaultColWidth="8.83203125" defaultRowHeight="13"/>
  <cols>
    <col min="3" max="3" width="9" bestFit="1" customWidth="1"/>
    <col min="7" max="7" width="10.6640625" customWidth="1"/>
    <col min="8" max="8" width="6.6640625" customWidth="1"/>
  </cols>
  <sheetData>
    <row r="3" spans="2:20" ht="14" thickBot="1"/>
    <row r="4" spans="2:20" ht="14" thickTop="1">
      <c r="B4" s="23" t="s">
        <v>32</v>
      </c>
      <c r="C4" s="24"/>
      <c r="D4" s="25"/>
      <c r="Q4" s="12"/>
      <c r="R4" s="13"/>
      <c r="S4" s="13"/>
      <c r="T4" s="14"/>
    </row>
    <row r="5" spans="2:20">
      <c r="B5" s="3"/>
      <c r="C5" s="4"/>
      <c r="D5" s="5"/>
      <c r="Q5" s="26" t="s">
        <v>33</v>
      </c>
      <c r="R5" s="27"/>
      <c r="S5" s="27"/>
      <c r="T5" s="28"/>
    </row>
    <row r="6" spans="2:20">
      <c r="B6" s="3"/>
      <c r="C6" s="4" t="s">
        <v>12</v>
      </c>
      <c r="D6" s="5" t="s">
        <v>31</v>
      </c>
      <c r="F6" s="1" t="s">
        <v>2</v>
      </c>
      <c r="G6" s="1" t="s">
        <v>26</v>
      </c>
      <c r="H6" s="1" t="s">
        <v>27</v>
      </c>
      <c r="I6" s="1" t="s">
        <v>3</v>
      </c>
      <c r="J6" s="1" t="s">
        <v>7</v>
      </c>
      <c r="L6" s="1" t="s">
        <v>28</v>
      </c>
      <c r="M6" s="1" t="s">
        <v>29</v>
      </c>
      <c r="N6" s="1" t="s">
        <v>30</v>
      </c>
      <c r="Q6" s="15"/>
      <c r="R6" s="6"/>
      <c r="S6" s="6"/>
      <c r="T6" s="16"/>
    </row>
    <row r="7" spans="2:20">
      <c r="B7" s="3" t="s">
        <v>28</v>
      </c>
      <c r="C7" s="6">
        <v>0.5</v>
      </c>
      <c r="D7" s="7">
        <v>12</v>
      </c>
      <c r="F7" s="1"/>
      <c r="G7" s="1"/>
      <c r="H7" s="1"/>
      <c r="I7" s="1"/>
      <c r="J7" s="1"/>
      <c r="Q7" s="15"/>
      <c r="R7" s="6" t="s">
        <v>24</v>
      </c>
      <c r="S7" s="6" t="s">
        <v>25</v>
      </c>
      <c r="T7" s="16"/>
    </row>
    <row r="8" spans="2:20" ht="15">
      <c r="B8" s="3" t="s">
        <v>29</v>
      </c>
      <c r="C8" s="6">
        <v>0.01</v>
      </c>
      <c r="D8" s="7">
        <v>0</v>
      </c>
      <c r="F8" s="1">
        <f>F9+inputs!$D$8</f>
        <v>60</v>
      </c>
      <c r="G8" s="1">
        <v>2</v>
      </c>
      <c r="H8" s="1">
        <f>IF(G8=1,+inputs!$D$11,+IF(G8=2,+inputs!$D$12,+inputs!$D$13))</f>
        <v>0.01</v>
      </c>
      <c r="I8" s="2">
        <f>inputs!D4</f>
        <v>100</v>
      </c>
      <c r="J8" s="1"/>
      <c r="L8">
        <f>IF($G8=1,1,0)</f>
        <v>0</v>
      </c>
      <c r="M8">
        <f>IF($G8=2,1,0)</f>
        <v>1</v>
      </c>
      <c r="N8">
        <f>IF($G8=3,1,0)</f>
        <v>0</v>
      </c>
      <c r="Q8" s="15">
        <v>1</v>
      </c>
      <c r="R8" s="6" t="s">
        <v>23</v>
      </c>
      <c r="S8" s="17"/>
      <c r="T8" s="16">
        <v>1</v>
      </c>
    </row>
    <row r="9" spans="2:20" ht="15">
      <c r="B9" s="3" t="s">
        <v>30</v>
      </c>
      <c r="C9" s="6">
        <v>1E-4</v>
      </c>
      <c r="D9" s="7">
        <f>SUM(N9:N19)+0.5*(N8+N20)</f>
        <v>0</v>
      </c>
      <c r="F9" s="1">
        <f>F10+inputs!$D$8</f>
        <v>55</v>
      </c>
      <c r="G9" s="1">
        <v>2</v>
      </c>
      <c r="H9" s="1">
        <f>IF(G9=1,+inputs!$D$11,+IF(G9=2,+inputs!$D$12,+inputs!$D$13))</f>
        <v>0.01</v>
      </c>
      <c r="I9" s="1">
        <f t="shared" ref="I9:I19" ca="1" si="0">(I8*2/(1/H8+1/H9)+I10*2/(1/H9+1/H10))/(2/(1/H8+1/H9)+2/(1/H9+1/H10))</f>
        <v>91.666666666666629</v>
      </c>
      <c r="J9" s="22">
        <f ca="1">(I8-I9)/inputs!$D$8*2/(1/H8+1/H9)</f>
        <v>0</v>
      </c>
      <c r="L9">
        <f t="shared" ref="L9:L20" si="1">IF($G9=1,1,0)</f>
        <v>0</v>
      </c>
      <c r="M9">
        <f t="shared" ref="M9:M20" si="2">IF($G9=2,1,0)</f>
        <v>1</v>
      </c>
      <c r="N9">
        <f t="shared" ref="N9:N20" si="3">IF($G9=3,1,0)</f>
        <v>0</v>
      </c>
      <c r="Q9" s="15">
        <v>2</v>
      </c>
      <c r="R9" s="6" t="s">
        <v>23</v>
      </c>
      <c r="S9" s="17"/>
      <c r="T9" s="16">
        <v>2</v>
      </c>
    </row>
    <row r="10" spans="2:20" ht="15">
      <c r="B10" s="3"/>
      <c r="C10" s="6"/>
      <c r="D10" s="7"/>
      <c r="F10" s="1">
        <f>F11+inputs!$D$8</f>
        <v>50</v>
      </c>
      <c r="G10" s="1">
        <v>2</v>
      </c>
      <c r="H10" s="1">
        <f>IF(G10=1,+inputs!$D$11,+IF(G10=2,+inputs!$D$12,+inputs!$D$13))</f>
        <v>0.01</v>
      </c>
      <c r="I10" s="1">
        <f t="shared" ca="1" si="0"/>
        <v>83.333333333333272</v>
      </c>
      <c r="J10" s="22">
        <f ca="1">(I9-I10)/inputs!$D$8*2/(1/H9+1/H10)</f>
        <v>0.83333333333333715</v>
      </c>
      <c r="L10">
        <f t="shared" si="1"/>
        <v>0</v>
      </c>
      <c r="M10">
        <f t="shared" si="2"/>
        <v>1</v>
      </c>
      <c r="N10">
        <f t="shared" si="3"/>
        <v>0</v>
      </c>
      <c r="Q10" s="15">
        <v>3</v>
      </c>
      <c r="R10" s="6" t="s">
        <v>23</v>
      </c>
      <c r="S10" s="17"/>
      <c r="T10" s="16">
        <v>3</v>
      </c>
    </row>
    <row r="11" spans="2:20" ht="15">
      <c r="B11" s="3" t="s">
        <v>8</v>
      </c>
      <c r="C11" s="6">
        <f>SUM(D7:D9)/(D7/C7+D8/C8+D9/C9)</f>
        <v>0.5</v>
      </c>
      <c r="D11" s="7"/>
      <c r="F11" s="1">
        <f>F12+inputs!$D$8</f>
        <v>45</v>
      </c>
      <c r="G11" s="1">
        <v>2</v>
      </c>
      <c r="H11" s="1">
        <f>IF(G11=1,+inputs!$D$11,+IF(G11=2,+inputs!$D$12,+inputs!$D$13))</f>
        <v>0.01</v>
      </c>
      <c r="I11" s="1">
        <f t="shared" ca="1" si="0"/>
        <v>74.999999999999915</v>
      </c>
      <c r="J11" s="22">
        <f ca="1">(I10-I11)/inputs!$D$8*2/(1/H10+1/H11)</f>
        <v>0.83333333333333715</v>
      </c>
      <c r="L11">
        <f t="shared" si="1"/>
        <v>0</v>
      </c>
      <c r="M11">
        <f t="shared" si="2"/>
        <v>1</v>
      </c>
      <c r="N11">
        <f t="shared" si="3"/>
        <v>0</v>
      </c>
      <c r="Q11" s="15">
        <v>4</v>
      </c>
      <c r="R11" s="6" t="s">
        <v>23</v>
      </c>
      <c r="S11" s="17"/>
      <c r="T11" s="16">
        <v>4</v>
      </c>
    </row>
    <row r="12" spans="2:20" ht="16" thickBot="1">
      <c r="B12" s="8" t="s">
        <v>7</v>
      </c>
      <c r="C12" s="21">
        <f>C11*(I8-I20)/(F8-F20)</f>
        <v>0.83333333333333337</v>
      </c>
      <c r="D12" s="9"/>
      <c r="F12" s="1">
        <f>F13+inputs!$D$8</f>
        <v>40</v>
      </c>
      <c r="G12" s="1">
        <v>2</v>
      </c>
      <c r="H12" s="1">
        <f>IF(G12=1,+inputs!$D$11,+IF(G12=2,+inputs!$D$12,+inputs!$D$13))</f>
        <v>0.01</v>
      </c>
      <c r="I12" s="1">
        <f t="shared" ca="1" si="0"/>
        <v>66.666666666666572</v>
      </c>
      <c r="J12" s="22">
        <f ca="1">(I11-I12)/inputs!$D$8*2/(1/H11+1/H12)</f>
        <v>0.83333333333333715</v>
      </c>
      <c r="L12">
        <f t="shared" si="1"/>
        <v>0</v>
      </c>
      <c r="M12">
        <f t="shared" si="2"/>
        <v>1</v>
      </c>
      <c r="N12">
        <f t="shared" si="3"/>
        <v>0</v>
      </c>
      <c r="Q12" s="15">
        <v>5</v>
      </c>
      <c r="R12" s="6" t="s">
        <v>23</v>
      </c>
      <c r="S12" s="17"/>
      <c r="T12" s="16">
        <v>5</v>
      </c>
    </row>
    <row r="13" spans="2:20" ht="16" thickTop="1">
      <c r="F13" s="1">
        <f>F14+inputs!$D$8</f>
        <v>35</v>
      </c>
      <c r="G13" s="1">
        <v>2</v>
      </c>
      <c r="H13" s="1">
        <f>IF(G13=1,+inputs!$D$11,+IF(G13=2,+inputs!$D$12,+inputs!$D$13))</f>
        <v>0.01</v>
      </c>
      <c r="I13" s="1">
        <f t="shared" ca="1" si="0"/>
        <v>58.333333333333243</v>
      </c>
      <c r="J13" s="22">
        <f ca="1">(I12-I13)/inputs!$D$8*2/(1/H12+1/H13)</f>
        <v>0.83333333333333715</v>
      </c>
      <c r="L13">
        <f t="shared" si="1"/>
        <v>0</v>
      </c>
      <c r="M13">
        <f t="shared" si="2"/>
        <v>1</v>
      </c>
      <c r="N13">
        <f t="shared" si="3"/>
        <v>0</v>
      </c>
      <c r="Q13" s="15">
        <v>6</v>
      </c>
      <c r="R13" s="6" t="s">
        <v>23</v>
      </c>
      <c r="S13" s="17"/>
      <c r="T13" s="16">
        <v>6</v>
      </c>
    </row>
    <row r="14" spans="2:20" ht="15">
      <c r="F14" s="1">
        <f>F15+inputs!$D$8</f>
        <v>30</v>
      </c>
      <c r="G14" s="1">
        <v>2</v>
      </c>
      <c r="H14" s="1">
        <f>IF(G14=1,+inputs!$D$11,+IF(G14=2,+inputs!$D$12,+inputs!$D$13))</f>
        <v>0.01</v>
      </c>
      <c r="I14" s="1">
        <f t="shared" ca="1" si="0"/>
        <v>49.999999999999915</v>
      </c>
      <c r="J14" s="22">
        <f ca="1">(I13-I14)/inputs!$D$8*2/(1/H13+1/H14)</f>
        <v>0.83333333333333715</v>
      </c>
      <c r="L14">
        <f t="shared" si="1"/>
        <v>0</v>
      </c>
      <c r="M14">
        <f t="shared" si="2"/>
        <v>1</v>
      </c>
      <c r="N14">
        <f t="shared" si="3"/>
        <v>0</v>
      </c>
      <c r="Q14" s="15">
        <v>7</v>
      </c>
      <c r="R14" s="6" t="s">
        <v>23</v>
      </c>
      <c r="S14" s="17"/>
      <c r="T14" s="16">
        <v>7</v>
      </c>
    </row>
    <row r="15" spans="2:20" ht="15">
      <c r="F15" s="1">
        <f>F16+inputs!$D$8</f>
        <v>25</v>
      </c>
      <c r="G15" s="1">
        <v>2</v>
      </c>
      <c r="H15" s="1">
        <f>IF(G15=1,+inputs!$D$11,+IF(G15=2,+inputs!$D$12,+inputs!$D$13))</f>
        <v>0.01</v>
      </c>
      <c r="I15" s="1">
        <f t="shared" ca="1" si="0"/>
        <v>41.666666666666586</v>
      </c>
      <c r="J15" s="22">
        <f ca="1">(I14-I15)/inputs!$D$8*2/(1/H14+1/H15)</f>
        <v>0.83333333333333715</v>
      </c>
      <c r="L15">
        <f t="shared" si="1"/>
        <v>0</v>
      </c>
      <c r="M15">
        <f t="shared" si="2"/>
        <v>1</v>
      </c>
      <c r="N15">
        <f t="shared" si="3"/>
        <v>0</v>
      </c>
      <c r="Q15" s="15">
        <v>8</v>
      </c>
      <c r="R15" s="6" t="s">
        <v>23</v>
      </c>
      <c r="S15" s="17"/>
      <c r="T15" s="16">
        <v>8</v>
      </c>
    </row>
    <row r="16" spans="2:20" ht="15">
      <c r="F16" s="1">
        <f>F17+inputs!$D$8</f>
        <v>20</v>
      </c>
      <c r="G16" s="1">
        <v>2</v>
      </c>
      <c r="H16" s="1">
        <f>IF(G16=1,+inputs!$D$11,+IF(G16=2,+inputs!$D$12,+inputs!$D$13))</f>
        <v>0.01</v>
      </c>
      <c r="I16" s="1">
        <f t="shared" ca="1" si="0"/>
        <v>33.333333333333265</v>
      </c>
      <c r="J16" s="22">
        <f ca="1">(I15-I16)/inputs!$D$8*2/(1/H15+1/H16)</f>
        <v>0.83333333333333715</v>
      </c>
      <c r="L16">
        <f t="shared" si="1"/>
        <v>0</v>
      </c>
      <c r="M16">
        <f t="shared" si="2"/>
        <v>1</v>
      </c>
      <c r="N16">
        <f t="shared" si="3"/>
        <v>0</v>
      </c>
      <c r="Q16" s="15">
        <v>9</v>
      </c>
      <c r="R16" s="6" t="s">
        <v>23</v>
      </c>
      <c r="S16" s="17"/>
      <c r="T16" s="16">
        <v>9</v>
      </c>
    </row>
    <row r="17" spans="6:20" ht="15">
      <c r="F17" s="1">
        <f>F18+inputs!$D$8</f>
        <v>15</v>
      </c>
      <c r="G17" s="1">
        <v>2</v>
      </c>
      <c r="H17" s="1">
        <f>IF(G17=1,+inputs!$D$11,+IF(G17=2,+inputs!$D$12,+inputs!$D$13))</f>
        <v>0.01</v>
      </c>
      <c r="I17" s="1">
        <f t="shared" ca="1" si="0"/>
        <v>24.999999999999947</v>
      </c>
      <c r="J17" s="22">
        <f ca="1">(I16-I17)/inputs!$D$8*2/(1/H16+1/H17)</f>
        <v>0.83333333333333715</v>
      </c>
      <c r="L17">
        <f t="shared" si="1"/>
        <v>0</v>
      </c>
      <c r="M17">
        <f t="shared" si="2"/>
        <v>1</v>
      </c>
      <c r="N17">
        <f t="shared" si="3"/>
        <v>0</v>
      </c>
      <c r="Q17" s="15">
        <v>10</v>
      </c>
      <c r="R17" s="6" t="s">
        <v>23</v>
      </c>
      <c r="S17" s="17"/>
      <c r="T17" s="16">
        <v>10</v>
      </c>
    </row>
    <row r="18" spans="6:20" ht="15">
      <c r="F18" s="1">
        <f>F19+inputs!$D$8</f>
        <v>10</v>
      </c>
      <c r="G18" s="1">
        <v>2</v>
      </c>
      <c r="H18" s="1">
        <f>IF(G18=1,+inputs!$D$11,+IF(G18=2,+inputs!$D$12,+inputs!$D$13))</f>
        <v>0.01</v>
      </c>
      <c r="I18" s="1">
        <f t="shared" ca="1" si="0"/>
        <v>16.666666666666629</v>
      </c>
      <c r="J18" s="22">
        <f ca="1">(I17-I18)/inputs!$D$8*2/(1/H17+1/H18)</f>
        <v>0.83333333333333715</v>
      </c>
      <c r="L18">
        <f t="shared" si="1"/>
        <v>0</v>
      </c>
      <c r="M18">
        <f t="shared" si="2"/>
        <v>1</v>
      </c>
      <c r="N18">
        <f t="shared" si="3"/>
        <v>0</v>
      </c>
      <c r="Q18" s="15">
        <v>11</v>
      </c>
      <c r="R18" s="6" t="s">
        <v>23</v>
      </c>
      <c r="S18" s="17"/>
      <c r="T18" s="16">
        <v>11</v>
      </c>
    </row>
    <row r="19" spans="6:20" ht="15">
      <c r="F19" s="1">
        <f>F20+inputs!$D$8</f>
        <v>5</v>
      </c>
      <c r="G19" s="1">
        <v>2</v>
      </c>
      <c r="H19" s="1">
        <f>IF(G19=1,+inputs!$D$11,+IF(G19=2,+inputs!$D$12,+inputs!$D$13))</f>
        <v>0.01</v>
      </c>
      <c r="I19" s="1">
        <f t="shared" ca="1" si="0"/>
        <v>8.3333333333333144</v>
      </c>
      <c r="J19" s="22">
        <f ca="1">(I18-I19)/inputs!$D$8*2/(1/H18+1/H19)</f>
        <v>0.83333333333333715</v>
      </c>
      <c r="L19">
        <f t="shared" si="1"/>
        <v>0</v>
      </c>
      <c r="M19">
        <f t="shared" si="2"/>
        <v>1</v>
      </c>
      <c r="N19">
        <f t="shared" si="3"/>
        <v>0</v>
      </c>
      <c r="Q19" s="15">
        <v>12</v>
      </c>
      <c r="R19" s="6" t="s">
        <v>23</v>
      </c>
      <c r="S19" s="17"/>
      <c r="T19" s="16">
        <v>12</v>
      </c>
    </row>
    <row r="20" spans="6:20" ht="15">
      <c r="F20" s="1">
        <f>inputs!D9</f>
        <v>0</v>
      </c>
      <c r="G20" s="1">
        <v>2</v>
      </c>
      <c r="H20" s="1">
        <f>IF(G20=1,+inputs!$D$11,+IF(G20=2,+inputs!$D$12,+inputs!$D$13))</f>
        <v>0.01</v>
      </c>
      <c r="I20" s="2">
        <f>inputs!D5</f>
        <v>0</v>
      </c>
      <c r="J20" s="22">
        <f ca="1">(I19-I20)/inputs!$D$8*2/(1/H19+1/H20)</f>
        <v>0.83333333333333715</v>
      </c>
      <c r="L20">
        <f t="shared" si="1"/>
        <v>0</v>
      </c>
      <c r="M20">
        <f t="shared" si="2"/>
        <v>1</v>
      </c>
      <c r="N20">
        <f t="shared" si="3"/>
        <v>0</v>
      </c>
      <c r="Q20" s="18">
        <v>13</v>
      </c>
      <c r="R20" s="11" t="s">
        <v>23</v>
      </c>
      <c r="S20" s="19"/>
      <c r="T20" s="20">
        <v>13</v>
      </c>
    </row>
    <row r="31" spans="6:20">
      <c r="P31" s="10"/>
    </row>
  </sheetData>
  <mergeCells count="2">
    <mergeCell ref="B4:D4"/>
    <mergeCell ref="Q5:T5"/>
  </mergeCells>
  <phoneticPr fontId="0" type="noConversion"/>
  <pageMargins left="0.75" right="0.75" top="1" bottom="1" header="0.5" footer="0.5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model and key plot</vt:lpstr>
    </vt:vector>
  </TitlesOfParts>
  <Company>University of Arizona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Ferre</dc:creator>
  <cp:lastModifiedBy>Microsoft Office User</cp:lastModifiedBy>
  <dcterms:created xsi:type="dcterms:W3CDTF">2002-08-06T22:40:09Z</dcterms:created>
  <dcterms:modified xsi:type="dcterms:W3CDTF">2021-01-25T17:47:24Z</dcterms:modified>
</cp:coreProperties>
</file>