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showInkAnnotation="0" autoCompressPictures="0"/>
  <mc:AlternateContent xmlns:mc="http://schemas.openxmlformats.org/markup-compatibility/2006">
    <mc:Choice Requires="x15">
      <x15ac:absPath xmlns:x15ac="http://schemas.microsoft.com/office/spreadsheetml/2010/11/ac" url="C:\Users\conna\Documents\GW_Modeling\GW_Homework\Working\HW1\"/>
    </mc:Choice>
  </mc:AlternateContent>
  <xr:revisionPtr revIDLastSave="0" documentId="13_ncr:1_{E0ED611E-5C7A-4CA6-9BBF-47636A730ECD}" xr6:coauthVersionLast="47" xr6:coauthVersionMax="47" xr10:uidLastSave="{00000000-0000-0000-0000-000000000000}"/>
  <bookViews>
    <workbookView xWindow="-108" yWindow="-108" windowWidth="23256" windowHeight="13176" activeTab="5" xr2:uid="{00000000-000D-0000-FFFF-FFFF00000000}"/>
  </bookViews>
  <sheets>
    <sheet name="inputs" sheetId="2" r:id="rId1"/>
    <sheet name="inputs2" sheetId="5" r:id="rId2"/>
    <sheet name="inputs3" sheetId="7" r:id="rId3"/>
    <sheet name="Homogeneous model" sheetId="1" r:id="rId4"/>
    <sheet name="Heterogeneous model" sheetId="3" r:id="rId5"/>
    <sheet name="Heterogeneous (2-Soil)" sheetId="4" r:id="rId6"/>
    <sheet name="Broken Heterogeneous" sheetId="6" r:id="rId7"/>
  </sheets>
  <definedNames>
    <definedName name="solver_adj" localSheetId="6" hidden="1">'Broken Heterogeneous'!$H$8:$H$10</definedName>
    <definedName name="solver_adj" localSheetId="5" hidden="1">'Heterogeneous (2-Soil)'!$H$8:$H$10</definedName>
    <definedName name="solver_adj" localSheetId="4" hidden="1">'Heterogeneous model'!$H$8:$H$10</definedName>
    <definedName name="solver_cvg" localSheetId="6" hidden="1">0.0001</definedName>
    <definedName name="solver_cvg" localSheetId="5" hidden="1">0.0001</definedName>
    <definedName name="solver_cvg" localSheetId="4" hidden="1">0.0001</definedName>
    <definedName name="solver_drv" localSheetId="6" hidden="1">2</definedName>
    <definedName name="solver_drv" localSheetId="5" hidden="1">2</definedName>
    <definedName name="solver_drv" localSheetId="4" hidden="1">2</definedName>
    <definedName name="solver_eng" localSheetId="6" hidden="1">2</definedName>
    <definedName name="solver_eng" localSheetId="5" hidden="1">2</definedName>
    <definedName name="solver_eng" localSheetId="4" hidden="1">2</definedName>
    <definedName name="solver_est" localSheetId="6" hidden="1">1</definedName>
    <definedName name="solver_est" localSheetId="5" hidden="1">1</definedName>
    <definedName name="solver_est" localSheetId="4" hidden="1">1</definedName>
    <definedName name="solver_itr" localSheetId="6" hidden="1">2147483647</definedName>
    <definedName name="solver_itr" localSheetId="5" hidden="1">2147483647</definedName>
    <definedName name="solver_itr" localSheetId="4" hidden="1">2147483647</definedName>
    <definedName name="solver_mip" localSheetId="6" hidden="1">2147483647</definedName>
    <definedName name="solver_mip" localSheetId="5" hidden="1">2147483647</definedName>
    <definedName name="solver_mip" localSheetId="4" hidden="1">2147483647</definedName>
    <definedName name="solver_mni" localSheetId="6" hidden="1">30</definedName>
    <definedName name="solver_mni" localSheetId="5" hidden="1">30</definedName>
    <definedName name="solver_mni" localSheetId="4" hidden="1">30</definedName>
    <definedName name="solver_mrt" localSheetId="6" hidden="1">0.075</definedName>
    <definedName name="solver_mrt" localSheetId="5" hidden="1">0.075</definedName>
    <definedName name="solver_mrt" localSheetId="4" hidden="1">0.075</definedName>
    <definedName name="solver_msl" localSheetId="6" hidden="1">2</definedName>
    <definedName name="solver_msl" localSheetId="5" hidden="1">2</definedName>
    <definedName name="solver_msl" localSheetId="4" hidden="1">2</definedName>
    <definedName name="solver_neg" localSheetId="6" hidden="1">1</definedName>
    <definedName name="solver_neg" localSheetId="5" hidden="1">1</definedName>
    <definedName name="solver_neg" localSheetId="4" hidden="1">1</definedName>
    <definedName name="solver_nod" localSheetId="6" hidden="1">2147483647</definedName>
    <definedName name="solver_nod" localSheetId="5" hidden="1">2147483647</definedName>
    <definedName name="solver_nod" localSheetId="4" hidden="1">2147483647</definedName>
    <definedName name="solver_num" localSheetId="6" hidden="1">0</definedName>
    <definedName name="solver_num" localSheetId="5" hidden="1">0</definedName>
    <definedName name="solver_num" localSheetId="4" hidden="1">0</definedName>
    <definedName name="solver_nwt" localSheetId="6" hidden="1">1</definedName>
    <definedName name="solver_nwt" localSheetId="5" hidden="1">1</definedName>
    <definedName name="solver_nwt" localSheetId="4" hidden="1">1</definedName>
    <definedName name="solver_opt" localSheetId="6" hidden="1">'Broken Heterogeneous'!$I$9</definedName>
    <definedName name="solver_opt" localSheetId="5" hidden="1">'Heterogeneous (2-Soil)'!$I$9</definedName>
    <definedName name="solver_opt" localSheetId="4" hidden="1">'Heterogeneous model'!$I$9</definedName>
    <definedName name="solver_pre" localSheetId="6" hidden="1">0.000001</definedName>
    <definedName name="solver_pre" localSheetId="5" hidden="1">0.000001</definedName>
    <definedName name="solver_pre" localSheetId="4" hidden="1">0.000001</definedName>
    <definedName name="solver_rbv" localSheetId="6" hidden="1">2</definedName>
    <definedName name="solver_rbv" localSheetId="5" hidden="1">2</definedName>
    <definedName name="solver_rbv" localSheetId="4" hidden="1">2</definedName>
    <definedName name="solver_rlx" localSheetId="6" hidden="1">2</definedName>
    <definedName name="solver_rlx" localSheetId="5" hidden="1">2</definedName>
    <definedName name="solver_rlx" localSheetId="4" hidden="1">2</definedName>
    <definedName name="solver_rsd" localSheetId="6" hidden="1">0</definedName>
    <definedName name="solver_rsd" localSheetId="5" hidden="1">0</definedName>
    <definedName name="solver_rsd" localSheetId="4" hidden="1">0</definedName>
    <definedName name="solver_scl" localSheetId="6" hidden="1">2</definedName>
    <definedName name="solver_scl" localSheetId="5" hidden="1">2</definedName>
    <definedName name="solver_scl" localSheetId="4" hidden="1">2</definedName>
    <definedName name="solver_sho" localSheetId="6" hidden="1">2</definedName>
    <definedName name="solver_sho" localSheetId="5" hidden="1">2</definedName>
    <definedName name="solver_sho" localSheetId="4" hidden="1">2</definedName>
    <definedName name="solver_ssz" localSheetId="6" hidden="1">100</definedName>
    <definedName name="solver_ssz" localSheetId="5" hidden="1">100</definedName>
    <definedName name="solver_ssz" localSheetId="4" hidden="1">100</definedName>
    <definedName name="solver_tim" localSheetId="6" hidden="1">2147483647</definedName>
    <definedName name="solver_tim" localSheetId="5" hidden="1">2147483647</definedName>
    <definedName name="solver_tim" localSheetId="4" hidden="1">2147483647</definedName>
    <definedName name="solver_tol" localSheetId="6" hidden="1">0.01</definedName>
    <definedName name="solver_tol" localSheetId="5" hidden="1">0.01</definedName>
    <definedName name="solver_tol" localSheetId="4" hidden="1">0.01</definedName>
    <definedName name="solver_typ" localSheetId="6" hidden="1">1</definedName>
    <definedName name="solver_typ" localSheetId="5" hidden="1">1</definedName>
    <definedName name="solver_typ" localSheetId="4" hidden="1">1</definedName>
    <definedName name="solver_val" localSheetId="6" hidden="1">0</definedName>
    <definedName name="solver_val" localSheetId="5" hidden="1">0</definedName>
    <definedName name="solver_val" localSheetId="4" hidden="1">0</definedName>
    <definedName name="solver_ver" localSheetId="6" hidden="1">3</definedName>
    <definedName name="solver_ver" localSheetId="5" hidden="1">3</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I8" i="3" l="1"/>
  <c r="R54" i="3"/>
  <c r="I20" i="6"/>
  <c r="G20" i="6"/>
  <c r="H20" i="6" s="1"/>
  <c r="F20" i="6"/>
  <c r="G19" i="6"/>
  <c r="L19" i="6" s="1"/>
  <c r="F19" i="6"/>
  <c r="F18" i="6" s="1"/>
  <c r="F17" i="6" s="1"/>
  <c r="F16" i="6" s="1"/>
  <c r="F15" i="6" s="1"/>
  <c r="F14" i="6" s="1"/>
  <c r="F13" i="6" s="1"/>
  <c r="F12" i="6" s="1"/>
  <c r="F11" i="6" s="1"/>
  <c r="F10" i="6" s="1"/>
  <c r="F9" i="6" s="1"/>
  <c r="F8" i="6" s="1"/>
  <c r="G18" i="6"/>
  <c r="N18" i="6" s="1"/>
  <c r="G17" i="6"/>
  <c r="H17" i="6" s="1"/>
  <c r="G16" i="6"/>
  <c r="L16" i="6" s="1"/>
  <c r="H15" i="6"/>
  <c r="G15" i="6"/>
  <c r="M15" i="6" s="1"/>
  <c r="G14" i="6"/>
  <c r="H14" i="6" s="1"/>
  <c r="G13" i="6"/>
  <c r="H13" i="6" s="1"/>
  <c r="G12" i="6"/>
  <c r="H12" i="6" s="1"/>
  <c r="G11" i="6"/>
  <c r="H11" i="6" s="1"/>
  <c r="G10" i="6"/>
  <c r="M10" i="6" s="1"/>
  <c r="H9" i="6"/>
  <c r="G9" i="6"/>
  <c r="C9" i="6"/>
  <c r="I8" i="6"/>
  <c r="H8" i="6"/>
  <c r="G8" i="6"/>
  <c r="C8" i="6"/>
  <c r="C7" i="6"/>
  <c r="E31" i="7"/>
  <c r="E30" i="7"/>
  <c r="E29" i="7"/>
  <c r="E28" i="7"/>
  <c r="E27" i="7"/>
  <c r="E26" i="7"/>
  <c r="E25" i="7"/>
  <c r="E24" i="7"/>
  <c r="E23" i="7"/>
  <c r="E22" i="7"/>
  <c r="E21" i="7"/>
  <c r="E20" i="7"/>
  <c r="E19" i="7"/>
  <c r="N19" i="6"/>
  <c r="M13" i="6"/>
  <c r="L13" i="6"/>
  <c r="N9" i="6"/>
  <c r="M9" i="6"/>
  <c r="L9" i="6"/>
  <c r="M8" i="6"/>
  <c r="G20" i="4"/>
  <c r="N20" i="4" s="1"/>
  <c r="G19" i="4"/>
  <c r="N19" i="4" s="1"/>
  <c r="G18" i="4"/>
  <c r="N18" i="4" s="1"/>
  <c r="G17" i="4"/>
  <c r="M17" i="4" s="1"/>
  <c r="G16" i="4"/>
  <c r="M16" i="4" s="1"/>
  <c r="G15" i="4"/>
  <c r="H15" i="4" s="1"/>
  <c r="G14" i="4"/>
  <c r="H14" i="4" s="1"/>
  <c r="G13" i="4"/>
  <c r="M13" i="4" s="1"/>
  <c r="G12" i="4"/>
  <c r="N12" i="4" s="1"/>
  <c r="G11" i="4"/>
  <c r="M11" i="4" s="1"/>
  <c r="G10" i="4"/>
  <c r="M10" i="4" s="1"/>
  <c r="G9" i="4"/>
  <c r="N9" i="4" s="1"/>
  <c r="G8" i="4"/>
  <c r="N8" i="4" s="1"/>
  <c r="F20" i="4"/>
  <c r="F19" i="4" s="1"/>
  <c r="F18" i="4" s="1"/>
  <c r="F17" i="4" s="1"/>
  <c r="F16" i="4" s="1"/>
  <c r="F15" i="4" s="1"/>
  <c r="F14" i="4" s="1"/>
  <c r="F13" i="4" s="1"/>
  <c r="F12" i="4" s="1"/>
  <c r="F11" i="4" s="1"/>
  <c r="F10" i="4" s="1"/>
  <c r="F9" i="4" s="1"/>
  <c r="F8" i="4" s="1"/>
  <c r="C9" i="4"/>
  <c r="C8" i="4"/>
  <c r="C7" i="4"/>
  <c r="E31" i="5"/>
  <c r="E30" i="5"/>
  <c r="E29" i="5"/>
  <c r="E28" i="5"/>
  <c r="E27" i="5"/>
  <c r="E26" i="5"/>
  <c r="E25" i="5"/>
  <c r="E24" i="5"/>
  <c r="E23" i="5"/>
  <c r="E22" i="5"/>
  <c r="E21" i="5"/>
  <c r="E20" i="5"/>
  <c r="E19" i="5"/>
  <c r="I20" i="4"/>
  <c r="L19" i="4"/>
  <c r="I8" i="4"/>
  <c r="I20" i="3"/>
  <c r="G15" i="3"/>
  <c r="G16" i="3"/>
  <c r="G17" i="3"/>
  <c r="G18" i="3"/>
  <c r="G19" i="3"/>
  <c r="G20" i="3"/>
  <c r="E19" i="2"/>
  <c r="E31" i="2"/>
  <c r="E20" i="2"/>
  <c r="C9" i="3"/>
  <c r="C8" i="3"/>
  <c r="C7" i="3"/>
  <c r="C9" i="1"/>
  <c r="C8" i="1"/>
  <c r="C7" i="1"/>
  <c r="H18" i="6" l="1"/>
  <c r="L11" i="6"/>
  <c r="M16" i="6"/>
  <c r="N16" i="6"/>
  <c r="L12" i="6"/>
  <c r="N10" i="6"/>
  <c r="M19" i="6"/>
  <c r="N20" i="6"/>
  <c r="N13" i="6"/>
  <c r="H10" i="6"/>
  <c r="H16" i="6"/>
  <c r="H19" i="6"/>
  <c r="L8" i="6"/>
  <c r="L15" i="6"/>
  <c r="N15" i="6"/>
  <c r="M11" i="6"/>
  <c r="L14" i="6"/>
  <c r="L17" i="6"/>
  <c r="L20" i="6"/>
  <c r="M18" i="6"/>
  <c r="N11" i="6"/>
  <c r="M14" i="6"/>
  <c r="M17" i="6"/>
  <c r="M20" i="6"/>
  <c r="L18" i="6"/>
  <c r="M12" i="6"/>
  <c r="N8" i="6"/>
  <c r="N12" i="6"/>
  <c r="L10" i="6"/>
  <c r="N14" i="6"/>
  <c r="N17" i="6"/>
  <c r="H20" i="4"/>
  <c r="M19" i="4"/>
  <c r="H19" i="4"/>
  <c r="H18" i="4"/>
  <c r="H10" i="4"/>
  <c r="L9" i="4"/>
  <c r="H9" i="4"/>
  <c r="M9" i="4"/>
  <c r="H8" i="4"/>
  <c r="M8" i="4"/>
  <c r="N11" i="4"/>
  <c r="L11" i="4"/>
  <c r="H11" i="4"/>
  <c r="M12" i="4"/>
  <c r="H12" i="4"/>
  <c r="L13" i="4"/>
  <c r="H13" i="4"/>
  <c r="N14" i="4"/>
  <c r="M14" i="4"/>
  <c r="N15" i="4"/>
  <c r="N16" i="4"/>
  <c r="H16" i="4"/>
  <c r="H17" i="4"/>
  <c r="N17" i="4"/>
  <c r="L16" i="4"/>
  <c r="N13" i="4"/>
  <c r="L10" i="4"/>
  <c r="N10" i="4"/>
  <c r="L8" i="4"/>
  <c r="L12" i="4"/>
  <c r="L15" i="4"/>
  <c r="L18" i="4"/>
  <c r="M15" i="4"/>
  <c r="M18" i="4"/>
  <c r="L14" i="4"/>
  <c r="L17" i="4"/>
  <c r="L20" i="4"/>
  <c r="M20" i="4"/>
  <c r="N20" i="3"/>
  <c r="M20" i="3"/>
  <c r="L20" i="3"/>
  <c r="H20" i="3"/>
  <c r="F20" i="3"/>
  <c r="N19" i="3"/>
  <c r="M19" i="3"/>
  <c r="L19" i="3"/>
  <c r="H19" i="3"/>
  <c r="F19" i="3"/>
  <c r="F18" i="3" s="1"/>
  <c r="F17" i="3" s="1"/>
  <c r="F16" i="3" s="1"/>
  <c r="F15" i="3" s="1"/>
  <c r="F14" i="3" s="1"/>
  <c r="F13" i="3" s="1"/>
  <c r="F12" i="3" s="1"/>
  <c r="F11" i="3" s="1"/>
  <c r="F10" i="3" s="1"/>
  <c r="F9" i="3" s="1"/>
  <c r="F8" i="3" s="1"/>
  <c r="N18" i="3"/>
  <c r="M18" i="3"/>
  <c r="L18" i="3"/>
  <c r="H18" i="3"/>
  <c r="N17" i="3"/>
  <c r="M17" i="3"/>
  <c r="L17" i="3"/>
  <c r="H17" i="3"/>
  <c r="N16" i="3"/>
  <c r="M16" i="3"/>
  <c r="L16" i="3"/>
  <c r="H16" i="3"/>
  <c r="L15" i="3"/>
  <c r="N15" i="3"/>
  <c r="G14" i="3"/>
  <c r="G13" i="3"/>
  <c r="G12" i="3"/>
  <c r="G11" i="3"/>
  <c r="G10" i="3"/>
  <c r="G9" i="3"/>
  <c r="H9" i="3" s="1"/>
  <c r="G8" i="3"/>
  <c r="H8" i="3" s="1"/>
  <c r="D9" i="6" l="1"/>
  <c r="D8" i="6"/>
  <c r="D7" i="6"/>
  <c r="N12" i="3"/>
  <c r="H12" i="3"/>
  <c r="M11" i="3"/>
  <c r="H11" i="3"/>
  <c r="N10" i="3"/>
  <c r="H10" i="3"/>
  <c r="L10" i="3"/>
  <c r="L13" i="3"/>
  <c r="H13" i="3"/>
  <c r="L14" i="3"/>
  <c r="H14" i="3"/>
  <c r="D9" i="4"/>
  <c r="D8" i="4"/>
  <c r="D7" i="4"/>
  <c r="C11" i="4" s="1"/>
  <c r="L12" i="3"/>
  <c r="M9" i="3"/>
  <c r="L9" i="3"/>
  <c r="N13" i="3"/>
  <c r="M14" i="3"/>
  <c r="M13" i="3"/>
  <c r="N14" i="3"/>
  <c r="N11" i="3"/>
  <c r="H15" i="3"/>
  <c r="M10" i="3"/>
  <c r="M12" i="3"/>
  <c r="M15" i="3"/>
  <c r="L8" i="3"/>
  <c r="M8" i="3"/>
  <c r="N8" i="3"/>
  <c r="L11" i="3"/>
  <c r="N9" i="3"/>
  <c r="H9" i="1"/>
  <c r="H11" i="1"/>
  <c r="H12" i="1"/>
  <c r="H14" i="1"/>
  <c r="H15" i="1"/>
  <c r="H16" i="1"/>
  <c r="H17" i="1"/>
  <c r="H18" i="1"/>
  <c r="H19" i="1"/>
  <c r="H20" i="1"/>
  <c r="H13" i="1"/>
  <c r="H10" i="1"/>
  <c r="C11" i="6" l="1"/>
  <c r="R57" i="6" s="1"/>
  <c r="C12" i="4"/>
  <c r="D9" i="3"/>
  <c r="D8" i="3"/>
  <c r="D7" i="3"/>
  <c r="N9" i="1"/>
  <c r="N10" i="1"/>
  <c r="N11" i="1"/>
  <c r="N12" i="1"/>
  <c r="N13" i="1"/>
  <c r="N14" i="1"/>
  <c r="N15" i="1"/>
  <c r="N16" i="1"/>
  <c r="N17" i="1"/>
  <c r="N18" i="1"/>
  <c r="N19" i="1"/>
  <c r="N20" i="1"/>
  <c r="M9" i="1"/>
  <c r="M10" i="1"/>
  <c r="M11" i="1"/>
  <c r="M12" i="1"/>
  <c r="M13" i="1"/>
  <c r="M14" i="1"/>
  <c r="M15" i="1"/>
  <c r="M16" i="1"/>
  <c r="M17" i="1"/>
  <c r="M18" i="1"/>
  <c r="M19" i="1"/>
  <c r="M20" i="1"/>
  <c r="L9" i="1"/>
  <c r="L10" i="1"/>
  <c r="L11" i="1"/>
  <c r="L12" i="1"/>
  <c r="L13" i="1"/>
  <c r="L14" i="1"/>
  <c r="L15" i="1"/>
  <c r="L16" i="1"/>
  <c r="L17" i="1"/>
  <c r="L18" i="1"/>
  <c r="L19" i="1"/>
  <c r="L20" i="1"/>
  <c r="N8" i="1"/>
  <c r="I20" i="1"/>
  <c r="I8" i="1"/>
  <c r="F20" i="1"/>
  <c r="F19" i="1" s="1"/>
  <c r="F18" i="1" s="1"/>
  <c r="F17" i="1" s="1"/>
  <c r="F16" i="1" s="1"/>
  <c r="F15" i="1" s="1"/>
  <c r="F14" i="1" s="1"/>
  <c r="F13" i="1" s="1"/>
  <c r="F12" i="1" s="1"/>
  <c r="F11" i="1" s="1"/>
  <c r="F10" i="1" s="1"/>
  <c r="F9" i="1" s="1"/>
  <c r="F8" i="1" s="1"/>
  <c r="E21" i="2"/>
  <c r="E22" i="2"/>
  <c r="E23" i="2"/>
  <c r="E24" i="2"/>
  <c r="E25" i="2"/>
  <c r="E26" i="2"/>
  <c r="E27" i="2"/>
  <c r="E28" i="2"/>
  <c r="E29" i="2"/>
  <c r="E30" i="2"/>
  <c r="C12" i="6" l="1"/>
  <c r="P57" i="6" s="1"/>
  <c r="C11" i="3"/>
  <c r="L8" i="1"/>
  <c r="D7" i="1" s="1"/>
  <c r="M8" i="1"/>
  <c r="H8" i="1"/>
  <c r="D8" i="1"/>
  <c r="D9" i="1"/>
  <c r="C12" i="3" l="1"/>
  <c r="P54" i="3" s="1"/>
  <c r="C11" i="1"/>
  <c r="C12" i="1" s="1"/>
  <c r="J19" i="3" l="1"/>
  <c r="J12" i="6"/>
  <c r="J14" i="3"/>
  <c r="J20" i="4"/>
  <c r="I19" i="4"/>
  <c r="J13" i="3"/>
  <c r="J15" i="6"/>
  <c r="J17" i="3"/>
  <c r="J15" i="4"/>
  <c r="J9" i="3"/>
  <c r="J10" i="3"/>
  <c r="J19" i="1"/>
  <c r="I18" i="4"/>
  <c r="J19" i="4"/>
  <c r="J18" i="1"/>
  <c r="J14" i="1"/>
  <c r="J18" i="6"/>
  <c r="J12" i="1"/>
  <c r="I17" i="1"/>
  <c r="I18" i="1"/>
  <c r="I19" i="1"/>
  <c r="J20" i="1"/>
  <c r="I18" i="3"/>
  <c r="I19" i="3"/>
  <c r="J20" i="3"/>
  <c r="I16" i="3"/>
  <c r="I17" i="3"/>
  <c r="J18" i="3"/>
  <c r="J11" i="6"/>
  <c r="J11" i="1"/>
  <c r="J17" i="6"/>
  <c r="J16" i="1"/>
  <c r="J12" i="3"/>
  <c r="J19" i="6"/>
  <c r="J16" i="6"/>
  <c r="I14" i="6"/>
  <c r="I15" i="6"/>
  <c r="I16" i="6"/>
  <c r="I17" i="6"/>
  <c r="I18" i="6"/>
  <c r="I19" i="6"/>
  <c r="J20" i="6"/>
  <c r="J11" i="4"/>
  <c r="J13" i="1"/>
  <c r="I13" i="6"/>
  <c r="J14" i="6"/>
  <c r="I15" i="3"/>
  <c r="J16" i="3"/>
  <c r="J14" i="4"/>
  <c r="J17" i="4"/>
  <c r="J12" i="4"/>
  <c r="J10" i="1"/>
  <c r="J9" i="1"/>
  <c r="J11" i="3"/>
  <c r="I16" i="4"/>
  <c r="I17" i="4"/>
  <c r="J18" i="4"/>
  <c r="J15" i="1"/>
  <c r="I11" i="6"/>
  <c r="I12" i="6"/>
  <c r="J13" i="6"/>
  <c r="I9" i="3"/>
  <c r="I10" i="3"/>
  <c r="I11" i="3"/>
  <c r="I12" i="3"/>
  <c r="I13" i="3"/>
  <c r="I14" i="3"/>
  <c r="J15" i="3"/>
  <c r="J10" i="6"/>
  <c r="I10" i="6"/>
  <c r="I9" i="6"/>
  <c r="J9" i="6"/>
  <c r="J13" i="4"/>
  <c r="I9" i="1"/>
  <c r="I10" i="1"/>
  <c r="I11" i="1"/>
  <c r="I12" i="1"/>
  <c r="I13" i="1"/>
  <c r="I14" i="1"/>
  <c r="I15" i="1"/>
  <c r="I16" i="1"/>
  <c r="J17" i="1"/>
  <c r="I11" i="4"/>
  <c r="I12" i="4"/>
  <c r="I13" i="4"/>
  <c r="I14" i="4"/>
  <c r="I15" i="4"/>
  <c r="J16" i="4"/>
  <c r="J10" i="4"/>
  <c r="I10" i="4"/>
  <c r="I9" i="4"/>
  <c r="J9" i="4"/>
</calcChain>
</file>

<file path=xl/sharedStrings.xml><?xml version="1.0" encoding="utf-8"?>
<sst xmlns="http://schemas.openxmlformats.org/spreadsheetml/2006/main" count="238" uniqueCount="55">
  <si>
    <t>dz</t>
  </si>
  <si>
    <t>z0</t>
  </si>
  <si>
    <t>z</t>
  </si>
  <si>
    <t>H</t>
  </si>
  <si>
    <t>K1</t>
  </si>
  <si>
    <t>K2</t>
  </si>
  <si>
    <t>K3</t>
  </si>
  <si>
    <t>q</t>
  </si>
  <si>
    <t>Keq</t>
  </si>
  <si>
    <t>top</t>
  </si>
  <si>
    <t>bottom</t>
  </si>
  <si>
    <t>Type I BC</t>
  </si>
  <si>
    <t>K</t>
  </si>
  <si>
    <t>Grid</t>
  </si>
  <si>
    <t>K zones</t>
  </si>
  <si>
    <t>K values</t>
  </si>
  <si>
    <t>bottom cell</t>
  </si>
  <si>
    <t>top cell</t>
  </si>
  <si>
    <t>Notes</t>
  </si>
  <si>
    <t>The model has 13 nodes, including the top and bottom boundary nodes.</t>
  </si>
  <si>
    <t>The solver is set to 100 iterations with a closer criterion of 0.001 in head change per iteration.</t>
  </si>
  <si>
    <t>All model units are consistent, but not specifically defined (e.g. m, days vs cm, min)</t>
  </si>
  <si>
    <t>soil type</t>
  </si>
  <si>
    <t>-</t>
  </si>
  <si>
    <t>node</t>
  </si>
  <si>
    <t>cell</t>
  </si>
  <si>
    <t>K zone cell</t>
  </si>
  <si>
    <t>K cell</t>
  </si>
  <si>
    <t>zone 1</t>
  </si>
  <si>
    <t>zone 2</t>
  </si>
  <si>
    <t>zone 3</t>
  </si>
  <si>
    <t>num cells</t>
  </si>
  <si>
    <t>Direct solution for flux</t>
  </si>
  <si>
    <t>Map of node and cell numbers</t>
  </si>
  <si>
    <t>K values are defined by cell.  Cells are node centered - the head value calculated is at the center of a cell.</t>
  </si>
  <si>
    <t>Harmonic average = Keq</t>
  </si>
  <si>
    <t>Steady State:</t>
  </si>
  <si>
    <t>Input flow matches output flow, change in storage is zero</t>
  </si>
  <si>
    <t>Model is steady state because output flow is the same as the input flow, i.e. 0.000667.</t>
  </si>
  <si>
    <t>Heterogeneous Soil Column</t>
  </si>
  <si>
    <t>How do I determine if it is steady state in a heterogeneous column?</t>
  </si>
  <si>
    <t>Why does it change every time I save it?</t>
  </si>
  <si>
    <t>How do I show steady state flux agrees with harmonic K?</t>
  </si>
  <si>
    <t>Run column model of approximately equal K zones and answer last question.</t>
  </si>
  <si>
    <t>q = Q/A = -K dh/dz</t>
  </si>
  <si>
    <t>=</t>
  </si>
  <si>
    <t>q = -Keq * dh/dz</t>
  </si>
  <si>
    <t>Where dh/dz is negative since the flow moves downward</t>
  </si>
  <si>
    <t>Plugging in the proper values for these terms shows that the steady state flux agrees with the direct calculation based on the harmonc average Keq.</t>
  </si>
  <si>
    <t>* ANSWER BELOW</t>
  </si>
  <si>
    <t>Model is steady state because output flow is the same as the input flow</t>
  </si>
  <si>
    <t>For last Question: Mathematically, the smaller K value input into the Keq equation will dominate the calculation, driving the resulting Keq value toward that initial input K value. This is what makes the Keq value close to the smaller of the two K values in the soil profile. I am not sure how to get this information from the head profile. My first thought is that there is some indication from the slopes of the two lines produced by the soil profiles, but I am not sure.</t>
  </si>
  <si>
    <t>I created a more complicated soil column and all of the methods I used for the previous columns seemed to break during this run of the model. The approach used to verify that the outflow of the soil column agrees with the value calculated for the harmonic average K shows that the column is steady state, but the elevation v. flux chart seems wrong. I'm not sure what is going wrong here and would like some help figuring it out.</t>
  </si>
  <si>
    <t>Heterogeneous 2 Soil-Type Column</t>
  </si>
  <si>
    <t>Broken Heterogeneous Soil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</si>
</sst>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1"/>
      <color rgb="FF006100"/>
      <name val="Calibri"/>
      <family val="2"/>
      <scheme val="minor"/>
    </font>
    <font>
      <sz val="11"/>
      <color rgb="FF9C5700"/>
      <name val="Calibri"/>
      <family val="2"/>
      <scheme val="minor"/>
    </font>
    <font>
      <sz val="10"/>
      <name val="Arial"/>
      <family val="2"/>
    </font>
    <font>
      <b/>
      <sz val="10"/>
      <name val="Arial"/>
      <family val="2"/>
    </font>
    <font>
      <sz val="10"/>
      <color rgb="FFFF0000"/>
      <name val="Arial"/>
      <family val="2"/>
    </font>
  </fonts>
  <fills count="4">
    <fill>
      <patternFill patternType="none"/>
    </fill>
    <fill>
      <patternFill patternType="gray125"/>
    </fill>
    <fill>
      <patternFill patternType="solid">
        <fgColor rgb="FFC6EFCE"/>
      </patternFill>
    </fill>
    <fill>
      <patternFill patternType="solid">
        <fgColor rgb="FFFFEB9C"/>
      </patternFill>
    </fill>
  </fills>
  <borders count="1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0" fillId="0" borderId="0" xfId="0" applyAlignment="1">
      <alignment horizontal="center"/>
    </xf>
    <xf numFmtId="0" fontId="2" fillId="3" borderId="0" xfId="2" applyAlignment="1">
      <alignment horizontal="center"/>
    </xf>
    <xf numFmtId="0" fontId="0" fillId="0" borderId="4" xfId="0" applyBorder="1"/>
    <xf numFmtId="0" fontId="0" fillId="0" borderId="0" xfId="0" applyBorder="1"/>
    <xf numFmtId="0" fontId="0" fillId="0" borderId="5" xfId="0" applyBorder="1"/>
    <xf numFmtId="0" fontId="0" fillId="0" borderId="0"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3" fillId="0" borderId="0" xfId="0" applyFont="1"/>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2" borderId="0" xfId="1" applyBorder="1" applyAlignment="1">
      <alignment horizontal="center"/>
    </xf>
    <xf numFmtId="0" fontId="0" fillId="0" borderId="14" xfId="0" applyBorder="1" applyAlignment="1">
      <alignment horizontal="center"/>
    </xf>
    <xf numFmtId="0" fontId="1" fillId="2" borderId="15" xfId="1" applyBorder="1" applyAlignment="1">
      <alignment horizontal="center"/>
    </xf>
    <xf numFmtId="0" fontId="0" fillId="0" borderId="16" xfId="0" applyBorder="1" applyAlignment="1">
      <alignment horizontal="center"/>
    </xf>
    <xf numFmtId="0" fontId="4" fillId="0" borderId="0" xfId="0" applyFont="1"/>
    <xf numFmtId="0" fontId="5"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5" fillId="0" borderId="0" xfId="0" applyFont="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12" xfId="0" applyFont="1" applyBorder="1" applyAlignment="1">
      <alignment horizontal="center"/>
    </xf>
    <xf numFmtId="0" fontId="3" fillId="0" borderId="0" xfId="0" applyFont="1" applyBorder="1" applyAlignment="1">
      <alignment horizontal="center"/>
    </xf>
    <xf numFmtId="0" fontId="3" fillId="0" borderId="13" xfId="0" applyFont="1" applyBorder="1" applyAlignment="1">
      <alignment horizontal="center"/>
    </xf>
    <xf numFmtId="0" fontId="3" fillId="0" borderId="0" xfId="0" applyFont="1" applyAlignment="1">
      <alignment horizontal="left" wrapText="1"/>
    </xf>
    <xf numFmtId="0" fontId="5" fillId="0" borderId="0" xfId="0" applyFont="1" applyAlignment="1">
      <alignment horizontal="left" wrapText="1"/>
    </xf>
    <xf numFmtId="0" fontId="3" fillId="0" borderId="0" xfId="0" applyFont="1" applyAlignment="1">
      <alignment wrapText="1"/>
    </xf>
  </cellXfs>
  <cellStyles count="3">
    <cellStyle name="Good" xfId="1" builtinId="26"/>
    <cellStyle name="Neutral" xfId="2" builtinId="2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'Homogeneous model'!$I$8:$I$20</c:f>
              <c:numCache>
                <c:formatCode>General</c:formatCode>
                <c:ptCount val="13"/>
                <c:pt idx="0">
                  <c:v>200</c:v>
                </c:pt>
                <c:pt idx="1">
                  <c:v>183.33333333333331</c:v>
                </c:pt>
                <c:pt idx="2">
                  <c:v>166.66666666666666</c:v>
                </c:pt>
                <c:pt idx="3">
                  <c:v>150</c:v>
                </c:pt>
                <c:pt idx="4">
                  <c:v>133.33333333333331</c:v>
                </c:pt>
                <c:pt idx="5">
                  <c:v>116.66666666666667</c:v>
                </c:pt>
                <c:pt idx="6">
                  <c:v>100</c:v>
                </c:pt>
                <c:pt idx="7">
                  <c:v>83.333333333333329</c:v>
                </c:pt>
                <c:pt idx="8">
                  <c:v>66.666666666666657</c:v>
                </c:pt>
                <c:pt idx="9">
                  <c:v>50</c:v>
                </c:pt>
                <c:pt idx="10">
                  <c:v>33.333333333333329</c:v>
                </c:pt>
                <c:pt idx="11">
                  <c:v>16.666666666666664</c:v>
                </c:pt>
                <c:pt idx="12">
                  <c:v>0</c:v>
                </c:pt>
              </c:numCache>
            </c:numRef>
          </c:xVal>
          <c:yVal>
            <c:numRef>
              <c:f>'Homogeneous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5FF5-47CA-B4F7-6A4DC8E60B4D}"/>
            </c:ext>
          </c:extLst>
        </c:ser>
        <c:dLbls>
          <c:showLegendKey val="0"/>
          <c:showVal val="0"/>
          <c:showCatName val="0"/>
          <c:showSerName val="0"/>
          <c:showPercent val="0"/>
          <c:showBubbleSize val="0"/>
        </c:dLbls>
        <c:axId val="720580808"/>
        <c:axId val="757513416"/>
      </c:scatterChart>
      <c:valAx>
        <c:axId val="720580808"/>
        <c:scaling>
          <c:orientation val="minMax"/>
          <c:max val="200"/>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'Homogeneous model'!$J$8:$J$20</c:f>
              <c:numCache>
                <c:formatCode>General</c:formatCode>
                <c:ptCount val="13"/>
                <c:pt idx="1">
                  <c:v>1.0000000000000011E-3</c:v>
                </c:pt>
                <c:pt idx="2">
                  <c:v>9.9999999999999937E-4</c:v>
                </c:pt>
                <c:pt idx="3">
                  <c:v>9.9999999999999937E-4</c:v>
                </c:pt>
                <c:pt idx="4">
                  <c:v>1.0000000000000011E-3</c:v>
                </c:pt>
                <c:pt idx="5">
                  <c:v>9.999999999999985E-4</c:v>
                </c:pt>
                <c:pt idx="6">
                  <c:v>1.0000000000000002E-3</c:v>
                </c:pt>
                <c:pt idx="7">
                  <c:v>1.0000000000000002E-3</c:v>
                </c:pt>
                <c:pt idx="8">
                  <c:v>1.0000000000000002E-3</c:v>
                </c:pt>
                <c:pt idx="9">
                  <c:v>9.9999999999999937E-4</c:v>
                </c:pt>
                <c:pt idx="10">
                  <c:v>1.0000000000000002E-3</c:v>
                </c:pt>
                <c:pt idx="11">
                  <c:v>9.999999999999998E-4</c:v>
                </c:pt>
                <c:pt idx="12">
                  <c:v>9.999999999999998E-4</c:v>
                </c:pt>
              </c:numCache>
            </c:numRef>
          </c:xVal>
          <c:yVal>
            <c:numRef>
              <c:f>'Homogeneous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6199-446A-A4E2-5632CF44F845}"/>
            </c:ext>
          </c:extLst>
        </c:ser>
        <c:dLbls>
          <c:showLegendKey val="0"/>
          <c:showVal val="0"/>
          <c:showCatName val="0"/>
          <c:showSerName val="0"/>
          <c:showPercent val="0"/>
          <c:showBubbleSize val="0"/>
        </c:dLbls>
        <c:axId val="720580808"/>
        <c:axId val="757513416"/>
      </c:scatterChart>
      <c:valAx>
        <c:axId val="720580808"/>
        <c:scaling>
          <c:orientation val="minMax"/>
          <c:max val="1.0000000000000002E-2"/>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model'!$I$8:$I$20</c:f>
              <c:numCache>
                <c:formatCode>General</c:formatCode>
                <c:ptCount val="13"/>
                <c:pt idx="0">
                  <c:v>200</c:v>
                </c:pt>
                <c:pt idx="1">
                  <c:v>199.97636725289016</c:v>
                </c:pt>
                <c:pt idx="2">
                  <c:v>199.95273450578028</c:v>
                </c:pt>
                <c:pt idx="3">
                  <c:v>199.92910175867041</c:v>
                </c:pt>
                <c:pt idx="4">
                  <c:v>199.90546901156051</c:v>
                </c:pt>
                <c:pt idx="5">
                  <c:v>180.19969671307891</c:v>
                </c:pt>
                <c:pt idx="6">
                  <c:v>140.81178486322563</c:v>
                </c:pt>
                <c:pt idx="7">
                  <c:v>101.42387301337232</c:v>
                </c:pt>
                <c:pt idx="8">
                  <c:v>62.035961163518998</c:v>
                </c:pt>
                <c:pt idx="9">
                  <c:v>22.64804931366567</c:v>
                </c:pt>
                <c:pt idx="10">
                  <c:v>2.3632747109912002</c:v>
                </c:pt>
                <c:pt idx="11">
                  <c:v>1.1816373554956001</c:v>
                </c:pt>
                <c:pt idx="12">
                  <c:v>0</c:v>
                </c:pt>
              </c:numCache>
            </c:numRef>
          </c:xVal>
          <c:yVal>
            <c:numRef>
              <c:f>'Heterogeneous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D4E0-4E3F-9CCC-CA474FF10A78}"/>
            </c:ext>
          </c:extLst>
        </c:ser>
        <c:dLbls>
          <c:showLegendKey val="0"/>
          <c:showVal val="0"/>
          <c:showCatName val="0"/>
          <c:showSerName val="0"/>
          <c:showPercent val="0"/>
          <c:showBubbleSize val="0"/>
        </c:dLbls>
        <c:axId val="720580808"/>
        <c:axId val="757513416"/>
      </c:scatterChart>
      <c:valAx>
        <c:axId val="720580808"/>
        <c:scaling>
          <c:orientation val="minMax"/>
          <c:max val="200"/>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model'!$J$8:$J$20</c:f>
              <c:numCache>
                <c:formatCode>General</c:formatCode>
                <c:ptCount val="13"/>
                <c:pt idx="1">
                  <c:v>2.363274710984342E-3</c:v>
                </c:pt>
                <c:pt idx="2">
                  <c:v>2.3632747109871843E-3</c:v>
                </c:pt>
                <c:pt idx="3">
                  <c:v>2.3632747109871843E-3</c:v>
                </c:pt>
                <c:pt idx="4">
                  <c:v>2.3632747109900267E-3</c:v>
                </c:pt>
                <c:pt idx="5">
                  <c:v>2.3632747109911976E-3</c:v>
                </c:pt>
                <c:pt idx="6">
                  <c:v>2.3632747109911968E-3</c:v>
                </c:pt>
                <c:pt idx="7">
                  <c:v>2.3632747109911985E-3</c:v>
                </c:pt>
                <c:pt idx="8">
                  <c:v>2.3632747109911989E-3</c:v>
                </c:pt>
                <c:pt idx="9">
                  <c:v>2.3632747109911994E-3</c:v>
                </c:pt>
                <c:pt idx="10">
                  <c:v>2.3632747109912002E-3</c:v>
                </c:pt>
                <c:pt idx="11">
                  <c:v>2.3632747109912002E-3</c:v>
                </c:pt>
                <c:pt idx="12">
                  <c:v>2.3632747109912002E-3</c:v>
                </c:pt>
              </c:numCache>
            </c:numRef>
          </c:xVal>
          <c:yVal>
            <c:numRef>
              <c:f>'Heterogeneous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EF38-4071-9648-4026C4913CFC}"/>
            </c:ext>
          </c:extLst>
        </c:ser>
        <c:dLbls>
          <c:showLegendKey val="0"/>
          <c:showVal val="0"/>
          <c:showCatName val="0"/>
          <c:showSerName val="0"/>
          <c:showPercent val="0"/>
          <c:showBubbleSize val="0"/>
        </c:dLbls>
        <c:axId val="720580808"/>
        <c:axId val="757513416"/>
      </c:scatterChart>
      <c:valAx>
        <c:axId val="720580808"/>
        <c:scaling>
          <c:orientation val="minMax"/>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(2-Soil)'!$I$8:$I$20</c:f>
              <c:numCache>
                <c:formatCode>General</c:formatCode>
                <c:ptCount val="13"/>
                <c:pt idx="0">
                  <c:v>200</c:v>
                </c:pt>
                <c:pt idx="1">
                  <c:v>199.28952042628765</c:v>
                </c:pt>
                <c:pt idx="2">
                  <c:v>198.5790408525753</c:v>
                </c:pt>
                <c:pt idx="3">
                  <c:v>197.86856127886296</c:v>
                </c:pt>
                <c:pt idx="4">
                  <c:v>197.15808170515064</c:v>
                </c:pt>
                <c:pt idx="5">
                  <c:v>196.44760213143832</c:v>
                </c:pt>
                <c:pt idx="6">
                  <c:v>195.73712255772602</c:v>
                </c:pt>
                <c:pt idx="7">
                  <c:v>177.61989342806351</c:v>
                </c:pt>
                <c:pt idx="8">
                  <c:v>142.09591474245079</c:v>
                </c:pt>
                <c:pt idx="9">
                  <c:v>106.57193605683808</c:v>
                </c:pt>
                <c:pt idx="10">
                  <c:v>71.04795737122538</c:v>
                </c:pt>
                <c:pt idx="11">
                  <c:v>35.52397868561269</c:v>
                </c:pt>
                <c:pt idx="12">
                  <c:v>0</c:v>
                </c:pt>
              </c:numCache>
            </c:numRef>
          </c:xVal>
          <c:yVal>
            <c:numRef>
              <c:f>'Heterogeneous (2-Soil)'!$F$8:$F$20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24B9-4EEB-93F8-B209253A540C}"/>
            </c:ext>
          </c:extLst>
        </c:ser>
        <c:dLbls>
          <c:showLegendKey val="0"/>
          <c:showVal val="0"/>
          <c:showCatName val="0"/>
          <c:showSerName val="0"/>
          <c:showPercent val="0"/>
          <c:showBubbleSize val="0"/>
        </c:dLbls>
        <c:axId val="720580808"/>
        <c:axId val="757513416"/>
      </c:scatterChart>
      <c:valAx>
        <c:axId val="720580808"/>
        <c:scaling>
          <c:orientation val="minMax"/>
          <c:max val="200"/>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(2-Soil)'!$J$8:$J$20</c:f>
              <c:numCache>
                <c:formatCode>General</c:formatCode>
                <c:ptCount val="13"/>
                <c:pt idx="1">
                  <c:v>7.1047957371234816E-2</c:v>
                </c:pt>
                <c:pt idx="2">
                  <c:v>7.1047957371234816E-2</c:v>
                </c:pt>
                <c:pt idx="3">
                  <c:v>7.1047957371234816E-2</c:v>
                </c:pt>
                <c:pt idx="4">
                  <c:v>7.1047957371231971E-2</c:v>
                </c:pt>
                <c:pt idx="5">
                  <c:v>7.1047957371231971E-2</c:v>
                </c:pt>
                <c:pt idx="6">
                  <c:v>7.1047957371229126E-2</c:v>
                </c:pt>
                <c:pt idx="7">
                  <c:v>7.1047957371225573E-2</c:v>
                </c:pt>
                <c:pt idx="8">
                  <c:v>7.1047957371225434E-2</c:v>
                </c:pt>
                <c:pt idx="9">
                  <c:v>7.1047957371225406E-2</c:v>
                </c:pt>
                <c:pt idx="10">
                  <c:v>7.1047957371225406E-2</c:v>
                </c:pt>
                <c:pt idx="11">
                  <c:v>7.1047957371225379E-2</c:v>
                </c:pt>
                <c:pt idx="12">
                  <c:v>7.1047957371225379E-2</c:v>
                </c:pt>
              </c:numCache>
            </c:numRef>
          </c:xVal>
          <c:yVal>
            <c:numRef>
              <c:f>'Heterogeneous (2-Soil)'!$F$8:$F$20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2985-4F4C-9009-5E3220606286}"/>
            </c:ext>
          </c:extLst>
        </c:ser>
        <c:dLbls>
          <c:showLegendKey val="0"/>
          <c:showVal val="0"/>
          <c:showCatName val="0"/>
          <c:showSerName val="0"/>
          <c:showPercent val="0"/>
          <c:showBubbleSize val="0"/>
        </c:dLbls>
        <c:axId val="720580808"/>
        <c:axId val="757513416"/>
      </c:scatterChart>
      <c:valAx>
        <c:axId val="720580808"/>
        <c:scaling>
          <c:orientation val="minMax"/>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'Broken Heterogeneous'!$I$8:$I$20</c:f>
              <c:numCache>
                <c:formatCode>General</c:formatCode>
                <c:ptCount val="13"/>
                <c:pt idx="0">
                  <c:v>200</c:v>
                </c:pt>
                <c:pt idx="1">
                  <c:v>199.9705329042163</c:v>
                </c:pt>
                <c:pt idx="2">
                  <c:v>199.21912712412637</c:v>
                </c:pt>
                <c:pt idx="3">
                  <c:v>197.74579734830434</c:v>
                </c:pt>
                <c:pt idx="4">
                  <c:v>196.99441900000977</c:v>
                </c:pt>
                <c:pt idx="5">
                  <c:v>172.42501954820176</c:v>
                </c:pt>
                <c:pt idx="6">
                  <c:v>123.3161903100027</c:v>
                </c:pt>
                <c:pt idx="7">
                  <c:v>74.208187127340665</c:v>
                </c:pt>
                <c:pt idx="8">
                  <c:v>49.640439524146849</c:v>
                </c:pt>
                <c:pt idx="9">
                  <c:v>49.611961728912611</c:v>
                </c:pt>
                <c:pt idx="10">
                  <c:v>25.866740803947685</c:v>
                </c:pt>
                <c:pt idx="11">
                  <c:v>1.4238572919604229</c:v>
                </c:pt>
                <c:pt idx="12">
                  <c:v>0</c:v>
                </c:pt>
              </c:numCache>
            </c:numRef>
          </c:xVal>
          <c:yVal>
            <c:numRef>
              <c:f>'Broken Heterogeneous'!$F$8:$F$20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D585-417E-8F62-6EB3B16FAA60}"/>
            </c:ext>
          </c:extLst>
        </c:ser>
        <c:dLbls>
          <c:showLegendKey val="0"/>
          <c:showVal val="0"/>
          <c:showCatName val="0"/>
          <c:showSerName val="0"/>
          <c:showPercent val="0"/>
          <c:showBubbleSize val="0"/>
        </c:dLbls>
        <c:axId val="720580808"/>
        <c:axId val="757513416"/>
      </c:scatterChart>
      <c:valAx>
        <c:axId val="72058080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'Broken Heterogeneous'!$J$8:$J$20</c:f>
              <c:numCache>
                <c:formatCode>General</c:formatCode>
                <c:ptCount val="13"/>
                <c:pt idx="1">
                  <c:v>2.9467095783701326E-3</c:v>
                </c:pt>
                <c:pt idx="2">
                  <c:v>2.9466893336859809E-3</c:v>
                </c:pt>
                <c:pt idx="3">
                  <c:v>2.9466595516440745E-3</c:v>
                </c:pt>
                <c:pt idx="4">
                  <c:v>2.9465817580179039E-3</c:v>
                </c:pt>
                <c:pt idx="5">
                  <c:v>2.94655999821803E-3</c:v>
                </c:pt>
                <c:pt idx="6">
                  <c:v>2.9465297542919438E-3</c:v>
                </c:pt>
                <c:pt idx="7">
                  <c:v>2.9464801909597216E-3</c:v>
                </c:pt>
                <c:pt idx="8">
                  <c:v>2.9463618952461101E-3</c:v>
                </c:pt>
                <c:pt idx="9">
                  <c:v>2.8477795234238103E-3</c:v>
                </c:pt>
                <c:pt idx="10">
                  <c:v>2.8477178802676301E-3</c:v>
                </c:pt>
                <c:pt idx="11">
                  <c:v>2.847714583920846E-3</c:v>
                </c:pt>
                <c:pt idx="12">
                  <c:v>2.8477145839208456E-3</c:v>
                </c:pt>
              </c:numCache>
            </c:numRef>
          </c:xVal>
          <c:yVal>
            <c:numRef>
              <c:f>'Broken Heterogeneous'!$F$8:$F$20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598E-4AD2-BC36-3ED457C4ECDB}"/>
            </c:ext>
          </c:extLst>
        </c:ser>
        <c:dLbls>
          <c:showLegendKey val="0"/>
          <c:showVal val="0"/>
          <c:showCatName val="0"/>
          <c:showSerName val="0"/>
          <c:showPercent val="0"/>
          <c:showBubbleSize val="0"/>
        </c:dLbls>
        <c:axId val="720580808"/>
        <c:axId val="757513416"/>
      </c:scatterChart>
      <c:valAx>
        <c:axId val="720580808"/>
        <c:scaling>
          <c:orientation val="minMax"/>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1029" name="Chart 5">
          <a:extLst>
            <a:ext uri="{FF2B5EF4-FFF2-40B4-BE49-F238E27FC236}">
              <a16:creationId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946517" cy="2331279"/>
    <xdr:sp macro="" textlink="">
      <xdr:nvSpPr>
        <xdr:cNvPr id="2" name="TextBox 1">
          <a:extLst>
            <a:ext uri="{FF2B5EF4-FFF2-40B4-BE49-F238E27FC236}">
              <a16:creationId xmlns:a16="http://schemas.microsoft.com/office/drawing/2014/main" id="{FD62D37F-C9FF-40A6-97BA-01816464B469}"/>
            </a:ext>
          </a:extLst>
        </xdr:cNvPr>
        <xdr:cNvSpPr txBox="1"/>
      </xdr:nvSpPr>
      <xdr:spPr>
        <a:xfrm>
          <a:off x="8789670" y="4543425"/>
          <a:ext cx="6946517"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1.) Create a 1D, vertical steady state model with constant head top and bottom boundaries. </a:t>
          </a:r>
        </a:p>
        <a:p>
          <a:endParaRPr lang="en-US" sz="1100"/>
        </a:p>
        <a:p>
          <a:r>
            <a:rPr lang="en-US" sz="1100"/>
            <a:t>2.) 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3.) Show </a:t>
          </a:r>
          <a:r>
            <a:rPr lang="en-US" sz="1100"/>
            <a:t>that</a:t>
          </a:r>
          <a:r>
            <a:rPr lang="en-US" sz="1100" baseline="0"/>
            <a:t> the steady state flux agrees with the direct calculation based on the harmonic mean average K.</a:t>
          </a:r>
        </a:p>
        <a:p>
          <a:endParaRPr lang="en-US" sz="1100" baseline="0"/>
        </a:p>
        <a:p>
          <a:r>
            <a:rPr lang="en-US" sz="1100" baseline="0"/>
            <a:t>4.) 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8D83CF14-1766-4443-BA1E-128F241B2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2" name="Chart 5">
          <a:extLst>
            <a:ext uri="{FF2B5EF4-FFF2-40B4-BE49-F238E27FC236}">
              <a16:creationId xmlns:a16="http://schemas.microsoft.com/office/drawing/2014/main" id="{81622CCA-341F-4098-875B-1B850288B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946517" cy="2331279"/>
    <xdr:sp macro="" textlink="">
      <xdr:nvSpPr>
        <xdr:cNvPr id="3" name="TextBox 2">
          <a:extLst>
            <a:ext uri="{FF2B5EF4-FFF2-40B4-BE49-F238E27FC236}">
              <a16:creationId xmlns:a16="http://schemas.microsoft.com/office/drawing/2014/main" id="{6640348B-67E0-43A0-9884-A6C944185472}"/>
            </a:ext>
          </a:extLst>
        </xdr:cNvPr>
        <xdr:cNvSpPr txBox="1"/>
      </xdr:nvSpPr>
      <xdr:spPr>
        <a:xfrm>
          <a:off x="9010650" y="4543425"/>
          <a:ext cx="6946517"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1.) Create a 1D, vertical steady state model with constant head top and bottom boundaries. </a:t>
          </a:r>
        </a:p>
        <a:p>
          <a:endParaRPr lang="en-US" sz="1100"/>
        </a:p>
        <a:p>
          <a:r>
            <a:rPr lang="en-US" sz="1100"/>
            <a:t>2.) 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3.) Show </a:t>
          </a:r>
          <a:r>
            <a:rPr lang="en-US" sz="1100"/>
            <a:t>that</a:t>
          </a:r>
          <a:r>
            <a:rPr lang="en-US" sz="1100" baseline="0"/>
            <a:t> the steady state flux agrees with the direct calculation based on the harmonic mean average K.</a:t>
          </a:r>
        </a:p>
        <a:p>
          <a:endParaRPr lang="en-US" sz="1100" baseline="0"/>
        </a:p>
        <a:p>
          <a:r>
            <a:rPr lang="en-US" sz="1100" baseline="0"/>
            <a:t>4.) 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88208034-C28F-4AD4-8B34-786878231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2" name="Chart 5">
          <a:extLst>
            <a:ext uri="{FF2B5EF4-FFF2-40B4-BE49-F238E27FC236}">
              <a16:creationId xmlns:a16="http://schemas.microsoft.com/office/drawing/2014/main" id="{5DB4D4D7-F72E-49D0-B0D7-DF75F5A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741526" cy="2331279"/>
    <xdr:sp macro="" textlink="">
      <xdr:nvSpPr>
        <xdr:cNvPr id="3" name="TextBox 2">
          <a:extLst>
            <a:ext uri="{FF2B5EF4-FFF2-40B4-BE49-F238E27FC236}">
              <a16:creationId xmlns:a16="http://schemas.microsoft.com/office/drawing/2014/main" id="{54B29B7C-0660-4E49-8868-07173D5C742D}"/>
            </a:ext>
          </a:extLst>
        </xdr:cNvPr>
        <xdr:cNvSpPr txBox="1"/>
      </xdr:nvSpPr>
      <xdr:spPr>
        <a:xfrm>
          <a:off x="9010650" y="4543425"/>
          <a:ext cx="6741526"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Create a 1D, vertical steady state model with constant head top and bottom boundaries. </a:t>
          </a:r>
        </a:p>
        <a:p>
          <a:endParaRPr lang="en-US" sz="1100"/>
        </a:p>
        <a:p>
          <a:r>
            <a:rPr lang="en-US" sz="1100"/>
            <a:t>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Show </a:t>
          </a:r>
          <a:r>
            <a:rPr lang="en-US" sz="1100"/>
            <a:t>that</a:t>
          </a:r>
          <a:r>
            <a:rPr lang="en-US" sz="1100" baseline="0"/>
            <a:t> the steady state flux agrees with the direct calculation based on the harmonic mean average K.</a:t>
          </a:r>
        </a:p>
        <a:p>
          <a:endParaRPr lang="en-US" sz="1100" baseline="0"/>
        </a:p>
        <a:p>
          <a:r>
            <a:rPr lang="en-US" sz="1100" baseline="0"/>
            <a:t>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906DB998-4725-4FEA-84E6-E7FF5ACD4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2" name="Chart 5">
          <a:extLst>
            <a:ext uri="{FF2B5EF4-FFF2-40B4-BE49-F238E27FC236}">
              <a16:creationId xmlns:a16="http://schemas.microsoft.com/office/drawing/2014/main" id="{7233BF5B-C8C2-4B96-9F5D-2FA402CC4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741526" cy="2331279"/>
    <xdr:sp macro="" textlink="">
      <xdr:nvSpPr>
        <xdr:cNvPr id="3" name="TextBox 2">
          <a:extLst>
            <a:ext uri="{FF2B5EF4-FFF2-40B4-BE49-F238E27FC236}">
              <a16:creationId xmlns:a16="http://schemas.microsoft.com/office/drawing/2014/main" id="{E4C3F369-9664-444C-939C-92428AF9FC62}"/>
            </a:ext>
          </a:extLst>
        </xdr:cNvPr>
        <xdr:cNvSpPr txBox="1"/>
      </xdr:nvSpPr>
      <xdr:spPr>
        <a:xfrm>
          <a:off x="9010650" y="4543425"/>
          <a:ext cx="6741526"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1.) Create a 1D, vertical steady state model with constant head top and bottom boundaries. </a:t>
          </a:r>
        </a:p>
        <a:p>
          <a:endParaRPr lang="en-US" sz="1100"/>
        </a:p>
        <a:p>
          <a:r>
            <a:rPr lang="en-US" sz="1100"/>
            <a:t>2.) 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Show </a:t>
          </a:r>
          <a:r>
            <a:rPr lang="en-US" sz="1100"/>
            <a:t>that</a:t>
          </a:r>
          <a:r>
            <a:rPr lang="en-US" sz="1100" baseline="0"/>
            <a:t> the steady state flux agrees with the direct calculation based on the harmonic mean average K.</a:t>
          </a:r>
        </a:p>
        <a:p>
          <a:endParaRPr lang="en-US" sz="1100" baseline="0"/>
        </a:p>
        <a:p>
          <a:r>
            <a:rPr lang="en-US" sz="1100" baseline="0"/>
            <a:t>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D481AA94-871D-49E3-9C82-35921A225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J36"/>
  <sheetViews>
    <sheetView workbookViewId="0"/>
  </sheetViews>
  <sheetFormatPr defaultColWidth="8.77734375" defaultRowHeight="13.2" x14ac:dyDescent="0.25"/>
  <cols>
    <col min="2" max="2" width="9.109375" bestFit="1" customWidth="1"/>
    <col min="3" max="3" width="10.109375" bestFit="1" customWidth="1"/>
    <col min="4" max="4" width="8.109375" customWidth="1"/>
  </cols>
  <sheetData>
    <row r="4" spans="1:10" x14ac:dyDescent="0.25">
      <c r="B4" t="s">
        <v>11</v>
      </c>
      <c r="C4" t="s">
        <v>9</v>
      </c>
      <c r="D4" s="1">
        <v>200</v>
      </c>
      <c r="H4" s="11" t="s">
        <v>36</v>
      </c>
      <c r="J4" s="11" t="s">
        <v>37</v>
      </c>
    </row>
    <row r="5" spans="1:10" x14ac:dyDescent="0.25">
      <c r="C5" t="s">
        <v>10</v>
      </c>
      <c r="D5" s="1">
        <v>0</v>
      </c>
    </row>
    <row r="6" spans="1:10" x14ac:dyDescent="0.25">
      <c r="D6" s="1"/>
      <c r="H6" s="11" t="s">
        <v>50</v>
      </c>
    </row>
    <row r="7" spans="1:10" x14ac:dyDescent="0.25">
      <c r="D7" s="1"/>
    </row>
    <row r="8" spans="1:10" x14ac:dyDescent="0.25">
      <c r="B8" t="s">
        <v>13</v>
      </c>
      <c r="C8" t="s">
        <v>0</v>
      </c>
      <c r="D8" s="1">
        <v>5</v>
      </c>
    </row>
    <row r="9" spans="1:10" x14ac:dyDescent="0.25">
      <c r="C9" t="s">
        <v>1</v>
      </c>
      <c r="D9" s="1">
        <v>0</v>
      </c>
    </row>
    <row r="10" spans="1:10" x14ac:dyDescent="0.25">
      <c r="D10" s="1"/>
    </row>
    <row r="11" spans="1:10" x14ac:dyDescent="0.25">
      <c r="B11" t="s">
        <v>15</v>
      </c>
      <c r="C11" t="s">
        <v>4</v>
      </c>
      <c r="D11" s="1">
        <v>2.9999999999999997E-4</v>
      </c>
    </row>
    <row r="12" spans="1:10" x14ac:dyDescent="0.25">
      <c r="C12" t="s">
        <v>5</v>
      </c>
      <c r="D12" s="1">
        <v>0.5</v>
      </c>
    </row>
    <row r="13" spans="1:10" x14ac:dyDescent="0.25">
      <c r="C13" t="s">
        <v>6</v>
      </c>
      <c r="D13" s="1">
        <v>0.01</v>
      </c>
    </row>
    <row r="16" spans="1:10" x14ac:dyDescent="0.25">
      <c r="A16" s="22" t="s">
        <v>39</v>
      </c>
    </row>
    <row r="18" spans="2:9" x14ac:dyDescent="0.25">
      <c r="D18" t="s">
        <v>22</v>
      </c>
      <c r="E18" t="s">
        <v>12</v>
      </c>
    </row>
    <row r="19" spans="2:9" x14ac:dyDescent="0.25">
      <c r="B19" t="s">
        <v>14</v>
      </c>
      <c r="C19" t="s">
        <v>17</v>
      </c>
      <c r="D19" s="1">
        <v>2</v>
      </c>
      <c r="E19" s="1">
        <f>IF(D19=1,+$D$11,+IF(D19=2,+$D$12,+$D$13))</f>
        <v>0.5</v>
      </c>
      <c r="H19">
        <v>2</v>
      </c>
      <c r="I19">
        <v>0.5</v>
      </c>
    </row>
    <row r="20" spans="2:9" x14ac:dyDescent="0.25">
      <c r="D20" s="1">
        <v>2</v>
      </c>
      <c r="E20" s="1">
        <f>IF(D20=1,+$D$11,+IF(D20=2,+$D$12,+$D$13))</f>
        <v>0.5</v>
      </c>
      <c r="H20">
        <v>2</v>
      </c>
      <c r="I20">
        <v>0.5</v>
      </c>
    </row>
    <row r="21" spans="2:9" x14ac:dyDescent="0.25">
      <c r="D21" s="1">
        <v>2</v>
      </c>
      <c r="E21" s="1">
        <f t="shared" ref="E21:E30" si="0">IF(D21=1,+$D$11,+IF(D21=2,+$D$12,+$D$13))</f>
        <v>0.5</v>
      </c>
      <c r="H21">
        <v>2</v>
      </c>
      <c r="I21">
        <v>0.5</v>
      </c>
    </row>
    <row r="22" spans="2:9" x14ac:dyDescent="0.25">
      <c r="D22" s="1">
        <v>2</v>
      </c>
      <c r="E22" s="1">
        <f t="shared" si="0"/>
        <v>0.5</v>
      </c>
      <c r="H22">
        <v>2</v>
      </c>
      <c r="I22">
        <v>0.5</v>
      </c>
    </row>
    <row r="23" spans="2:9" x14ac:dyDescent="0.25">
      <c r="D23" s="1">
        <v>2</v>
      </c>
      <c r="E23" s="1">
        <f t="shared" si="0"/>
        <v>0.5</v>
      </c>
      <c r="H23">
        <v>2</v>
      </c>
      <c r="I23">
        <v>0.5</v>
      </c>
    </row>
    <row r="24" spans="2:9" x14ac:dyDescent="0.25">
      <c r="D24" s="1">
        <v>1</v>
      </c>
      <c r="E24" s="1">
        <f t="shared" si="0"/>
        <v>2.9999999999999997E-4</v>
      </c>
      <c r="H24">
        <v>1</v>
      </c>
      <c r="I24">
        <v>2.9999999999999997E-4</v>
      </c>
    </row>
    <row r="25" spans="2:9" x14ac:dyDescent="0.25">
      <c r="D25" s="1">
        <v>1</v>
      </c>
      <c r="E25" s="1">
        <f t="shared" si="0"/>
        <v>2.9999999999999997E-4</v>
      </c>
      <c r="H25">
        <v>1</v>
      </c>
      <c r="I25">
        <v>2.9999999999999997E-4</v>
      </c>
    </row>
    <row r="26" spans="2:9" x14ac:dyDescent="0.25">
      <c r="D26" s="1">
        <v>1</v>
      </c>
      <c r="E26" s="1">
        <f t="shared" si="0"/>
        <v>2.9999999999999997E-4</v>
      </c>
      <c r="H26">
        <v>1</v>
      </c>
      <c r="I26">
        <v>2.9999999999999997E-4</v>
      </c>
    </row>
    <row r="27" spans="2:9" x14ac:dyDescent="0.25">
      <c r="D27" s="1">
        <v>1</v>
      </c>
      <c r="E27" s="1">
        <f t="shared" si="0"/>
        <v>2.9999999999999997E-4</v>
      </c>
      <c r="H27">
        <v>1</v>
      </c>
      <c r="I27">
        <v>2.9999999999999997E-4</v>
      </c>
    </row>
    <row r="28" spans="2:9" x14ac:dyDescent="0.25">
      <c r="D28" s="1">
        <v>1</v>
      </c>
      <c r="E28" s="1">
        <f t="shared" si="0"/>
        <v>2.9999999999999997E-4</v>
      </c>
      <c r="H28">
        <v>1</v>
      </c>
      <c r="I28">
        <v>2.9999999999999997E-4</v>
      </c>
    </row>
    <row r="29" spans="2:9" x14ac:dyDescent="0.25">
      <c r="D29" s="1">
        <v>3</v>
      </c>
      <c r="E29" s="1">
        <f t="shared" si="0"/>
        <v>0.01</v>
      </c>
      <c r="H29">
        <v>3</v>
      </c>
      <c r="I29">
        <v>0.01</v>
      </c>
    </row>
    <row r="30" spans="2:9" x14ac:dyDescent="0.25">
      <c r="D30" s="1">
        <v>3</v>
      </c>
      <c r="E30" s="1">
        <f t="shared" si="0"/>
        <v>0.01</v>
      </c>
      <c r="H30">
        <v>3</v>
      </c>
      <c r="I30">
        <v>0.01</v>
      </c>
    </row>
    <row r="31" spans="2:9" x14ac:dyDescent="0.25">
      <c r="C31" t="s">
        <v>16</v>
      </c>
      <c r="D31" s="1">
        <v>3</v>
      </c>
      <c r="E31" s="1">
        <f>IF(D31=1,+$D$11,+IF(D31=2,+$D$12,+$D$13))</f>
        <v>0.01</v>
      </c>
      <c r="H31">
        <v>3</v>
      </c>
      <c r="I31">
        <v>0.01</v>
      </c>
    </row>
    <row r="33" spans="2:3" x14ac:dyDescent="0.25">
      <c r="B33" t="s">
        <v>18</v>
      </c>
      <c r="C33" t="s">
        <v>19</v>
      </c>
    </row>
    <row r="34" spans="2:3" x14ac:dyDescent="0.25">
      <c r="C34" s="11" t="s">
        <v>34</v>
      </c>
    </row>
    <row r="35" spans="2:3" x14ac:dyDescent="0.25">
      <c r="C35" t="s">
        <v>20</v>
      </c>
    </row>
    <row r="36" spans="2:3" x14ac:dyDescent="0.25">
      <c r="C36" t="s">
        <v>21</v>
      </c>
    </row>
  </sheetData>
  <phoneticPr fontId="0" type="noConversion"/>
  <pageMargins left="0.75" right="0.75" top="1" bottom="1" header="0.5" footer="0.5"/>
  <pageSetup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14E4-595A-4BC1-9BCF-781C6A600264}">
  <dimension ref="A4:J36"/>
  <sheetViews>
    <sheetView workbookViewId="0"/>
  </sheetViews>
  <sheetFormatPr defaultColWidth="8.77734375" defaultRowHeight="13.2" x14ac:dyDescent="0.25"/>
  <cols>
    <col min="2" max="2" width="9.109375" bestFit="1" customWidth="1"/>
    <col min="3" max="3" width="10.109375" bestFit="1" customWidth="1"/>
    <col min="4" max="4" width="8.109375" customWidth="1"/>
  </cols>
  <sheetData>
    <row r="4" spans="1:10" x14ac:dyDescent="0.25">
      <c r="B4" t="s">
        <v>11</v>
      </c>
      <c r="C4" t="s">
        <v>9</v>
      </c>
      <c r="D4" s="1">
        <v>200</v>
      </c>
      <c r="H4" s="11" t="s">
        <v>36</v>
      </c>
      <c r="J4" s="11" t="s">
        <v>37</v>
      </c>
    </row>
    <row r="5" spans="1:10" x14ac:dyDescent="0.25">
      <c r="C5" t="s">
        <v>10</v>
      </c>
      <c r="D5" s="1">
        <v>0</v>
      </c>
    </row>
    <row r="6" spans="1:10" x14ac:dyDescent="0.25">
      <c r="D6" s="1"/>
      <c r="H6" s="11" t="s">
        <v>38</v>
      </c>
    </row>
    <row r="7" spans="1:10" x14ac:dyDescent="0.25">
      <c r="D7" s="1"/>
    </row>
    <row r="8" spans="1:10" x14ac:dyDescent="0.25">
      <c r="B8" t="s">
        <v>13</v>
      </c>
      <c r="C8" t="s">
        <v>0</v>
      </c>
      <c r="D8" s="1">
        <v>5</v>
      </c>
    </row>
    <row r="9" spans="1:10" x14ac:dyDescent="0.25">
      <c r="C9" t="s">
        <v>1</v>
      </c>
      <c r="D9" s="1">
        <v>0</v>
      </c>
    </row>
    <row r="10" spans="1:10" x14ac:dyDescent="0.25">
      <c r="D10" s="1"/>
    </row>
    <row r="11" spans="1:10" x14ac:dyDescent="0.25">
      <c r="B11" t="s">
        <v>15</v>
      </c>
      <c r="C11" t="s">
        <v>4</v>
      </c>
      <c r="D11" s="1">
        <v>2.9999999999999997E-4</v>
      </c>
    </row>
    <row r="12" spans="1:10" x14ac:dyDescent="0.25">
      <c r="C12" t="s">
        <v>5</v>
      </c>
      <c r="D12" s="1">
        <v>0.5</v>
      </c>
    </row>
    <row r="13" spans="1:10" x14ac:dyDescent="0.25">
      <c r="C13" t="s">
        <v>6</v>
      </c>
      <c r="D13" s="1">
        <v>0.01</v>
      </c>
    </row>
    <row r="16" spans="1:10" x14ac:dyDescent="0.25">
      <c r="A16" s="22" t="s">
        <v>53</v>
      </c>
    </row>
    <row r="18" spans="2:5" x14ac:dyDescent="0.25">
      <c r="D18" t="s">
        <v>22</v>
      </c>
      <c r="E18" t="s">
        <v>12</v>
      </c>
    </row>
    <row r="19" spans="2:5" x14ac:dyDescent="0.25">
      <c r="B19" t="s">
        <v>14</v>
      </c>
      <c r="C19" t="s">
        <v>17</v>
      </c>
      <c r="D19" s="1">
        <v>2</v>
      </c>
      <c r="E19" s="1">
        <f>IF(D19=1,+$D$11,+IF(D19=2,+$D$12,+$D$13))</f>
        <v>0.5</v>
      </c>
    </row>
    <row r="20" spans="2:5" x14ac:dyDescent="0.25">
      <c r="D20" s="1">
        <v>2</v>
      </c>
      <c r="E20" s="1">
        <f>IF(D20=1,+$D$11,+IF(D20=2,+$D$12,+$D$13))</f>
        <v>0.5</v>
      </c>
    </row>
    <row r="21" spans="2:5" x14ac:dyDescent="0.25">
      <c r="D21" s="1">
        <v>2</v>
      </c>
      <c r="E21" s="1">
        <f t="shared" ref="E21:E30" si="0">IF(D21=1,+$D$11,+IF(D21=2,+$D$12,+$D$13))</f>
        <v>0.5</v>
      </c>
    </row>
    <row r="22" spans="2:5" x14ac:dyDescent="0.25">
      <c r="D22" s="1">
        <v>2</v>
      </c>
      <c r="E22" s="1">
        <f t="shared" si="0"/>
        <v>0.5</v>
      </c>
    </row>
    <row r="23" spans="2:5" x14ac:dyDescent="0.25">
      <c r="D23" s="1">
        <v>2</v>
      </c>
      <c r="E23" s="1">
        <f t="shared" si="0"/>
        <v>0.5</v>
      </c>
    </row>
    <row r="24" spans="2:5" x14ac:dyDescent="0.25">
      <c r="D24" s="1">
        <v>2</v>
      </c>
      <c r="E24" s="1">
        <f t="shared" si="0"/>
        <v>0.5</v>
      </c>
    </row>
    <row r="25" spans="2:5" x14ac:dyDescent="0.25">
      <c r="D25" s="1">
        <v>2</v>
      </c>
      <c r="E25" s="1">
        <f t="shared" si="0"/>
        <v>0.5</v>
      </c>
    </row>
    <row r="26" spans="2:5" x14ac:dyDescent="0.25">
      <c r="D26" s="1">
        <v>3</v>
      </c>
      <c r="E26" s="1">
        <f t="shared" si="0"/>
        <v>0.01</v>
      </c>
    </row>
    <row r="27" spans="2:5" x14ac:dyDescent="0.25">
      <c r="D27" s="1">
        <v>3</v>
      </c>
      <c r="E27" s="1">
        <f t="shared" si="0"/>
        <v>0.01</v>
      </c>
    </row>
    <row r="28" spans="2:5" x14ac:dyDescent="0.25">
      <c r="D28" s="1">
        <v>3</v>
      </c>
      <c r="E28" s="1">
        <f t="shared" si="0"/>
        <v>0.01</v>
      </c>
    </row>
    <row r="29" spans="2:5" x14ac:dyDescent="0.25">
      <c r="D29" s="1">
        <v>3</v>
      </c>
      <c r="E29" s="1">
        <f t="shared" si="0"/>
        <v>0.01</v>
      </c>
    </row>
    <row r="30" spans="2:5" x14ac:dyDescent="0.25">
      <c r="D30" s="1">
        <v>3</v>
      </c>
      <c r="E30" s="1">
        <f t="shared" si="0"/>
        <v>0.01</v>
      </c>
    </row>
    <row r="31" spans="2:5" x14ac:dyDescent="0.25">
      <c r="C31" t="s">
        <v>16</v>
      </c>
      <c r="D31" s="1">
        <v>3</v>
      </c>
      <c r="E31" s="1">
        <f>IF(D31=1,+$D$11,+IF(D31=2,+$D$12,+$D$13))</f>
        <v>0.01</v>
      </c>
    </row>
    <row r="33" spans="2:3" x14ac:dyDescent="0.25">
      <c r="B33" t="s">
        <v>18</v>
      </c>
      <c r="C33" t="s">
        <v>19</v>
      </c>
    </row>
    <row r="34" spans="2:3" x14ac:dyDescent="0.25">
      <c r="C34" s="11" t="s">
        <v>34</v>
      </c>
    </row>
    <row r="35" spans="2:3" x14ac:dyDescent="0.25">
      <c r="C35" t="s">
        <v>20</v>
      </c>
    </row>
    <row r="36" spans="2:3" x14ac:dyDescent="0.25">
      <c r="C36" t="s">
        <v>21</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ABB20-FE0C-42F4-B673-F97B268192DE}">
  <dimension ref="A4:J36"/>
  <sheetViews>
    <sheetView workbookViewId="0"/>
  </sheetViews>
  <sheetFormatPr defaultColWidth="8.77734375" defaultRowHeight="13.2" x14ac:dyDescent="0.25"/>
  <cols>
    <col min="2" max="2" width="9.109375" bestFit="1" customWidth="1"/>
    <col min="3" max="3" width="10.109375" bestFit="1" customWidth="1"/>
    <col min="4" max="4" width="8.109375" customWidth="1"/>
  </cols>
  <sheetData>
    <row r="4" spans="1:10" x14ac:dyDescent="0.25">
      <c r="B4" t="s">
        <v>11</v>
      </c>
      <c r="C4" t="s">
        <v>9</v>
      </c>
      <c r="D4" s="1">
        <v>200</v>
      </c>
      <c r="H4" s="11" t="s">
        <v>36</v>
      </c>
      <c r="J4" s="11" t="s">
        <v>37</v>
      </c>
    </row>
    <row r="5" spans="1:10" x14ac:dyDescent="0.25">
      <c r="C5" t="s">
        <v>10</v>
      </c>
      <c r="D5" s="1">
        <v>0</v>
      </c>
    </row>
    <row r="6" spans="1:10" x14ac:dyDescent="0.25">
      <c r="D6" s="1"/>
      <c r="H6" s="11" t="s">
        <v>50</v>
      </c>
    </row>
    <row r="7" spans="1:10" x14ac:dyDescent="0.25">
      <c r="D7" s="1"/>
    </row>
    <row r="8" spans="1:10" x14ac:dyDescent="0.25">
      <c r="B8" t="s">
        <v>13</v>
      </c>
      <c r="C8" t="s">
        <v>0</v>
      </c>
      <c r="D8" s="1">
        <v>5</v>
      </c>
    </row>
    <row r="9" spans="1:10" x14ac:dyDescent="0.25">
      <c r="C9" t="s">
        <v>1</v>
      </c>
      <c r="D9" s="1">
        <v>0</v>
      </c>
    </row>
    <row r="10" spans="1:10" x14ac:dyDescent="0.25">
      <c r="D10" s="1"/>
    </row>
    <row r="11" spans="1:10" x14ac:dyDescent="0.25">
      <c r="B11" t="s">
        <v>15</v>
      </c>
      <c r="C11" t="s">
        <v>4</v>
      </c>
      <c r="D11" s="1">
        <v>2.9999999999999997E-4</v>
      </c>
    </row>
    <row r="12" spans="1:10" x14ac:dyDescent="0.25">
      <c r="C12" t="s">
        <v>5</v>
      </c>
      <c r="D12" s="1">
        <v>0.5</v>
      </c>
    </row>
    <row r="13" spans="1:10" x14ac:dyDescent="0.25">
      <c r="C13" t="s">
        <v>6</v>
      </c>
      <c r="D13" s="1">
        <v>0.01</v>
      </c>
    </row>
    <row r="16" spans="1:10" x14ac:dyDescent="0.25">
      <c r="A16" s="22" t="s">
        <v>54</v>
      </c>
    </row>
    <row r="18" spans="2:9" x14ac:dyDescent="0.25">
      <c r="D18" t="s">
        <v>22</v>
      </c>
      <c r="E18" t="s">
        <v>12</v>
      </c>
    </row>
    <row r="19" spans="2:9" x14ac:dyDescent="0.25">
      <c r="B19" t="s">
        <v>14</v>
      </c>
      <c r="C19" t="s">
        <v>17</v>
      </c>
      <c r="D19" s="1">
        <v>2</v>
      </c>
      <c r="E19" s="1">
        <f>IF(D19=1,+$D$11,+IF(D19=2,+$D$12,+$D$13))</f>
        <v>0.5</v>
      </c>
      <c r="H19">
        <v>2</v>
      </c>
      <c r="I19">
        <v>0.5</v>
      </c>
    </row>
    <row r="20" spans="2:9" x14ac:dyDescent="0.25">
      <c r="D20" s="1">
        <v>2</v>
      </c>
      <c r="E20" s="1">
        <f>IF(D20=1,+$D$11,+IF(D20=2,+$D$12,+$D$13))</f>
        <v>0.5</v>
      </c>
      <c r="H20">
        <v>2</v>
      </c>
      <c r="I20">
        <v>0.5</v>
      </c>
    </row>
    <row r="21" spans="2:9" x14ac:dyDescent="0.25">
      <c r="D21" s="1">
        <v>3</v>
      </c>
      <c r="E21" s="1">
        <f t="shared" ref="E21:E30" si="0">IF(D21=1,+$D$11,+IF(D21=2,+$D$12,+$D$13))</f>
        <v>0.01</v>
      </c>
      <c r="H21">
        <v>2</v>
      </c>
      <c r="I21">
        <v>0.5</v>
      </c>
    </row>
    <row r="22" spans="2:9" x14ac:dyDescent="0.25">
      <c r="D22" s="1">
        <v>3</v>
      </c>
      <c r="E22" s="1">
        <f t="shared" si="0"/>
        <v>0.01</v>
      </c>
      <c r="H22">
        <v>2</v>
      </c>
      <c r="I22">
        <v>0.5</v>
      </c>
    </row>
    <row r="23" spans="2:9" x14ac:dyDescent="0.25">
      <c r="D23" s="1">
        <v>2</v>
      </c>
      <c r="E23" s="1">
        <f t="shared" si="0"/>
        <v>0.5</v>
      </c>
      <c r="H23">
        <v>2</v>
      </c>
      <c r="I23">
        <v>0.5</v>
      </c>
    </row>
    <row r="24" spans="2:9" x14ac:dyDescent="0.25">
      <c r="D24" s="1">
        <v>1</v>
      </c>
      <c r="E24" s="1">
        <f t="shared" si="0"/>
        <v>2.9999999999999997E-4</v>
      </c>
      <c r="H24">
        <v>1</v>
      </c>
      <c r="I24">
        <v>2.9999999999999997E-4</v>
      </c>
    </row>
    <row r="25" spans="2:9" x14ac:dyDescent="0.25">
      <c r="D25" s="1">
        <v>1</v>
      </c>
      <c r="E25" s="1">
        <f t="shared" si="0"/>
        <v>2.9999999999999997E-4</v>
      </c>
      <c r="H25">
        <v>1</v>
      </c>
      <c r="I25">
        <v>2.9999999999999997E-4</v>
      </c>
    </row>
    <row r="26" spans="2:9" x14ac:dyDescent="0.25">
      <c r="D26" s="1">
        <v>1</v>
      </c>
      <c r="E26" s="1">
        <f t="shared" si="0"/>
        <v>2.9999999999999997E-4</v>
      </c>
      <c r="H26">
        <v>1</v>
      </c>
      <c r="I26">
        <v>2.9999999999999997E-4</v>
      </c>
    </row>
    <row r="27" spans="2:9" x14ac:dyDescent="0.25">
      <c r="D27" s="1">
        <v>2</v>
      </c>
      <c r="E27" s="1">
        <f t="shared" si="0"/>
        <v>0.5</v>
      </c>
      <c r="H27">
        <v>1</v>
      </c>
      <c r="I27">
        <v>2.9999999999999997E-4</v>
      </c>
    </row>
    <row r="28" spans="2:9" x14ac:dyDescent="0.25">
      <c r="D28" s="1">
        <v>2</v>
      </c>
      <c r="E28" s="1">
        <f t="shared" si="0"/>
        <v>0.5</v>
      </c>
      <c r="H28">
        <v>1</v>
      </c>
      <c r="I28">
        <v>2.9999999999999997E-4</v>
      </c>
    </row>
    <row r="29" spans="2:9" x14ac:dyDescent="0.25">
      <c r="D29" s="1">
        <v>1</v>
      </c>
      <c r="E29" s="1">
        <f t="shared" si="0"/>
        <v>2.9999999999999997E-4</v>
      </c>
      <c r="H29">
        <v>3</v>
      </c>
      <c r="I29">
        <v>0.01</v>
      </c>
    </row>
    <row r="30" spans="2:9" x14ac:dyDescent="0.25">
      <c r="D30" s="1">
        <v>3</v>
      </c>
      <c r="E30" s="1">
        <f t="shared" si="0"/>
        <v>0.01</v>
      </c>
      <c r="H30">
        <v>3</v>
      </c>
      <c r="I30">
        <v>0.01</v>
      </c>
    </row>
    <row r="31" spans="2:9" x14ac:dyDescent="0.25">
      <c r="C31" t="s">
        <v>16</v>
      </c>
      <c r="D31" s="1">
        <v>3</v>
      </c>
      <c r="E31" s="1">
        <f>IF(D31=1,+$D$11,+IF(D31=2,+$D$12,+$D$13))</f>
        <v>0.01</v>
      </c>
      <c r="H31">
        <v>3</v>
      </c>
      <c r="I31">
        <v>0.01</v>
      </c>
    </row>
    <row r="33" spans="2:3" x14ac:dyDescent="0.25">
      <c r="B33" t="s">
        <v>18</v>
      </c>
      <c r="C33" t="s">
        <v>19</v>
      </c>
    </row>
    <row r="34" spans="2:3" x14ac:dyDescent="0.25">
      <c r="C34" s="11" t="s">
        <v>34</v>
      </c>
    </row>
    <row r="35" spans="2:3" x14ac:dyDescent="0.25">
      <c r="C35" t="s">
        <v>20</v>
      </c>
    </row>
    <row r="36" spans="2:3" x14ac:dyDescent="0.25">
      <c r="C36" t="s">
        <v>21</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43"/>
  <sheetViews>
    <sheetView topLeftCell="D30" workbookViewId="0"/>
  </sheetViews>
  <sheetFormatPr defaultColWidth="8.77734375" defaultRowHeight="13.2" x14ac:dyDescent="0.25"/>
  <cols>
    <col min="3" max="3" width="9" bestFit="1" customWidth="1"/>
    <col min="7" max="7" width="10.6640625" customWidth="1"/>
    <col min="8" max="8" width="6.6640625"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inputs!D11</f>
        <v>2.9999999999999997E-4</v>
      </c>
      <c r="D7" s="7">
        <f>SUM(L9:L19)+0.5*(L8+L20)</f>
        <v>12</v>
      </c>
      <c r="F7" s="1"/>
      <c r="G7" s="1"/>
      <c r="H7" s="1"/>
      <c r="I7" s="1"/>
      <c r="J7" s="1"/>
      <c r="Q7" s="16"/>
      <c r="R7" s="6" t="s">
        <v>24</v>
      </c>
      <c r="S7" s="6" t="s">
        <v>25</v>
      </c>
      <c r="T7" s="17"/>
    </row>
    <row r="8" spans="2:20" ht="14.4" x14ac:dyDescent="0.3">
      <c r="B8" s="3" t="s">
        <v>29</v>
      </c>
      <c r="C8" s="6">
        <f>inputs!D12</f>
        <v>0.5</v>
      </c>
      <c r="D8" s="7">
        <f>SUM(M9:M19)+0.5*(M8+M20)</f>
        <v>0</v>
      </c>
      <c r="F8" s="1">
        <f>F9+inputs!$D$8</f>
        <v>60</v>
      </c>
      <c r="G8" s="1">
        <v>1</v>
      </c>
      <c r="H8" s="1">
        <f>IF(G8=1,+inputs!$D$11,+IF(G8=2,+inputs!$D$12,+inputs!$D$13))</f>
        <v>2.9999999999999997E-4</v>
      </c>
      <c r="I8" s="2">
        <f>inputs!D4</f>
        <v>200</v>
      </c>
      <c r="J8" s="1"/>
      <c r="L8">
        <f>IF($G8=1,1,0)</f>
        <v>1</v>
      </c>
      <c r="M8">
        <f>IF($G8=2,1,0)</f>
        <v>0</v>
      </c>
      <c r="N8">
        <f>IF($G8=3,1,0)</f>
        <v>0</v>
      </c>
      <c r="Q8" s="16">
        <v>1</v>
      </c>
      <c r="R8" s="6" t="s">
        <v>23</v>
      </c>
      <c r="S8" s="18"/>
      <c r="T8" s="17">
        <v>1</v>
      </c>
    </row>
    <row r="9" spans="2:20" ht="14.4" x14ac:dyDescent="0.3">
      <c r="B9" s="3" t="s">
        <v>30</v>
      </c>
      <c r="C9" s="6">
        <f>inputs!D13</f>
        <v>0.01</v>
      </c>
      <c r="D9" s="7">
        <f>SUM(N9:N19)+0.5*(N8+N20)</f>
        <v>0</v>
      </c>
      <c r="F9" s="1">
        <f>F10+inputs!$D$8</f>
        <v>55</v>
      </c>
      <c r="G9" s="1">
        <v>1</v>
      </c>
      <c r="H9" s="1">
        <f>IF(G9=1,+inputs!$D$11,+IF(G9=2,+inputs!$D$12,+inputs!$D$13))</f>
        <v>2.9999999999999997E-4</v>
      </c>
      <c r="I9" s="1">
        <f t="shared" ref="I9:I19" ca="1" si="0">(I8*2/(1/H8+1/H9)+I10*2/(1/H9+1/H10))/(2/(1/H8+1/H9)+2/(1/H9+1/H10))</f>
        <v>183.33333333333331</v>
      </c>
      <c r="J9" s="1">
        <f ca="1">(I8-I9)/inputs!$D$8*2/(1/H8+1/H9)</f>
        <v>1.0000000000000011E-3</v>
      </c>
      <c r="L9">
        <f t="shared" ref="L9:L20" si="1">IF($G9=1,1,0)</f>
        <v>1</v>
      </c>
      <c r="M9">
        <f t="shared" ref="M9:M20" si="2">IF($G9=2,1,0)</f>
        <v>0</v>
      </c>
      <c r="N9">
        <f t="shared" ref="N9:N20" si="3">IF($G9=3,1,0)</f>
        <v>0</v>
      </c>
      <c r="Q9" s="16">
        <v>2</v>
      </c>
      <c r="R9" s="6" t="s">
        <v>23</v>
      </c>
      <c r="S9" s="18"/>
      <c r="T9" s="17">
        <v>2</v>
      </c>
    </row>
    <row r="10" spans="2:20" ht="14.4" x14ac:dyDescent="0.3">
      <c r="B10" s="3"/>
      <c r="C10" s="6"/>
      <c r="D10" s="7"/>
      <c r="F10" s="1">
        <f>F11+inputs!$D$8</f>
        <v>50</v>
      </c>
      <c r="G10" s="1">
        <v>1</v>
      </c>
      <c r="H10" s="1">
        <f>IF(G10=1,+inputs!$D$11,+IF(G10=2,+inputs!$D$12,+inputs!$D$13))</f>
        <v>2.9999999999999997E-4</v>
      </c>
      <c r="I10" s="1">
        <f ca="1">(I9*2/(1/H9+1/H10)+I11*2/(1/H10+1/H11))/(2/(1/H9+1/H10)+2/(1/H10+1/H11))</f>
        <v>166.66666666666666</v>
      </c>
      <c r="J10" s="1">
        <f ca="1">(I9-I10)/inputs!$D$8*2/(1/H9+1/H10)</f>
        <v>9.9999999999999937E-4</v>
      </c>
      <c r="L10">
        <f t="shared" si="1"/>
        <v>1</v>
      </c>
      <c r="M10">
        <f t="shared" si="2"/>
        <v>0</v>
      </c>
      <c r="N10">
        <f t="shared" si="3"/>
        <v>0</v>
      </c>
      <c r="Q10" s="16">
        <v>3</v>
      </c>
      <c r="R10" s="6" t="s">
        <v>23</v>
      </c>
      <c r="S10" s="18"/>
      <c r="T10" s="17">
        <v>3</v>
      </c>
    </row>
    <row r="11" spans="2:20" ht="14.4" x14ac:dyDescent="0.3">
      <c r="B11" s="3" t="s">
        <v>8</v>
      </c>
      <c r="C11" s="6">
        <f>SUM(D7:D9)/(D7/C7+D8/C8+D9/C9)</f>
        <v>2.9999999999999997E-4</v>
      </c>
      <c r="D11" s="7"/>
      <c r="F11" s="1">
        <f>F12+inputs!$D$8</f>
        <v>45</v>
      </c>
      <c r="G11" s="1">
        <v>1</v>
      </c>
      <c r="H11" s="1">
        <f>IF(G11=1,+inputs!$D$11,+IF(G11=2,+inputs!$D$12,+inputs!$D$13))</f>
        <v>2.9999999999999997E-4</v>
      </c>
      <c r="I11" s="1">
        <f t="shared" ca="1" si="0"/>
        <v>150</v>
      </c>
      <c r="J11" s="1">
        <f ca="1">(I10-I11)/inputs!$D$8*2/(1/H10+1/H11)</f>
        <v>9.9999999999999937E-4</v>
      </c>
      <c r="L11">
        <f t="shared" si="1"/>
        <v>1</v>
      </c>
      <c r="M11">
        <f t="shared" si="2"/>
        <v>0</v>
      </c>
      <c r="N11">
        <f t="shared" si="3"/>
        <v>0</v>
      </c>
      <c r="Q11" s="16">
        <v>4</v>
      </c>
      <c r="R11" s="6" t="s">
        <v>23</v>
      </c>
      <c r="S11" s="18"/>
      <c r="T11" s="17">
        <v>4</v>
      </c>
    </row>
    <row r="12" spans="2:20" ht="15" thickBot="1" x14ac:dyDescent="0.35">
      <c r="B12" s="8" t="s">
        <v>7</v>
      </c>
      <c r="C12" s="9">
        <f>C11*(I8-I20)/(F8-F20)</f>
        <v>1E-3</v>
      </c>
      <c r="D12" s="10"/>
      <c r="F12" s="1">
        <f>F13+inputs!$D$8</f>
        <v>40</v>
      </c>
      <c r="G12" s="1">
        <v>1</v>
      </c>
      <c r="H12" s="1">
        <f>IF(G12=1,+inputs!$D$11,+IF(G12=2,+inputs!$D$12,+inputs!$D$13))</f>
        <v>2.9999999999999997E-4</v>
      </c>
      <c r="I12" s="1">
        <f t="shared" ca="1" si="0"/>
        <v>133.33333333333331</v>
      </c>
      <c r="J12" s="1">
        <f ca="1">(I11-I12)/inputs!$D$8*2/(1/H11+1/H12)</f>
        <v>1.0000000000000011E-3</v>
      </c>
      <c r="L12">
        <f t="shared" si="1"/>
        <v>1</v>
      </c>
      <c r="M12">
        <f t="shared" si="2"/>
        <v>0</v>
      </c>
      <c r="N12">
        <f t="shared" si="3"/>
        <v>0</v>
      </c>
      <c r="Q12" s="16">
        <v>5</v>
      </c>
      <c r="R12" s="6" t="s">
        <v>23</v>
      </c>
      <c r="S12" s="18"/>
      <c r="T12" s="17">
        <v>5</v>
      </c>
    </row>
    <row r="13" spans="2:20" ht="15" thickTop="1" x14ac:dyDescent="0.3">
      <c r="F13" s="1">
        <f>F14+inputs!$D$8</f>
        <v>35</v>
      </c>
      <c r="G13" s="1">
        <v>1</v>
      </c>
      <c r="H13" s="1">
        <f>IF(G13=1,+inputs!$D$11,+IF(G13=2,+inputs!$D$12,+inputs!$D$13))</f>
        <v>2.9999999999999997E-4</v>
      </c>
      <c r="I13" s="1">
        <f t="shared" ca="1" si="0"/>
        <v>116.66666666666667</v>
      </c>
      <c r="J13" s="1">
        <f ca="1">(I12-I13)/inputs!$D$8*2/(1/H12+1/H13)</f>
        <v>9.999999999999985E-4</v>
      </c>
      <c r="L13">
        <f t="shared" si="1"/>
        <v>1</v>
      </c>
      <c r="M13">
        <f t="shared" si="2"/>
        <v>0</v>
      </c>
      <c r="N13">
        <f t="shared" si="3"/>
        <v>0</v>
      </c>
      <c r="Q13" s="16">
        <v>6</v>
      </c>
      <c r="R13" s="6" t="s">
        <v>23</v>
      </c>
      <c r="S13" s="18"/>
      <c r="T13" s="17">
        <v>6</v>
      </c>
    </row>
    <row r="14" spans="2:20" ht="14.4" x14ac:dyDescent="0.3">
      <c r="F14" s="1">
        <f>F15+inputs!$D$8</f>
        <v>30</v>
      </c>
      <c r="G14" s="1">
        <v>1</v>
      </c>
      <c r="H14" s="1">
        <f>IF(G14=1,+inputs!$D$11,+IF(G14=2,+inputs!$D$12,+inputs!$D$13))</f>
        <v>2.9999999999999997E-4</v>
      </c>
      <c r="I14" s="1">
        <f t="shared" ca="1" si="0"/>
        <v>100</v>
      </c>
      <c r="J14" s="1">
        <f ca="1">(I13-I14)/inputs!$D$8*2/(1/H13+1/H14)</f>
        <v>1.0000000000000002E-3</v>
      </c>
      <c r="L14">
        <f t="shared" si="1"/>
        <v>1</v>
      </c>
      <c r="M14">
        <f t="shared" si="2"/>
        <v>0</v>
      </c>
      <c r="N14">
        <f t="shared" si="3"/>
        <v>0</v>
      </c>
      <c r="Q14" s="16">
        <v>7</v>
      </c>
      <c r="R14" s="6" t="s">
        <v>23</v>
      </c>
      <c r="S14" s="18"/>
      <c r="T14" s="17">
        <v>7</v>
      </c>
    </row>
    <row r="15" spans="2:20" ht="14.4" x14ac:dyDescent="0.3">
      <c r="F15" s="1">
        <f>F16+inputs!$D$8</f>
        <v>25</v>
      </c>
      <c r="G15" s="1">
        <v>1</v>
      </c>
      <c r="H15" s="1">
        <f>IF(G15=1,+inputs!$D$11,+IF(G15=2,+inputs!$D$12,+inputs!$D$13))</f>
        <v>2.9999999999999997E-4</v>
      </c>
      <c r="I15" s="1">
        <f t="shared" ca="1" si="0"/>
        <v>83.333333333333329</v>
      </c>
      <c r="J15" s="1">
        <f ca="1">(I14-I15)/inputs!$D$8*2/(1/H14+1/H15)</f>
        <v>1.0000000000000002E-3</v>
      </c>
      <c r="L15">
        <f t="shared" si="1"/>
        <v>1</v>
      </c>
      <c r="M15">
        <f t="shared" si="2"/>
        <v>0</v>
      </c>
      <c r="N15">
        <f t="shared" si="3"/>
        <v>0</v>
      </c>
      <c r="Q15" s="16">
        <v>8</v>
      </c>
      <c r="R15" s="6" t="s">
        <v>23</v>
      </c>
      <c r="S15" s="18"/>
      <c r="T15" s="17">
        <v>8</v>
      </c>
    </row>
    <row r="16" spans="2:20" ht="14.4" x14ac:dyDescent="0.3">
      <c r="F16" s="1">
        <f>F17+inputs!$D$8</f>
        <v>20</v>
      </c>
      <c r="G16" s="1">
        <v>1</v>
      </c>
      <c r="H16" s="1">
        <f>IF(G16=1,+inputs!$D$11,+IF(G16=2,+inputs!$D$12,+inputs!$D$13))</f>
        <v>2.9999999999999997E-4</v>
      </c>
      <c r="I16" s="1">
        <f t="shared" ca="1" si="0"/>
        <v>66.666666666666657</v>
      </c>
      <c r="J16" s="1">
        <f ca="1">(I15-I16)/inputs!$D$8*2/(1/H15+1/H16)</f>
        <v>1.0000000000000002E-3</v>
      </c>
      <c r="L16">
        <f t="shared" si="1"/>
        <v>1</v>
      </c>
      <c r="M16">
        <f t="shared" si="2"/>
        <v>0</v>
      </c>
      <c r="N16">
        <f t="shared" si="3"/>
        <v>0</v>
      </c>
      <c r="Q16" s="16">
        <v>9</v>
      </c>
      <c r="R16" s="6" t="s">
        <v>23</v>
      </c>
      <c r="S16" s="18"/>
      <c r="T16" s="17">
        <v>9</v>
      </c>
    </row>
    <row r="17" spans="6:20" ht="14.4" x14ac:dyDescent="0.3">
      <c r="F17" s="1">
        <f>F18+inputs!$D$8</f>
        <v>15</v>
      </c>
      <c r="G17" s="1">
        <v>1</v>
      </c>
      <c r="H17" s="1">
        <f>IF(G17=1,+inputs!$D$11,+IF(G17=2,+inputs!$D$12,+inputs!$D$13))</f>
        <v>2.9999999999999997E-4</v>
      </c>
      <c r="I17" s="1">
        <f t="shared" ca="1" si="0"/>
        <v>50</v>
      </c>
      <c r="J17" s="1">
        <f ca="1">(I16-I17)/inputs!$D$8*2/(1/H16+1/H17)</f>
        <v>9.9999999999999937E-4</v>
      </c>
      <c r="L17">
        <f t="shared" si="1"/>
        <v>1</v>
      </c>
      <c r="M17">
        <f t="shared" si="2"/>
        <v>0</v>
      </c>
      <c r="N17">
        <f t="shared" si="3"/>
        <v>0</v>
      </c>
      <c r="Q17" s="16">
        <v>10</v>
      </c>
      <c r="R17" s="6" t="s">
        <v>23</v>
      </c>
      <c r="S17" s="18"/>
      <c r="T17" s="17">
        <v>10</v>
      </c>
    </row>
    <row r="18" spans="6:20" ht="14.4" x14ac:dyDescent="0.3">
      <c r="F18" s="1">
        <f>F19+inputs!$D$8</f>
        <v>10</v>
      </c>
      <c r="G18" s="1">
        <v>1</v>
      </c>
      <c r="H18" s="1">
        <f>IF(G18=1,+inputs!$D$11,+IF(G18=2,+inputs!$D$12,+inputs!$D$13))</f>
        <v>2.9999999999999997E-4</v>
      </c>
      <c r="I18" s="1">
        <f t="shared" ca="1" si="0"/>
        <v>33.333333333333329</v>
      </c>
      <c r="J18" s="1">
        <f ca="1">(I17-I18)/inputs!$D$8*2/(1/H17+1/H18)</f>
        <v>1.0000000000000002E-3</v>
      </c>
      <c r="L18">
        <f t="shared" si="1"/>
        <v>1</v>
      </c>
      <c r="M18">
        <f t="shared" si="2"/>
        <v>0</v>
      </c>
      <c r="N18">
        <f t="shared" si="3"/>
        <v>0</v>
      </c>
      <c r="Q18" s="16">
        <v>11</v>
      </c>
      <c r="R18" s="6" t="s">
        <v>23</v>
      </c>
      <c r="S18" s="18"/>
      <c r="T18" s="17">
        <v>11</v>
      </c>
    </row>
    <row r="19" spans="6:20" ht="14.4" x14ac:dyDescent="0.3">
      <c r="F19" s="1">
        <f>F20+inputs!$D$8</f>
        <v>5</v>
      </c>
      <c r="G19" s="1">
        <v>1</v>
      </c>
      <c r="H19" s="1">
        <f>IF(G19=1,+inputs!$D$11,+IF(G19=2,+inputs!$D$12,+inputs!$D$13))</f>
        <v>2.9999999999999997E-4</v>
      </c>
      <c r="I19" s="1">
        <f t="shared" ca="1" si="0"/>
        <v>16.666666666666664</v>
      </c>
      <c r="J19" s="1">
        <f ca="1">(I18-I19)/inputs!$D$8*2/(1/H18+1/H19)</f>
        <v>9.999999999999998E-4</v>
      </c>
      <c r="L19">
        <f t="shared" si="1"/>
        <v>1</v>
      </c>
      <c r="M19">
        <f t="shared" si="2"/>
        <v>0</v>
      </c>
      <c r="N19">
        <f t="shared" si="3"/>
        <v>0</v>
      </c>
      <c r="Q19" s="16">
        <v>12</v>
      </c>
      <c r="R19" s="6" t="s">
        <v>23</v>
      </c>
      <c r="S19" s="18"/>
      <c r="T19" s="17">
        <v>12</v>
      </c>
    </row>
    <row r="20" spans="6:20" ht="14.4" x14ac:dyDescent="0.3">
      <c r="F20" s="1">
        <f>inputs!D9</f>
        <v>0</v>
      </c>
      <c r="G20" s="1">
        <v>1</v>
      </c>
      <c r="H20" s="1">
        <f>IF(G20=1,+inputs!$D$11,+IF(G20=2,+inputs!$D$12,+inputs!$D$13))</f>
        <v>2.9999999999999997E-4</v>
      </c>
      <c r="I20" s="2">
        <f>inputs!D5</f>
        <v>0</v>
      </c>
      <c r="J20" s="1">
        <f ca="1">(I19-I20)/inputs!$D$8*2/(1/H19+1/H20)</f>
        <v>9.999999999999998E-4</v>
      </c>
      <c r="L20">
        <f t="shared" si="1"/>
        <v>1</v>
      </c>
      <c r="M20">
        <f t="shared" si="2"/>
        <v>0</v>
      </c>
      <c r="N20">
        <f t="shared" si="3"/>
        <v>0</v>
      </c>
      <c r="Q20" s="19">
        <v>13</v>
      </c>
      <c r="R20" s="12" t="s">
        <v>23</v>
      </c>
      <c r="S20" s="20"/>
      <c r="T20" s="21">
        <v>13</v>
      </c>
    </row>
    <row r="31" spans="6:20" x14ac:dyDescent="0.25">
      <c r="P31" s="11"/>
    </row>
    <row r="43" spans="16:16" x14ac:dyDescent="0.25">
      <c r="P43" s="11" t="s">
        <v>35</v>
      </c>
    </row>
  </sheetData>
  <mergeCells count="2">
    <mergeCell ref="B4:D4"/>
    <mergeCell ref="Q5:T5"/>
  </mergeCells>
  <phoneticPr fontId="0" type="noConversion"/>
  <pageMargins left="0.75" right="0.75" top="1" bottom="1" header="0.5" footer="0.5"/>
  <pageSetup orientation="portrait" r:id="rId1"/>
  <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6999-B356-433A-9425-3594A7C56B0D}">
  <dimension ref="B3:W63"/>
  <sheetViews>
    <sheetView topLeftCell="M40" zoomScaleNormal="100" workbookViewId="0">
      <selection activeCell="U53" sqref="U53"/>
    </sheetView>
  </sheetViews>
  <sheetFormatPr defaultColWidth="8.77734375" defaultRowHeight="13.2" x14ac:dyDescent="0.25"/>
  <cols>
    <col min="3" max="3" width="9" bestFit="1" customWidth="1"/>
    <col min="7" max="7" width="10.6640625" customWidth="1"/>
    <col min="8" max="8" width="6.6640625" customWidth="1"/>
    <col min="9" max="9" width="12" bestFit="1"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inputs!D11</f>
        <v>2.9999999999999997E-4</v>
      </c>
      <c r="D7" s="7">
        <f>SUM(L9:L19)+0.5*(L8+L20)</f>
        <v>5</v>
      </c>
      <c r="F7" s="1"/>
      <c r="G7" s="1"/>
      <c r="H7" s="1"/>
      <c r="I7" s="1"/>
      <c r="J7" s="1"/>
      <c r="Q7" s="16"/>
      <c r="R7" s="6" t="s">
        <v>24</v>
      </c>
      <c r="S7" s="6" t="s">
        <v>25</v>
      </c>
      <c r="T7" s="17"/>
    </row>
    <row r="8" spans="2:20" ht="14.4" x14ac:dyDescent="0.3">
      <c r="B8" s="3" t="s">
        <v>29</v>
      </c>
      <c r="C8" s="6">
        <f>inputs!D12</f>
        <v>0.5</v>
      </c>
      <c r="D8" s="7">
        <f>SUM(M9:M19)+0.5*(M8+M20)</f>
        <v>4.5</v>
      </c>
      <c r="F8" s="1">
        <f>F9+inputs!$D$8</f>
        <v>60</v>
      </c>
      <c r="G8" s="1">
        <f>inputs!D19</f>
        <v>2</v>
      </c>
      <c r="H8" s="1">
        <f>IF(G8=1,+inputs!$D$11,+IF(G8=2,+inputs!$D$12,+inputs!$D$13))</f>
        <v>0.5</v>
      </c>
      <c r="I8" s="2">
        <f>inputs!D4</f>
        <v>200</v>
      </c>
      <c r="J8" s="1"/>
      <c r="L8">
        <f>IF($G8=1,1,0)</f>
        <v>0</v>
      </c>
      <c r="M8">
        <f>IF($G8=2,1,0)</f>
        <v>1</v>
      </c>
      <c r="N8">
        <f>IF($G8=3,1,0)</f>
        <v>0</v>
      </c>
      <c r="Q8" s="16">
        <v>1</v>
      </c>
      <c r="R8" s="6" t="s">
        <v>23</v>
      </c>
      <c r="S8" s="18"/>
      <c r="T8" s="17">
        <v>1</v>
      </c>
    </row>
    <row r="9" spans="2:20" ht="14.4" x14ac:dyDescent="0.3">
      <c r="B9" s="3" t="s">
        <v>30</v>
      </c>
      <c r="C9" s="6">
        <f>inputs!D13</f>
        <v>0.01</v>
      </c>
      <c r="D9" s="7">
        <f>SUM(N9:N19)+0.5*(N8+N20)</f>
        <v>2.5</v>
      </c>
      <c r="F9" s="1">
        <f>F10+inputs!$D$8</f>
        <v>55</v>
      </c>
      <c r="G9" s="1">
        <f>inputs!D20</f>
        <v>2</v>
      </c>
      <c r="H9" s="1">
        <f>IF(G9=1,+inputs!$D$11,+IF(G9=2,+inputs!$D$12,+inputs!$D$13))</f>
        <v>0.5</v>
      </c>
      <c r="I9" s="1">
        <f ca="1">(I8*2/(1/H8+1/H9)+I10*2/(1/H9+1/H10))/(2/(1/H8+1/H9)+2/(1/H9+1/H10))</f>
        <v>199.97636725289016</v>
      </c>
      <c r="J9" s="1">
        <f ca="1">(I8-I9)/inputs!$D$8*2/(1/H8+1/H9)</f>
        <v>2.363274710984342E-3</v>
      </c>
      <c r="L9">
        <f t="shared" ref="L9:L20" si="0">IF($G9=1,1,0)</f>
        <v>0</v>
      </c>
      <c r="M9">
        <f t="shared" ref="M9:M20" si="1">IF($G9=2,1,0)</f>
        <v>1</v>
      </c>
      <c r="N9">
        <f t="shared" ref="N9:N20" si="2">IF($G9=3,1,0)</f>
        <v>0</v>
      </c>
      <c r="Q9" s="16">
        <v>2</v>
      </c>
      <c r="R9" s="6" t="s">
        <v>23</v>
      </c>
      <c r="S9" s="18"/>
      <c r="T9" s="17">
        <v>2</v>
      </c>
    </row>
    <row r="10" spans="2:20" ht="14.4" x14ac:dyDescent="0.3">
      <c r="B10" s="3"/>
      <c r="C10" s="6"/>
      <c r="D10" s="7"/>
      <c r="F10" s="1">
        <f>F11+inputs!$D$8</f>
        <v>50</v>
      </c>
      <c r="G10" s="1">
        <f>inputs!D21</f>
        <v>2</v>
      </c>
      <c r="H10" s="1">
        <f>IF(G10=1,+inputs!$D$11,+IF(G10=2,+inputs!$D$12,+inputs!$D$13))</f>
        <v>0.5</v>
      </c>
      <c r="I10" s="1">
        <f ca="1">(I9*2/(1/H9+1/H10)+I11*2/(1/H10+1/H11))/(2/(1/H9+1/H10)+2/(1/H10+1/H11))</f>
        <v>199.95273450578028</v>
      </c>
      <c r="J10" s="1">
        <f ca="1">(I9-I10)/inputs!$D$8*2/(1/H9+1/H10)</f>
        <v>2.3632747109871843E-3</v>
      </c>
      <c r="L10">
        <f>IF($G10=1,1,0)</f>
        <v>0</v>
      </c>
      <c r="M10">
        <f t="shared" si="1"/>
        <v>1</v>
      </c>
      <c r="N10">
        <f t="shared" si="2"/>
        <v>0</v>
      </c>
      <c r="Q10" s="16">
        <v>3</v>
      </c>
      <c r="R10" s="6" t="s">
        <v>23</v>
      </c>
      <c r="S10" s="18"/>
      <c r="T10" s="17">
        <v>3</v>
      </c>
    </row>
    <row r="11" spans="2:20" ht="14.4" x14ac:dyDescent="0.3">
      <c r="B11" s="3" t="s">
        <v>8</v>
      </c>
      <c r="C11" s="6">
        <f>SUM(D7:D9)/(D7/C7+D8/C8+D9/C9)</f>
        <v>7.0898241329735894E-4</v>
      </c>
      <c r="D11" s="7"/>
      <c r="F11" s="1">
        <f>F12+inputs!$D$8</f>
        <v>45</v>
      </c>
      <c r="G11" s="1">
        <f>inputs!D22</f>
        <v>2</v>
      </c>
      <c r="H11" s="1">
        <f>IF(G11=1,+inputs!$D$11,+IF(G11=2,+inputs!$D$12,+inputs!$D$13))</f>
        <v>0.5</v>
      </c>
      <c r="I11" s="1">
        <f t="shared" ref="I11:I19" ca="1" si="3">(I10*2/(1/H10+1/H11)+I12*2/(1/H11+1/H12))/(2/(1/H10+1/H11)+2/(1/H11+1/H12))</f>
        <v>199.92910175867041</v>
      </c>
      <c r="J11" s="1">
        <f ca="1">(I10-I11)/inputs!$D$8*2/(1/H10+1/H11)</f>
        <v>2.3632747109871843E-3</v>
      </c>
      <c r="L11">
        <f t="shared" si="0"/>
        <v>0</v>
      </c>
      <c r="M11">
        <f t="shared" si="1"/>
        <v>1</v>
      </c>
      <c r="N11">
        <f t="shared" si="2"/>
        <v>0</v>
      </c>
      <c r="Q11" s="16">
        <v>4</v>
      </c>
      <c r="R11" s="6" t="s">
        <v>23</v>
      </c>
      <c r="S11" s="18"/>
      <c r="T11" s="17">
        <v>4</v>
      </c>
    </row>
    <row r="12" spans="2:20" ht="15" thickBot="1" x14ac:dyDescent="0.35">
      <c r="B12" s="8" t="s">
        <v>7</v>
      </c>
      <c r="C12" s="9">
        <f>C11*(I8-I20)/(F8-F20)</f>
        <v>2.3632747109911963E-3</v>
      </c>
      <c r="D12" s="10"/>
      <c r="F12" s="1">
        <f>F13+inputs!$D$8</f>
        <v>40</v>
      </c>
      <c r="G12" s="1">
        <f>inputs!D23</f>
        <v>2</v>
      </c>
      <c r="H12" s="1">
        <f>IF(G12=1,+inputs!$D$11,+IF(G12=2,+inputs!$D$12,+inputs!$D$13))</f>
        <v>0.5</v>
      </c>
      <c r="I12" s="1">
        <f t="shared" ca="1" si="3"/>
        <v>199.90546901156051</v>
      </c>
      <c r="J12" s="1">
        <f ca="1">(I11-I12)/inputs!$D$8*2/(1/H11+1/H12)</f>
        <v>2.3632747109900267E-3</v>
      </c>
      <c r="L12">
        <f t="shared" si="0"/>
        <v>0</v>
      </c>
      <c r="M12">
        <f t="shared" si="1"/>
        <v>1</v>
      </c>
      <c r="N12">
        <f t="shared" si="2"/>
        <v>0</v>
      </c>
      <c r="Q12" s="16">
        <v>5</v>
      </c>
      <c r="R12" s="6" t="s">
        <v>23</v>
      </c>
      <c r="S12" s="18"/>
      <c r="T12" s="17">
        <v>5</v>
      </c>
    </row>
    <row r="13" spans="2:20" ht="15" thickTop="1" x14ac:dyDescent="0.3">
      <c r="F13" s="1">
        <f>F14+inputs!$D$8</f>
        <v>35</v>
      </c>
      <c r="G13" s="1">
        <f>inputs!D24</f>
        <v>1</v>
      </c>
      <c r="H13" s="1">
        <f>IF(G13=1,+inputs!$D$11,+IF(G13=2,+inputs!$D$12,+inputs!$D$13))</f>
        <v>2.9999999999999997E-4</v>
      </c>
      <c r="I13" s="1">
        <f t="shared" ca="1" si="3"/>
        <v>180.19969671307891</v>
      </c>
      <c r="J13" s="1">
        <f ca="1">(I12-I13)/inputs!$D$8*2/(1/H12+1/H13)</f>
        <v>2.3632747109911976E-3</v>
      </c>
      <c r="L13">
        <f t="shared" si="0"/>
        <v>1</v>
      </c>
      <c r="M13">
        <f t="shared" si="1"/>
        <v>0</v>
      </c>
      <c r="N13">
        <f t="shared" si="2"/>
        <v>0</v>
      </c>
      <c r="Q13" s="16">
        <v>6</v>
      </c>
      <c r="R13" s="6" t="s">
        <v>23</v>
      </c>
      <c r="S13" s="18"/>
      <c r="T13" s="17">
        <v>6</v>
      </c>
    </row>
    <row r="14" spans="2:20" ht="14.4" x14ac:dyDescent="0.3">
      <c r="F14" s="1">
        <f>F15+inputs!$D$8</f>
        <v>30</v>
      </c>
      <c r="G14" s="1">
        <f>inputs!D25</f>
        <v>1</v>
      </c>
      <c r="H14" s="1">
        <f>IF(G14=1,+inputs!$D$11,+IF(G14=2,+inputs!$D$12,+inputs!$D$13))</f>
        <v>2.9999999999999997E-4</v>
      </c>
      <c r="I14" s="1">
        <f t="shared" ca="1" si="3"/>
        <v>140.81178486322563</v>
      </c>
      <c r="J14" s="1">
        <f ca="1">(I13-I14)/inputs!$D$8*2/(1/H13+1/H14)</f>
        <v>2.3632747109911968E-3</v>
      </c>
      <c r="L14">
        <f t="shared" si="0"/>
        <v>1</v>
      </c>
      <c r="M14">
        <f t="shared" si="1"/>
        <v>0</v>
      </c>
      <c r="N14">
        <f t="shared" si="2"/>
        <v>0</v>
      </c>
      <c r="Q14" s="16">
        <v>7</v>
      </c>
      <c r="R14" s="6" t="s">
        <v>23</v>
      </c>
      <c r="S14" s="18"/>
      <c r="T14" s="17">
        <v>7</v>
      </c>
    </row>
    <row r="15" spans="2:20" ht="14.4" x14ac:dyDescent="0.3">
      <c r="F15" s="1">
        <f>F16+inputs!$D$8</f>
        <v>25</v>
      </c>
      <c r="G15" s="1">
        <f>inputs!D26</f>
        <v>1</v>
      </c>
      <c r="H15" s="1">
        <f>IF(G15=1,+inputs!$D$11,+IF(G15=2,+inputs!$D$12,+inputs!$D$13))</f>
        <v>2.9999999999999997E-4</v>
      </c>
      <c r="I15" s="1">
        <f t="shared" ca="1" si="3"/>
        <v>101.42387301337232</v>
      </c>
      <c r="J15" s="1">
        <f ca="1">(I14-I15)/inputs!$D$8*2/(1/H14+1/H15)</f>
        <v>2.3632747109911985E-3</v>
      </c>
      <c r="L15">
        <f t="shared" si="0"/>
        <v>1</v>
      </c>
      <c r="M15">
        <f t="shared" si="1"/>
        <v>0</v>
      </c>
      <c r="N15">
        <f t="shared" si="2"/>
        <v>0</v>
      </c>
      <c r="Q15" s="16">
        <v>8</v>
      </c>
      <c r="R15" s="6" t="s">
        <v>23</v>
      </c>
      <c r="S15" s="18"/>
      <c r="T15" s="17">
        <v>8</v>
      </c>
    </row>
    <row r="16" spans="2:20" ht="14.4" x14ac:dyDescent="0.3">
      <c r="F16" s="1">
        <f>F17+inputs!$D$8</f>
        <v>20</v>
      </c>
      <c r="G16" s="1">
        <f>inputs!D27</f>
        <v>1</v>
      </c>
      <c r="H16" s="1">
        <f>IF(G16=1,+inputs!$D$11,+IF(G16=2,+inputs!$D$12,+inputs!$D$13))</f>
        <v>2.9999999999999997E-4</v>
      </c>
      <c r="I16" s="1">
        <f t="shared" ca="1" si="3"/>
        <v>62.035961163518998</v>
      </c>
      <c r="J16" s="1">
        <f ca="1">(I15-I16)/inputs!$D$8*2/(1/H15+1/H16)</f>
        <v>2.3632747109911989E-3</v>
      </c>
      <c r="L16">
        <f t="shared" si="0"/>
        <v>1</v>
      </c>
      <c r="M16">
        <f t="shared" si="1"/>
        <v>0</v>
      </c>
      <c r="N16">
        <f t="shared" si="2"/>
        <v>0</v>
      </c>
      <c r="Q16" s="16">
        <v>9</v>
      </c>
      <c r="R16" s="6" t="s">
        <v>23</v>
      </c>
      <c r="S16" s="18"/>
      <c r="T16" s="17">
        <v>9</v>
      </c>
    </row>
    <row r="17" spans="6:20" ht="14.4" x14ac:dyDescent="0.3">
      <c r="F17" s="1">
        <f>F18+inputs!$D$8</f>
        <v>15</v>
      </c>
      <c r="G17" s="1">
        <f>inputs!D28</f>
        <v>1</v>
      </c>
      <c r="H17" s="1">
        <f>IF(G17=1,+inputs!$D$11,+IF(G17=2,+inputs!$D$12,+inputs!$D$13))</f>
        <v>2.9999999999999997E-4</v>
      </c>
      <c r="I17" s="1">
        <f t="shared" ca="1" si="3"/>
        <v>22.64804931366567</v>
      </c>
      <c r="J17" s="1">
        <f ca="1">(I16-I17)/inputs!$D$8*2/(1/H16+1/H17)</f>
        <v>2.3632747109911994E-3</v>
      </c>
      <c r="L17">
        <f t="shared" si="0"/>
        <v>1</v>
      </c>
      <c r="M17">
        <f t="shared" si="1"/>
        <v>0</v>
      </c>
      <c r="N17">
        <f t="shared" si="2"/>
        <v>0</v>
      </c>
      <c r="Q17" s="16">
        <v>10</v>
      </c>
      <c r="R17" s="6" t="s">
        <v>23</v>
      </c>
      <c r="S17" s="18"/>
      <c r="T17" s="17">
        <v>10</v>
      </c>
    </row>
    <row r="18" spans="6:20" ht="14.4" x14ac:dyDescent="0.3">
      <c r="F18" s="1">
        <f>F19+inputs!$D$8</f>
        <v>10</v>
      </c>
      <c r="G18" s="1">
        <f>inputs!D29</f>
        <v>3</v>
      </c>
      <c r="H18" s="1">
        <f>IF(G18=1,+inputs!$D$11,+IF(G18=2,+inputs!$D$12,+inputs!$D$13))</f>
        <v>0.01</v>
      </c>
      <c r="I18" s="1">
        <f t="shared" ca="1" si="3"/>
        <v>2.3632747109912002</v>
      </c>
      <c r="J18" s="1">
        <f ca="1">(I17-I18)/inputs!$D$8*2/(1/H17+1/H18)</f>
        <v>2.3632747109912002E-3</v>
      </c>
      <c r="L18">
        <f t="shared" si="0"/>
        <v>0</v>
      </c>
      <c r="M18">
        <f t="shared" si="1"/>
        <v>0</v>
      </c>
      <c r="N18">
        <f t="shared" si="2"/>
        <v>1</v>
      </c>
      <c r="Q18" s="16">
        <v>11</v>
      </c>
      <c r="R18" s="6" t="s">
        <v>23</v>
      </c>
      <c r="S18" s="18"/>
      <c r="T18" s="17">
        <v>11</v>
      </c>
    </row>
    <row r="19" spans="6:20" ht="14.4" x14ac:dyDescent="0.3">
      <c r="F19" s="1">
        <f>F20+inputs!$D$8</f>
        <v>5</v>
      </c>
      <c r="G19" s="1">
        <f>inputs!D30</f>
        <v>3</v>
      </c>
      <c r="H19" s="1">
        <f>IF(G19=1,+inputs!$D$11,+IF(G19=2,+inputs!$D$12,+inputs!$D$13))</f>
        <v>0.01</v>
      </c>
      <c r="I19" s="1">
        <f t="shared" ca="1" si="3"/>
        <v>1.1816373554956001</v>
      </c>
      <c r="J19" s="1">
        <f ca="1">(I18-I19)/inputs!$D$8*2/(1/H18+1/H19)</f>
        <v>2.3632747109912002E-3</v>
      </c>
      <c r="L19">
        <f t="shared" si="0"/>
        <v>0</v>
      </c>
      <c r="M19">
        <f t="shared" si="1"/>
        <v>0</v>
      </c>
      <c r="N19">
        <f t="shared" si="2"/>
        <v>1</v>
      </c>
      <c r="Q19" s="16">
        <v>12</v>
      </c>
      <c r="R19" s="6" t="s">
        <v>23</v>
      </c>
      <c r="S19" s="18"/>
      <c r="T19" s="17">
        <v>12</v>
      </c>
    </row>
    <row r="20" spans="6:20" ht="14.4" x14ac:dyDescent="0.3">
      <c r="F20" s="1">
        <f>inputs!D9</f>
        <v>0</v>
      </c>
      <c r="G20" s="1">
        <f>inputs!D31</f>
        <v>3</v>
      </c>
      <c r="H20" s="1">
        <f>IF(G20=1,+inputs!$D$11,+IF(G20=2,+inputs!$D$12,+inputs!$D$13))</f>
        <v>0.01</v>
      </c>
      <c r="I20" s="2">
        <f>inputs!D5</f>
        <v>0</v>
      </c>
      <c r="J20" s="1">
        <f ca="1">(I19-I20)/inputs!$D$8*2/(1/H19+1/H20)</f>
        <v>2.3632747109912002E-3</v>
      </c>
      <c r="L20">
        <f t="shared" si="0"/>
        <v>0</v>
      </c>
      <c r="M20">
        <f t="shared" si="1"/>
        <v>0</v>
      </c>
      <c r="N20">
        <f t="shared" si="2"/>
        <v>1</v>
      </c>
      <c r="Q20" s="19">
        <v>13</v>
      </c>
      <c r="R20" s="12" t="s">
        <v>23</v>
      </c>
      <c r="S20" s="20"/>
      <c r="T20" s="21">
        <v>13</v>
      </c>
    </row>
    <row r="31" spans="6:20" x14ac:dyDescent="0.25">
      <c r="P31" s="11"/>
    </row>
    <row r="43" spans="16:23" x14ac:dyDescent="0.25">
      <c r="P43" s="11" t="s">
        <v>35</v>
      </c>
    </row>
    <row r="45" spans="16:23" x14ac:dyDescent="0.25">
      <c r="P45" s="23" t="s">
        <v>41</v>
      </c>
      <c r="W45" s="11"/>
    </row>
    <row r="47" spans="16:23" x14ac:dyDescent="0.25">
      <c r="P47" s="11" t="s">
        <v>42</v>
      </c>
      <c r="V47" s="11" t="s">
        <v>49</v>
      </c>
    </row>
    <row r="48" spans="16:23" x14ac:dyDescent="0.25">
      <c r="P48" s="23"/>
      <c r="S48" s="1"/>
      <c r="T48" s="1"/>
    </row>
    <row r="49" spans="3:21" x14ac:dyDescent="0.25">
      <c r="P49" s="11" t="s">
        <v>44</v>
      </c>
      <c r="R49" s="1"/>
      <c r="S49" s="1"/>
      <c r="T49" s="1"/>
    </row>
    <row r="50" spans="3:21" x14ac:dyDescent="0.25">
      <c r="R50" s="1"/>
      <c r="S50" s="1"/>
      <c r="T50" s="1"/>
    </row>
    <row r="51" spans="3:21" x14ac:dyDescent="0.25">
      <c r="P51" s="11" t="s">
        <v>46</v>
      </c>
      <c r="R51" s="25" t="s">
        <v>47</v>
      </c>
      <c r="S51" s="1"/>
      <c r="T51" s="1"/>
    </row>
    <row r="52" spans="3:21" x14ac:dyDescent="0.25">
      <c r="S52" s="1"/>
      <c r="T52" s="1"/>
    </row>
    <row r="53" spans="3:21" x14ac:dyDescent="0.25">
      <c r="P53" s="24"/>
      <c r="Q53" s="24"/>
      <c r="R53" s="24"/>
      <c r="S53" s="1"/>
      <c r="T53" s="1"/>
    </row>
    <row r="54" spans="3:21" x14ac:dyDescent="0.25">
      <c r="P54">
        <f>$C$12</f>
        <v>2.3632747109911963E-3</v>
      </c>
      <c r="Q54" s="24" t="s">
        <v>45</v>
      </c>
      <c r="R54" s="1">
        <f>(-C11)*(-(I8-I20)/(F8-F20))</f>
        <v>2.3632747109911968E-3</v>
      </c>
      <c r="S54" s="1"/>
      <c r="T54" s="1"/>
    </row>
    <row r="55" spans="3:21" x14ac:dyDescent="0.25">
      <c r="T55" s="1"/>
    </row>
    <row r="56" spans="3:21" x14ac:dyDescent="0.25">
      <c r="P56" s="34" t="s">
        <v>48</v>
      </c>
      <c r="Q56" s="34"/>
      <c r="R56" s="34"/>
      <c r="S56" s="34"/>
      <c r="T56" s="34"/>
      <c r="U56" s="34"/>
    </row>
    <row r="57" spans="3:21" x14ac:dyDescent="0.25">
      <c r="P57" s="34"/>
      <c r="Q57" s="34"/>
      <c r="R57" s="34"/>
      <c r="S57" s="34"/>
      <c r="T57" s="34"/>
      <c r="U57" s="34"/>
    </row>
    <row r="58" spans="3:21" x14ac:dyDescent="0.25">
      <c r="P58" s="34"/>
      <c r="Q58" s="34"/>
      <c r="R58" s="34"/>
      <c r="S58" s="34"/>
      <c r="T58" s="34"/>
      <c r="U58" s="34"/>
    </row>
    <row r="59" spans="3:21" x14ac:dyDescent="0.25">
      <c r="T59" s="1"/>
    </row>
    <row r="60" spans="3:21" x14ac:dyDescent="0.25">
      <c r="C60" t="s">
        <v>18</v>
      </c>
      <c r="D60" t="s">
        <v>19</v>
      </c>
      <c r="T60" s="1"/>
    </row>
    <row r="61" spans="3:21" x14ac:dyDescent="0.25">
      <c r="D61" s="11" t="s">
        <v>34</v>
      </c>
    </row>
    <row r="62" spans="3:21" x14ac:dyDescent="0.25">
      <c r="D62" t="s">
        <v>20</v>
      </c>
    </row>
    <row r="63" spans="3:21" x14ac:dyDescent="0.25">
      <c r="D63" t="s">
        <v>21</v>
      </c>
    </row>
  </sheetData>
  <mergeCells count="3">
    <mergeCell ref="B4:D4"/>
    <mergeCell ref="Q5:T5"/>
    <mergeCell ref="P56:U58"/>
  </mergeCells>
  <pageMargins left="0.75" right="0.75" top="1" bottom="1" header="0.5" footer="0.5"/>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3CA2-4805-495C-A3C3-5B3CFAFB6252}">
  <dimension ref="B3:W63"/>
  <sheetViews>
    <sheetView tabSelected="1" topLeftCell="A34" zoomScaleNormal="100" workbookViewId="0">
      <selection activeCell="P51" sqref="P51:W56"/>
    </sheetView>
  </sheetViews>
  <sheetFormatPr defaultColWidth="8.77734375" defaultRowHeight="13.2" x14ac:dyDescent="0.25"/>
  <cols>
    <col min="3" max="3" width="9" bestFit="1" customWidth="1"/>
    <col min="7" max="7" width="10.6640625" customWidth="1"/>
    <col min="8" max="8" width="6.6640625" customWidth="1"/>
    <col min="9" max="9" width="12" bestFit="1"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inputs2!D11</f>
        <v>2.9999999999999997E-4</v>
      </c>
      <c r="D7" s="7">
        <f>SUM(L9:L19)+0.5*(L8+L20)</f>
        <v>0</v>
      </c>
      <c r="F7" s="1"/>
      <c r="G7" s="1"/>
      <c r="H7" s="1"/>
      <c r="I7" s="1"/>
      <c r="J7" s="1"/>
      <c r="Q7" s="16"/>
      <c r="R7" s="6" t="s">
        <v>24</v>
      </c>
      <c r="S7" s="6" t="s">
        <v>25</v>
      </c>
      <c r="T7" s="17"/>
    </row>
    <row r="8" spans="2:20" ht="14.4" x14ac:dyDescent="0.3">
      <c r="B8" s="3" t="s">
        <v>29</v>
      </c>
      <c r="C8" s="6">
        <f>inputs2!D12</f>
        <v>0.5</v>
      </c>
      <c r="D8" s="7">
        <f>SUM(M9:M19)+0.5*(M8+M20)</f>
        <v>6.5</v>
      </c>
      <c r="F8" s="1">
        <f>F9+inputs2!$D$8</f>
        <v>60</v>
      </c>
      <c r="G8" s="1">
        <f>inputs2!D19</f>
        <v>2</v>
      </c>
      <c r="H8" s="1">
        <f>IF(G8=1,+inputs2!$D$11,+IF(G8=2,+inputs2!$D$12,+inputs2!$D$13))</f>
        <v>0.5</v>
      </c>
      <c r="I8" s="2">
        <f>inputs!D4</f>
        <v>200</v>
      </c>
      <c r="J8" s="1"/>
      <c r="L8">
        <f>IF($G8=1,1,0)</f>
        <v>0</v>
      </c>
      <c r="M8">
        <f>IF($G8=2,1,0)</f>
        <v>1</v>
      </c>
      <c r="N8">
        <f>IF($G8=3,1,0)</f>
        <v>0</v>
      </c>
      <c r="Q8" s="16">
        <v>1</v>
      </c>
      <c r="R8" s="6" t="s">
        <v>23</v>
      </c>
      <c r="S8" s="18"/>
      <c r="T8" s="17">
        <v>1</v>
      </c>
    </row>
    <row r="9" spans="2:20" ht="14.4" x14ac:dyDescent="0.3">
      <c r="B9" s="3" t="s">
        <v>30</v>
      </c>
      <c r="C9" s="6">
        <f>inputs2!D13</f>
        <v>0.01</v>
      </c>
      <c r="D9" s="7">
        <f>SUM(N9:N19)+0.5*(N8+N20)</f>
        <v>5.5</v>
      </c>
      <c r="F9" s="1">
        <f>F10+inputs2!$D$8</f>
        <v>55</v>
      </c>
      <c r="G9" s="1">
        <f>inputs2!D20</f>
        <v>2</v>
      </c>
      <c r="H9" s="1">
        <f>IF(G9=1,+inputs2!$D$11,+IF(G9=2,+inputs2!$D$12,+inputs2!$D$13))</f>
        <v>0.5</v>
      </c>
      <c r="I9" s="1">
        <f ca="1">(I8*2/(1/H8+1/H9)+I10*2/(1/H9+1/H10))/(2/(1/H8+1/H9)+2/(1/H9+1/H10))</f>
        <v>199.28952042628765</v>
      </c>
      <c r="J9" s="1">
        <f ca="1">(I8-I9)/inputs2!$D$8*2/(1/H8+1/H9)</f>
        <v>7.1047957371234816E-2</v>
      </c>
      <c r="L9">
        <f t="shared" ref="L9:L20" si="0">IF($G9=1,1,0)</f>
        <v>0</v>
      </c>
      <c r="M9">
        <f t="shared" ref="M9:M20" si="1">IF($G9=2,1,0)</f>
        <v>1</v>
      </c>
      <c r="N9">
        <f t="shared" ref="N9:N20" si="2">IF($G9=3,1,0)</f>
        <v>0</v>
      </c>
      <c r="Q9" s="16">
        <v>2</v>
      </c>
      <c r="R9" s="6" t="s">
        <v>23</v>
      </c>
      <c r="S9" s="18"/>
      <c r="T9" s="17">
        <v>2</v>
      </c>
    </row>
    <row r="10" spans="2:20" ht="14.4" x14ac:dyDescent="0.3">
      <c r="B10" s="3"/>
      <c r="C10" s="6"/>
      <c r="D10" s="7"/>
      <c r="F10" s="1">
        <f>F11+inputs2!$D$8</f>
        <v>50</v>
      </c>
      <c r="G10" s="1">
        <f>inputs2!D21</f>
        <v>2</v>
      </c>
      <c r="H10" s="1">
        <f>IF(G10=1,+inputs2!$D$11,+IF(G10=2,+inputs2!$D$12,+inputs2!$D$13))</f>
        <v>0.5</v>
      </c>
      <c r="I10" s="1">
        <f ca="1">(I9*2/(1/H9+1/H10)+I11*2/(1/H10+1/H11))/(2/(1/H9+1/H10)+2/(1/H10+1/H11))</f>
        <v>198.5790408525753</v>
      </c>
      <c r="J10" s="1">
        <f ca="1">(I9-I10)/inputs2!$D$8*2/(1/H9+1/H10)</f>
        <v>7.1047957371234816E-2</v>
      </c>
      <c r="L10">
        <f>IF($G10=1,1,0)</f>
        <v>0</v>
      </c>
      <c r="M10">
        <f t="shared" si="1"/>
        <v>1</v>
      </c>
      <c r="N10">
        <f t="shared" si="2"/>
        <v>0</v>
      </c>
      <c r="Q10" s="16">
        <v>3</v>
      </c>
      <c r="R10" s="6" t="s">
        <v>23</v>
      </c>
      <c r="S10" s="18"/>
      <c r="T10" s="17">
        <v>3</v>
      </c>
    </row>
    <row r="11" spans="2:20" ht="14.4" x14ac:dyDescent="0.3">
      <c r="B11" s="3" t="s">
        <v>8</v>
      </c>
      <c r="C11" s="6">
        <f>SUM(D7:D9)/(D7/C7+D8/C8+D9/C9)</f>
        <v>2.1314387211367674E-2</v>
      </c>
      <c r="D11" s="7"/>
      <c r="F11" s="1">
        <f>F12+inputs2!$D$8</f>
        <v>45</v>
      </c>
      <c r="G11" s="1">
        <f>inputs2!D22</f>
        <v>2</v>
      </c>
      <c r="H11" s="1">
        <f>IF(G11=1,+inputs2!$D$11,+IF(G11=2,+inputs2!$D$12,+inputs2!$D$13))</f>
        <v>0.5</v>
      </c>
      <c r="I11" s="1">
        <f t="shared" ref="I11:I19" ca="1" si="3">(I10*2/(1/H10+1/H11)+I12*2/(1/H11+1/H12))/(2/(1/H10+1/H11)+2/(1/H11+1/H12))</f>
        <v>197.86856127886296</v>
      </c>
      <c r="J11" s="1">
        <f ca="1">(I10-I11)/inputs2!$D$8*2/(1/H10+1/H11)</f>
        <v>7.1047957371234816E-2</v>
      </c>
      <c r="L11">
        <f t="shared" si="0"/>
        <v>0</v>
      </c>
      <c r="M11">
        <f t="shared" si="1"/>
        <v>1</v>
      </c>
      <c r="N11">
        <f t="shared" si="2"/>
        <v>0</v>
      </c>
      <c r="Q11" s="16">
        <v>4</v>
      </c>
      <c r="R11" s="6" t="s">
        <v>23</v>
      </c>
      <c r="S11" s="18"/>
      <c r="T11" s="17">
        <v>4</v>
      </c>
    </row>
    <row r="12" spans="2:20" ht="15" thickBot="1" x14ac:dyDescent="0.35">
      <c r="B12" s="8" t="s">
        <v>7</v>
      </c>
      <c r="C12" s="9">
        <f>C11*(I8-I20)/(F8-F20)</f>
        <v>7.1047957371225573E-2</v>
      </c>
      <c r="D12" s="10"/>
      <c r="F12" s="1">
        <f>F13+inputs2!$D$8</f>
        <v>40</v>
      </c>
      <c r="G12" s="1">
        <f>inputs2!D23</f>
        <v>2</v>
      </c>
      <c r="H12" s="1">
        <f>IF(G12=1,+inputs2!$D$11,+IF(G12=2,+inputs2!$D$12,+inputs2!$D$13))</f>
        <v>0.5</v>
      </c>
      <c r="I12" s="1">
        <f t="shared" ca="1" si="3"/>
        <v>197.15808170515064</v>
      </c>
      <c r="J12" s="1">
        <f ca="1">(I11-I12)/inputs2!$D$8*2/(1/H11+1/H12)</f>
        <v>7.1047957371231971E-2</v>
      </c>
      <c r="L12">
        <f t="shared" si="0"/>
        <v>0</v>
      </c>
      <c r="M12">
        <f t="shared" si="1"/>
        <v>1</v>
      </c>
      <c r="N12">
        <f t="shared" si="2"/>
        <v>0</v>
      </c>
      <c r="Q12" s="16">
        <v>5</v>
      </c>
      <c r="R12" s="6" t="s">
        <v>23</v>
      </c>
      <c r="S12" s="18"/>
      <c r="T12" s="17">
        <v>5</v>
      </c>
    </row>
    <row r="13" spans="2:20" ht="15" thickTop="1" x14ac:dyDescent="0.3">
      <c r="F13" s="1">
        <f>F14+inputs2!$D$8</f>
        <v>35</v>
      </c>
      <c r="G13" s="1">
        <f>inputs2!D24</f>
        <v>2</v>
      </c>
      <c r="H13" s="1">
        <f>IF(G13=1,+inputs2!$D$11,+IF(G13=2,+inputs2!$D$12,+inputs2!$D$13))</f>
        <v>0.5</v>
      </c>
      <c r="I13" s="1">
        <f t="shared" ca="1" si="3"/>
        <v>196.44760213143832</v>
      </c>
      <c r="J13" s="1">
        <f ca="1">(I12-I13)/inputs2!$D$8*2/(1/H12+1/H13)</f>
        <v>7.1047957371231971E-2</v>
      </c>
      <c r="L13">
        <f t="shared" si="0"/>
        <v>0</v>
      </c>
      <c r="M13">
        <f t="shared" si="1"/>
        <v>1</v>
      </c>
      <c r="N13">
        <f t="shared" si="2"/>
        <v>0</v>
      </c>
      <c r="Q13" s="16">
        <v>6</v>
      </c>
      <c r="R13" s="6" t="s">
        <v>23</v>
      </c>
      <c r="S13" s="18"/>
      <c r="T13" s="17">
        <v>6</v>
      </c>
    </row>
    <row r="14" spans="2:20" ht="14.4" x14ac:dyDescent="0.3">
      <c r="F14" s="1">
        <f>F15+inputs2!$D$8</f>
        <v>30</v>
      </c>
      <c r="G14" s="1">
        <f>inputs2!D25</f>
        <v>2</v>
      </c>
      <c r="H14" s="1">
        <f>IF(G14=1,+inputs2!$D$11,+IF(G14=2,+inputs2!$D$12,+inputs2!$D$13))</f>
        <v>0.5</v>
      </c>
      <c r="I14" s="1">
        <f t="shared" ca="1" si="3"/>
        <v>195.73712255772602</v>
      </c>
      <c r="J14" s="1">
        <f ca="1">(I13-I14)/inputs2!$D$8*2/(1/H13+1/H14)</f>
        <v>7.1047957371229126E-2</v>
      </c>
      <c r="L14">
        <f t="shared" si="0"/>
        <v>0</v>
      </c>
      <c r="M14">
        <f t="shared" si="1"/>
        <v>1</v>
      </c>
      <c r="N14">
        <f t="shared" si="2"/>
        <v>0</v>
      </c>
      <c r="Q14" s="16">
        <v>7</v>
      </c>
      <c r="R14" s="6" t="s">
        <v>23</v>
      </c>
      <c r="S14" s="18"/>
      <c r="T14" s="17">
        <v>7</v>
      </c>
    </row>
    <row r="15" spans="2:20" ht="14.4" x14ac:dyDescent="0.3">
      <c r="F15" s="1">
        <f>F16+inputs2!$D$8</f>
        <v>25</v>
      </c>
      <c r="G15" s="1">
        <f>inputs2!D26</f>
        <v>3</v>
      </c>
      <c r="H15" s="1">
        <f>IF(G15=1,+inputs2!$D$11,+IF(G15=2,+inputs2!$D$12,+inputs2!$D$13))</f>
        <v>0.01</v>
      </c>
      <c r="I15" s="1">
        <f t="shared" ca="1" si="3"/>
        <v>177.61989342806351</v>
      </c>
      <c r="J15" s="1">
        <f ca="1">(I14-I15)/inputs2!$D$8*2/(1/H14+1/H15)</f>
        <v>7.1047957371225573E-2</v>
      </c>
      <c r="L15">
        <f t="shared" si="0"/>
        <v>0</v>
      </c>
      <c r="M15">
        <f t="shared" si="1"/>
        <v>0</v>
      </c>
      <c r="N15">
        <f t="shared" si="2"/>
        <v>1</v>
      </c>
      <c r="Q15" s="16">
        <v>8</v>
      </c>
      <c r="R15" s="6" t="s">
        <v>23</v>
      </c>
      <c r="S15" s="18"/>
      <c r="T15" s="17">
        <v>8</v>
      </c>
    </row>
    <row r="16" spans="2:20" ht="14.4" x14ac:dyDescent="0.3">
      <c r="F16" s="1">
        <f>F17+inputs2!$D$8</f>
        <v>20</v>
      </c>
      <c r="G16" s="1">
        <f>inputs2!D27</f>
        <v>3</v>
      </c>
      <c r="H16" s="1">
        <f>IF(G16=1,+inputs2!$D$11,+IF(G16=2,+inputs2!$D$12,+inputs2!$D$13))</f>
        <v>0.01</v>
      </c>
      <c r="I16" s="1">
        <f t="shared" ca="1" si="3"/>
        <v>142.09591474245079</v>
      </c>
      <c r="J16" s="1">
        <f ca="1">(I15-I16)/inputs2!$D$8*2/(1/H15+1/H16)</f>
        <v>7.1047957371225434E-2</v>
      </c>
      <c r="L16">
        <f t="shared" si="0"/>
        <v>0</v>
      </c>
      <c r="M16">
        <f t="shared" si="1"/>
        <v>0</v>
      </c>
      <c r="N16">
        <f t="shared" si="2"/>
        <v>1</v>
      </c>
      <c r="Q16" s="16">
        <v>9</v>
      </c>
      <c r="R16" s="6" t="s">
        <v>23</v>
      </c>
      <c r="S16" s="18"/>
      <c r="T16" s="17">
        <v>9</v>
      </c>
    </row>
    <row r="17" spans="6:20" ht="14.4" x14ac:dyDescent="0.3">
      <c r="F17" s="1">
        <f>F18+inputs2!$D$8</f>
        <v>15</v>
      </c>
      <c r="G17" s="1">
        <f>inputs2!D28</f>
        <v>3</v>
      </c>
      <c r="H17" s="1">
        <f>IF(G17=1,+inputs2!$D$11,+IF(G17=2,+inputs2!$D$12,+inputs2!$D$13))</f>
        <v>0.01</v>
      </c>
      <c r="I17" s="1">
        <f t="shared" ca="1" si="3"/>
        <v>106.57193605683808</v>
      </c>
      <c r="J17" s="1">
        <f ca="1">(I16-I17)/inputs2!$D$8*2/(1/H16+1/H17)</f>
        <v>7.1047957371225406E-2</v>
      </c>
      <c r="L17">
        <f t="shared" si="0"/>
        <v>0</v>
      </c>
      <c r="M17">
        <f t="shared" si="1"/>
        <v>0</v>
      </c>
      <c r="N17">
        <f t="shared" si="2"/>
        <v>1</v>
      </c>
      <c r="Q17" s="16">
        <v>10</v>
      </c>
      <c r="R17" s="6" t="s">
        <v>23</v>
      </c>
      <c r="S17" s="18"/>
      <c r="T17" s="17">
        <v>10</v>
      </c>
    </row>
    <row r="18" spans="6:20" ht="14.4" x14ac:dyDescent="0.3">
      <c r="F18" s="1">
        <f>F19+inputs2!$D$8</f>
        <v>10</v>
      </c>
      <c r="G18" s="1">
        <f>inputs2!D29</f>
        <v>3</v>
      </c>
      <c r="H18" s="1">
        <f>IF(G18=1,+inputs2!$D$11,+IF(G18=2,+inputs2!$D$12,+inputs2!$D$13))</f>
        <v>0.01</v>
      </c>
      <c r="I18" s="1">
        <f t="shared" ca="1" si="3"/>
        <v>71.04795737122538</v>
      </c>
      <c r="J18" s="1">
        <f ca="1">(I17-I18)/inputs2!$D$8*2/(1/H17+1/H18)</f>
        <v>7.1047957371225406E-2</v>
      </c>
      <c r="L18">
        <f t="shared" si="0"/>
        <v>0</v>
      </c>
      <c r="M18">
        <f t="shared" si="1"/>
        <v>0</v>
      </c>
      <c r="N18">
        <f t="shared" si="2"/>
        <v>1</v>
      </c>
      <c r="Q18" s="16">
        <v>11</v>
      </c>
      <c r="R18" s="6" t="s">
        <v>23</v>
      </c>
      <c r="S18" s="18"/>
      <c r="T18" s="17">
        <v>11</v>
      </c>
    </row>
    <row r="19" spans="6:20" ht="14.4" x14ac:dyDescent="0.3">
      <c r="F19" s="1">
        <f>F20+inputs2!$D$8</f>
        <v>5</v>
      </c>
      <c r="G19" s="1">
        <f>inputs2!D30</f>
        <v>3</v>
      </c>
      <c r="H19" s="1">
        <f>IF(G19=1,+inputs2!$D$11,+IF(G19=2,+inputs2!$D$12,+inputs2!$D$13))</f>
        <v>0.01</v>
      </c>
      <c r="I19" s="1">
        <f t="shared" ca="1" si="3"/>
        <v>35.52397868561269</v>
      </c>
      <c r="J19" s="1">
        <f ca="1">(I18-I19)/inputs2!$D$8*2/(1/H18+1/H19)</f>
        <v>7.1047957371225379E-2</v>
      </c>
      <c r="L19">
        <f t="shared" si="0"/>
        <v>0</v>
      </c>
      <c r="M19">
        <f t="shared" si="1"/>
        <v>0</v>
      </c>
      <c r="N19">
        <f t="shared" si="2"/>
        <v>1</v>
      </c>
      <c r="Q19" s="16">
        <v>12</v>
      </c>
      <c r="R19" s="6" t="s">
        <v>23</v>
      </c>
      <c r="S19" s="18"/>
      <c r="T19" s="17">
        <v>12</v>
      </c>
    </row>
    <row r="20" spans="6:20" ht="14.4" x14ac:dyDescent="0.3">
      <c r="F20" s="1">
        <f>inputs2!D9</f>
        <v>0</v>
      </c>
      <c r="G20" s="1">
        <f>inputs2!D31</f>
        <v>3</v>
      </c>
      <c r="H20" s="1">
        <f>IF(G20=1,+inputs2!$D$11,+IF(G20=2,+inputs2!$D$12,+inputs2!$D$13))</f>
        <v>0.01</v>
      </c>
      <c r="I20" s="2">
        <f>inputs!D5</f>
        <v>0</v>
      </c>
      <c r="J20" s="1">
        <f ca="1">(I19-I20)/inputs2!$D$8*2/(1/H19+1/H20)</f>
        <v>7.1047957371225379E-2</v>
      </c>
      <c r="L20">
        <f t="shared" si="0"/>
        <v>0</v>
      </c>
      <c r="M20">
        <f t="shared" si="1"/>
        <v>0</v>
      </c>
      <c r="N20">
        <f t="shared" si="2"/>
        <v>1</v>
      </c>
      <c r="Q20" s="19">
        <v>13</v>
      </c>
      <c r="R20" s="12" t="s">
        <v>23</v>
      </c>
      <c r="S20" s="20"/>
      <c r="T20" s="21">
        <v>13</v>
      </c>
    </row>
    <row r="31" spans="6:20" x14ac:dyDescent="0.25">
      <c r="P31" s="11"/>
    </row>
    <row r="43" spans="16:20" x14ac:dyDescent="0.25">
      <c r="P43" s="11" t="s">
        <v>35</v>
      </c>
    </row>
    <row r="45" spans="16:20" x14ac:dyDescent="0.25">
      <c r="P45" s="23" t="s">
        <v>40</v>
      </c>
    </row>
    <row r="46" spans="16:20" x14ac:dyDescent="0.25">
      <c r="P46" s="23" t="s">
        <v>41</v>
      </c>
    </row>
    <row r="47" spans="16:20" x14ac:dyDescent="0.25">
      <c r="P47" s="23" t="s">
        <v>42</v>
      </c>
    </row>
    <row r="48" spans="16:20" x14ac:dyDescent="0.25">
      <c r="P48" s="23"/>
      <c r="S48" s="1"/>
      <c r="T48" s="1"/>
    </row>
    <row r="49" spans="3:23" x14ac:dyDescent="0.25">
      <c r="P49" s="23" t="s">
        <v>43</v>
      </c>
      <c r="S49" s="1"/>
      <c r="T49" s="1"/>
    </row>
    <row r="50" spans="3:23" x14ac:dyDescent="0.25">
      <c r="S50" s="1"/>
      <c r="T50" s="1"/>
    </row>
    <row r="51" spans="3:23" ht="13.2" customHeight="1" x14ac:dyDescent="0.25">
      <c r="P51" s="34" t="s">
        <v>51</v>
      </c>
      <c r="Q51" s="34"/>
      <c r="R51" s="34"/>
      <c r="S51" s="34"/>
      <c r="T51" s="34"/>
      <c r="U51" s="34"/>
      <c r="V51" s="34"/>
      <c r="W51" s="34"/>
    </row>
    <row r="52" spans="3:23" x14ac:dyDescent="0.25">
      <c r="P52" s="34"/>
      <c r="Q52" s="34"/>
      <c r="R52" s="34"/>
      <c r="S52" s="34"/>
      <c r="T52" s="34"/>
      <c r="U52" s="34"/>
      <c r="V52" s="34"/>
      <c r="W52" s="34"/>
    </row>
    <row r="53" spans="3:23" x14ac:dyDescent="0.25">
      <c r="P53" s="34"/>
      <c r="Q53" s="34"/>
      <c r="R53" s="34"/>
      <c r="S53" s="34"/>
      <c r="T53" s="34"/>
      <c r="U53" s="34"/>
      <c r="V53" s="34"/>
      <c r="W53" s="34"/>
    </row>
    <row r="54" spans="3:23" x14ac:dyDescent="0.25">
      <c r="P54" s="34"/>
      <c r="Q54" s="34"/>
      <c r="R54" s="34"/>
      <c r="S54" s="34"/>
      <c r="T54" s="34"/>
      <c r="U54" s="34"/>
      <c r="V54" s="34"/>
      <c r="W54" s="34"/>
    </row>
    <row r="55" spans="3:23" x14ac:dyDescent="0.25">
      <c r="P55" s="34"/>
      <c r="Q55" s="34"/>
      <c r="R55" s="34"/>
      <c r="S55" s="34"/>
      <c r="T55" s="34"/>
      <c r="U55" s="34"/>
      <c r="V55" s="34"/>
      <c r="W55" s="34"/>
    </row>
    <row r="56" spans="3:23" x14ac:dyDescent="0.25">
      <c r="P56" s="34"/>
      <c r="Q56" s="34"/>
      <c r="R56" s="34"/>
      <c r="S56" s="34"/>
      <c r="T56" s="34"/>
      <c r="U56" s="34"/>
      <c r="V56" s="34"/>
      <c r="W56" s="34"/>
    </row>
    <row r="57" spans="3:23" x14ac:dyDescent="0.25">
      <c r="Q57" s="11"/>
      <c r="S57" s="25"/>
      <c r="T57" s="1"/>
    </row>
    <row r="58" spans="3:23" x14ac:dyDescent="0.25">
      <c r="T58" s="1"/>
    </row>
    <row r="59" spans="3:23" x14ac:dyDescent="0.25">
      <c r="Q59" s="24"/>
      <c r="R59" s="24"/>
      <c r="S59" s="24"/>
      <c r="T59" s="1"/>
    </row>
    <row r="60" spans="3:23" x14ac:dyDescent="0.25">
      <c r="C60" t="s">
        <v>18</v>
      </c>
      <c r="D60" t="s">
        <v>19</v>
      </c>
      <c r="R60" s="24"/>
      <c r="S60" s="1"/>
      <c r="T60" s="1"/>
    </row>
    <row r="61" spans="3:23" x14ac:dyDescent="0.25">
      <c r="D61" s="11" t="s">
        <v>34</v>
      </c>
    </row>
    <row r="62" spans="3:23" x14ac:dyDescent="0.25">
      <c r="D62" t="s">
        <v>20</v>
      </c>
      <c r="Q62" s="11"/>
    </row>
    <row r="63" spans="3:23" x14ac:dyDescent="0.25">
      <c r="D63" t="s">
        <v>21</v>
      </c>
    </row>
  </sheetData>
  <mergeCells count="3">
    <mergeCell ref="B4:D4"/>
    <mergeCell ref="Q5:T5"/>
    <mergeCell ref="P51:W56"/>
  </mergeCells>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957A-5EFD-4317-9701-24D416B1316C}">
  <dimension ref="B3:W63"/>
  <sheetViews>
    <sheetView zoomScaleNormal="100" workbookViewId="0"/>
  </sheetViews>
  <sheetFormatPr defaultColWidth="8.77734375" defaultRowHeight="13.2" x14ac:dyDescent="0.25"/>
  <cols>
    <col min="3" max="3" width="9" bestFit="1" customWidth="1"/>
    <col min="7" max="7" width="10.6640625" customWidth="1"/>
    <col min="8" max="8" width="6.6640625" customWidth="1"/>
    <col min="9" max="9" width="12" bestFit="1"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inputs3!D11</f>
        <v>2.9999999999999997E-4</v>
      </c>
      <c r="D7" s="7">
        <f>SUM(L9:L19)+0.5*(L8+L20)</f>
        <v>4</v>
      </c>
      <c r="F7" s="1"/>
      <c r="G7" s="1"/>
      <c r="H7" s="1"/>
      <c r="I7" s="1"/>
      <c r="J7" s="1"/>
      <c r="Q7" s="16"/>
      <c r="R7" s="6" t="s">
        <v>24</v>
      </c>
      <c r="S7" s="6" t="s">
        <v>25</v>
      </c>
      <c r="T7" s="17"/>
    </row>
    <row r="8" spans="2:20" ht="14.4" x14ac:dyDescent="0.3">
      <c r="B8" s="3" t="s">
        <v>29</v>
      </c>
      <c r="C8" s="6">
        <f>inputs3!D12</f>
        <v>0.5</v>
      </c>
      <c r="D8" s="7">
        <f>SUM(M9:M19)+0.5*(M8+M20)</f>
        <v>4.5</v>
      </c>
      <c r="F8" s="1">
        <f>F9+inputs3!$D$8</f>
        <v>60</v>
      </c>
      <c r="G8" s="1">
        <f>inputs3!D19</f>
        <v>2</v>
      </c>
      <c r="H8" s="1">
        <f>IF(G8=1,+inputs3!$D$11,+IF(G8=2,+inputs3!$D$12,+inputs3!$D$13))</f>
        <v>0.5</v>
      </c>
      <c r="I8" s="2">
        <f>inputs3!D4</f>
        <v>200</v>
      </c>
      <c r="J8" s="1"/>
      <c r="L8">
        <f>IF($G8=1,1,0)</f>
        <v>0</v>
      </c>
      <c r="M8">
        <f>IF($G8=2,1,0)</f>
        <v>1</v>
      </c>
      <c r="N8">
        <f>IF($G8=3,1,0)</f>
        <v>0</v>
      </c>
      <c r="Q8" s="16">
        <v>1</v>
      </c>
      <c r="R8" s="6" t="s">
        <v>23</v>
      </c>
      <c r="S8" s="18"/>
      <c r="T8" s="17">
        <v>1</v>
      </c>
    </row>
    <row r="9" spans="2:20" ht="14.4" x14ac:dyDescent="0.3">
      <c r="B9" s="3" t="s">
        <v>30</v>
      </c>
      <c r="C9" s="6">
        <f>inputs3!D13</f>
        <v>0.01</v>
      </c>
      <c r="D9" s="7">
        <f>SUM(N9:N19)+0.5*(N8+N20)</f>
        <v>3.5</v>
      </c>
      <c r="F9" s="1">
        <f>F10+inputs3!$D$8</f>
        <v>55</v>
      </c>
      <c r="G9" s="1">
        <f>inputs3!D20</f>
        <v>2</v>
      </c>
      <c r="H9" s="1">
        <f>IF(G9=1,+inputs3!$D$11,+IF(G9=2,+inputs3!$D$12,+inputs3!$D$13))</f>
        <v>0.5</v>
      </c>
      <c r="I9" s="1">
        <f ca="1">(I8*2/(1/H8+1/H9)+I10*2/(1/H9+1/H10))/(2/(1/H8+1/H9)+2/(1/H9+1/H10))</f>
        <v>199.9705329042163</v>
      </c>
      <c r="J9" s="1">
        <f ca="1">(I8-I9)/inputs3!$D$8*2/(1/H8+1/H9)</f>
        <v>2.9467095783701326E-3</v>
      </c>
      <c r="L9">
        <f t="shared" ref="L9:L20" si="0">IF($G9=1,1,0)</f>
        <v>0</v>
      </c>
      <c r="M9">
        <f t="shared" ref="M9:M20" si="1">IF($G9=2,1,0)</f>
        <v>1</v>
      </c>
      <c r="N9">
        <f t="shared" ref="N9:N20" si="2">IF($G9=3,1,0)</f>
        <v>0</v>
      </c>
      <c r="Q9" s="16">
        <v>2</v>
      </c>
      <c r="R9" s="6" t="s">
        <v>23</v>
      </c>
      <c r="S9" s="18"/>
      <c r="T9" s="17">
        <v>2</v>
      </c>
    </row>
    <row r="10" spans="2:20" ht="14.4" x14ac:dyDescent="0.3">
      <c r="B10" s="3"/>
      <c r="C10" s="6"/>
      <c r="D10" s="7"/>
      <c r="F10" s="1">
        <f>F11+inputs3!$D$8</f>
        <v>50</v>
      </c>
      <c r="G10" s="1">
        <f>inputs3!D21</f>
        <v>3</v>
      </c>
      <c r="H10" s="1">
        <f>IF(G10=1,+inputs3!$D$11,+IF(G10=2,+inputs3!$D$12,+inputs3!$D$13))</f>
        <v>0.01</v>
      </c>
      <c r="I10" s="1">
        <f ca="1">(I9*2/(1/H9+1/H10)+I11*2/(1/H10+1/H11))/(2/(1/H9+1/H10)+2/(1/H10+1/H11))</f>
        <v>199.21912712412637</v>
      </c>
      <c r="J10" s="1">
        <f ca="1">(I9-I10)/inputs3!$D$8*2/(1/H9+1/H10)</f>
        <v>2.9466893336859809E-3</v>
      </c>
      <c r="L10">
        <f>IF($G10=1,1,0)</f>
        <v>0</v>
      </c>
      <c r="M10">
        <f t="shared" si="1"/>
        <v>0</v>
      </c>
      <c r="N10">
        <f t="shared" si="2"/>
        <v>1</v>
      </c>
      <c r="Q10" s="16">
        <v>3</v>
      </c>
      <c r="R10" s="6" t="s">
        <v>23</v>
      </c>
      <c r="S10" s="18"/>
      <c r="T10" s="17">
        <v>3</v>
      </c>
    </row>
    <row r="11" spans="2:20" ht="14.4" x14ac:dyDescent="0.3">
      <c r="B11" s="3" t="s">
        <v>8</v>
      </c>
      <c r="C11" s="6">
        <f>SUM(D7:D9)/(D7/C7+D8/C8+D9/C9)</f>
        <v>8.764028531781775E-4</v>
      </c>
      <c r="D11" s="7"/>
      <c r="F11" s="1">
        <f>F12+inputs3!$D$8</f>
        <v>45</v>
      </c>
      <c r="G11" s="1">
        <f>inputs3!D22</f>
        <v>3</v>
      </c>
      <c r="H11" s="1">
        <f>IF(G11=1,+inputs3!$D$11,+IF(G11=2,+inputs3!$D$12,+inputs3!$D$13))</f>
        <v>0.01</v>
      </c>
      <c r="I11" s="1">
        <f t="shared" ref="I11:I19" ca="1" si="3">(I10*2/(1/H10+1/H11)+I12*2/(1/H11+1/H12))/(2/(1/H10+1/H11)+2/(1/H11+1/H12))</f>
        <v>197.74579734830434</v>
      </c>
      <c r="J11" s="1">
        <f ca="1">(I10-I11)/inputs3!$D$8*2/(1/H10+1/H11)</f>
        <v>2.9466595516440745E-3</v>
      </c>
      <c r="L11">
        <f t="shared" si="0"/>
        <v>0</v>
      </c>
      <c r="M11">
        <f t="shared" si="1"/>
        <v>0</v>
      </c>
      <c r="N11">
        <f t="shared" si="2"/>
        <v>1</v>
      </c>
      <c r="Q11" s="16">
        <v>4</v>
      </c>
      <c r="R11" s="6" t="s">
        <v>23</v>
      </c>
      <c r="S11" s="18"/>
      <c r="T11" s="17">
        <v>4</v>
      </c>
    </row>
    <row r="12" spans="2:20" ht="15" thickBot="1" x14ac:dyDescent="0.35">
      <c r="B12" s="8" t="s">
        <v>7</v>
      </c>
      <c r="C12" s="9">
        <f>C11*(I8-I20)/(F8-F20)</f>
        <v>2.9213428439272588E-3</v>
      </c>
      <c r="D12" s="10"/>
      <c r="F12" s="1">
        <f>F13+inputs3!$D$8</f>
        <v>40</v>
      </c>
      <c r="G12" s="1">
        <f>inputs3!D23</f>
        <v>2</v>
      </c>
      <c r="H12" s="1">
        <f>IF(G12=1,+inputs3!$D$11,+IF(G12=2,+inputs3!$D$12,+inputs3!$D$13))</f>
        <v>0.5</v>
      </c>
      <c r="I12" s="1">
        <f t="shared" ca="1" si="3"/>
        <v>196.99441900000977</v>
      </c>
      <c r="J12" s="1">
        <f ca="1">(I11-I12)/inputs3!$D$8*2/(1/H11+1/H12)</f>
        <v>2.9465817580179039E-3</v>
      </c>
      <c r="L12">
        <f t="shared" si="0"/>
        <v>0</v>
      </c>
      <c r="M12">
        <f t="shared" si="1"/>
        <v>1</v>
      </c>
      <c r="N12">
        <f t="shared" si="2"/>
        <v>0</v>
      </c>
      <c r="Q12" s="16">
        <v>5</v>
      </c>
      <c r="R12" s="6" t="s">
        <v>23</v>
      </c>
      <c r="S12" s="18"/>
      <c r="T12" s="17">
        <v>5</v>
      </c>
    </row>
    <row r="13" spans="2:20" ht="15" thickTop="1" x14ac:dyDescent="0.3">
      <c r="F13" s="1">
        <f>F14+inputs3!$D$8</f>
        <v>35</v>
      </c>
      <c r="G13" s="1">
        <f>inputs3!D24</f>
        <v>1</v>
      </c>
      <c r="H13" s="1">
        <f>IF(G13=1,+inputs3!$D$11,+IF(G13=2,+inputs3!$D$12,+inputs3!$D$13))</f>
        <v>2.9999999999999997E-4</v>
      </c>
      <c r="I13" s="1">
        <f t="shared" ca="1" si="3"/>
        <v>172.42501954820176</v>
      </c>
      <c r="J13" s="1">
        <f ca="1">(I12-I13)/inputs3!$D$8*2/(1/H12+1/H13)</f>
        <v>2.94655999821803E-3</v>
      </c>
      <c r="L13">
        <f t="shared" si="0"/>
        <v>1</v>
      </c>
      <c r="M13">
        <f t="shared" si="1"/>
        <v>0</v>
      </c>
      <c r="N13">
        <f t="shared" si="2"/>
        <v>0</v>
      </c>
      <c r="Q13" s="16">
        <v>6</v>
      </c>
      <c r="R13" s="6" t="s">
        <v>23</v>
      </c>
      <c r="S13" s="18"/>
      <c r="T13" s="17">
        <v>6</v>
      </c>
    </row>
    <row r="14" spans="2:20" ht="14.4" x14ac:dyDescent="0.3">
      <c r="F14" s="1">
        <f>F15+inputs3!$D$8</f>
        <v>30</v>
      </c>
      <c r="G14" s="1">
        <f>inputs3!D25</f>
        <v>1</v>
      </c>
      <c r="H14" s="1">
        <f>IF(G14=1,+inputs3!$D$11,+IF(G14=2,+inputs3!$D$12,+inputs3!$D$13))</f>
        <v>2.9999999999999997E-4</v>
      </c>
      <c r="I14" s="1">
        <f t="shared" ca="1" si="3"/>
        <v>123.3161903100027</v>
      </c>
      <c r="J14" s="1">
        <f ca="1">(I13-I14)/inputs3!$D$8*2/(1/H13+1/H14)</f>
        <v>2.9465297542919438E-3</v>
      </c>
      <c r="L14">
        <f t="shared" si="0"/>
        <v>1</v>
      </c>
      <c r="M14">
        <f t="shared" si="1"/>
        <v>0</v>
      </c>
      <c r="N14">
        <f t="shared" si="2"/>
        <v>0</v>
      </c>
      <c r="Q14" s="16">
        <v>7</v>
      </c>
      <c r="R14" s="6" t="s">
        <v>23</v>
      </c>
      <c r="S14" s="18"/>
      <c r="T14" s="17">
        <v>7</v>
      </c>
    </row>
    <row r="15" spans="2:20" ht="14.4" x14ac:dyDescent="0.3">
      <c r="F15" s="1">
        <f>F16+inputs3!$D$8</f>
        <v>25</v>
      </c>
      <c r="G15" s="1">
        <f>inputs3!D26</f>
        <v>1</v>
      </c>
      <c r="H15" s="1">
        <f>IF(G15=1,+inputs3!$D$11,+IF(G15=2,+inputs3!$D$12,+inputs3!$D$13))</f>
        <v>2.9999999999999997E-4</v>
      </c>
      <c r="I15" s="1">
        <f t="shared" ca="1" si="3"/>
        <v>74.208187127340665</v>
      </c>
      <c r="J15" s="1">
        <f ca="1">(I14-I15)/inputs3!$D$8*2/(1/H14+1/H15)</f>
        <v>2.9464801909597216E-3</v>
      </c>
      <c r="L15">
        <f t="shared" si="0"/>
        <v>1</v>
      </c>
      <c r="M15">
        <f t="shared" si="1"/>
        <v>0</v>
      </c>
      <c r="N15">
        <f t="shared" si="2"/>
        <v>0</v>
      </c>
      <c r="Q15" s="16">
        <v>8</v>
      </c>
      <c r="R15" s="6" t="s">
        <v>23</v>
      </c>
      <c r="S15" s="18"/>
      <c r="T15" s="17">
        <v>8</v>
      </c>
    </row>
    <row r="16" spans="2:20" ht="14.4" x14ac:dyDescent="0.3">
      <c r="F16" s="1">
        <f>F17+inputs3!$D$8</f>
        <v>20</v>
      </c>
      <c r="G16" s="1">
        <f>inputs3!D27</f>
        <v>2</v>
      </c>
      <c r="H16" s="1">
        <f>IF(G16=1,+inputs3!$D$11,+IF(G16=2,+inputs3!$D$12,+inputs3!$D$13))</f>
        <v>0.5</v>
      </c>
      <c r="I16" s="1">
        <f t="shared" ca="1" si="3"/>
        <v>49.640439524146849</v>
      </c>
      <c r="J16" s="1">
        <f ca="1">(I15-I16)/inputs3!$D$8*2/(1/H15+1/H16)</f>
        <v>2.9463618952461101E-3</v>
      </c>
      <c r="L16">
        <f t="shared" si="0"/>
        <v>0</v>
      </c>
      <c r="M16">
        <f t="shared" si="1"/>
        <v>1</v>
      </c>
      <c r="N16">
        <f t="shared" si="2"/>
        <v>0</v>
      </c>
      <c r="Q16" s="16">
        <v>9</v>
      </c>
      <c r="R16" s="6" t="s">
        <v>23</v>
      </c>
      <c r="S16" s="18"/>
      <c r="T16" s="17">
        <v>9</v>
      </c>
    </row>
    <row r="17" spans="6:20" ht="14.4" x14ac:dyDescent="0.3">
      <c r="F17" s="1">
        <f>F18+inputs3!$D$8</f>
        <v>15</v>
      </c>
      <c r="G17" s="1">
        <f>inputs3!D28</f>
        <v>2</v>
      </c>
      <c r="H17" s="1">
        <f>IF(G17=1,+inputs3!$D$11,+IF(G17=2,+inputs3!$D$12,+inputs3!$D$13))</f>
        <v>0.5</v>
      </c>
      <c r="I17" s="1">
        <f t="shared" ca="1" si="3"/>
        <v>49.611961728912611</v>
      </c>
      <c r="J17" s="1">
        <f ca="1">(I16-I17)/inputs3!$D$8*2/(1/H16+1/H17)</f>
        <v>2.8477795234238103E-3</v>
      </c>
      <c r="L17">
        <f t="shared" si="0"/>
        <v>0</v>
      </c>
      <c r="M17">
        <f t="shared" si="1"/>
        <v>1</v>
      </c>
      <c r="N17">
        <f t="shared" si="2"/>
        <v>0</v>
      </c>
      <c r="Q17" s="16">
        <v>10</v>
      </c>
      <c r="R17" s="6" t="s">
        <v>23</v>
      </c>
      <c r="S17" s="18"/>
      <c r="T17" s="17">
        <v>10</v>
      </c>
    </row>
    <row r="18" spans="6:20" ht="14.4" x14ac:dyDescent="0.3">
      <c r="F18" s="1">
        <f>F19+inputs3!$D$8</f>
        <v>10</v>
      </c>
      <c r="G18" s="1">
        <f>inputs3!D29</f>
        <v>1</v>
      </c>
      <c r="H18" s="1">
        <f>IF(G18=1,+inputs3!$D$11,+IF(G18=2,+inputs3!$D$12,+inputs3!$D$13))</f>
        <v>2.9999999999999997E-4</v>
      </c>
      <c r="I18" s="1">
        <f t="shared" ca="1" si="3"/>
        <v>25.866740803947685</v>
      </c>
      <c r="J18" s="1">
        <f ca="1">(I17-I18)/inputs3!$D$8*2/(1/H17+1/H18)</f>
        <v>2.8477178802676301E-3</v>
      </c>
      <c r="L18">
        <f t="shared" si="0"/>
        <v>1</v>
      </c>
      <c r="M18">
        <f t="shared" si="1"/>
        <v>0</v>
      </c>
      <c r="N18">
        <f t="shared" si="2"/>
        <v>0</v>
      </c>
      <c r="Q18" s="16">
        <v>11</v>
      </c>
      <c r="R18" s="6" t="s">
        <v>23</v>
      </c>
      <c r="S18" s="18"/>
      <c r="T18" s="17">
        <v>11</v>
      </c>
    </row>
    <row r="19" spans="6:20" ht="14.4" x14ac:dyDescent="0.3">
      <c r="F19" s="1">
        <f>F20+inputs3!$D$8</f>
        <v>5</v>
      </c>
      <c r="G19" s="1">
        <f>inputs3!D30</f>
        <v>3</v>
      </c>
      <c r="H19" s="1">
        <f>IF(G19=1,+inputs3!$D$11,+IF(G19=2,+inputs3!$D$12,+inputs3!$D$13))</f>
        <v>0.01</v>
      </c>
      <c r="I19" s="1">
        <f t="shared" ca="1" si="3"/>
        <v>1.4238572919604229</v>
      </c>
      <c r="J19" s="1">
        <f ca="1">(I18-I19)/inputs3!$D$8*2/(1/H18+1/H19)</f>
        <v>2.847714583920846E-3</v>
      </c>
      <c r="L19">
        <f t="shared" si="0"/>
        <v>0</v>
      </c>
      <c r="M19">
        <f t="shared" si="1"/>
        <v>0</v>
      </c>
      <c r="N19">
        <f t="shared" si="2"/>
        <v>1</v>
      </c>
      <c r="Q19" s="16">
        <v>12</v>
      </c>
      <c r="R19" s="6" t="s">
        <v>23</v>
      </c>
      <c r="S19" s="18"/>
      <c r="T19" s="17">
        <v>12</v>
      </c>
    </row>
    <row r="20" spans="6:20" ht="14.4" x14ac:dyDescent="0.3">
      <c r="F20" s="1">
        <f>inputs3!D9</f>
        <v>0</v>
      </c>
      <c r="G20" s="1">
        <f>inputs3!D31</f>
        <v>3</v>
      </c>
      <c r="H20" s="1">
        <f>IF(G20=1,+inputs3!$D$11,+IF(G20=2,+inputs3!$D$12,+inputs3!$D$13))</f>
        <v>0.01</v>
      </c>
      <c r="I20" s="2">
        <f>inputs3!D5</f>
        <v>0</v>
      </c>
      <c r="J20" s="1">
        <f ca="1">(I19-I20)/inputs3!$D$8*2/(1/H19+1/H20)</f>
        <v>2.8477145839208456E-3</v>
      </c>
      <c r="L20">
        <f t="shared" si="0"/>
        <v>0</v>
      </c>
      <c r="M20">
        <f t="shared" si="1"/>
        <v>0</v>
      </c>
      <c r="N20">
        <f t="shared" si="2"/>
        <v>1</v>
      </c>
      <c r="Q20" s="19">
        <v>13</v>
      </c>
      <c r="R20" s="12" t="s">
        <v>23</v>
      </c>
      <c r="S20" s="20"/>
      <c r="T20" s="21">
        <v>13</v>
      </c>
    </row>
    <row r="31" spans="6:20" x14ac:dyDescent="0.25">
      <c r="P31" s="11"/>
    </row>
    <row r="43" spans="16:23" x14ac:dyDescent="0.25">
      <c r="P43" s="11" t="s">
        <v>35</v>
      </c>
    </row>
    <row r="45" spans="16:23" ht="13.2" customHeight="1" x14ac:dyDescent="0.25">
      <c r="P45" s="35" t="s">
        <v>52</v>
      </c>
      <c r="Q45" s="35"/>
      <c r="R45" s="35"/>
      <c r="S45" s="35"/>
      <c r="T45" s="35"/>
      <c r="U45" s="35"/>
      <c r="V45" s="35"/>
      <c r="W45" s="11"/>
    </row>
    <row r="46" spans="16:23" x14ac:dyDescent="0.25">
      <c r="P46" s="35"/>
      <c r="Q46" s="35"/>
      <c r="R46" s="35"/>
      <c r="S46" s="35"/>
      <c r="T46" s="35"/>
      <c r="U46" s="35"/>
      <c r="V46" s="35"/>
    </row>
    <row r="47" spans="16:23" x14ac:dyDescent="0.25">
      <c r="P47" s="35"/>
      <c r="Q47" s="35"/>
      <c r="R47" s="35"/>
      <c r="S47" s="35"/>
      <c r="T47" s="35"/>
      <c r="U47" s="35"/>
      <c r="V47" s="35"/>
    </row>
    <row r="48" spans="16:23" x14ac:dyDescent="0.25">
      <c r="P48" s="35"/>
      <c r="Q48" s="35"/>
      <c r="R48" s="35"/>
      <c r="S48" s="35"/>
      <c r="T48" s="35"/>
      <c r="U48" s="35"/>
      <c r="V48" s="35"/>
    </row>
    <row r="49" spans="3:22" x14ac:dyDescent="0.25">
      <c r="P49" s="35"/>
      <c r="Q49" s="35"/>
      <c r="R49" s="35"/>
      <c r="S49" s="35"/>
      <c r="T49" s="35"/>
      <c r="U49" s="35"/>
      <c r="V49" s="35"/>
    </row>
    <row r="50" spans="3:22" x14ac:dyDescent="0.25">
      <c r="P50" s="35"/>
      <c r="Q50" s="35"/>
      <c r="R50" s="35"/>
      <c r="S50" s="35"/>
      <c r="T50" s="35"/>
      <c r="U50" s="35"/>
      <c r="V50" s="35"/>
    </row>
    <row r="51" spans="3:22" x14ac:dyDescent="0.25">
      <c r="P51" s="27"/>
      <c r="Q51" s="27"/>
      <c r="R51" s="27"/>
      <c r="S51" s="27"/>
      <c r="T51" s="27"/>
      <c r="U51" s="27"/>
      <c r="V51" s="27"/>
    </row>
    <row r="52" spans="3:22" x14ac:dyDescent="0.25">
      <c r="P52" s="11" t="s">
        <v>44</v>
      </c>
      <c r="R52" s="1"/>
      <c r="S52" s="1"/>
      <c r="T52" s="1"/>
    </row>
    <row r="53" spans="3:22" x14ac:dyDescent="0.25">
      <c r="R53" s="1"/>
      <c r="S53" s="1"/>
      <c r="T53" s="1"/>
    </row>
    <row r="54" spans="3:22" x14ac:dyDescent="0.25">
      <c r="P54" s="11" t="s">
        <v>46</v>
      </c>
      <c r="R54" s="25" t="s">
        <v>47</v>
      </c>
      <c r="S54" s="1"/>
      <c r="T54" s="1"/>
    </row>
    <row r="55" spans="3:22" x14ac:dyDescent="0.25">
      <c r="S55" s="1"/>
    </row>
    <row r="56" spans="3:22" x14ac:dyDescent="0.25">
      <c r="P56" s="24"/>
      <c r="Q56" s="24"/>
      <c r="R56" s="24"/>
      <c r="S56" s="1"/>
    </row>
    <row r="57" spans="3:22" x14ac:dyDescent="0.25">
      <c r="P57">
        <f>$C$12</f>
        <v>2.9213428439272588E-3</v>
      </c>
      <c r="Q57" s="24" t="s">
        <v>45</v>
      </c>
      <c r="R57" s="1">
        <f>(-C11)*(-(I8-I20)/(F8-F20))</f>
        <v>2.9213428439272583E-3</v>
      </c>
      <c r="S57" s="1"/>
    </row>
    <row r="59" spans="3:22" ht="13.2" customHeight="1" x14ac:dyDescent="0.25">
      <c r="P59" s="36" t="s">
        <v>48</v>
      </c>
      <c r="Q59" s="36"/>
      <c r="R59" s="36"/>
      <c r="S59" s="36"/>
      <c r="T59" s="36"/>
      <c r="U59" s="36"/>
      <c r="V59" s="26"/>
    </row>
    <row r="60" spans="3:22" x14ac:dyDescent="0.25">
      <c r="C60" t="s">
        <v>18</v>
      </c>
      <c r="D60" t="s">
        <v>19</v>
      </c>
      <c r="P60" s="36"/>
      <c r="Q60" s="36"/>
      <c r="R60" s="36"/>
      <c r="S60" s="36"/>
      <c r="T60" s="36"/>
      <c r="U60" s="36"/>
      <c r="V60" s="26"/>
    </row>
    <row r="61" spans="3:22" x14ac:dyDescent="0.25">
      <c r="D61" s="11" t="s">
        <v>34</v>
      </c>
      <c r="P61" s="36"/>
      <c r="Q61" s="36"/>
      <c r="R61" s="36"/>
      <c r="S61" s="36"/>
      <c r="T61" s="36"/>
      <c r="U61" s="36"/>
      <c r="V61" s="26"/>
    </row>
    <row r="62" spans="3:22" x14ac:dyDescent="0.25">
      <c r="D62" t="s">
        <v>20</v>
      </c>
    </row>
    <row r="63" spans="3:22" x14ac:dyDescent="0.25">
      <c r="D63" t="s">
        <v>21</v>
      </c>
    </row>
  </sheetData>
  <mergeCells count="4">
    <mergeCell ref="B4:D4"/>
    <mergeCell ref="Q5:T5"/>
    <mergeCell ref="P45:V50"/>
    <mergeCell ref="P59:U61"/>
  </mergeCells>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inputs</vt:lpstr>
      <vt:lpstr>inputs2</vt:lpstr>
      <vt:lpstr>inputs3</vt:lpstr>
      <vt:lpstr>Homogeneous model</vt:lpstr>
      <vt:lpstr>Heterogeneous model</vt:lpstr>
      <vt:lpstr>Heterogeneous (2-Soil)</vt:lpstr>
      <vt:lpstr>Broken Heterogeneous</vt:lpstr>
    </vt:vector>
  </TitlesOfParts>
  <Company>University of Arizona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Ferre</dc:creator>
  <cp:lastModifiedBy>Connal Boyd</cp:lastModifiedBy>
  <dcterms:created xsi:type="dcterms:W3CDTF">2002-08-06T22:40:09Z</dcterms:created>
  <dcterms:modified xsi:type="dcterms:W3CDTF">2022-01-27T17:57:51Z</dcterms:modified>
</cp:coreProperties>
</file>